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30" yWindow="75" windowWidth="9510" windowHeight="9120" tabRatio="786"/>
  </bookViews>
  <sheets>
    <sheet name=" Sch1.1 RoO" sheetId="1" r:id="rId1"/>
    <sheet name="Sch 1.2 RsA " sheetId="2" r:id="rId2"/>
    <sheet name="Sch 1.3 PfA " sheetId="3" r:id="rId3"/>
    <sheet name=" Sch 1.4 Summary" sheetId="4" r:id="rId4"/>
    <sheet name=" Sch 2 RR " sheetId="5" r:id="rId5"/>
    <sheet name=" Sch 3 RCF " sheetId="6" r:id="rId6"/>
    <sheet name=" Sch 4 CC" sheetId="7" r:id="rId7"/>
    <sheet name="END RR Model" sheetId="9" r:id="rId8"/>
    <sheet name="Int Sch 5" sheetId="8" r:id="rId9"/>
    <sheet name="ADJ 1.04" sheetId="21" r:id="rId10"/>
    <sheet name="ADJ 1.05" sheetId="22" r:id="rId11"/>
    <sheet name="Cover-Gas" sheetId="11" r:id="rId12"/>
    <sheet name="2.11" sheetId="18" r:id="rId13"/>
    <sheet name="ADJ 2.14" sheetId="12" r:id="rId14"/>
    <sheet name="3.04" sheetId="20" r:id="rId15"/>
    <sheet name="ADJ 3.06" sheetId="13" r:id="rId16"/>
    <sheet name="ADJ 4.00" sheetId="14" r:id="rId17"/>
    <sheet name="ADJ 4.01" sheetId="15" r:id="rId18"/>
    <sheet name="ADJ 4.03" sheetId="16" r:id="rId19"/>
    <sheet name="Sheet1" sheetId="10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End">[1]BS!#REF!</definedName>
    <definedName name="b" hidden="1">{#N/A,#N/A,FALSE,"Coversheet";#N/A,#N/A,FALSE,"QA"}</definedName>
    <definedName name="CombWC_LineItem">[1]BS!$S$7:$S$1085</definedName>
    <definedName name="debt">' Sch 4 CC'!$G$16</definedName>
    <definedName name="Dec09AMA">[1]BS!$R$7:$R$1072</definedName>
    <definedName name="DELETE01" hidden="1">{#N/A,#N/A,FALSE,"Coversheet";#N/A,#N/A,FALSE,"QA"}</definedName>
    <definedName name="DELETE02" hidden="1">{#N/A,#N/A,FALSE,"Schedule F";#N/A,#N/A,FALSE,"Schedule G"}</definedName>
    <definedName name="Delete1" hidden="1">{#N/A,#N/A,FALSE,"Coversheet";#N/A,#N/A,FALSE,"QA"}</definedName>
    <definedName name="ElRBLine">[1]BS!#REF!</definedName>
    <definedName name="GasRBLine">[1]BS!#REF!</definedName>
    <definedName name="ID_Elec" localSheetId="3">#REF!</definedName>
    <definedName name="ID_Elec">#REF!</definedName>
    <definedName name="ID_Gas" localSheetId="3">#REF!</definedName>
    <definedName name="ID_Gas">#REF!</definedName>
    <definedName name="inc_tax">#REF!</definedName>
    <definedName name="prime" localSheetId="3">'[2]R-13 PF Debt'!#REF!</definedName>
    <definedName name="prime">'Int Sch 5'!#REF!</definedName>
    <definedName name="_xlnm.Print_Area" localSheetId="3">' Sch 1.4 Summary'!$A$1:$O$68</definedName>
    <definedName name="_xlnm.Print_Area" localSheetId="4">' Sch 2 RR '!$A$1:$G$47</definedName>
    <definedName name="_xlnm.Print_Area" localSheetId="5">' Sch 3 RCF '!$A$1:$G$47</definedName>
    <definedName name="_xlnm.Print_Area" localSheetId="6">' Sch 4 CC'!$A$1:$J$50</definedName>
    <definedName name="_xlnm.Print_Area" localSheetId="0">' Sch1.1 RoO'!$A$1:$I$80</definedName>
    <definedName name="_xlnm.Print_Area" localSheetId="12">'2.11'!$A$1:$J$84</definedName>
    <definedName name="_xlnm.Print_Area" localSheetId="8">'Int Sch 5'!$A$1:$H$35</definedName>
    <definedName name="_xlnm.Print_Area" localSheetId="1">'Sch 1.2 RsA '!$A$5:$V$85</definedName>
    <definedName name="_xlnm.Print_Area" localSheetId="2">'Sch 1.3 PfA '!$A$5:$N$85</definedName>
    <definedName name="Print_for_CBReport">#REF!</definedName>
    <definedName name="Print_for_Checking" localSheetId="3">[3]PFRstmtSheet!$A$1:'[3]PFRstmtSheet'!$J$107</definedName>
    <definedName name="Print_for_Checking">#REF!</definedName>
    <definedName name="_xlnm.Print_Titles" localSheetId="0">' Sch1.1 RoO'!$A:$A,' Sch1.1 RoO'!$2:$8</definedName>
    <definedName name="_xlnm.Print_Titles" localSheetId="1">'Sch 1.2 RsA '!$A:$B,'Sch 1.2 RsA '!$5:$12</definedName>
    <definedName name="_xlnm.Print_Titles" localSheetId="2">'Sch 1.3 PfA '!$A:$A,'Sch 1.3 PfA '!$5:$13</definedName>
    <definedName name="Recover" localSheetId="12">[4]Macro1!$A$90</definedName>
    <definedName name="Recover">[5]Macro1!$A$69</definedName>
    <definedName name="roe">' Sch 4 CC'!$G$16</definedName>
    <definedName name="Sort_Area">#REF!</definedName>
    <definedName name="Sort_AreaTwo">#REF!</definedName>
    <definedName name="SortAreaNew">#REF!</definedName>
    <definedName name="Summary">#REF!</definedName>
    <definedName name="TableName">"Dummy"</definedName>
    <definedName name="Test_Yr">[6]cover!$B$12</definedName>
    <definedName name="TR">#REF!</definedName>
    <definedName name="WA_Elec" localSheetId="3">#REF!</definedName>
    <definedName name="WA_Elec">#REF!</definedName>
    <definedName name="WA_Gas" localSheetId="3">#REF!</definedName>
    <definedName name="WA_Gas">#REF!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Z_5BE913A1_B14F_11D2_B0DC_0000832CDFF0_.wvu.Cols" localSheetId="0" hidden="1">' Sch1.1 RoO'!$F:$G</definedName>
    <definedName name="Z_5BE913A1_B14F_11D2_B0DC_0000832CDFF0_.wvu.Cols" localSheetId="13" hidden="1">'ADJ 2.14'!#REF!</definedName>
    <definedName name="Z_5BE913A1_B14F_11D2_B0DC_0000832CDFF0_.wvu.Cols" localSheetId="15" hidden="1">'ADJ 3.06'!$E:$E</definedName>
    <definedName name="Z_5BE913A1_B14F_11D2_B0DC_0000832CDFF0_.wvu.Cols" localSheetId="16" hidden="1">'ADJ 4.00'!#REF!</definedName>
    <definedName name="Z_5BE913A1_B14F_11D2_B0DC_0000832CDFF0_.wvu.Cols" localSheetId="17" hidden="1">'ADJ 4.01'!#REF!</definedName>
    <definedName name="Z_5BE913A1_B14F_11D2_B0DC_0000832CDFF0_.wvu.Cols" localSheetId="18" hidden="1">'ADJ 4.03'!#REF!</definedName>
    <definedName name="Z_5BE913A1_B14F_11D2_B0DC_0000832CDFF0_.wvu.Cols" localSheetId="1" hidden="1">'Sch 1.2 RsA '!#REF!</definedName>
    <definedName name="Z_5BE913A1_B14F_11D2_B0DC_0000832CDFF0_.wvu.Cols" localSheetId="2" hidden="1">'Sch 1.3 PfA '!#REF!</definedName>
    <definedName name="Z_5BE913A1_B14F_11D2_B0DC_0000832CDFF0_.wvu.PrintArea" localSheetId="0" hidden="1">' Sch1.1 RoO'!$C$9:$G$80</definedName>
    <definedName name="Z_5BE913A1_B14F_11D2_B0DC_0000832CDFF0_.wvu.PrintArea" localSheetId="13" hidden="1">'ADJ 2.14'!$E$11:$E$80</definedName>
    <definedName name="Z_5BE913A1_B14F_11D2_B0DC_0000832CDFF0_.wvu.PrintArea" localSheetId="15" hidden="1">'ADJ 3.06'!$E$11:$E$80</definedName>
    <definedName name="Z_5BE913A1_B14F_11D2_B0DC_0000832CDFF0_.wvu.PrintArea" localSheetId="16" hidden="1">'ADJ 4.00'!#REF!</definedName>
    <definedName name="Z_5BE913A1_B14F_11D2_B0DC_0000832CDFF0_.wvu.PrintArea" localSheetId="17" hidden="1">'ADJ 4.01'!#REF!</definedName>
    <definedName name="Z_5BE913A1_B14F_11D2_B0DC_0000832CDFF0_.wvu.PrintArea" localSheetId="18" hidden="1">'ADJ 4.03'!#REF!</definedName>
    <definedName name="Z_5BE913A1_B14F_11D2_B0DC_0000832CDFF0_.wvu.PrintArea" localSheetId="1" hidden="1">'Sch 1.2 RsA '!$C$13:$T$86</definedName>
    <definedName name="Z_5BE913A1_B14F_11D2_B0DC_0000832CDFF0_.wvu.PrintArea" localSheetId="2" hidden="1">'Sch 1.3 PfA '!$C$14:$C$86</definedName>
    <definedName name="Z_5BE913A1_B14F_11D2_B0DC_0000832CDFF0_.wvu.PrintTitles" localSheetId="0" hidden="1">' Sch1.1 RoO'!$A:$A,' Sch1.1 RoO'!$2:$8</definedName>
    <definedName name="Z_5BE913A1_B14F_11D2_B0DC_0000832CDFF0_.wvu.PrintTitles" localSheetId="13" hidden="1">'ADJ 2.14'!$A:$D,'ADJ 2.14'!$1:$10</definedName>
    <definedName name="Z_5BE913A1_B14F_11D2_B0DC_0000832CDFF0_.wvu.PrintTitles" localSheetId="15" hidden="1">'ADJ 3.06'!$A:$D,'ADJ 3.06'!$1:$10</definedName>
    <definedName name="Z_5BE913A1_B14F_11D2_B0DC_0000832CDFF0_.wvu.PrintTitles" localSheetId="16" hidden="1">'ADJ 4.00'!$A:$D,'ADJ 4.00'!$1:$10</definedName>
    <definedName name="Z_5BE913A1_B14F_11D2_B0DC_0000832CDFF0_.wvu.PrintTitles" localSheetId="17" hidden="1">'ADJ 4.01'!$A:$D,'ADJ 4.01'!$1:$10</definedName>
    <definedName name="Z_5BE913A1_B14F_11D2_B0DC_0000832CDFF0_.wvu.PrintTitles" localSheetId="18" hidden="1">'ADJ 4.03'!$A:$D,'ADJ 4.03'!$1:$10</definedName>
    <definedName name="Z_5BE913A1_B14F_11D2_B0DC_0000832CDFF0_.wvu.PrintTitles" localSheetId="1" hidden="1">'Sch 1.2 RsA '!$A:$A,'Sch 1.2 RsA '!$5:$12</definedName>
    <definedName name="Z_5BE913A1_B14F_11D2_B0DC_0000832CDFF0_.wvu.PrintTitles" localSheetId="2" hidden="1">'Sch 1.3 PfA '!$A:$A,'Sch 1.3 PfA '!$5:$13</definedName>
    <definedName name="Z_6E1B8C45_B07F_11D2_B0DC_0000832CDFF0_.wvu.Cols" localSheetId="9" hidden="1">'ADJ 1.04'!#REF!,'ADJ 1.04'!#REF!</definedName>
    <definedName name="Z_6E1B8C45_B07F_11D2_B0DC_0000832CDFF0_.wvu.PrintArea" localSheetId="9" hidden="1">'ADJ 1.04'!$E:$E</definedName>
    <definedName name="Z_6E1B8C45_B07F_11D2_B0DC_0000832CDFF0_.wvu.PrintTitles" localSheetId="9" hidden="1">'ADJ 1.04'!$A:$D,'ADJ 1.04'!$1:$9</definedName>
    <definedName name="Z_A15D1962_B049_11D2_8670_0000832CEEE8_.wvu.Cols" localSheetId="9" hidden="1">'ADJ 1.04'!#REF!</definedName>
    <definedName name="Z_A15D1964_B049_11D2_8670_0000832CEEE8_.wvu.Cols" localSheetId="0" hidden="1">' Sch1.1 RoO'!$F:$G</definedName>
    <definedName name="Z_A15D1964_B049_11D2_8670_0000832CEEE8_.wvu.Cols" localSheetId="13" hidden="1">'ADJ 2.14'!#REF!</definedName>
    <definedName name="Z_A15D1964_B049_11D2_8670_0000832CEEE8_.wvu.Cols" localSheetId="15" hidden="1">'ADJ 3.06'!$E:$E</definedName>
    <definedName name="Z_A15D1964_B049_11D2_8670_0000832CEEE8_.wvu.Cols" localSheetId="16" hidden="1">'ADJ 4.00'!#REF!</definedName>
    <definedName name="Z_A15D1964_B049_11D2_8670_0000832CEEE8_.wvu.Cols" localSheetId="17" hidden="1">'ADJ 4.01'!#REF!</definedName>
    <definedName name="Z_A15D1964_B049_11D2_8670_0000832CEEE8_.wvu.Cols" localSheetId="18" hidden="1">'ADJ 4.03'!#REF!</definedName>
    <definedName name="Z_A15D1964_B049_11D2_8670_0000832CEEE8_.wvu.Cols" localSheetId="1" hidden="1">'Sch 1.2 RsA '!#REF!</definedName>
    <definedName name="Z_A15D1964_B049_11D2_8670_0000832CEEE8_.wvu.Cols" localSheetId="2" hidden="1">'Sch 1.3 PfA '!#REF!</definedName>
    <definedName name="Z_A15D1964_B049_11D2_8670_0000832CEEE8_.wvu.PrintArea" localSheetId="0" hidden="1">' Sch1.1 RoO'!$C$9:$G$80</definedName>
    <definedName name="Z_A15D1964_B049_11D2_8670_0000832CEEE8_.wvu.PrintArea" localSheetId="13" hidden="1">'ADJ 2.14'!$E$11:$E$80</definedName>
    <definedName name="Z_A15D1964_B049_11D2_8670_0000832CEEE8_.wvu.PrintArea" localSheetId="15" hidden="1">'ADJ 3.06'!$E$11:$E$80</definedName>
    <definedName name="Z_A15D1964_B049_11D2_8670_0000832CEEE8_.wvu.PrintArea" localSheetId="16" hidden="1">'ADJ 4.00'!#REF!</definedName>
    <definedName name="Z_A15D1964_B049_11D2_8670_0000832CEEE8_.wvu.PrintArea" localSheetId="17" hidden="1">'ADJ 4.01'!#REF!</definedName>
    <definedName name="Z_A15D1964_B049_11D2_8670_0000832CEEE8_.wvu.PrintArea" localSheetId="18" hidden="1">'ADJ 4.03'!#REF!</definedName>
    <definedName name="Z_A15D1964_B049_11D2_8670_0000832CEEE8_.wvu.PrintArea" localSheetId="1" hidden="1">'Sch 1.2 RsA '!$C$13:$T$86</definedName>
    <definedName name="Z_A15D1964_B049_11D2_8670_0000832CEEE8_.wvu.PrintArea" localSheetId="2" hidden="1">'Sch 1.3 PfA '!$C$14:$C$86</definedName>
    <definedName name="Z_A15D1964_B049_11D2_8670_0000832CEEE8_.wvu.PrintTitles" localSheetId="0" hidden="1">' Sch1.1 RoO'!$A:$A,' Sch1.1 RoO'!$2:$8</definedName>
    <definedName name="Z_A15D1964_B049_11D2_8670_0000832CEEE8_.wvu.PrintTitles" localSheetId="13" hidden="1">'ADJ 2.14'!$A:$D,'ADJ 2.14'!$1:$10</definedName>
    <definedName name="Z_A15D1964_B049_11D2_8670_0000832CEEE8_.wvu.PrintTitles" localSheetId="15" hidden="1">'ADJ 3.06'!$A:$D,'ADJ 3.06'!$1:$10</definedName>
    <definedName name="Z_A15D1964_B049_11D2_8670_0000832CEEE8_.wvu.PrintTitles" localSheetId="16" hidden="1">'ADJ 4.00'!$A:$D,'ADJ 4.00'!$1:$10</definedName>
    <definedName name="Z_A15D1964_B049_11D2_8670_0000832CEEE8_.wvu.PrintTitles" localSheetId="17" hidden="1">'ADJ 4.01'!$A:$D,'ADJ 4.01'!$1:$10</definedName>
    <definedName name="Z_A15D1964_B049_11D2_8670_0000832CEEE8_.wvu.PrintTitles" localSheetId="18" hidden="1">'ADJ 4.03'!$A:$D,'ADJ 4.03'!$1:$10</definedName>
    <definedName name="Z_A15D1964_B049_11D2_8670_0000832CEEE8_.wvu.PrintTitles" localSheetId="1" hidden="1">'Sch 1.2 RsA '!$A:$A,'Sch 1.2 RsA '!$5:$12</definedName>
    <definedName name="Z_A15D1964_B049_11D2_8670_0000832CEEE8_.wvu.PrintTitles" localSheetId="2" hidden="1">'Sch 1.3 PfA '!$A:$A,'Sch 1.3 PfA '!$5:$13</definedName>
    <definedName name="Z_DBE9AC2E_288B_409B_9D2E_596C9640AC61_.wvu.Cols" localSheetId="3" hidden="1">' Sch 1.4 Summary'!$E:$F,' Sch 1.4 Summary'!$K:$L</definedName>
    <definedName name="Z_DBE9AC2E_288B_409B_9D2E_596C9640AC61_.wvu.PrintArea" localSheetId="3" hidden="1">' Sch 1.4 Summary'!$A$3:$O$59</definedName>
    <definedName name="Z_DBE9AC2E_288B_409B_9D2E_596C9640AC61_.wvu.Rows" localSheetId="3" hidden="1">' Sch 1.4 Summary'!$32:$36,' Sch 1.4 Summary'!$48:$48</definedName>
  </definedNames>
  <calcPr calcId="145621"/>
</workbook>
</file>

<file path=xl/calcChain.xml><?xml version="1.0" encoding="utf-8"?>
<calcChain xmlns="http://schemas.openxmlformats.org/spreadsheetml/2006/main">
  <c r="F65" i="1" l="1"/>
  <c r="D65" i="1"/>
  <c r="E65" i="1" s="1"/>
  <c r="B5" i="2"/>
  <c r="G65" i="1" l="1"/>
  <c r="I65" i="1" s="1"/>
  <c r="O31" i="4"/>
  <c r="I59" i="11" l="1"/>
  <c r="J59" i="11"/>
  <c r="L59" i="11"/>
  <c r="F59" i="11"/>
  <c r="F51" i="11"/>
  <c r="J37" i="11"/>
  <c r="L37" i="11"/>
  <c r="H31" i="11"/>
  <c r="G31" i="11"/>
  <c r="F31" i="11"/>
  <c r="K31" i="11"/>
  <c r="L31" i="11"/>
  <c r="E57" i="20" l="1"/>
  <c r="K44" i="11" l="1"/>
  <c r="K40" i="11"/>
  <c r="K39" i="11"/>
  <c r="K34" i="11"/>
  <c r="K37" i="11" s="1"/>
  <c r="H48" i="11" l="1"/>
  <c r="H49" i="11" s="1"/>
  <c r="H51" i="11" s="1"/>
  <c r="H54" i="11" s="1"/>
  <c r="I48" i="11"/>
  <c r="J48" i="11"/>
  <c r="K48" i="11"/>
  <c r="L48" i="11"/>
  <c r="L49" i="11"/>
  <c r="L51" i="11" s="1"/>
  <c r="L54" i="11" s="1"/>
  <c r="A4" i="18" l="1"/>
  <c r="A3" i="18"/>
  <c r="A2" i="18"/>
  <c r="A1" i="18"/>
  <c r="H110" i="2"/>
  <c r="H107" i="2"/>
  <c r="H104" i="2"/>
  <c r="H77" i="2"/>
  <c r="H71" i="2"/>
  <c r="H51" i="2"/>
  <c r="H44" i="2"/>
  <c r="H39" i="2"/>
  <c r="H33" i="2"/>
  <c r="H27" i="2"/>
  <c r="H18" i="2"/>
  <c r="H90" i="2" s="1"/>
  <c r="E59" i="22"/>
  <c r="E52" i="22"/>
  <c r="E37" i="22"/>
  <c r="E24" i="22"/>
  <c r="E21" i="22"/>
  <c r="E11" i="22"/>
  <c r="E13" i="22" s="1"/>
  <c r="A1" i="22"/>
  <c r="C21" i="2"/>
  <c r="G71" i="2"/>
  <c r="G77" i="2"/>
  <c r="G85" i="2" s="1"/>
  <c r="G110" i="2"/>
  <c r="G104" i="2"/>
  <c r="G107" i="2"/>
  <c r="C103" i="2"/>
  <c r="C102" i="2"/>
  <c r="C97" i="2"/>
  <c r="C98" i="2"/>
  <c r="C96" i="2"/>
  <c r="C81" i="2"/>
  <c r="C82" i="2"/>
  <c r="C79" i="2"/>
  <c r="C75" i="2"/>
  <c r="C76" i="2"/>
  <c r="C74" i="2"/>
  <c r="C69" i="2"/>
  <c r="C70" i="2"/>
  <c r="C68" i="2"/>
  <c r="C60" i="2"/>
  <c r="C38" i="2"/>
  <c r="C37" i="2"/>
  <c r="C36" i="2"/>
  <c r="G51" i="2"/>
  <c r="G44" i="2"/>
  <c r="G39" i="2"/>
  <c r="G33" i="2"/>
  <c r="G27" i="2"/>
  <c r="G18" i="2"/>
  <c r="G90" i="2" s="1"/>
  <c r="J24" i="4"/>
  <c r="I24" i="4"/>
  <c r="G53" i="2" l="1"/>
  <c r="G91" i="2" s="1"/>
  <c r="G93" i="2" s="1"/>
  <c r="G106" i="2" s="1"/>
  <c r="H53" i="2"/>
  <c r="H91" i="2" s="1"/>
  <c r="H93" i="2" s="1"/>
  <c r="H106" i="2" s="1"/>
  <c r="G55" i="2"/>
  <c r="J15" i="4"/>
  <c r="E56" i="22"/>
  <c r="E27" i="22"/>
  <c r="E38" i="22" s="1"/>
  <c r="E40" i="22" s="1"/>
  <c r="P107" i="2"/>
  <c r="P104" i="2"/>
  <c r="P99" i="2"/>
  <c r="P90" i="2"/>
  <c r="P77" i="2"/>
  <c r="P71" i="2"/>
  <c r="P51" i="2"/>
  <c r="P44" i="2"/>
  <c r="P39" i="2"/>
  <c r="P85" i="2" l="1"/>
  <c r="P53" i="2"/>
  <c r="P55" i="2" s="1"/>
  <c r="H55" i="2"/>
  <c r="E43" i="22"/>
  <c r="C50" i="2"/>
  <c r="C49" i="2"/>
  <c r="C48" i="2"/>
  <c r="C43" i="2"/>
  <c r="C41" i="2"/>
  <c r="C31" i="2"/>
  <c r="C32" i="2"/>
  <c r="C25" i="2"/>
  <c r="C26" i="2"/>
  <c r="C24" i="2"/>
  <c r="C16" i="2"/>
  <c r="C17" i="2"/>
  <c r="C15" i="2"/>
  <c r="C71" i="2"/>
  <c r="C99" i="2"/>
  <c r="C109" i="2"/>
  <c r="C104" i="2"/>
  <c r="P91" i="2" l="1"/>
  <c r="P93" i="2" s="1"/>
  <c r="P106" i="2" s="1"/>
  <c r="P108" i="2" s="1"/>
  <c r="P110" i="2" s="1"/>
  <c r="P58" i="2" s="1"/>
  <c r="E47" i="22"/>
  <c r="C77" i="2"/>
  <c r="C18" i="2"/>
  <c r="C39" i="2"/>
  <c r="C27" i="2"/>
  <c r="E69" i="21"/>
  <c r="E63" i="21"/>
  <c r="E70" i="21" s="1"/>
  <c r="E72" i="21" s="1"/>
  <c r="E79" i="21" s="1"/>
  <c r="E52" i="21" s="1"/>
  <c r="E45" i="21"/>
  <c r="E34" i="21"/>
  <c r="E28" i="21"/>
  <c r="E22" i="21"/>
  <c r="E46" i="21" s="1"/>
  <c r="E15" i="21"/>
  <c r="E48" i="21" s="1"/>
  <c r="E56" i="21" l="1"/>
  <c r="E46" i="20"/>
  <c r="E35" i="20"/>
  <c r="E29" i="20"/>
  <c r="H50" i="3" l="1"/>
  <c r="H33" i="3"/>
  <c r="E47" i="20"/>
  <c r="E49" i="20" s="1"/>
  <c r="H39" i="3"/>
  <c r="N47" i="3" l="1"/>
  <c r="L79" i="3"/>
  <c r="L76" i="3"/>
  <c r="L75" i="3"/>
  <c r="L74" i="3"/>
  <c r="L70" i="3"/>
  <c r="L69" i="3"/>
  <c r="L68" i="3"/>
  <c r="L48" i="3"/>
  <c r="L38" i="3"/>
  <c r="L32" i="3"/>
  <c r="K79" i="3"/>
  <c r="K76" i="3"/>
  <c r="K75" i="3"/>
  <c r="K74" i="3"/>
  <c r="K70" i="3"/>
  <c r="K69" i="3"/>
  <c r="K68" i="3"/>
  <c r="K48" i="3"/>
  <c r="K38" i="3"/>
  <c r="K32" i="3"/>
  <c r="J79" i="3"/>
  <c r="J76" i="3"/>
  <c r="J75" i="3"/>
  <c r="J74" i="3"/>
  <c r="J70" i="3"/>
  <c r="J69" i="3"/>
  <c r="J68" i="3"/>
  <c r="J48" i="3"/>
  <c r="J38" i="3"/>
  <c r="J32" i="3"/>
  <c r="V47" i="2" l="1"/>
  <c r="S47" i="2" l="1"/>
  <c r="S42" i="2"/>
  <c r="C42" i="2" s="1"/>
  <c r="C44" i="2" s="1"/>
  <c r="F68" i="18"/>
  <c r="F69" i="18" s="1"/>
  <c r="F71" i="18" s="1"/>
  <c r="F78" i="18" s="1"/>
  <c r="F62" i="18"/>
  <c r="F44" i="18"/>
  <c r="F33" i="18"/>
  <c r="F27" i="18"/>
  <c r="F21" i="18"/>
  <c r="F14" i="18"/>
  <c r="F45" i="18" l="1"/>
  <c r="F47" i="18" s="1"/>
  <c r="F50" i="18" s="1"/>
  <c r="F51" i="18"/>
  <c r="F55" i="18" l="1"/>
  <c r="E71" i="16" l="1"/>
  <c r="E73" i="16" s="1"/>
  <c r="E80" i="16" s="1"/>
  <c r="E53" i="16" s="1"/>
  <c r="E70" i="16"/>
  <c r="E64" i="16"/>
  <c r="E46" i="16"/>
  <c r="E35" i="16"/>
  <c r="E29" i="16"/>
  <c r="E23" i="16"/>
  <c r="E47" i="16" s="1"/>
  <c r="E16" i="16"/>
  <c r="A4" i="16"/>
  <c r="A3" i="16"/>
  <c r="A2" i="16"/>
  <c r="A1" i="16"/>
  <c r="E71" i="15"/>
  <c r="E73" i="15" s="1"/>
  <c r="E80" i="15" s="1"/>
  <c r="E70" i="15"/>
  <c r="E64" i="15"/>
  <c r="E46" i="15"/>
  <c r="E35" i="15"/>
  <c r="E29" i="15"/>
  <c r="E23" i="15"/>
  <c r="E47" i="15" s="1"/>
  <c r="E16" i="15"/>
  <c r="A4" i="15"/>
  <c r="A3" i="15"/>
  <c r="A2" i="15"/>
  <c r="A1" i="15"/>
  <c r="E71" i="14"/>
  <c r="E73" i="14" s="1"/>
  <c r="E80" i="14" s="1"/>
  <c r="E70" i="14"/>
  <c r="E64" i="14"/>
  <c r="E46" i="14"/>
  <c r="E35" i="14"/>
  <c r="E29" i="14"/>
  <c r="E23" i="14"/>
  <c r="E47" i="14" s="1"/>
  <c r="E16" i="14"/>
  <c r="A4" i="14"/>
  <c r="A3" i="14"/>
  <c r="A2" i="14"/>
  <c r="A1" i="14"/>
  <c r="E71" i="13"/>
  <c r="E73" i="13" s="1"/>
  <c r="E80" i="13" s="1"/>
  <c r="E70" i="13"/>
  <c r="E64" i="13"/>
  <c r="E46" i="13"/>
  <c r="E35" i="13"/>
  <c r="E29" i="13"/>
  <c r="E23" i="13"/>
  <c r="E47" i="13" s="1"/>
  <c r="E16" i="13"/>
  <c r="A4" i="13"/>
  <c r="A3" i="13"/>
  <c r="A2" i="13"/>
  <c r="A1" i="13"/>
  <c r="E70" i="12"/>
  <c r="E64" i="12"/>
  <c r="E71" i="12" s="1"/>
  <c r="E73" i="12" s="1"/>
  <c r="E80" i="12" s="1"/>
  <c r="E53" i="12" s="1"/>
  <c r="E46" i="12"/>
  <c r="E35" i="12"/>
  <c r="E29" i="12"/>
  <c r="E23" i="12"/>
  <c r="E16" i="12"/>
  <c r="A4" i="12"/>
  <c r="A3" i="12"/>
  <c r="A2" i="12"/>
  <c r="A1" i="12"/>
  <c r="E47" i="12" l="1"/>
  <c r="E49" i="12" s="1"/>
  <c r="E52" i="12" s="1"/>
  <c r="E57" i="12" s="1"/>
  <c r="E49" i="16"/>
  <c r="E49" i="15"/>
  <c r="E49" i="14"/>
  <c r="E49" i="13"/>
  <c r="E52" i="16" l="1"/>
  <c r="E57" i="16"/>
  <c r="E52" i="15"/>
  <c r="E57" i="15" s="1"/>
  <c r="E52" i="14"/>
  <c r="E57" i="14"/>
  <c r="E52" i="13"/>
  <c r="E57" i="13" s="1"/>
  <c r="M48" i="3" l="1"/>
  <c r="M38" i="3"/>
  <c r="M32" i="3"/>
  <c r="E47" i="3"/>
  <c r="E26" i="3"/>
  <c r="D47" i="3"/>
  <c r="D43" i="3"/>
  <c r="D42" i="3"/>
  <c r="D37" i="3"/>
  <c r="D26" i="3"/>
  <c r="H59" i="11"/>
  <c r="T47" i="2"/>
  <c r="C47" i="2" s="1"/>
  <c r="C51" i="2" s="1"/>
  <c r="F80" i="2"/>
  <c r="F30" i="2"/>
  <c r="C30" i="2" s="1"/>
  <c r="C33" i="2" s="1"/>
  <c r="K72" i="11"/>
  <c r="J72" i="11"/>
  <c r="I72" i="11"/>
  <c r="G72" i="11"/>
  <c r="K66" i="11"/>
  <c r="K73" i="11" s="1"/>
  <c r="K75" i="11" s="1"/>
  <c r="J66" i="11"/>
  <c r="J73" i="11" s="1"/>
  <c r="J75" i="11" s="1"/>
  <c r="I66" i="11"/>
  <c r="I73" i="11" s="1"/>
  <c r="I75" i="11" s="1"/>
  <c r="G66" i="11"/>
  <c r="G73" i="11" s="1"/>
  <c r="G75" i="11" s="1"/>
  <c r="G81" i="11" s="1"/>
  <c r="K55" i="11"/>
  <c r="J55" i="11"/>
  <c r="I55" i="11"/>
  <c r="G48" i="11"/>
  <c r="K49" i="11"/>
  <c r="K51" i="11" s="1"/>
  <c r="G37" i="11"/>
  <c r="I37" i="11"/>
  <c r="J31" i="11"/>
  <c r="I31" i="11"/>
  <c r="K25" i="11"/>
  <c r="G25" i="11"/>
  <c r="G49" i="11" s="1"/>
  <c r="J25" i="11"/>
  <c r="J49" i="11" s="1"/>
  <c r="J51" i="11" s="1"/>
  <c r="J54" i="11" s="1"/>
  <c r="I25" i="11"/>
  <c r="I49" i="11" s="1"/>
  <c r="I51" i="11" s="1"/>
  <c r="I54" i="11" s="1"/>
  <c r="K18" i="11"/>
  <c r="J18" i="11"/>
  <c r="I18" i="11"/>
  <c r="G18" i="11"/>
  <c r="J11" i="11"/>
  <c r="K11" i="11" s="1"/>
  <c r="A5" i="11"/>
  <c r="A4" i="11"/>
  <c r="A3" i="11"/>
  <c r="A2" i="11"/>
  <c r="K54" i="11" l="1"/>
  <c r="K59" i="11" s="1"/>
  <c r="K89" i="11" s="1"/>
  <c r="K90" i="11" s="1"/>
  <c r="K84" i="11" s="1"/>
  <c r="G51" i="11"/>
  <c r="C80" i="2"/>
  <c r="C53" i="2"/>
  <c r="C55" i="2" s="1"/>
  <c r="G54" i="11"/>
  <c r="J89" i="11"/>
  <c r="J90" i="11" s="1"/>
  <c r="J84" i="11" s="1"/>
  <c r="G55" i="11"/>
  <c r="G59" i="11" s="1"/>
  <c r="G89" i="11" s="1"/>
  <c r="G90" i="11" s="1"/>
  <c r="G84" i="11" s="1"/>
  <c r="I89" i="11" l="1"/>
  <c r="I90" i="11" s="1"/>
  <c r="I84" i="11" s="1"/>
  <c r="C80" i="3" l="1"/>
  <c r="C81" i="3"/>
  <c r="F76" i="1" s="1"/>
  <c r="C82" i="3"/>
  <c r="F77" i="1" s="1"/>
  <c r="C83" i="3"/>
  <c r="F78" i="1" s="1"/>
  <c r="C79" i="3"/>
  <c r="C75" i="3"/>
  <c r="C76" i="3"/>
  <c r="C74" i="3"/>
  <c r="C69" i="3"/>
  <c r="C70" i="3"/>
  <c r="C68" i="3"/>
  <c r="C60" i="3"/>
  <c r="F55" i="1" s="1"/>
  <c r="C61" i="3"/>
  <c r="F56" i="1" s="1"/>
  <c r="C43" i="3"/>
  <c r="C44" i="3"/>
  <c r="C45" i="3"/>
  <c r="C46" i="3"/>
  <c r="C47" i="3"/>
  <c r="C48" i="3"/>
  <c r="C49" i="3"/>
  <c r="F44" i="1" s="1"/>
  <c r="C50" i="3"/>
  <c r="F45" i="1" s="1"/>
  <c r="C42" i="3"/>
  <c r="C38" i="3"/>
  <c r="C39" i="3"/>
  <c r="C37" i="3"/>
  <c r="C32" i="3"/>
  <c r="C33" i="3"/>
  <c r="C31" i="3"/>
  <c r="C27" i="3"/>
  <c r="C26" i="3"/>
  <c r="C25" i="3"/>
  <c r="C22" i="3"/>
  <c r="C17" i="3"/>
  <c r="C18" i="3"/>
  <c r="C16" i="3"/>
  <c r="K104" i="3"/>
  <c r="L104" i="3"/>
  <c r="M104" i="3"/>
  <c r="N104" i="3"/>
  <c r="K99" i="3"/>
  <c r="L99" i="3"/>
  <c r="M99" i="3"/>
  <c r="N99" i="3"/>
  <c r="K77" i="3"/>
  <c r="L77" i="3"/>
  <c r="M77" i="3"/>
  <c r="N77" i="3"/>
  <c r="K71" i="3"/>
  <c r="L71" i="3"/>
  <c r="M71" i="3"/>
  <c r="M85" i="3" s="1"/>
  <c r="N71" i="3"/>
  <c r="N85" i="3" s="1"/>
  <c r="L51" i="3"/>
  <c r="M51" i="3"/>
  <c r="N51" i="3"/>
  <c r="L40" i="3"/>
  <c r="M40" i="3"/>
  <c r="N40" i="3"/>
  <c r="L34" i="3"/>
  <c r="M34" i="3"/>
  <c r="N34" i="3"/>
  <c r="L28" i="3"/>
  <c r="M28" i="3"/>
  <c r="N28" i="3"/>
  <c r="L19" i="3"/>
  <c r="L90" i="3" s="1"/>
  <c r="M19" i="3"/>
  <c r="M90" i="3" s="1"/>
  <c r="N19" i="3"/>
  <c r="N90" i="3" s="1"/>
  <c r="E28" i="3"/>
  <c r="F28" i="3"/>
  <c r="G28" i="3"/>
  <c r="H28" i="3"/>
  <c r="I28" i="3"/>
  <c r="J28" i="3"/>
  <c r="K28" i="3"/>
  <c r="D28" i="3"/>
  <c r="E51" i="3"/>
  <c r="F51" i="3"/>
  <c r="G51" i="3"/>
  <c r="H51" i="3"/>
  <c r="I51" i="3"/>
  <c r="J51" i="3"/>
  <c r="K51" i="3"/>
  <c r="E40" i="3"/>
  <c r="F40" i="3"/>
  <c r="G40" i="3"/>
  <c r="H40" i="3"/>
  <c r="I40" i="3"/>
  <c r="J40" i="3"/>
  <c r="K40" i="3"/>
  <c r="E34" i="3"/>
  <c r="F34" i="3"/>
  <c r="G34" i="3"/>
  <c r="H34" i="3"/>
  <c r="I34" i="3"/>
  <c r="J34" i="3"/>
  <c r="K34" i="3"/>
  <c r="E19" i="3"/>
  <c r="F19" i="3"/>
  <c r="G19" i="3"/>
  <c r="H19" i="3"/>
  <c r="I19" i="3"/>
  <c r="J19" i="3"/>
  <c r="K19" i="3"/>
  <c r="K90" i="3" s="1"/>
  <c r="D44" i="1"/>
  <c r="E44" i="1" s="1"/>
  <c r="J46" i="4" l="1"/>
  <c r="C28" i="3"/>
  <c r="J47" i="4"/>
  <c r="N53" i="3"/>
  <c r="N91" i="3" s="1"/>
  <c r="N93" i="3" s="1"/>
  <c r="N106" i="3" s="1"/>
  <c r="L85" i="3"/>
  <c r="K85" i="3"/>
  <c r="M53" i="3"/>
  <c r="M55" i="3" s="1"/>
  <c r="L53" i="3"/>
  <c r="L91" i="3" s="1"/>
  <c r="L93" i="3" s="1"/>
  <c r="L106" i="3" s="1"/>
  <c r="E90" i="2"/>
  <c r="E85" i="2"/>
  <c r="J13" i="4" l="1"/>
  <c r="J44" i="4"/>
  <c r="J45" i="4"/>
  <c r="N55" i="3"/>
  <c r="L55" i="3"/>
  <c r="M91" i="3"/>
  <c r="M93" i="3" s="1"/>
  <c r="M106" i="3" s="1"/>
  <c r="D44" i="2"/>
  <c r="E44" i="2"/>
  <c r="D51" i="2"/>
  <c r="E51" i="2"/>
  <c r="E53" i="2" s="1"/>
  <c r="E91" i="2" s="1"/>
  <c r="E93" i="2" s="1"/>
  <c r="E106" i="2" s="1"/>
  <c r="E55" i="2" l="1"/>
  <c r="C61" i="2"/>
  <c r="H99" i="3" l="1"/>
  <c r="H104" i="3"/>
  <c r="H77" i="3"/>
  <c r="H71" i="3"/>
  <c r="H90" i="3"/>
  <c r="G90" i="3"/>
  <c r="G99" i="3"/>
  <c r="G104" i="3"/>
  <c r="G77" i="3"/>
  <c r="G71" i="3"/>
  <c r="G85" i="3" s="1"/>
  <c r="F99" i="3"/>
  <c r="F104" i="3"/>
  <c r="F77" i="3"/>
  <c r="F71" i="3"/>
  <c r="F85" i="3" s="1"/>
  <c r="F90" i="3"/>
  <c r="T99" i="2"/>
  <c r="T104" i="2"/>
  <c r="T77" i="2"/>
  <c r="T71" i="2"/>
  <c r="T51" i="2"/>
  <c r="T44" i="2"/>
  <c r="T39" i="2"/>
  <c r="T33" i="2"/>
  <c r="T27" i="2"/>
  <c r="T18" i="2"/>
  <c r="T90" i="2" s="1"/>
  <c r="S99" i="2"/>
  <c r="S104" i="2"/>
  <c r="S77" i="2"/>
  <c r="S71" i="2"/>
  <c r="S51" i="2"/>
  <c r="S44" i="2"/>
  <c r="S39" i="2"/>
  <c r="S33" i="2"/>
  <c r="S27" i="2"/>
  <c r="S18" i="2"/>
  <c r="S90" i="2" s="1"/>
  <c r="I77" i="2"/>
  <c r="I71" i="2"/>
  <c r="I51" i="2"/>
  <c r="I44" i="2"/>
  <c r="I39" i="2"/>
  <c r="I33" i="2"/>
  <c r="I27" i="2"/>
  <c r="I18" i="2"/>
  <c r="I90" i="2" s="1"/>
  <c r="J40" i="4" l="1"/>
  <c r="J39" i="4"/>
  <c r="H85" i="3"/>
  <c r="F53" i="3"/>
  <c r="F91" i="3" s="1"/>
  <c r="F93" i="3" s="1"/>
  <c r="F106" i="3" s="1"/>
  <c r="S53" i="2"/>
  <c r="S91" i="2" s="1"/>
  <c r="S93" i="2" s="1"/>
  <c r="S106" i="2" s="1"/>
  <c r="T85" i="2"/>
  <c r="T53" i="2"/>
  <c r="T91" i="2" s="1"/>
  <c r="T93" i="2" s="1"/>
  <c r="H53" i="3"/>
  <c r="I85" i="2"/>
  <c r="G53" i="3"/>
  <c r="G55" i="3" s="1"/>
  <c r="I53" i="2"/>
  <c r="S85" i="2"/>
  <c r="F16" i="6"/>
  <c r="F18" i="6" s="1"/>
  <c r="H91" i="3" l="1"/>
  <c r="H93" i="3" s="1"/>
  <c r="H106" i="3" s="1"/>
  <c r="H55" i="3"/>
  <c r="J27" i="4"/>
  <c r="J17" i="4"/>
  <c r="I55" i="2"/>
  <c r="I91" i="2"/>
  <c r="I93" i="2" s="1"/>
  <c r="I106" i="2" s="1"/>
  <c r="J28" i="4"/>
  <c r="T106" i="2"/>
  <c r="J41" i="4"/>
  <c r="S55" i="2"/>
  <c r="F55" i="3"/>
  <c r="T55" i="2"/>
  <c r="G91" i="3"/>
  <c r="G93" i="3" s="1"/>
  <c r="G106" i="3" s="1"/>
  <c r="C57" i="1"/>
  <c r="G60" i="4"/>
  <c r="I16" i="7"/>
  <c r="I59" i="2" s="1"/>
  <c r="C32" i="4"/>
  <c r="D32" i="4"/>
  <c r="S59" i="2" l="1"/>
  <c r="G59" i="2"/>
  <c r="P59" i="2"/>
  <c r="N59" i="3"/>
  <c r="M59" i="3"/>
  <c r="E59" i="2"/>
  <c r="K59" i="3"/>
  <c r="L59" i="3"/>
  <c r="F59" i="3"/>
  <c r="G59" i="3"/>
  <c r="H59" i="3"/>
  <c r="T59" i="2"/>
  <c r="E16" i="8"/>
  <c r="G62" i="2"/>
  <c r="G64" i="2" s="1"/>
  <c r="I15" i="4" s="1"/>
  <c r="P62" i="2"/>
  <c r="P64" i="2" s="1"/>
  <c r="I18" i="7"/>
  <c r="I19" i="7" s="1"/>
  <c r="M62" i="4"/>
  <c r="J62" i="4"/>
  <c r="M61" i="4"/>
  <c r="J61" i="4"/>
  <c r="M60" i="4"/>
  <c r="D48" i="4"/>
  <c r="C48" i="4"/>
  <c r="D107" i="3"/>
  <c r="E107" i="3" s="1"/>
  <c r="I104" i="3"/>
  <c r="J104" i="3"/>
  <c r="E104" i="3"/>
  <c r="D104" i="3"/>
  <c r="C104" i="3"/>
  <c r="I99" i="3"/>
  <c r="J99" i="3"/>
  <c r="E99" i="3"/>
  <c r="D99" i="3"/>
  <c r="C99" i="3"/>
  <c r="F75" i="1"/>
  <c r="F74" i="1"/>
  <c r="I77" i="3"/>
  <c r="J77" i="3"/>
  <c r="E77" i="3"/>
  <c r="D77" i="3"/>
  <c r="F71" i="1"/>
  <c r="F70" i="1"/>
  <c r="F69" i="1"/>
  <c r="I71" i="3"/>
  <c r="J71" i="3"/>
  <c r="E71" i="3"/>
  <c r="D71" i="3"/>
  <c r="F64" i="1"/>
  <c r="F63" i="1"/>
  <c r="D51" i="3"/>
  <c r="G44" i="1"/>
  <c r="I44" i="1" s="1"/>
  <c r="F43" i="1"/>
  <c r="F42" i="1"/>
  <c r="F39" i="1"/>
  <c r="F38" i="1"/>
  <c r="D40" i="3"/>
  <c r="F34" i="1"/>
  <c r="F33" i="1"/>
  <c r="F32" i="1"/>
  <c r="D34" i="3"/>
  <c r="F28" i="1"/>
  <c r="F27" i="1"/>
  <c r="F22" i="1"/>
  <c r="F20" i="1"/>
  <c r="I90" i="3"/>
  <c r="J90" i="3"/>
  <c r="E90" i="3"/>
  <c r="D19" i="3"/>
  <c r="D90" i="3" s="1"/>
  <c r="F13" i="1"/>
  <c r="F12" i="1"/>
  <c r="U104" i="2"/>
  <c r="R104" i="2"/>
  <c r="Q104" i="2"/>
  <c r="V104" i="2"/>
  <c r="O104" i="2"/>
  <c r="N104" i="2"/>
  <c r="M104" i="2"/>
  <c r="L104" i="2"/>
  <c r="K104" i="2"/>
  <c r="J104" i="2"/>
  <c r="F104" i="2"/>
  <c r="D104" i="2"/>
  <c r="U99" i="2"/>
  <c r="R99" i="2"/>
  <c r="Q99" i="2"/>
  <c r="V99" i="2"/>
  <c r="O99" i="2"/>
  <c r="N99" i="2"/>
  <c r="M99" i="2"/>
  <c r="L99" i="2"/>
  <c r="K99" i="2"/>
  <c r="J99" i="2"/>
  <c r="F99" i="2"/>
  <c r="D99" i="2"/>
  <c r="D75" i="1"/>
  <c r="E75" i="1" s="1"/>
  <c r="D74" i="1"/>
  <c r="E74" i="1" s="1"/>
  <c r="U77" i="2"/>
  <c r="R77" i="2"/>
  <c r="Q77" i="2"/>
  <c r="V77" i="2"/>
  <c r="O77" i="2"/>
  <c r="N77" i="2"/>
  <c r="M77" i="2"/>
  <c r="L77" i="2"/>
  <c r="K77" i="2"/>
  <c r="J77" i="2"/>
  <c r="F77" i="2"/>
  <c r="D77" i="2"/>
  <c r="D71" i="1"/>
  <c r="E71" i="1" s="1"/>
  <c r="D70" i="1"/>
  <c r="E70" i="1" s="1"/>
  <c r="D69" i="1"/>
  <c r="U71" i="2"/>
  <c r="R71" i="2"/>
  <c r="Q71" i="2"/>
  <c r="V71" i="2"/>
  <c r="O71" i="2"/>
  <c r="N71" i="2"/>
  <c r="M71" i="2"/>
  <c r="L71" i="2"/>
  <c r="K71" i="2"/>
  <c r="J71" i="2"/>
  <c r="F71" i="2"/>
  <c r="D71" i="2"/>
  <c r="D64" i="1"/>
  <c r="E64" i="1" s="1"/>
  <c r="D55" i="1"/>
  <c r="E55" i="1" s="1"/>
  <c r="U51" i="2"/>
  <c r="R51" i="2"/>
  <c r="Q51" i="2"/>
  <c r="V51" i="2"/>
  <c r="O51" i="2"/>
  <c r="N51" i="2"/>
  <c r="M51" i="2"/>
  <c r="L51" i="2"/>
  <c r="K51" i="2"/>
  <c r="J51" i="2"/>
  <c r="F51" i="2"/>
  <c r="D43" i="1"/>
  <c r="E43" i="1" s="1"/>
  <c r="D42" i="1"/>
  <c r="E42" i="1" s="1"/>
  <c r="U44" i="2"/>
  <c r="R44" i="2"/>
  <c r="Q44" i="2"/>
  <c r="V44" i="2"/>
  <c r="O44" i="2"/>
  <c r="N44" i="2"/>
  <c r="M44" i="2"/>
  <c r="L44" i="2"/>
  <c r="K44" i="2"/>
  <c r="J44" i="2"/>
  <c r="F44" i="2"/>
  <c r="D39" i="1"/>
  <c r="E39" i="1" s="1"/>
  <c r="D38" i="1"/>
  <c r="E38" i="1" s="1"/>
  <c r="D37" i="1"/>
  <c r="U39" i="2"/>
  <c r="R39" i="2"/>
  <c r="Q39" i="2"/>
  <c r="V39" i="2"/>
  <c r="O39" i="2"/>
  <c r="N39" i="2"/>
  <c r="M39" i="2"/>
  <c r="L39" i="2"/>
  <c r="K39" i="2"/>
  <c r="J39" i="2"/>
  <c r="F39" i="2"/>
  <c r="D39" i="2"/>
  <c r="D34" i="1"/>
  <c r="E34" i="1" s="1"/>
  <c r="D33" i="1"/>
  <c r="E33" i="1" s="1"/>
  <c r="D32" i="1"/>
  <c r="U33" i="2"/>
  <c r="R33" i="2"/>
  <c r="Q33" i="2"/>
  <c r="V33" i="2"/>
  <c r="O33" i="2"/>
  <c r="N33" i="2"/>
  <c r="M33" i="2"/>
  <c r="L33" i="2"/>
  <c r="K33" i="2"/>
  <c r="J33" i="2"/>
  <c r="F33" i="2"/>
  <c r="D33" i="2"/>
  <c r="D28" i="1"/>
  <c r="E28" i="1" s="1"/>
  <c r="D27" i="1"/>
  <c r="E27" i="1" s="1"/>
  <c r="D26" i="1"/>
  <c r="E26" i="1" s="1"/>
  <c r="U27" i="2"/>
  <c r="R27" i="2"/>
  <c r="Q27" i="2"/>
  <c r="V27" i="2"/>
  <c r="O27" i="2"/>
  <c r="N27" i="2"/>
  <c r="M27" i="2"/>
  <c r="L27" i="2"/>
  <c r="K27" i="2"/>
  <c r="J27" i="2"/>
  <c r="F27" i="2"/>
  <c r="D27" i="2"/>
  <c r="D22" i="1"/>
  <c r="E22" i="1" s="1"/>
  <c r="D21" i="1"/>
  <c r="E21" i="1" s="1"/>
  <c r="D20" i="1"/>
  <c r="D17" i="1"/>
  <c r="U18" i="2"/>
  <c r="U90" i="2" s="1"/>
  <c r="R18" i="2"/>
  <c r="R90" i="2" s="1"/>
  <c r="Q18" i="2"/>
  <c r="Q90" i="2" s="1"/>
  <c r="V18" i="2"/>
  <c r="V90" i="2" s="1"/>
  <c r="O18" i="2"/>
  <c r="O90" i="2" s="1"/>
  <c r="N18" i="2"/>
  <c r="N90" i="2" s="1"/>
  <c r="M18" i="2"/>
  <c r="M90" i="2" s="1"/>
  <c r="L18" i="2"/>
  <c r="L90" i="2" s="1"/>
  <c r="K18" i="2"/>
  <c r="K90" i="2" s="1"/>
  <c r="J18" i="2"/>
  <c r="J90" i="2" s="1"/>
  <c r="F18" i="2"/>
  <c r="D18" i="2"/>
  <c r="D13" i="1"/>
  <c r="E13" i="1" s="1"/>
  <c r="D12" i="1"/>
  <c r="E12" i="1" s="1"/>
  <c r="H72" i="1"/>
  <c r="C72" i="1"/>
  <c r="H66" i="1"/>
  <c r="C66" i="1"/>
  <c r="D63" i="1"/>
  <c r="C46" i="1"/>
  <c r="C40" i="1"/>
  <c r="F37" i="1"/>
  <c r="C35" i="1"/>
  <c r="H29" i="1"/>
  <c r="C29" i="1"/>
  <c r="F26" i="1"/>
  <c r="H23" i="1"/>
  <c r="C23" i="1"/>
  <c r="F17" i="1"/>
  <c r="C14" i="1"/>
  <c r="H13" i="1"/>
  <c r="H12" i="1"/>
  <c r="F11" i="1"/>
  <c r="H79" i="1" l="1"/>
  <c r="C79" i="1"/>
  <c r="E14" i="8" s="1"/>
  <c r="E18" i="8" s="1"/>
  <c r="C48" i="1"/>
  <c r="C50" i="1" s="1"/>
  <c r="C59" i="1" s="1"/>
  <c r="D76" i="1"/>
  <c r="E76" i="1" s="1"/>
  <c r="G76" i="1" s="1"/>
  <c r="I76" i="1" s="1"/>
  <c r="D77" i="1"/>
  <c r="E77" i="1" s="1"/>
  <c r="G77" i="1" s="1"/>
  <c r="I77" i="1" s="1"/>
  <c r="G43" i="1"/>
  <c r="I43" i="1" s="1"/>
  <c r="F46" i="1"/>
  <c r="D53" i="3"/>
  <c r="D91" i="3" s="1"/>
  <c r="D93" i="3" s="1"/>
  <c r="D106" i="3" s="1"/>
  <c r="E17" i="1"/>
  <c r="L85" i="2"/>
  <c r="L59" i="2" s="1"/>
  <c r="N85" i="2"/>
  <c r="N59" i="2" s="1"/>
  <c r="D11" i="1"/>
  <c r="E11" i="1" s="1"/>
  <c r="J53" i="3"/>
  <c r="J91" i="3" s="1"/>
  <c r="J93" i="3" s="1"/>
  <c r="J106" i="3" s="1"/>
  <c r="I107" i="3"/>
  <c r="J107" i="3" s="1"/>
  <c r="K107" i="3" s="1"/>
  <c r="L107" i="3" s="1"/>
  <c r="F107" i="3"/>
  <c r="K53" i="3"/>
  <c r="K91" i="3" s="1"/>
  <c r="K93" i="3" s="1"/>
  <c r="K106" i="3" s="1"/>
  <c r="V85" i="2"/>
  <c r="V59" i="2" s="1"/>
  <c r="R85" i="2"/>
  <c r="R59" i="2" s="1"/>
  <c r="F35" i="1"/>
  <c r="D85" i="3"/>
  <c r="D59" i="3" s="1"/>
  <c r="J85" i="3"/>
  <c r="J59" i="3" s="1"/>
  <c r="D35" i="1"/>
  <c r="F66" i="1"/>
  <c r="E29" i="1"/>
  <c r="D66" i="1"/>
  <c r="J85" i="2"/>
  <c r="J59" i="2" s="1"/>
  <c r="K85" i="2"/>
  <c r="K59" i="2" s="1"/>
  <c r="M85" i="2"/>
  <c r="M59" i="2" s="1"/>
  <c r="O85" i="2"/>
  <c r="O59" i="2" s="1"/>
  <c r="Q85" i="2"/>
  <c r="Q59" i="2" s="1"/>
  <c r="F29" i="1"/>
  <c r="U85" i="2"/>
  <c r="U59" i="2" s="1"/>
  <c r="O61" i="4"/>
  <c r="G70" i="1"/>
  <c r="I70" i="1" s="1"/>
  <c r="G74" i="1"/>
  <c r="I74" i="1" s="1"/>
  <c r="G75" i="1"/>
  <c r="I75" i="1" s="1"/>
  <c r="E53" i="3"/>
  <c r="E91" i="3" s="1"/>
  <c r="I53" i="3"/>
  <c r="I91" i="3" s="1"/>
  <c r="E85" i="3"/>
  <c r="E59" i="3" s="1"/>
  <c r="D85" i="2"/>
  <c r="D59" i="2" s="1"/>
  <c r="F85" i="2"/>
  <c r="F59" i="2" s="1"/>
  <c r="D10" i="4"/>
  <c r="J10" i="4" s="1"/>
  <c r="G62" i="4"/>
  <c r="O62" i="4"/>
  <c r="C51" i="3"/>
  <c r="I85" i="3"/>
  <c r="I59" i="3" s="1"/>
  <c r="C19" i="3"/>
  <c r="C90" i="3" s="1"/>
  <c r="C34" i="3"/>
  <c r="C40" i="3"/>
  <c r="C71" i="3"/>
  <c r="C77" i="3"/>
  <c r="G27" i="1"/>
  <c r="I27" i="1" s="1"/>
  <c r="G28" i="1"/>
  <c r="I28" i="1" s="1"/>
  <c r="G33" i="1"/>
  <c r="I33" i="1" s="1"/>
  <c r="G34" i="1"/>
  <c r="F40" i="1"/>
  <c r="G22" i="1"/>
  <c r="I22" i="1" s="1"/>
  <c r="D23" i="1"/>
  <c r="D40" i="1"/>
  <c r="J53" i="2"/>
  <c r="J91" i="2" s="1"/>
  <c r="J93" i="2" s="1"/>
  <c r="J106" i="2" s="1"/>
  <c r="K53" i="2"/>
  <c r="K91" i="2" s="1"/>
  <c r="K93" i="2" s="1"/>
  <c r="K106" i="2" s="1"/>
  <c r="M53" i="2"/>
  <c r="M91" i="2" s="1"/>
  <c r="M93" i="2" s="1"/>
  <c r="M106" i="2" s="1"/>
  <c r="O53" i="2"/>
  <c r="O91" i="2" s="1"/>
  <c r="O93" i="2" s="1"/>
  <c r="O106" i="2" s="1"/>
  <c r="Q53" i="2"/>
  <c r="Q91" i="2" s="1"/>
  <c r="Q93" i="2" s="1"/>
  <c r="Q106" i="2" s="1"/>
  <c r="D72" i="1"/>
  <c r="G13" i="1"/>
  <c r="I13" i="1" s="1"/>
  <c r="E20" i="1"/>
  <c r="E23" i="1" s="1"/>
  <c r="D29" i="1"/>
  <c r="E32" i="1"/>
  <c r="E35" i="1" s="1"/>
  <c r="E37" i="1"/>
  <c r="E40" i="1" s="1"/>
  <c r="G38" i="1"/>
  <c r="I38" i="1" s="1"/>
  <c r="G39" i="1"/>
  <c r="I39" i="1" s="1"/>
  <c r="G55" i="1"/>
  <c r="I55" i="1" s="1"/>
  <c r="G64" i="1"/>
  <c r="I64" i="1" s="1"/>
  <c r="F72" i="1"/>
  <c r="G12" i="1"/>
  <c r="I12" i="1" s="1"/>
  <c r="G71" i="1"/>
  <c r="I71" i="1" s="1"/>
  <c r="D90" i="2"/>
  <c r="F90" i="2"/>
  <c r="F14" i="1"/>
  <c r="G26" i="1"/>
  <c r="G42" i="1"/>
  <c r="G17" i="1"/>
  <c r="E63" i="1"/>
  <c r="E66" i="1" s="1"/>
  <c r="E69" i="1"/>
  <c r="E72" i="1" s="1"/>
  <c r="D53" i="2"/>
  <c r="D91" i="2" s="1"/>
  <c r="F53" i="2"/>
  <c r="F91" i="2" s="1"/>
  <c r="L53" i="2"/>
  <c r="L91" i="2" s="1"/>
  <c r="L93" i="2" s="1"/>
  <c r="L106" i="2" s="1"/>
  <c r="N53" i="2"/>
  <c r="N91" i="2" s="1"/>
  <c r="N93" i="2" s="1"/>
  <c r="N106" i="2" s="1"/>
  <c r="V53" i="2"/>
  <c r="V91" i="2" s="1"/>
  <c r="V93" i="2" s="1"/>
  <c r="R53" i="2"/>
  <c r="R91" i="2" s="1"/>
  <c r="R93" i="2" s="1"/>
  <c r="R106" i="2" s="1"/>
  <c r="U53" i="2"/>
  <c r="U91" i="2" s="1"/>
  <c r="K55" i="3"/>
  <c r="F21" i="1"/>
  <c r="F23" i="1" s="1"/>
  <c r="F20" i="6"/>
  <c r="F22" i="6" s="1"/>
  <c r="F23" i="6" s="1"/>
  <c r="F25" i="6" s="1"/>
  <c r="F108" i="3" l="1"/>
  <c r="F110" i="3" s="1"/>
  <c r="F58" i="3" s="1"/>
  <c r="F62" i="3" s="1"/>
  <c r="L108" i="3"/>
  <c r="L110" i="3" s="1"/>
  <c r="L58" i="3" s="1"/>
  <c r="J108" i="3"/>
  <c r="K108" i="3"/>
  <c r="K110" i="3" s="1"/>
  <c r="K58" i="3" s="1"/>
  <c r="D108" i="3"/>
  <c r="D110" i="3" s="1"/>
  <c r="D58" i="3" s="1"/>
  <c r="E24" i="4"/>
  <c r="K24" i="4"/>
  <c r="E44" i="4"/>
  <c r="E45" i="4"/>
  <c r="E47" i="4"/>
  <c r="E46" i="4"/>
  <c r="J110" i="3"/>
  <c r="J58" i="3" s="1"/>
  <c r="K15" i="4"/>
  <c r="C91" i="2"/>
  <c r="C90" i="2"/>
  <c r="J12" i="4"/>
  <c r="J29" i="4"/>
  <c r="J21" i="4"/>
  <c r="J30" i="4"/>
  <c r="J19" i="4"/>
  <c r="J25" i="4"/>
  <c r="J18" i="4"/>
  <c r="J22" i="4"/>
  <c r="J23" i="4"/>
  <c r="J26" i="4"/>
  <c r="J20" i="4"/>
  <c r="V106" i="2"/>
  <c r="J14" i="4"/>
  <c r="J43" i="4"/>
  <c r="J42" i="4"/>
  <c r="J38" i="4"/>
  <c r="J37" i="4"/>
  <c r="C59" i="3"/>
  <c r="F54" i="1" s="1"/>
  <c r="C85" i="3"/>
  <c r="F79" i="1"/>
  <c r="C53" i="3"/>
  <c r="F48" i="1"/>
  <c r="F93" i="2"/>
  <c r="F106" i="2" s="1"/>
  <c r="M107" i="3"/>
  <c r="J55" i="3"/>
  <c r="D55" i="3"/>
  <c r="D14" i="1"/>
  <c r="Q55" i="2"/>
  <c r="E14" i="1"/>
  <c r="G11" i="1"/>
  <c r="G14" i="1" s="1"/>
  <c r="D45" i="1"/>
  <c r="E45" i="1" s="1"/>
  <c r="E46" i="1" s="1"/>
  <c r="E48" i="1" s="1"/>
  <c r="K55" i="2"/>
  <c r="E55" i="3"/>
  <c r="E19" i="4"/>
  <c r="G107" i="3"/>
  <c r="O55" i="2"/>
  <c r="M55" i="2"/>
  <c r="J55" i="2"/>
  <c r="E38" i="4"/>
  <c r="E40" i="4"/>
  <c r="E42" i="4"/>
  <c r="E37" i="4"/>
  <c r="E14" i="4"/>
  <c r="E18" i="4"/>
  <c r="E21" i="4"/>
  <c r="E23" i="4"/>
  <c r="E25" i="4"/>
  <c r="E27" i="4"/>
  <c r="E29" i="4"/>
  <c r="E12" i="4"/>
  <c r="E39" i="4"/>
  <c r="E41" i="4"/>
  <c r="E43" i="4"/>
  <c r="E13" i="4"/>
  <c r="E17" i="4"/>
  <c r="E20" i="4"/>
  <c r="E22" i="4"/>
  <c r="E30" i="4"/>
  <c r="E26" i="4"/>
  <c r="E28" i="4"/>
  <c r="I55" i="3"/>
  <c r="E93" i="3"/>
  <c r="I93" i="3"/>
  <c r="I106" i="3" s="1"/>
  <c r="G20" i="1"/>
  <c r="I20" i="1" s="1"/>
  <c r="G37" i="1"/>
  <c r="G40" i="1" s="1"/>
  <c r="G32" i="1"/>
  <c r="G35" i="1" s="1"/>
  <c r="D34" i="4"/>
  <c r="D50" i="4" s="1"/>
  <c r="F24" i="5"/>
  <c r="P77" i="4"/>
  <c r="C10" i="4"/>
  <c r="E10" i="4" s="1"/>
  <c r="C80" i="1"/>
  <c r="G29" i="1"/>
  <c r="I26" i="1"/>
  <c r="I29" i="1" s="1"/>
  <c r="U55" i="2"/>
  <c r="R55" i="2"/>
  <c r="V55" i="2"/>
  <c r="N55" i="2"/>
  <c r="L55" i="2"/>
  <c r="F55" i="2"/>
  <c r="D55" i="2"/>
  <c r="G21" i="1"/>
  <c r="I21" i="1" s="1"/>
  <c r="I17" i="1"/>
  <c r="D93" i="2"/>
  <c r="D106" i="2" s="1"/>
  <c r="G69" i="1"/>
  <c r="G63" i="1"/>
  <c r="I110" i="3" l="1"/>
  <c r="I58" i="3" s="1"/>
  <c r="I64" i="3" s="1"/>
  <c r="I42" i="4" s="1"/>
  <c r="I108" i="3"/>
  <c r="G110" i="3"/>
  <c r="G58" i="3" s="1"/>
  <c r="G108" i="3"/>
  <c r="M108" i="3"/>
  <c r="M110" i="3" s="1"/>
  <c r="M58" i="3" s="1"/>
  <c r="J62" i="3"/>
  <c r="E106" i="3"/>
  <c r="J48" i="4"/>
  <c r="D62" i="3"/>
  <c r="D64" i="3"/>
  <c r="I37" i="4" s="1"/>
  <c r="K37" i="4" s="1"/>
  <c r="J64" i="3"/>
  <c r="I43" i="4" s="1"/>
  <c r="E32" i="4"/>
  <c r="E34" i="4" s="1"/>
  <c r="L62" i="3"/>
  <c r="L64" i="3"/>
  <c r="I45" i="4" s="1"/>
  <c r="K45" i="4" s="1"/>
  <c r="N107" i="3"/>
  <c r="K64" i="3"/>
  <c r="I44" i="4" s="1"/>
  <c r="K44" i="4" s="1"/>
  <c r="K62" i="3"/>
  <c r="D46" i="1"/>
  <c r="D48" i="1" s="1"/>
  <c r="G45" i="1"/>
  <c r="I45" i="1" s="1"/>
  <c r="F64" i="3"/>
  <c r="I39" i="4" s="1"/>
  <c r="G62" i="3"/>
  <c r="H107" i="3"/>
  <c r="I62" i="3"/>
  <c r="I32" i="1"/>
  <c r="G23" i="1"/>
  <c r="C34" i="4"/>
  <c r="C50" i="4" s="1"/>
  <c r="E50" i="1"/>
  <c r="I23" i="1"/>
  <c r="G72" i="1"/>
  <c r="I69" i="1"/>
  <c r="I72" i="1" s="1"/>
  <c r="C91" i="3"/>
  <c r="C55" i="3"/>
  <c r="G66" i="1"/>
  <c r="I63" i="1"/>
  <c r="I66" i="1" s="1"/>
  <c r="I10" i="4"/>
  <c r="K10" i="4" s="1"/>
  <c r="N108" i="3" l="1"/>
  <c r="N110" i="3" s="1"/>
  <c r="N58" i="3" s="1"/>
  <c r="E108" i="3"/>
  <c r="E110" i="3" s="1"/>
  <c r="E58" i="3" s="1"/>
  <c r="H108" i="3"/>
  <c r="H110" i="3" s="1"/>
  <c r="H58" i="3" s="1"/>
  <c r="M62" i="3"/>
  <c r="M64" i="3"/>
  <c r="I46" i="4" s="1"/>
  <c r="K46" i="4" s="1"/>
  <c r="D50" i="1"/>
  <c r="G46" i="1"/>
  <c r="G48" i="1" s="1"/>
  <c r="G50" i="1" s="1"/>
  <c r="G64" i="3"/>
  <c r="K39" i="4"/>
  <c r="K42" i="4"/>
  <c r="K43" i="4"/>
  <c r="C93" i="3"/>
  <c r="C106" i="3" s="1"/>
  <c r="E48" i="4"/>
  <c r="N62" i="3" l="1"/>
  <c r="N64" i="3"/>
  <c r="I47" i="4" s="1"/>
  <c r="K47" i="4" s="1"/>
  <c r="H64" i="3"/>
  <c r="I41" i="4" s="1"/>
  <c r="K41" i="4" s="1"/>
  <c r="H62" i="3"/>
  <c r="E62" i="3"/>
  <c r="E64" i="3"/>
  <c r="I38" i="4" s="1"/>
  <c r="K38" i="4" s="1"/>
  <c r="C58" i="3"/>
  <c r="F53" i="1" s="1"/>
  <c r="F57" i="1" s="1"/>
  <c r="C108" i="3"/>
  <c r="C110" i="3" s="1"/>
  <c r="I40" i="4"/>
  <c r="K40" i="4" s="1"/>
  <c r="C64" i="3" l="1"/>
  <c r="C62" i="3"/>
  <c r="K48" i="4"/>
  <c r="I48" i="4"/>
  <c r="G18" i="8" l="1"/>
  <c r="G21" i="8" s="1"/>
  <c r="G26" i="8" s="1"/>
  <c r="J60" i="4"/>
  <c r="G63" i="4" s="1"/>
  <c r="F17" i="5"/>
  <c r="F24" i="4" l="1"/>
  <c r="G24" i="4" s="1"/>
  <c r="L24" i="4"/>
  <c r="M24" i="4" s="1"/>
  <c r="L15" i="4"/>
  <c r="M15" i="4" s="1"/>
  <c r="O15" i="4" s="1"/>
  <c r="L47" i="4"/>
  <c r="M47" i="4" s="1"/>
  <c r="L46" i="4"/>
  <c r="M46" i="4" s="1"/>
  <c r="L44" i="4"/>
  <c r="M44" i="4" s="1"/>
  <c r="L45" i="4"/>
  <c r="M45" i="4" s="1"/>
  <c r="F10" i="4"/>
  <c r="F45" i="4"/>
  <c r="G45" i="4" s="1"/>
  <c r="F39" i="4"/>
  <c r="F43" i="4"/>
  <c r="F46" i="4"/>
  <c r="G46" i="4" s="1"/>
  <c r="F40" i="4"/>
  <c r="F47" i="4"/>
  <c r="G47" i="4" s="1"/>
  <c r="F41" i="4"/>
  <c r="F44" i="4"/>
  <c r="G44" i="4" s="1"/>
  <c r="F38" i="4"/>
  <c r="F42" i="4"/>
  <c r="F19" i="4"/>
  <c r="G19" i="4" s="1"/>
  <c r="L19" i="4"/>
  <c r="F14" i="4"/>
  <c r="F18" i="4"/>
  <c r="F21" i="4"/>
  <c r="F23" i="4"/>
  <c r="F25" i="4"/>
  <c r="F27" i="4"/>
  <c r="F29" i="4"/>
  <c r="F12" i="4"/>
  <c r="F37" i="4"/>
  <c r="F13" i="4"/>
  <c r="F17" i="4"/>
  <c r="F20" i="4"/>
  <c r="F22" i="4"/>
  <c r="F30" i="4"/>
  <c r="F26" i="4"/>
  <c r="F28" i="4"/>
  <c r="L10" i="4"/>
  <c r="L20" i="4"/>
  <c r="L30" i="4"/>
  <c r="L28" i="4"/>
  <c r="L22" i="4"/>
  <c r="L26" i="4"/>
  <c r="L13" i="4"/>
  <c r="L27" i="4"/>
  <c r="L17" i="4"/>
  <c r="L40" i="4"/>
  <c r="M40" i="4" s="1"/>
  <c r="L42" i="4"/>
  <c r="M42" i="4" s="1"/>
  <c r="L18" i="4"/>
  <c r="L25" i="4"/>
  <c r="L41" i="4"/>
  <c r="M41" i="4" s="1"/>
  <c r="L12" i="4"/>
  <c r="L38" i="4"/>
  <c r="M38" i="4" s="1"/>
  <c r="L23" i="4"/>
  <c r="L43" i="4"/>
  <c r="M43" i="4" s="1"/>
  <c r="L39" i="4"/>
  <c r="M39" i="4" s="1"/>
  <c r="L14" i="4"/>
  <c r="L29" i="4"/>
  <c r="L21" i="4"/>
  <c r="L37" i="4"/>
  <c r="U92" i="2"/>
  <c r="C92" i="2" s="1"/>
  <c r="G28" i="8"/>
  <c r="O60" i="4"/>
  <c r="O63" i="4" s="1"/>
  <c r="P72" i="4" s="1"/>
  <c r="C63" i="4"/>
  <c r="J63" i="4"/>
  <c r="P73" i="4"/>
  <c r="O46" i="4" l="1"/>
  <c r="O47" i="4"/>
  <c r="O45" i="4"/>
  <c r="O44" i="4"/>
  <c r="O24" i="4"/>
  <c r="U93" i="2"/>
  <c r="C93" i="2"/>
  <c r="U106" i="2"/>
  <c r="F32" i="4"/>
  <c r="F34" i="4" s="1"/>
  <c r="M10" i="4"/>
  <c r="G40" i="4"/>
  <c r="O40" i="4" s="1"/>
  <c r="G38" i="4"/>
  <c r="O38" i="4" s="1"/>
  <c r="G28" i="4"/>
  <c r="G26" i="4"/>
  <c r="G30" i="4"/>
  <c r="G22" i="4"/>
  <c r="G20" i="4"/>
  <c r="G43" i="4"/>
  <c r="O43" i="4" s="1"/>
  <c r="G29" i="4"/>
  <c r="G27" i="4"/>
  <c r="G25" i="4"/>
  <c r="G23" i="4"/>
  <c r="G21" i="4"/>
  <c r="G10" i="4"/>
  <c r="G14" i="4"/>
  <c r="G18" i="4"/>
  <c r="G39" i="4"/>
  <c r="O39" i="4" s="1"/>
  <c r="G41" i="4"/>
  <c r="O41" i="4" s="1"/>
  <c r="G42" i="4"/>
  <c r="O42" i="4" s="1"/>
  <c r="G13" i="4"/>
  <c r="G17" i="4"/>
  <c r="L48" i="4"/>
  <c r="M37" i="4"/>
  <c r="P74" i="4"/>
  <c r="C106" i="2" l="1"/>
  <c r="C108" i="2" s="1"/>
  <c r="C110" i="2" s="1"/>
  <c r="M48" i="4"/>
  <c r="F48" i="4"/>
  <c r="G37" i="4"/>
  <c r="G48" i="4" s="1"/>
  <c r="E50" i="4"/>
  <c r="G12" i="4"/>
  <c r="G32" i="4" s="1"/>
  <c r="G34" i="4" s="1"/>
  <c r="G50" i="4" l="1"/>
  <c r="F50" i="4"/>
  <c r="O37" i="4"/>
  <c r="O48" i="4" s="1"/>
  <c r="F50" i="1" l="1"/>
  <c r="F59" i="1" s="1"/>
  <c r="D56" i="1" l="1"/>
  <c r="E56" i="1" s="1"/>
  <c r="G56" i="1" s="1"/>
  <c r="I56" i="1" s="1"/>
  <c r="K107" i="2"/>
  <c r="K108" i="2" s="1"/>
  <c r="K110" i="2" s="1"/>
  <c r="K58" i="2" s="1"/>
  <c r="K62" i="2" s="1"/>
  <c r="K64" i="2" s="1"/>
  <c r="I19" i="4" s="1"/>
  <c r="K19" i="4" s="1"/>
  <c r="M19" i="4" s="1"/>
  <c r="O19" i="4" s="1"/>
  <c r="L107" i="2"/>
  <c r="L108" i="2" s="1"/>
  <c r="L110" i="2" s="1"/>
  <c r="L58" i="2" s="1"/>
  <c r="L62" i="2" s="1"/>
  <c r="L64" i="2" s="1"/>
  <c r="I20" i="4" s="1"/>
  <c r="K20" i="4" s="1"/>
  <c r="M20" i="4" s="1"/>
  <c r="O20" i="4" s="1"/>
  <c r="I107" i="2"/>
  <c r="I108" i="2" s="1"/>
  <c r="I110" i="2" s="1"/>
  <c r="I58" i="2" s="1"/>
  <c r="I62" i="2" s="1"/>
  <c r="I64" i="2" s="1"/>
  <c r="I17" i="4" s="1"/>
  <c r="K17" i="4" s="1"/>
  <c r="M17" i="4" s="1"/>
  <c r="O17" i="4" s="1"/>
  <c r="T107" i="2"/>
  <c r="T108" i="2" s="1"/>
  <c r="T110" i="2" s="1"/>
  <c r="T58" i="2" s="1"/>
  <c r="T62" i="2" s="1"/>
  <c r="T64" i="2" s="1"/>
  <c r="I28" i="4" s="1"/>
  <c r="K28" i="4" s="1"/>
  <c r="M28" i="4" s="1"/>
  <c r="O28" i="4" s="1"/>
  <c r="O107" i="2"/>
  <c r="O108" i="2" s="1"/>
  <c r="O110" i="2" s="1"/>
  <c r="O58" i="2" s="1"/>
  <c r="O62" i="2" s="1"/>
  <c r="O64" i="2" s="1"/>
  <c r="I23" i="4" s="1"/>
  <c r="K23" i="4" s="1"/>
  <c r="M23" i="4" s="1"/>
  <c r="O23" i="4" s="1"/>
  <c r="M107" i="2"/>
  <c r="M108" i="2" s="1"/>
  <c r="M110" i="2" s="1"/>
  <c r="M58" i="2" s="1"/>
  <c r="M62" i="2" s="1"/>
  <c r="M64" i="2" s="1"/>
  <c r="I21" i="4" s="1"/>
  <c r="K21" i="4" s="1"/>
  <c r="M21" i="4" s="1"/>
  <c r="O21" i="4" s="1"/>
  <c r="S107" i="2"/>
  <c r="S108" i="2" s="1"/>
  <c r="S110" i="2" s="1"/>
  <c r="S58" i="2" s="1"/>
  <c r="S62" i="2" s="1"/>
  <c r="S64" i="2" s="1"/>
  <c r="I27" i="4" s="1"/>
  <c r="K27" i="4" s="1"/>
  <c r="M27" i="4" s="1"/>
  <c r="O27" i="4" s="1"/>
  <c r="R107" i="2"/>
  <c r="R108" i="2" s="1"/>
  <c r="R110" i="2" s="1"/>
  <c r="R58" i="2" s="1"/>
  <c r="R62" i="2" s="1"/>
  <c r="R64" i="2" s="1"/>
  <c r="I26" i="4" s="1"/>
  <c r="K26" i="4" s="1"/>
  <c r="M26" i="4" s="1"/>
  <c r="O26" i="4" s="1"/>
  <c r="F107" i="2"/>
  <c r="F108" i="2" s="1"/>
  <c r="F110" i="2" s="1"/>
  <c r="F58" i="2" s="1"/>
  <c r="F62" i="2" s="1"/>
  <c r="F64" i="2" s="1"/>
  <c r="I14" i="4" s="1"/>
  <c r="K14" i="4" s="1"/>
  <c r="M14" i="4" s="1"/>
  <c r="O14" i="4" s="1"/>
  <c r="V107" i="2"/>
  <c r="V108" i="2" s="1"/>
  <c r="V110" i="2" s="1"/>
  <c r="V58" i="2" s="1"/>
  <c r="V62" i="2" s="1"/>
  <c r="V64" i="2" s="1"/>
  <c r="I30" i="4" s="1"/>
  <c r="K30" i="4" s="1"/>
  <c r="M30" i="4" s="1"/>
  <c r="O30" i="4" s="1"/>
  <c r="E107" i="2"/>
  <c r="E108" i="2" s="1"/>
  <c r="E110" i="2" s="1"/>
  <c r="E58" i="2" s="1"/>
  <c r="E62" i="2" s="1"/>
  <c r="E64" i="2" s="1"/>
  <c r="I13" i="4" s="1"/>
  <c r="K13" i="4" s="1"/>
  <c r="M13" i="4" s="1"/>
  <c r="O13" i="4" s="1"/>
  <c r="N107" i="2"/>
  <c r="N108" i="2" s="1"/>
  <c r="N110" i="2" s="1"/>
  <c r="N62" i="2" s="1"/>
  <c r="N64" i="2" s="1"/>
  <c r="I22" i="4" s="1"/>
  <c r="K22" i="4" s="1"/>
  <c r="M22" i="4" s="1"/>
  <c r="O22" i="4" s="1"/>
  <c r="Q107" i="2"/>
  <c r="Q108" i="2" s="1"/>
  <c r="Q110" i="2" s="1"/>
  <c r="Q58" i="2" s="1"/>
  <c r="Q62" i="2" s="1"/>
  <c r="Q64" i="2" s="1"/>
  <c r="I25" i="4" s="1"/>
  <c r="K25" i="4" s="1"/>
  <c r="M25" i="4" s="1"/>
  <c r="O25" i="4" s="1"/>
  <c r="J107" i="2"/>
  <c r="J108" i="2" s="1"/>
  <c r="J110" i="2" s="1"/>
  <c r="J58" i="2" s="1"/>
  <c r="J62" i="2" s="1"/>
  <c r="J64" i="2" s="1"/>
  <c r="I18" i="4" s="1"/>
  <c r="K18" i="4" s="1"/>
  <c r="M18" i="4" s="1"/>
  <c r="O18" i="4" s="1"/>
  <c r="U107" i="2"/>
  <c r="U108" i="2" s="1"/>
  <c r="U110" i="2" s="1"/>
  <c r="U58" i="2" s="1"/>
  <c r="U62" i="2" s="1"/>
  <c r="U64" i="2" s="1"/>
  <c r="I29" i="4" s="1"/>
  <c r="K29" i="4" s="1"/>
  <c r="M29" i="4" s="1"/>
  <c r="O29" i="4" s="1"/>
  <c r="D107" i="2"/>
  <c r="D108" i="2" s="1"/>
  <c r="D110" i="2" s="1"/>
  <c r="D58" i="2" s="1"/>
  <c r="C58" i="2" l="1"/>
  <c r="D62" i="2"/>
  <c r="D64" i="2" s="1"/>
  <c r="I12" i="4" s="1"/>
  <c r="K12" i="4" l="1"/>
  <c r="D53" i="1"/>
  <c r="E53" i="1" l="1"/>
  <c r="M12" i="4"/>
  <c r="O12" i="4" s="1"/>
  <c r="G53" i="1" l="1"/>
  <c r="H83" i="2" l="1"/>
  <c r="C83" i="2" l="1"/>
  <c r="H85" i="2"/>
  <c r="E64" i="22"/>
  <c r="J16" i="4" l="1"/>
  <c r="L16" i="4" s="1"/>
  <c r="L32" i="4" s="1"/>
  <c r="L34" i="4" s="1"/>
  <c r="L50" i="4" s="1"/>
  <c r="H59" i="2"/>
  <c r="H62" i="2" s="1"/>
  <c r="H64" i="2" s="1"/>
  <c r="I16" i="4" s="1"/>
  <c r="J32" i="4"/>
  <c r="J34" i="4" s="1"/>
  <c r="J50" i="4" s="1"/>
  <c r="P75" i="4" s="1"/>
  <c r="P76" i="4" s="1"/>
  <c r="C85" i="2"/>
  <c r="D78" i="1"/>
  <c r="P78" i="4" l="1"/>
  <c r="M51" i="4" s="1"/>
  <c r="O51" i="4" s="1"/>
  <c r="I32" i="4"/>
  <c r="I34" i="4" s="1"/>
  <c r="I50" i="4" s="1"/>
  <c r="K16" i="4"/>
  <c r="C59" i="2"/>
  <c r="D54" i="1" s="1"/>
  <c r="E78" i="1"/>
  <c r="D79" i="1"/>
  <c r="K32" i="4" l="1"/>
  <c r="K34" i="4" s="1"/>
  <c r="K50" i="4" s="1"/>
  <c r="M16" i="4"/>
  <c r="O16" i="4" s="1"/>
  <c r="C62" i="2"/>
  <c r="C64" i="2" s="1"/>
  <c r="G78" i="1"/>
  <c r="E79" i="1"/>
  <c r="E54" i="1"/>
  <c r="D57" i="1"/>
  <c r="D59" i="1" s="1"/>
  <c r="M32" i="4" l="1"/>
  <c r="M34" i="4" s="1"/>
  <c r="M50" i="4" s="1"/>
  <c r="M52" i="4" s="1"/>
  <c r="O32" i="4"/>
  <c r="O50" i="4" s="1"/>
  <c r="O52" i="4" s="1"/>
  <c r="G54" i="1"/>
  <c r="E57" i="1"/>
  <c r="E59" i="1" s="1"/>
  <c r="E80" i="1" s="1"/>
  <c r="I78" i="1"/>
  <c r="I79" i="1" s="1"/>
  <c r="G79" i="1"/>
  <c r="F16" i="5" s="1"/>
  <c r="F18" i="5" s="1"/>
  <c r="I54" i="1" l="1"/>
  <c r="G57" i="1"/>
  <c r="G59" i="1" s="1"/>
  <c r="F20" i="5" l="1"/>
  <c r="F22" i="5" s="1"/>
  <c r="F26" i="5" s="1"/>
  <c r="G80" i="1"/>
  <c r="H11" i="1" l="1"/>
  <c r="F29" i="5"/>
  <c r="H14" i="1" l="1"/>
  <c r="I11" i="1"/>
  <c r="I14" i="1" s="1"/>
  <c r="L8" i="6"/>
  <c r="L11" i="6" s="1"/>
  <c r="H8" i="1"/>
  <c r="K10" i="1" s="1"/>
  <c r="M54" i="4" s="1"/>
  <c r="L12" i="6" l="1"/>
  <c r="L13" i="6"/>
  <c r="L15" i="6" s="1"/>
  <c r="L18" i="6" s="1"/>
  <c r="L20" i="6" s="1"/>
  <c r="L10" i="6"/>
  <c r="H42" i="1"/>
  <c r="H37" i="1"/>
  <c r="H34" i="1"/>
  <c r="K13" i="1"/>
  <c r="I34" i="1" l="1"/>
  <c r="I35" i="1" s="1"/>
  <c r="H35" i="1"/>
  <c r="I37" i="1"/>
  <c r="I40" i="1" s="1"/>
  <c r="H40" i="1"/>
  <c r="I42" i="1"/>
  <c r="I46" i="1" s="1"/>
  <c r="H46" i="1"/>
  <c r="H48" i="1" l="1"/>
  <c r="H50" i="1" s="1"/>
  <c r="H53" i="1" s="1"/>
  <c r="I48" i="1"/>
  <c r="I50" i="1" s="1"/>
  <c r="H57" i="1" l="1"/>
  <c r="H59" i="1" s="1"/>
  <c r="I53" i="1"/>
  <c r="I57" i="1" s="1"/>
  <c r="I59" i="1" s="1"/>
  <c r="I80" i="1" s="1"/>
</calcChain>
</file>

<file path=xl/sharedStrings.xml><?xml version="1.0" encoding="utf-8"?>
<sst xmlns="http://schemas.openxmlformats.org/spreadsheetml/2006/main" count="1327" uniqueCount="407">
  <si>
    <t>Avista Corporation</t>
  </si>
  <si>
    <t>(a)</t>
  </si>
  <si>
    <t>(b)</t>
  </si>
  <si>
    <t>(c)</t>
  </si>
  <si>
    <t>(d)</t>
  </si>
  <si>
    <t>(e)</t>
  </si>
  <si>
    <t>(f)</t>
  </si>
  <si>
    <t>(g)</t>
  </si>
  <si>
    <t>(h)</t>
  </si>
  <si>
    <t>Total</t>
  </si>
  <si>
    <t>Results</t>
  </si>
  <si>
    <t>Line</t>
  </si>
  <si>
    <t>Unadjusted</t>
  </si>
  <si>
    <t xml:space="preserve">Restating </t>
  </si>
  <si>
    <t>Restated</t>
  </si>
  <si>
    <t>Pro Forma</t>
  </si>
  <si>
    <t>Staff</t>
  </si>
  <si>
    <t>at Staff</t>
  </si>
  <si>
    <t>No.</t>
  </si>
  <si>
    <t>DESCRIPTION</t>
  </si>
  <si>
    <t>Adjustments</t>
  </si>
  <si>
    <t>Proposed</t>
  </si>
  <si>
    <t>Rates</t>
  </si>
  <si>
    <t>Source</t>
  </si>
  <si>
    <t>Schedule 1.2</t>
  </si>
  <si>
    <t>(b) + (c)</t>
  </si>
  <si>
    <t>Schedule 1.3</t>
  </si>
  <si>
    <t>Linked Data</t>
  </si>
  <si>
    <t>REVENUES</t>
  </si>
  <si>
    <t>Total General Business</t>
  </si>
  <si>
    <t>% Increase in Revenue</t>
  </si>
  <si>
    <t>Total Transportation</t>
  </si>
  <si>
    <t>Other Revenues</t>
  </si>
  <si>
    <t>$  Increase in Revenue</t>
  </si>
  <si>
    <t>Total Gas Revenues</t>
  </si>
  <si>
    <t>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</si>
  <si>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</si>
  <si>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</si>
  <si>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</si>
  <si>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</si>
  <si>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</si>
  <si>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</si>
  <si>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Depreciation</t>
  </si>
  <si>
    <t>Taxes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</si>
  <si>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</si>
  <si>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</si>
  <si>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</si>
  <si>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</si>
  <si>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</si>
  <si>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</si>
  <si>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</si>
  <si>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Total Admin. &amp; General</t>
  </si>
  <si>
    <t>Total Gas Expense</t>
  </si>
  <si>
    <t>Current Accrual</t>
  </si>
  <si>
    <t>Deferred FIT</t>
  </si>
  <si>
    <t>Amort ITC</t>
  </si>
  <si>
    <t>NET OPERATING INCOME</t>
  </si>
  <si>
    <t>RATE BASE</t>
  </si>
  <si>
    <t>PLANT IN SERVICE</t>
  </si>
  <si>
    <t>Distribution Plant</t>
  </si>
  <si>
    <t>General Plant</t>
  </si>
  <si>
    <t>Total Plant in Service</t>
  </si>
  <si>
    <t>ACCUMULATED DEPRECIATION</t>
  </si>
  <si>
    <t>TOTAL RATE BASE</t>
  </si>
  <si>
    <t>RATE OF RETURN</t>
  </si>
  <si>
    <t>(i)</t>
  </si>
  <si>
    <t>(j)</t>
  </si>
  <si>
    <t>(k)</t>
  </si>
  <si>
    <t>(l)</t>
  </si>
  <si>
    <t>(m)</t>
  </si>
  <si>
    <t xml:space="preserve">Total </t>
  </si>
  <si>
    <t xml:space="preserve">Deferred </t>
  </si>
  <si>
    <t>Revenue</t>
  </si>
  <si>
    <t xml:space="preserve">Eliminate </t>
  </si>
  <si>
    <t>Regulatory</t>
  </si>
  <si>
    <t>Injuries</t>
  </si>
  <si>
    <t>Office Space</t>
  </si>
  <si>
    <t>Restate</t>
  </si>
  <si>
    <t>Restating</t>
  </si>
  <si>
    <t>FIT</t>
  </si>
  <si>
    <t>Normalization &amp;</t>
  </si>
  <si>
    <t xml:space="preserve">B &amp; O </t>
  </si>
  <si>
    <t>Property</t>
  </si>
  <si>
    <t>Uncollectible</t>
  </si>
  <si>
    <t>Expense</t>
  </si>
  <si>
    <t xml:space="preserve">and </t>
  </si>
  <si>
    <t>Net</t>
  </si>
  <si>
    <t>Charges to</t>
  </si>
  <si>
    <t>Excise</t>
  </si>
  <si>
    <t>Misc Restating</t>
  </si>
  <si>
    <t>Debt</t>
  </si>
  <si>
    <t>Rate Base</t>
  </si>
  <si>
    <t>Gas Cost Adjust</t>
  </si>
  <si>
    <t>Tax</t>
  </si>
  <si>
    <t>Adjustment</t>
  </si>
  <si>
    <t>Damages</t>
  </si>
  <si>
    <t>Gains/losses</t>
  </si>
  <si>
    <t>Expenses</t>
  </si>
  <si>
    <t>Subs</t>
  </si>
  <si>
    <t>Interest</t>
  </si>
  <si>
    <t>Staff Adjusted</t>
  </si>
  <si>
    <t>Labor</t>
  </si>
  <si>
    <t>Employee</t>
  </si>
  <si>
    <t>Insurance</t>
  </si>
  <si>
    <t>Non-Exec</t>
  </si>
  <si>
    <t>Exec</t>
  </si>
  <si>
    <t>Benefits</t>
  </si>
  <si>
    <t xml:space="preserve">(000's of Dollars)   </t>
  </si>
  <si>
    <t>Difference</t>
  </si>
  <si>
    <t>Revenue Requirement</t>
  </si>
  <si>
    <t>NOI</t>
  </si>
  <si>
    <t>Net Rate Base</t>
  </si>
  <si>
    <t>Per Books</t>
  </si>
  <si>
    <t>(g)-(d)</t>
  </si>
  <si>
    <t>Deferred FIT Rate Base</t>
  </si>
  <si>
    <t>Gas Inventory</t>
  </si>
  <si>
    <t>Injuries and  Damages</t>
  </si>
  <si>
    <t>Eliminate A/R Expenses</t>
  </si>
  <si>
    <t>Office Space Charges to Subs</t>
  </si>
  <si>
    <t>Restate Excise Taxes</t>
  </si>
  <si>
    <t>Misc Restating Adjustments</t>
  </si>
  <si>
    <t>Restate Debt Interest **</t>
  </si>
  <si>
    <t>Labor Non-Executive</t>
  </si>
  <si>
    <t>Labor Executive</t>
  </si>
  <si>
    <t>Percent</t>
  </si>
  <si>
    <t>Weighted</t>
  </si>
  <si>
    <t>of Total</t>
  </si>
  <si>
    <t>Cost</t>
  </si>
  <si>
    <t>Total Debt</t>
  </si>
  <si>
    <t>Common Stock</t>
  </si>
  <si>
    <t>Rate of Return / Capital Structure Impact</t>
  </si>
  <si>
    <t>Staff Weighted Cost of Capital</t>
  </si>
  <si>
    <t>Avista Filed Weighted Cost of Capital</t>
  </si>
  <si>
    <t>Reduction in Weighted Cost of Capital</t>
  </si>
  <si>
    <t>Staff Adjusted Rate Base</t>
  </si>
  <si>
    <t>Impact of Change in Weighted Cost of Capital</t>
  </si>
  <si>
    <t>Conversion Factor</t>
  </si>
  <si>
    <t>Revenue Requirement Impact</t>
  </si>
  <si>
    <t>Revenue Requirement Computation</t>
  </si>
  <si>
    <t>At</t>
  </si>
  <si>
    <t>Weighted Cost of Capital</t>
  </si>
  <si>
    <t>Operating Income Requirement</t>
  </si>
  <si>
    <t>Pro Forma Net Operating Income (Loss)</t>
  </si>
  <si>
    <t>Operating Income Deficiency</t>
  </si>
  <si>
    <t>Revenue Conversion Factor</t>
  </si>
  <si>
    <t>Additional Revenue Requirement</t>
  </si>
  <si>
    <t>Amount filed</t>
  </si>
  <si>
    <t>Uncollectables</t>
  </si>
  <si>
    <t>Revenues</t>
  </si>
  <si>
    <t>WUTC Regulatory Fee</t>
  </si>
  <si>
    <t>Utility Revenue Tax</t>
  </si>
  <si>
    <t>Total Revenue Sensitive Items</t>
  </si>
  <si>
    <t>Ln 6 thru Ln 8</t>
  </si>
  <si>
    <t>Net Operating Income before FIT</t>
  </si>
  <si>
    <t>Ln 4 - Ln 9</t>
  </si>
  <si>
    <t>Effective Income Tax Rate at 35%</t>
  </si>
  <si>
    <t>Total adjustments</t>
  </si>
  <si>
    <t>Ln 9 + Ln 13</t>
  </si>
  <si>
    <t>Description</t>
  </si>
  <si>
    <t>Amount</t>
  </si>
  <si>
    <t>Weighted Cost of Debt</t>
  </si>
  <si>
    <t>Pro Forma Interest Expense</t>
  </si>
  <si>
    <t xml:space="preserve">Total Interest Deducted </t>
  </si>
  <si>
    <t>Interest Expense Per Books</t>
  </si>
  <si>
    <t>Adjustment to Interest Expense</t>
  </si>
  <si>
    <t>Income Tax Effect</t>
  </si>
  <si>
    <t>Capital</t>
  </si>
  <si>
    <t>Working Capital</t>
  </si>
  <si>
    <t>Contested?</t>
  </si>
  <si>
    <t>35% x Ln 11</t>
  </si>
  <si>
    <t>1 - (Ln 14 / Ln 4)</t>
  </si>
  <si>
    <t>Ln 7 x Ln 8</t>
  </si>
  <si>
    <t>Ln 9 - Ln 11</t>
  </si>
  <si>
    <t>Ln 13 / Ln 15</t>
  </si>
  <si>
    <t>Ln 17 - Ln 19</t>
  </si>
  <si>
    <t>Term Debt</t>
  </si>
  <si>
    <t>Common Equity</t>
  </si>
  <si>
    <t>Hidden</t>
  </si>
  <si>
    <t>Avista Filed Capital Structure</t>
  </si>
  <si>
    <t>Revenue Conversion Factor Computation</t>
  </si>
  <si>
    <t>Interest Adjustment</t>
  </si>
  <si>
    <t>Pro Forma Cost of Captial</t>
  </si>
  <si>
    <t>Increase</t>
  </si>
  <si>
    <t>Staff Assigned</t>
  </si>
  <si>
    <t>G</t>
  </si>
  <si>
    <t>RR Impact *</t>
  </si>
  <si>
    <t>RR Impact</t>
  </si>
  <si>
    <t xml:space="preserve"> Impact of Δ in Weighted COC</t>
  </si>
  <si>
    <t>Adjusted RR</t>
  </si>
  <si>
    <t>Preferred Stock</t>
  </si>
  <si>
    <t>Blue Indicates Linked Data</t>
  </si>
  <si>
    <t>From</t>
  </si>
  <si>
    <t>To</t>
  </si>
  <si>
    <t>computed</t>
  </si>
  <si>
    <t>Sched 4, Ln 11</t>
  </si>
  <si>
    <t>Sched 3, Ln 16</t>
  </si>
  <si>
    <t>Company WP</t>
  </si>
  <si>
    <t>Sched 1.1, Ln 3, Col (g)</t>
  </si>
  <si>
    <t>Total Pro Forma Average Rate Base</t>
  </si>
  <si>
    <t>per WAC</t>
  </si>
  <si>
    <t>Sched 2, Ln 15</t>
  </si>
  <si>
    <t>Preferred</t>
  </si>
  <si>
    <t>Blue Indicates Linked Cell</t>
  </si>
  <si>
    <t>Sched 4, Ln 8</t>
  </si>
  <si>
    <t>computed (Ln 9 * Ln 11)</t>
  </si>
  <si>
    <t>computed (Ln16 - Ln 19)</t>
  </si>
  <si>
    <t>computed (-Ln 21 * 35%)</t>
  </si>
  <si>
    <t>3.852% - (Ln 8 * 3.852%)</t>
  </si>
  <si>
    <t>Computed</t>
  </si>
  <si>
    <t>per DOR adjusted for Uncollectibles</t>
  </si>
  <si>
    <t>Incentive</t>
  </si>
  <si>
    <t>Restating Incentive Adjustment</t>
  </si>
  <si>
    <t>Atmospheric</t>
  </si>
  <si>
    <t>Testing</t>
  </si>
  <si>
    <t>Pro Forma Employee Benefits</t>
  </si>
  <si>
    <t>Pro Forma Insurance</t>
  </si>
  <si>
    <t>Pro Forma Atmospheric Testing</t>
  </si>
  <si>
    <t>Debt Interest</t>
  </si>
  <si>
    <t>Debits and</t>
  </si>
  <si>
    <t>Credits</t>
  </si>
  <si>
    <t>&amp; JP</t>
  </si>
  <si>
    <t>Depreciation/Amortization</t>
  </si>
  <si>
    <t>FIT /</t>
  </si>
  <si>
    <t>DFIT</t>
  </si>
  <si>
    <t>Regulatory Amortizations</t>
  </si>
  <si>
    <t>Planned</t>
  </si>
  <si>
    <t>Capital Add</t>
  </si>
  <si>
    <t xml:space="preserve">Planned </t>
  </si>
  <si>
    <t>2013 AMA</t>
  </si>
  <si>
    <t>Study</t>
  </si>
  <si>
    <t>O&amp;M</t>
  </si>
  <si>
    <t>Offsets</t>
  </si>
  <si>
    <t>Sum (c) thru (m)</t>
  </si>
  <si>
    <t>Deferred Debits and Credits</t>
  </si>
  <si>
    <t>Gas Inventory &amp; JP Restating</t>
  </si>
  <si>
    <t>Rev Norm - Gas Cost Adj</t>
  </si>
  <si>
    <t>Eliminate B&amp;O Taxes</t>
  </si>
  <si>
    <t>Uncollectible Expense</t>
  </si>
  <si>
    <t>Regulatory Expense Adj</t>
  </si>
  <si>
    <t>FIT / DFIT Expense</t>
  </si>
  <si>
    <t>Net Gains/Losses</t>
  </si>
  <si>
    <t>Pro Forma Property Tax</t>
  </si>
  <si>
    <t>Restating 2011 Capital</t>
  </si>
  <si>
    <t>Planned Capital Add 2012</t>
  </si>
  <si>
    <t>Planned Capital Add 2013 AMA</t>
  </si>
  <si>
    <t>Depreciation Study</t>
  </si>
  <si>
    <t>O&amp;M Offsets</t>
  </si>
  <si>
    <t>Complete</t>
  </si>
  <si>
    <t>JSS - 02/22/2011</t>
  </si>
  <si>
    <t xml:space="preserve">&amp; JP </t>
  </si>
  <si>
    <t>a</t>
  </si>
  <si>
    <t>G-GI</t>
  </si>
  <si>
    <t>G-OSC</t>
  </si>
  <si>
    <t>G-RI</t>
  </si>
  <si>
    <t>G-PLN</t>
  </si>
  <si>
    <t>G-PLE</t>
  </si>
  <si>
    <t>G-PEB</t>
  </si>
  <si>
    <t>G-DS</t>
  </si>
  <si>
    <t xml:space="preserve">Production Expenses </t>
  </si>
  <si>
    <t>OPERATING INCOME BEFORE FIT</t>
  </si>
  <si>
    <t>FEDERAL INCOME TAX</t>
  </si>
  <si>
    <t>RATE BASE: PLANT IN SERVICE</t>
  </si>
  <si>
    <t>ACCUMULATED DEPREC/AMORT</t>
  </si>
  <si>
    <t>Total Accum. Depreciation/Amort.</t>
  </si>
  <si>
    <t>NET PLANT</t>
  </si>
  <si>
    <t>DEFERRED FIT</t>
  </si>
  <si>
    <t>Net Plant After DFIT</t>
  </si>
  <si>
    <t>GAS INVENTORY</t>
  </si>
  <si>
    <t>GAIN ON SALE OF BUILDING</t>
  </si>
  <si>
    <t>OTHER</t>
  </si>
  <si>
    <t>WORKING CAPITAL</t>
  </si>
  <si>
    <t>Joanna</t>
  </si>
  <si>
    <t>EJ</t>
  </si>
  <si>
    <t>Non-Recurring</t>
  </si>
  <si>
    <t>Adjsutment Number</t>
  </si>
  <si>
    <t>Production Expenses</t>
  </si>
  <si>
    <t>ACCUMULATED DEPRECIATION/AMORT</t>
  </si>
  <si>
    <t>Total Accumulated Depreciation/Amortization</t>
  </si>
  <si>
    <t>DEFERRED TAXES</t>
  </si>
  <si>
    <t xml:space="preserve">WORKING CAPITAL </t>
  </si>
  <si>
    <t>2011</t>
  </si>
  <si>
    <t>Planned Capital Additions</t>
  </si>
  <si>
    <t>for 2012/2013</t>
  </si>
  <si>
    <t>2012</t>
  </si>
  <si>
    <t>AVISTA UTILITIES</t>
  </si>
  <si>
    <t xml:space="preserve">WASHINGTON NATURAL GAS RESULTS </t>
  </si>
  <si>
    <t>TWELVE MONTHS ENDED DECEMBER 31, 2011</t>
  </si>
  <si>
    <t xml:space="preserve">(000'S OF DOLLARS)   </t>
  </si>
  <si>
    <t>Workpaper Reference</t>
  </si>
  <si>
    <t>G-PT</t>
  </si>
  <si>
    <t>DEFREED TAXES</t>
  </si>
  <si>
    <t>Mike F</t>
  </si>
  <si>
    <t>Misc</t>
  </si>
  <si>
    <t>REVENUE REQUIREMENT</t>
  </si>
  <si>
    <t>Pro Forma Rate of Return</t>
  </si>
  <si>
    <t xml:space="preserve">  </t>
  </si>
  <si>
    <t>Kathryn</t>
  </si>
  <si>
    <t xml:space="preserve">Kathryn </t>
  </si>
  <si>
    <t>Yes</t>
  </si>
  <si>
    <t>No</t>
  </si>
  <si>
    <t xml:space="preserve">AVISTA UTILITIES  </t>
  </si>
  <si>
    <t xml:space="preserve">WASHINGTON NATURAL GAS RESULTS  </t>
  </si>
  <si>
    <t xml:space="preserve">(000'S OF DOLLARS)  </t>
  </si>
  <si>
    <t>Correction</t>
  </si>
  <si>
    <t xml:space="preserve">Adjustment Number </t>
  </si>
  <si>
    <t>Non-recurring expenses</t>
  </si>
  <si>
    <t>ADJ</t>
  </si>
  <si>
    <t>FIT Adjustment</t>
  </si>
  <si>
    <t>Eliminate</t>
  </si>
  <si>
    <t>A/R</t>
  </si>
  <si>
    <t>CONTESTED</t>
  </si>
  <si>
    <t>ELECTRIC ADJUSTMENT SUMMARY</t>
  </si>
  <si>
    <t>Twelve Months Ending December 31, 2011</t>
  </si>
  <si>
    <t>ADJUSTMENT</t>
  </si>
  <si>
    <t>(000'S OF DOLLARS)</t>
  </si>
  <si>
    <t xml:space="preserve"> No.</t>
  </si>
  <si>
    <t>Washington</t>
  </si>
  <si>
    <t>Interdepartmental Sales</t>
  </si>
  <si>
    <t>Sales For Resale</t>
  </si>
  <si>
    <t xml:space="preserve">   Total Sales of Electricity</t>
  </si>
  <si>
    <t>Other Revenue</t>
  </si>
  <si>
    <t xml:space="preserve">   Total Electric Revenue</t>
  </si>
  <si>
    <t>Production and Transmission</t>
  </si>
  <si>
    <t xml:space="preserve">   Operating Expenses</t>
  </si>
  <si>
    <t xml:space="preserve">   Purchased Power</t>
  </si>
  <si>
    <t xml:space="preserve">   Depreciation and Amortization</t>
  </si>
  <si>
    <t xml:space="preserve">   Taxes</t>
  </si>
  <si>
    <t xml:space="preserve">      Total Production &amp; Transmission</t>
  </si>
  <si>
    <t xml:space="preserve">   Depreciation</t>
  </si>
  <si>
    <t xml:space="preserve">      Total Distribution</t>
  </si>
  <si>
    <t>Marketing</t>
  </si>
  <si>
    <t xml:space="preserve">      Total Admin. &amp; General</t>
  </si>
  <si>
    <t>Total Electric Expenses</t>
  </si>
  <si>
    <t>Operating Income before FIT</t>
  </si>
  <si>
    <t>Federal Income Taxes</t>
  </si>
  <si>
    <t xml:space="preserve">   Current Accrual </t>
  </si>
  <si>
    <t xml:space="preserve">   Deferred Income Taxes</t>
  </si>
  <si>
    <t>Amortized ITC - Noxon</t>
  </si>
  <si>
    <t xml:space="preserve">   Intangible</t>
  </si>
  <si>
    <t xml:space="preserve">   Production</t>
  </si>
  <si>
    <t xml:space="preserve">   Transmission</t>
  </si>
  <si>
    <t xml:space="preserve">   Distribution</t>
  </si>
  <si>
    <t xml:space="preserve">   General</t>
  </si>
  <si>
    <t xml:space="preserve">      Total Plant in Service</t>
  </si>
  <si>
    <t>ACCUM. PROVISION FOR AMORTIZATION</t>
  </si>
  <si>
    <t xml:space="preserve">   Total Accum. Depreciation &amp; Amort.</t>
  </si>
  <si>
    <t>WORKING CAPITAL *</t>
  </si>
  <si>
    <t>The adjustment amount should be added to the Gas Inventory Adj.-e</t>
  </si>
  <si>
    <t>Working</t>
  </si>
  <si>
    <t>Sum (c) thru (u)</t>
  </si>
  <si>
    <t>(n)</t>
  </si>
  <si>
    <t>(o)</t>
  </si>
  <si>
    <t>(p)</t>
  </si>
  <si>
    <t>(q)</t>
  </si>
  <si>
    <t>(r)</t>
  </si>
  <si>
    <t>(s)</t>
  </si>
  <si>
    <t>(t)</t>
  </si>
  <si>
    <t>(u)</t>
  </si>
  <si>
    <t>Gas Restating Adjustment 2.13</t>
  </si>
  <si>
    <t>Total Test Period Rate Base</t>
  </si>
  <si>
    <t>Sched 1.1, Ln 72, Col (c)</t>
  </si>
  <si>
    <t xml:space="preserve">EMA-3 </t>
  </si>
  <si>
    <t>Mike Foisy</t>
  </si>
  <si>
    <t>Joanna Huang</t>
  </si>
  <si>
    <t>Kathryn Breda</t>
  </si>
  <si>
    <t>EJ Keating</t>
  </si>
  <si>
    <t>Sched 1.1, Ln 72 Col (f)</t>
  </si>
  <si>
    <t>Sched 1.1, Ln 51 Col (f)</t>
  </si>
  <si>
    <t>(e) + (d)</t>
  </si>
  <si>
    <t>(f) + (g)</t>
  </si>
  <si>
    <t>Staff Adjusted Capital Structure</t>
  </si>
  <si>
    <t>(000's of Dollars)</t>
  </si>
  <si>
    <t>RESULT OF OPERATIONS</t>
  </si>
  <si>
    <t>Exploration and Development</t>
  </si>
  <si>
    <t>Production</t>
  </si>
  <si>
    <t xml:space="preserve"> Regulatory Amortization</t>
  </si>
  <si>
    <t>Operating Income Before FIT</t>
  </si>
  <si>
    <t>Federal Income Tax</t>
  </si>
  <si>
    <t>Total Income Tax</t>
  </si>
  <si>
    <t>Total Accum. Depreciation</t>
  </si>
  <si>
    <t>Gain on Sale of Building</t>
  </si>
  <si>
    <t xml:space="preserve">Other  </t>
  </si>
  <si>
    <t>Restating Adjustments</t>
  </si>
  <si>
    <t>Regulatory Amortization</t>
  </si>
  <si>
    <t>Other</t>
  </si>
  <si>
    <t>INCOME TAX COMPUTATION</t>
  </si>
  <si>
    <t>Interest Expense</t>
  </si>
  <si>
    <t>Book Income before Income Taxes</t>
  </si>
  <si>
    <t>SCHEDULE M ADDITIONS</t>
  </si>
  <si>
    <t>Book Depreciation</t>
  </si>
  <si>
    <t xml:space="preserve">Deferred Gas Credit and Refunds </t>
  </si>
  <si>
    <t>Total Sch M Additions</t>
  </si>
  <si>
    <t>SCHEDULE M DEDUCTIONS</t>
  </si>
  <si>
    <t xml:space="preserve">  Tax Depreciation</t>
  </si>
  <si>
    <t>AFUDC deducted in filing but not in case</t>
  </si>
  <si>
    <t xml:space="preserve">  Total Sch M Deductions</t>
  </si>
  <si>
    <t>Taxable Income (Ln 5 + Ln 11 - Ln16)</t>
  </si>
  <si>
    <t xml:space="preserve">Tax Rate </t>
  </si>
  <si>
    <t>Deferred Tax</t>
  </si>
  <si>
    <t>Total Regulatory Federal Income Tax</t>
  </si>
  <si>
    <t>Pro Forma Adjustments</t>
  </si>
  <si>
    <t>Source:</t>
  </si>
  <si>
    <t>Total FIT</t>
  </si>
  <si>
    <t>Book Income Before Income Taxes</t>
  </si>
  <si>
    <t>Tax Depreciation</t>
  </si>
  <si>
    <t>Miscellaneous</t>
  </si>
  <si>
    <t>* Revenue Requirement Impact of adjustments based on company filed Weighted Cost of Capital of 8.25%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</si>
</sst>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_);\(#,###\)\,\ "/>
    <numFmt numFmtId="165" formatCode="&quot;Increase of&quot;\ 0.00%"/>
    <numFmt numFmtId="166" formatCode="#,###_);\(#,###\)"/>
    <numFmt numFmtId="167" formatCode="_(&quot;$&quot;#,###_);_(&quot;$&quot;\ \(#,###\);_(* _);_(@_)"/>
    <numFmt numFmtId="168" formatCode="#,##0.000_);\(#,##0.000\)"/>
    <numFmt numFmtId="169" formatCode="_(* #,##0_);_(* \(#,##0\);_(* &quot;-&quot;??_);_(@_)"/>
    <numFmt numFmtId="170" formatCode="0.000%"/>
    <numFmt numFmtId="171" formatCode="0.00%;\(0.00%\)"/>
    <numFmt numFmtId="172" formatCode="0.0000%"/>
    <numFmt numFmtId="173" formatCode="_(* #,##0.00_);_(* \(#,##0.00\);_(* &quot;-&quot;_);_(@_)"/>
    <numFmt numFmtId="174" formatCode="0.000000"/>
    <numFmt numFmtId="175" formatCode="0.00000"/>
    <numFmt numFmtId="176" formatCode="_(* #,##0.000_);_(* \(#,##0.000\);_(* &quot;-&quot;??_);_(@_)"/>
    <numFmt numFmtId="177" formatCode="#,###.00_);\(#,###.00\)\,\ "/>
    <numFmt numFmtId="178" formatCode="#,##0.00;[Red]\(#,##0.00\)"/>
    <numFmt numFmtId="179" formatCode="&quot;$&quot;#,##0"/>
    <numFmt numFmtId="180" formatCode="0.0%"/>
    <numFmt numFmtId="181" formatCode="0.00_)"/>
  </numFmts>
  <fonts count="61"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Geneva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color rgb="FF0000FF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72"/>
      <name val="Arial"/>
      <family val="2"/>
    </font>
    <font>
      <sz val="9"/>
      <name val="Times New Roman"/>
      <family val="1"/>
    </font>
    <font>
      <b/>
      <sz val="10"/>
      <color theme="1"/>
      <name val="Arial"/>
      <family val="2"/>
    </font>
    <font>
      <sz val="10"/>
      <name val="Geneva"/>
      <family val="2"/>
    </font>
    <font>
      <sz val="10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  <font>
      <b/>
      <sz val="9"/>
      <color theme="0"/>
      <name val="Times New Roman"/>
      <family val="1"/>
    </font>
    <font>
      <i/>
      <sz val="9"/>
      <name val="Times New Roman"/>
      <family val="1"/>
    </font>
    <font>
      <sz val="9"/>
      <color rgb="FF0000FF"/>
      <name val="Times New Roman"/>
      <family val="1"/>
    </font>
    <font>
      <b/>
      <sz val="9"/>
      <color rgb="FF0000FF"/>
      <name val="Times New Roman"/>
      <family val="1"/>
    </font>
    <font>
      <u/>
      <sz val="7.5"/>
      <color theme="0"/>
      <name val="Arial"/>
      <family val="2"/>
    </font>
    <font>
      <sz val="12"/>
      <color indexed="10"/>
      <name val="Times New Roman"/>
      <family val="1"/>
    </font>
    <font>
      <sz val="10"/>
      <name val="Arial"/>
      <family val="2"/>
    </font>
    <font>
      <sz val="12"/>
      <color theme="1"/>
      <name val="Calibri"/>
      <family val="2"/>
    </font>
    <font>
      <sz val="10"/>
      <name val="Tahoma"/>
      <family val="2"/>
    </font>
    <font>
      <b/>
      <sz val="9"/>
      <color rgb="FFC00000"/>
      <name val="Times New Roman"/>
      <family val="1"/>
    </font>
    <font>
      <b/>
      <sz val="9"/>
      <color rgb="FF0033CC"/>
      <name val="Times New Roman"/>
      <family val="1"/>
    </font>
    <font>
      <sz val="10"/>
      <color indexed="8"/>
      <name val="Times New Roman"/>
      <family val="1"/>
    </font>
    <font>
      <b/>
      <sz val="10"/>
      <color indexed="9"/>
      <name val="Times New Roman"/>
      <family val="1"/>
    </font>
    <font>
      <sz val="9"/>
      <color rgb="FFFF0000"/>
      <name val="Times New Roman"/>
      <family val="1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b/>
      <sz val="8"/>
      <name val="Arial"/>
      <family val="2"/>
    </font>
    <font>
      <b/>
      <i/>
      <sz val="16"/>
      <name val="Helv"/>
    </font>
    <font>
      <sz val="11"/>
      <color indexed="8"/>
      <name val="Calibri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8"/>
      <color indexed="8"/>
      <name val="Wingdings"/>
      <charset val="2"/>
    </font>
    <font>
      <sz val="12"/>
      <name val="Arial"/>
      <family val="2"/>
    </font>
    <font>
      <i/>
      <sz val="12"/>
      <name val="Arial"/>
      <family val="2"/>
    </font>
    <font>
      <sz val="9"/>
      <name val="Arial"/>
      <family val="2"/>
    </font>
    <font>
      <sz val="9"/>
      <color theme="1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hair">
        <color indexed="64"/>
      </top>
      <bottom/>
      <diagonal/>
    </border>
  </borders>
  <cellStyleXfs count="180">
    <xf numFmtId="164" fontId="0" fillId="0" borderId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4" fillId="0" borderId="0"/>
    <xf numFmtId="164" fontId="4" fillId="0" borderId="0"/>
    <xf numFmtId="0" fontId="4" fillId="0" borderId="0"/>
    <xf numFmtId="41" fontId="6" fillId="0" borderId="0"/>
    <xf numFmtId="0" fontId="4" fillId="0" borderId="0"/>
    <xf numFmtId="37" fontId="7" fillId="0" borderId="0"/>
    <xf numFmtId="37" fontId="7" fillId="0" borderId="0"/>
    <xf numFmtId="0" fontId="4" fillId="0" borderId="0"/>
    <xf numFmtId="37" fontId="7" fillId="0" borderId="0"/>
    <xf numFmtId="37" fontId="7" fillId="0" borderId="0"/>
    <xf numFmtId="43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0" fontId="7" fillId="0" borderId="0"/>
    <xf numFmtId="0" fontId="7" fillId="0" borderId="0"/>
    <xf numFmtId="41" fontId="5" fillId="0" borderId="0"/>
    <xf numFmtId="37" fontId="7" fillId="0" borderId="0"/>
    <xf numFmtId="43" fontId="5" fillId="0" borderId="0" applyFont="0" applyFill="0" applyBorder="0" applyAlignment="0" applyProtection="0"/>
    <xf numFmtId="14" fontId="6" fillId="0" borderId="0"/>
    <xf numFmtId="14" fontId="6" fillId="0" borderId="0"/>
    <xf numFmtId="14" fontId="6" fillId="0" borderId="0"/>
    <xf numFmtId="14" fontId="6" fillId="0" borderId="0"/>
    <xf numFmtId="14" fontId="6" fillId="0" borderId="0"/>
    <xf numFmtId="14" fontId="6" fillId="0" borderId="0"/>
    <xf numFmtId="14" fontId="6" fillId="0" borderId="0"/>
    <xf numFmtId="14" fontId="6" fillId="0" borderId="0"/>
    <xf numFmtId="14" fontId="6" fillId="0" borderId="0"/>
    <xf numFmtId="14" fontId="6" fillId="0" borderId="0"/>
    <xf numFmtId="14" fontId="6" fillId="0" borderId="0"/>
    <xf numFmtId="14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5" fillId="0" borderId="0"/>
    <xf numFmtId="0" fontId="26" fillId="0" borderId="0"/>
    <xf numFmtId="0" fontId="4" fillId="0" borderId="0"/>
    <xf numFmtId="0" fontId="25" fillId="0" borderId="0"/>
    <xf numFmtId="9" fontId="6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6" fillId="11" borderId="0"/>
    <xf numFmtId="0" fontId="5" fillId="0" borderId="0"/>
    <xf numFmtId="0" fontId="37" fillId="0" borderId="0"/>
    <xf numFmtId="0" fontId="38" fillId="0" borderId="0"/>
    <xf numFmtId="44" fontId="5" fillId="0" borderId="0" applyFont="0" applyFill="0" applyBorder="0" applyAlignment="0" applyProtection="0"/>
    <xf numFmtId="9" fontId="39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7" fillId="0" borderId="0"/>
    <xf numFmtId="0" fontId="4" fillId="0" borderId="0"/>
    <xf numFmtId="0" fontId="7" fillId="0" borderId="0"/>
    <xf numFmtId="0" fontId="25" fillId="0" borderId="0"/>
    <xf numFmtId="0" fontId="2" fillId="0" borderId="0"/>
    <xf numFmtId="0" fontId="2" fillId="0" borderId="0"/>
    <xf numFmtId="0" fontId="2" fillId="0" borderId="0"/>
    <xf numFmtId="178" fontId="42" fillId="12" borderId="0" applyBorder="0">
      <alignment horizontal="right"/>
    </xf>
    <xf numFmtId="0" fontId="43" fillId="13" borderId="0" applyBorder="0"/>
    <xf numFmtId="0" fontId="25" fillId="0" borderId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6" fillId="12" borderId="0">
      <alignment horizontal="left"/>
    </xf>
    <xf numFmtId="0" fontId="45" fillId="12" borderId="0">
      <alignment horizontal="right"/>
    </xf>
    <xf numFmtId="0" fontId="45" fillId="12" borderId="0">
      <alignment horizontal="center"/>
    </xf>
    <xf numFmtId="0" fontId="45" fillId="12" borderId="0">
      <alignment horizontal="right"/>
    </xf>
    <xf numFmtId="0" fontId="46" fillId="12" borderId="0">
      <alignment horizontal="left"/>
    </xf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2" fontId="5" fillId="0" borderId="0" applyFont="0" applyFill="0" applyBorder="0" applyAlignment="0" applyProtection="0"/>
    <xf numFmtId="174" fontId="5" fillId="0" borderId="0"/>
    <xf numFmtId="38" fontId="12" fillId="27" borderId="0" applyNumberFormat="0" applyBorder="0" applyAlignment="0" applyProtection="0"/>
    <xf numFmtId="38" fontId="47" fillId="0" borderId="0"/>
    <xf numFmtId="40" fontId="47" fillId="0" borderId="0"/>
    <xf numFmtId="10" fontId="12" fillId="28" borderId="14" applyNumberFormat="0" applyBorder="0" applyAlignment="0" applyProtection="0"/>
    <xf numFmtId="0" fontId="16" fillId="12" borderId="0">
      <alignment horizontal="left"/>
    </xf>
    <xf numFmtId="0" fontId="16" fillId="12" borderId="0">
      <alignment horizontal="left"/>
    </xf>
    <xf numFmtId="181" fontId="4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37" fillId="0" borderId="0"/>
    <xf numFmtId="0" fontId="7" fillId="0" borderId="0"/>
    <xf numFmtId="0" fontId="49" fillId="14" borderId="43" applyNumberFormat="0" applyFont="0" applyAlignment="0" applyProtection="0"/>
    <xf numFmtId="0" fontId="49" fillId="14" borderId="43" applyNumberFormat="0" applyFont="0" applyAlignment="0" applyProtection="0"/>
    <xf numFmtId="0" fontId="49" fillId="14" borderId="43" applyNumberFormat="0" applyFont="0" applyAlignment="0" applyProtection="0"/>
    <xf numFmtId="0" fontId="49" fillId="14" borderId="43" applyNumberFormat="0" applyFont="0" applyAlignment="0" applyProtection="0"/>
    <xf numFmtId="0" fontId="49" fillId="14" borderId="43" applyNumberFormat="0" applyFont="0" applyAlignment="0" applyProtection="0"/>
    <xf numFmtId="0" fontId="49" fillId="14" borderId="43" applyNumberFormat="0" applyFont="0" applyAlignment="0" applyProtection="0"/>
    <xf numFmtId="0" fontId="49" fillId="14" borderId="43" applyNumberFormat="0" applyFont="0" applyAlignment="0" applyProtection="0"/>
    <xf numFmtId="0" fontId="49" fillId="14" borderId="43" applyNumberFormat="0" applyFont="0" applyAlignment="0" applyProtection="0"/>
    <xf numFmtId="0" fontId="49" fillId="14" borderId="43" applyNumberFormat="0" applyFont="0" applyAlignment="0" applyProtection="0"/>
    <xf numFmtId="0" fontId="49" fillId="14" borderId="43" applyNumberFormat="0" applyFont="0" applyAlignment="0" applyProtection="0"/>
    <xf numFmtId="0" fontId="49" fillId="14" borderId="43" applyNumberFormat="0" applyFont="0" applyAlignment="0" applyProtection="0"/>
    <xf numFmtId="0" fontId="49" fillId="14" borderId="43" applyNumberFormat="0" applyFont="0" applyAlignment="0" applyProtection="0"/>
    <xf numFmtId="0" fontId="49" fillId="14" borderId="43" applyNumberFormat="0" applyFont="0" applyAlignment="0" applyProtection="0"/>
    <xf numFmtId="0" fontId="49" fillId="14" borderId="43" applyNumberFormat="0" applyFont="0" applyAlignment="0" applyProtection="0"/>
    <xf numFmtId="0" fontId="49" fillId="14" borderId="43" applyNumberFormat="0" applyFont="0" applyAlignment="0" applyProtection="0"/>
    <xf numFmtId="0" fontId="49" fillId="14" borderId="43" applyNumberFormat="0" applyFont="0" applyAlignment="0" applyProtection="0"/>
    <xf numFmtId="0" fontId="49" fillId="14" borderId="43" applyNumberFormat="0" applyFont="0" applyAlignment="0" applyProtection="0"/>
    <xf numFmtId="0" fontId="49" fillId="14" borderId="43" applyNumberFormat="0" applyFont="0" applyAlignment="0" applyProtection="0"/>
    <xf numFmtId="0" fontId="49" fillId="14" borderId="43" applyNumberFormat="0" applyFont="0" applyAlignment="0" applyProtection="0"/>
    <xf numFmtId="0" fontId="49" fillId="14" borderId="43" applyNumberFormat="0" applyFont="0" applyAlignment="0" applyProtection="0"/>
    <xf numFmtId="0" fontId="50" fillId="28" borderId="0">
      <alignment horizontal="right"/>
    </xf>
    <xf numFmtId="0" fontId="51" fillId="0" borderId="0" applyBorder="0">
      <alignment horizontal="centerContinuous"/>
    </xf>
    <xf numFmtId="0" fontId="52" fillId="0" borderId="0" applyBorder="0">
      <alignment horizontal="centerContinuous"/>
    </xf>
    <xf numFmtId="10" fontId="5" fillId="0" borderId="0" applyFont="0" applyFill="0" applyBorder="0" applyAlignment="0" applyProtection="0"/>
    <xf numFmtId="0" fontId="16" fillId="12" borderId="0">
      <alignment horizontal="center"/>
    </xf>
    <xf numFmtId="49" fontId="53" fillId="12" borderId="0">
      <alignment horizontal="center"/>
    </xf>
    <xf numFmtId="0" fontId="45" fillId="12" borderId="0">
      <alignment horizontal="center"/>
    </xf>
    <xf numFmtId="0" fontId="45" fillId="12" borderId="0">
      <alignment horizontal="centerContinuous"/>
    </xf>
    <xf numFmtId="0" fontId="54" fillId="12" borderId="0">
      <alignment horizontal="left"/>
    </xf>
    <xf numFmtId="49" fontId="54" fillId="12" borderId="0">
      <alignment horizontal="center"/>
    </xf>
    <xf numFmtId="0" fontId="16" fillId="12" borderId="0">
      <alignment horizontal="left"/>
    </xf>
    <xf numFmtId="49" fontId="54" fillId="12" borderId="0">
      <alignment horizontal="left"/>
    </xf>
    <xf numFmtId="0" fontId="16" fillId="12" borderId="0">
      <alignment horizontal="centerContinuous"/>
    </xf>
    <xf numFmtId="0" fontId="16" fillId="12" borderId="0">
      <alignment horizontal="right"/>
    </xf>
    <xf numFmtId="49" fontId="16" fillId="12" borderId="0">
      <alignment horizontal="left"/>
    </xf>
    <xf numFmtId="0" fontId="45" fillId="12" borderId="0">
      <alignment horizontal="right"/>
    </xf>
    <xf numFmtId="0" fontId="54" fillId="29" borderId="0">
      <alignment horizontal="center"/>
    </xf>
    <xf numFmtId="0" fontId="55" fillId="29" borderId="0">
      <alignment horizontal="center"/>
    </xf>
    <xf numFmtId="38" fontId="12" fillId="0" borderId="44"/>
    <xf numFmtId="38" fontId="47" fillId="0" borderId="11"/>
    <xf numFmtId="174" fontId="5" fillId="0" borderId="0">
      <alignment horizontal="left" wrapText="1"/>
    </xf>
    <xf numFmtId="0" fontId="56" fillId="12" borderId="0">
      <alignment horizontal="center"/>
    </xf>
  </cellStyleXfs>
  <cellXfs count="764">
    <xf numFmtId="164" fontId="0" fillId="0" borderId="0" xfId="0"/>
    <xf numFmtId="164" fontId="5" fillId="5" borderId="0" xfId="3" applyFont="1" applyFill="1"/>
    <xf numFmtId="3" fontId="5" fillId="5" borderId="0" xfId="3" applyNumberFormat="1" applyFont="1" applyFill="1"/>
    <xf numFmtId="164" fontId="5" fillId="0" borderId="0" xfId="3" applyFont="1" applyFill="1" applyBorder="1"/>
    <xf numFmtId="164" fontId="5" fillId="0" borderId="0" xfId="3" applyFont="1" applyFill="1"/>
    <xf numFmtId="0" fontId="5" fillId="0" borderId="0" xfId="3" applyNumberFormat="1" applyFont="1" applyAlignment="1">
      <alignment horizontal="left"/>
    </xf>
    <xf numFmtId="164" fontId="5" fillId="0" borderId="0" xfId="3" applyFont="1"/>
    <xf numFmtId="3" fontId="5" fillId="0" borderId="0" xfId="3" applyNumberFormat="1" applyFont="1"/>
    <xf numFmtId="164" fontId="10" fillId="0" borderId="0" xfId="3" applyFont="1" applyAlignment="1">
      <alignment horizontal="center"/>
    </xf>
    <xf numFmtId="0" fontId="10" fillId="0" borderId="0" xfId="3" applyNumberFormat="1" applyFont="1" applyBorder="1" applyAlignment="1">
      <alignment horizontal="center"/>
    </xf>
    <xf numFmtId="164" fontId="5" fillId="0" borderId="0" xfId="3" applyFont="1" applyBorder="1"/>
    <xf numFmtId="3" fontId="10" fillId="0" borderId="0" xfId="3" applyNumberFormat="1" applyFont="1" applyBorder="1" applyAlignment="1">
      <alignment horizontal="center"/>
    </xf>
    <xf numFmtId="164" fontId="5" fillId="0" borderId="0" xfId="3" applyFont="1" applyAlignment="1">
      <alignment horizontal="center"/>
    </xf>
    <xf numFmtId="0" fontId="5" fillId="0" borderId="5" xfId="3" applyNumberFormat="1" applyFont="1" applyBorder="1" applyAlignment="1">
      <alignment horizontal="center"/>
    </xf>
    <xf numFmtId="5" fontId="5" fillId="0" borderId="0" xfId="3" applyNumberFormat="1" applyFont="1"/>
    <xf numFmtId="41" fontId="5" fillId="0" borderId="0" xfId="1" applyFont="1" applyFill="1"/>
    <xf numFmtId="5" fontId="5" fillId="0" borderId="0" xfId="1" applyNumberFormat="1" applyFont="1" applyFill="1"/>
    <xf numFmtId="41" fontId="5" fillId="0" borderId="0" xfId="1" applyFont="1"/>
    <xf numFmtId="41" fontId="5" fillId="0" borderId="2" xfId="1" applyFont="1" applyBorder="1"/>
    <xf numFmtId="41" fontId="5" fillId="0" borderId="2" xfId="1" applyFont="1" applyFill="1" applyBorder="1"/>
    <xf numFmtId="166" fontId="5" fillId="0" borderId="0" xfId="5" applyNumberFormat="1" applyFont="1" applyFill="1"/>
    <xf numFmtId="5" fontId="5" fillId="0" borderId="0" xfId="3" applyNumberFormat="1" applyFont="1" applyFill="1"/>
    <xf numFmtId="5" fontId="5" fillId="0" borderId="12" xfId="3" applyNumberFormat="1" applyFont="1" applyBorder="1"/>
    <xf numFmtId="5" fontId="5" fillId="5" borderId="0" xfId="3" applyNumberFormat="1" applyFont="1" applyFill="1"/>
    <xf numFmtId="41" fontId="5" fillId="0" borderId="0" xfId="1" applyFont="1" applyBorder="1"/>
    <xf numFmtId="164" fontId="5" fillId="5" borderId="0" xfId="3" applyFont="1" applyFill="1" applyBorder="1"/>
    <xf numFmtId="3" fontId="5" fillId="0" borderId="0" xfId="3" applyNumberFormat="1" applyFont="1" applyBorder="1"/>
    <xf numFmtId="0" fontId="5" fillId="0" borderId="0" xfId="3" applyNumberFormat="1" applyFont="1" applyBorder="1" applyAlignment="1">
      <alignment horizontal="center"/>
    </xf>
    <xf numFmtId="10" fontId="5" fillId="0" borderId="0" xfId="2" applyNumberFormat="1" applyFont="1" applyBorder="1"/>
    <xf numFmtId="164" fontId="5" fillId="0" borderId="0" xfId="0" applyFont="1" applyFill="1" applyBorder="1" applyAlignment="1">
      <alignment horizontal="right"/>
    </xf>
    <xf numFmtId="0" fontId="5" fillId="0" borderId="0" xfId="3" applyNumberFormat="1" applyFont="1" applyAlignment="1">
      <alignment horizontal="center"/>
    </xf>
    <xf numFmtId="41" fontId="5" fillId="0" borderId="4" xfId="1" applyFont="1" applyFill="1" applyBorder="1"/>
    <xf numFmtId="3" fontId="10" fillId="0" borderId="0" xfId="3" applyNumberFormat="1" applyFont="1"/>
    <xf numFmtId="41" fontId="10" fillId="0" borderId="0" xfId="6" applyFont="1" applyAlignment="1">
      <alignment horizontal="center"/>
    </xf>
    <xf numFmtId="3" fontId="5" fillId="0" borderId="0" xfId="3" applyNumberFormat="1" applyFont="1" applyFill="1" applyBorder="1"/>
    <xf numFmtId="5" fontId="5" fillId="0" borderId="0" xfId="3" applyNumberFormat="1" applyFont="1" applyBorder="1"/>
    <xf numFmtId="10" fontId="5" fillId="5" borderId="0" xfId="2" applyNumberFormat="1" applyFont="1" applyFill="1" applyBorder="1"/>
    <xf numFmtId="0" fontId="5" fillId="0" borderId="0" xfId="3" applyNumberFormat="1" applyFont="1" applyFill="1" applyBorder="1" applyAlignment="1">
      <alignment horizontal="center"/>
    </xf>
    <xf numFmtId="10" fontId="5" fillId="0" borderId="0" xfId="2" applyNumberFormat="1" applyFont="1" applyFill="1" applyBorder="1"/>
    <xf numFmtId="3" fontId="5" fillId="0" borderId="0" xfId="3" applyNumberFormat="1" applyFont="1" applyFill="1"/>
    <xf numFmtId="0" fontId="5" fillId="0" borderId="0" xfId="3" applyNumberFormat="1" applyFont="1" applyFill="1" applyAlignment="1">
      <alignment horizontal="center"/>
    </xf>
    <xf numFmtId="41" fontId="5" fillId="0" borderId="0" xfId="1" applyFont="1" applyFill="1" applyBorder="1"/>
    <xf numFmtId="41" fontId="5" fillId="0" borderId="11" xfId="1" applyFont="1" applyFill="1" applyBorder="1"/>
    <xf numFmtId="41" fontId="5" fillId="0" borderId="11" xfId="1" applyFont="1" applyFill="1" applyBorder="1" applyAlignment="1">
      <alignment horizontal="right"/>
    </xf>
    <xf numFmtId="41" fontId="5" fillId="0" borderId="0" xfId="1" applyFont="1" applyFill="1" applyBorder="1" applyAlignment="1">
      <alignment horizontal="right"/>
    </xf>
    <xf numFmtId="41" fontId="5" fillId="0" borderId="4" xfId="1" applyFont="1" applyBorder="1"/>
    <xf numFmtId="0" fontId="5" fillId="0" borderId="0" xfId="3" applyNumberFormat="1" applyFont="1" applyFill="1" applyAlignment="1">
      <alignment horizontal="left"/>
    </xf>
    <xf numFmtId="164" fontId="5" fillId="0" borderId="0" xfId="3" applyFont="1" applyFill="1" applyAlignment="1">
      <alignment horizontal="center"/>
    </xf>
    <xf numFmtId="3" fontId="5" fillId="0" borderId="0" xfId="3" applyNumberFormat="1" applyFont="1" applyFill="1" applyAlignment="1">
      <alignment horizontal="center"/>
    </xf>
    <xf numFmtId="0" fontId="10" fillId="0" borderId="0" xfId="3" applyNumberFormat="1" applyFont="1" applyFill="1" applyAlignment="1">
      <alignment horizontal="center"/>
    </xf>
    <xf numFmtId="164" fontId="10" fillId="0" borderId="0" xfId="3" applyFont="1" applyFill="1" applyAlignment="1">
      <alignment horizontal="center"/>
    </xf>
    <xf numFmtId="0" fontId="5" fillId="0" borderId="5" xfId="3" applyNumberFormat="1" applyFont="1" applyFill="1" applyBorder="1" applyAlignment="1">
      <alignment horizontal="center"/>
    </xf>
    <xf numFmtId="41" fontId="5" fillId="0" borderId="5" xfId="1" applyFont="1" applyFill="1" applyBorder="1"/>
    <xf numFmtId="10" fontId="5" fillId="0" borderId="0" xfId="2" applyNumberFormat="1" applyFont="1" applyFill="1"/>
    <xf numFmtId="3" fontId="10" fillId="0" borderId="0" xfId="3" applyNumberFormat="1" applyFont="1" applyFill="1" applyBorder="1" applyAlignment="1">
      <alignment horizontal="center"/>
    </xf>
    <xf numFmtId="5" fontId="5" fillId="0" borderId="0" xfId="3" applyNumberFormat="1" applyFont="1" applyFill="1" applyBorder="1"/>
    <xf numFmtId="5" fontId="5" fillId="0" borderId="0" xfId="1" applyNumberFormat="1" applyFont="1" applyFill="1" applyBorder="1"/>
    <xf numFmtId="5" fontId="5" fillId="0" borderId="2" xfId="3" applyNumberFormat="1" applyFont="1" applyBorder="1"/>
    <xf numFmtId="37" fontId="10" fillId="0" borderId="0" xfId="9" applyFont="1" applyAlignment="1">
      <alignment horizontal="right"/>
    </xf>
    <xf numFmtId="37" fontId="5" fillId="0" borderId="0" xfId="9" applyFont="1"/>
    <xf numFmtId="37" fontId="5" fillId="0" borderId="0" xfId="9" applyFont="1" applyAlignment="1">
      <alignment horizontal="center"/>
    </xf>
    <xf numFmtId="37" fontId="5" fillId="0" borderId="0" xfId="9" applyFont="1" applyBorder="1" applyAlignment="1">
      <alignment horizontal="center"/>
    </xf>
    <xf numFmtId="37" fontId="5" fillId="0" borderId="0" xfId="8" applyFont="1" applyFill="1" applyBorder="1" applyAlignment="1">
      <alignment horizontal="center"/>
    </xf>
    <xf numFmtId="41" fontId="5" fillId="0" borderId="0" xfId="6" applyFont="1"/>
    <xf numFmtId="37" fontId="5" fillId="0" borderId="16" xfId="8" applyFont="1" applyFill="1" applyBorder="1" applyAlignment="1"/>
    <xf numFmtId="41" fontId="5" fillId="0" borderId="2" xfId="6" applyFont="1" applyBorder="1"/>
    <xf numFmtId="37" fontId="5" fillId="0" borderId="2" xfId="8" applyFont="1" applyBorder="1"/>
    <xf numFmtId="37" fontId="5" fillId="0" borderId="17" xfId="8" applyFont="1" applyBorder="1" applyAlignment="1">
      <alignment horizontal="center"/>
    </xf>
    <xf numFmtId="37" fontId="5" fillId="0" borderId="0" xfId="8" applyFont="1" applyBorder="1"/>
    <xf numFmtId="41" fontId="5" fillId="0" borderId="0" xfId="6" applyFont="1" applyFill="1" applyBorder="1" applyAlignment="1">
      <alignment horizontal="center"/>
    </xf>
    <xf numFmtId="37" fontId="5" fillId="0" borderId="0" xfId="8" applyFont="1" applyFill="1" applyBorder="1"/>
    <xf numFmtId="41" fontId="5" fillId="0" borderId="16" xfId="1" applyFont="1" applyFill="1" applyBorder="1"/>
    <xf numFmtId="37" fontId="5" fillId="5" borderId="0" xfId="8" applyFont="1" applyFill="1" applyBorder="1"/>
    <xf numFmtId="37" fontId="5" fillId="0" borderId="0" xfId="8" applyFont="1" applyFill="1" applyBorder="1" applyAlignment="1"/>
    <xf numFmtId="10" fontId="5" fillId="0" borderId="0" xfId="14" applyFont="1" applyFill="1" applyAlignment="1">
      <alignment horizontal="center"/>
    </xf>
    <xf numFmtId="37" fontId="5" fillId="0" borderId="2" xfId="9" applyFont="1" applyBorder="1" applyAlignment="1">
      <alignment horizontal="center"/>
    </xf>
    <xf numFmtId="169" fontId="10" fillId="0" borderId="0" xfId="13" applyNumberFormat="1" applyFont="1" applyFill="1" applyAlignment="1">
      <alignment horizontal="right"/>
    </xf>
    <xf numFmtId="10" fontId="5" fillId="0" borderId="0" xfId="14" applyFont="1" applyFill="1"/>
    <xf numFmtId="10" fontId="5" fillId="0" borderId="0" xfId="2" applyNumberFormat="1" applyFont="1"/>
    <xf numFmtId="169" fontId="10" fillId="0" borderId="0" xfId="13" applyNumberFormat="1" applyFont="1" applyAlignment="1">
      <alignment horizontal="right"/>
    </xf>
    <xf numFmtId="10" fontId="5" fillId="0" borderId="0" xfId="14" applyFont="1" applyBorder="1"/>
    <xf numFmtId="10" fontId="5" fillId="0" borderId="0" xfId="14" applyNumberFormat="1" applyFont="1" applyBorder="1"/>
    <xf numFmtId="37" fontId="5" fillId="0" borderId="2" xfId="8" applyFont="1" applyFill="1" applyBorder="1"/>
    <xf numFmtId="0" fontId="5" fillId="0" borderId="0" xfId="10" applyFont="1" applyAlignment="1">
      <alignment horizontal="center"/>
    </xf>
    <xf numFmtId="41" fontId="5" fillId="0" borderId="14" xfId="1" applyFont="1" applyFill="1" applyBorder="1"/>
    <xf numFmtId="41" fontId="5" fillId="0" borderId="17" xfId="1" applyFont="1" applyFill="1" applyBorder="1"/>
    <xf numFmtId="41" fontId="5" fillId="0" borderId="14" xfId="1" applyFont="1" applyBorder="1"/>
    <xf numFmtId="41" fontId="5" fillId="0" borderId="15" xfId="1" applyFont="1" applyFill="1" applyBorder="1"/>
    <xf numFmtId="41" fontId="5" fillId="0" borderId="3" xfId="1" applyFont="1" applyFill="1" applyBorder="1"/>
    <xf numFmtId="37" fontId="10" fillId="0" borderId="0" xfId="8" applyFont="1" applyBorder="1" applyAlignment="1">
      <alignment horizontal="right"/>
    </xf>
    <xf numFmtId="10" fontId="5" fillId="0" borderId="0" xfId="14" applyNumberFormat="1" applyFont="1" applyFill="1"/>
    <xf numFmtId="0" fontId="5" fillId="0" borderId="0" xfId="15" applyFont="1"/>
    <xf numFmtId="0" fontId="5" fillId="0" borderId="0" xfId="16" applyFont="1"/>
    <xf numFmtId="0" fontId="5" fillId="0" borderId="0" xfId="16" applyFont="1" applyAlignment="1">
      <alignment horizontal="center"/>
    </xf>
    <xf numFmtId="37" fontId="10" fillId="0" borderId="0" xfId="9" applyFont="1"/>
    <xf numFmtId="37" fontId="10" fillId="0" borderId="0" xfId="9" applyFont="1" applyAlignment="1">
      <alignment horizontal="left"/>
    </xf>
    <xf numFmtId="0" fontId="10" fillId="0" borderId="0" xfId="15" applyFont="1"/>
    <xf numFmtId="41" fontId="5" fillId="0" borderId="0" xfId="6" applyFont="1" applyAlignment="1">
      <alignment horizontal="center"/>
    </xf>
    <xf numFmtId="0" fontId="5" fillId="0" borderId="0" xfId="15" applyFont="1" applyAlignment="1">
      <alignment horizontal="center"/>
    </xf>
    <xf numFmtId="0" fontId="5" fillId="0" borderId="0" xfId="16" applyFont="1" applyFill="1" applyBorder="1" applyAlignment="1">
      <alignment horizontal="right"/>
    </xf>
    <xf numFmtId="41" fontId="5" fillId="0" borderId="5" xfId="6" applyFont="1" applyBorder="1" applyAlignment="1">
      <alignment horizontal="center"/>
    </xf>
    <xf numFmtId="0" fontId="10" fillId="0" borderId="0" xfId="15" applyFont="1" applyBorder="1" applyAlignment="1">
      <alignment horizontal="center"/>
    </xf>
    <xf numFmtId="0" fontId="10" fillId="0" borderId="0" xfId="15" applyFont="1" applyBorder="1"/>
    <xf numFmtId="0" fontId="5" fillId="0" borderId="0" xfId="15" applyFont="1" applyBorder="1" applyAlignment="1">
      <alignment horizontal="center"/>
    </xf>
    <xf numFmtId="0" fontId="10" fillId="0" borderId="0" xfId="16" applyFont="1" applyFill="1" applyBorder="1" applyAlignment="1">
      <alignment horizontal="center"/>
    </xf>
    <xf numFmtId="0" fontId="10" fillId="0" borderId="0" xfId="15" applyFont="1" applyAlignment="1">
      <alignment horizontal="center"/>
    </xf>
    <xf numFmtId="41" fontId="10" fillId="0" borderId="0" xfId="6" applyFont="1" applyAlignment="1">
      <alignment horizontal="centerContinuous"/>
    </xf>
    <xf numFmtId="41" fontId="10" fillId="0" borderId="2" xfId="6" applyFont="1" applyBorder="1" applyAlignment="1">
      <alignment horizontal="center"/>
    </xf>
    <xf numFmtId="5" fontId="5" fillId="0" borderId="0" xfId="15" applyNumberFormat="1" applyFont="1" applyBorder="1" applyAlignment="1"/>
    <xf numFmtId="0" fontId="5" fillId="0" borderId="0" xfId="15" applyFont="1" applyBorder="1"/>
    <xf numFmtId="0" fontId="10" fillId="0" borderId="0" xfId="15" applyFont="1" applyBorder="1" applyAlignment="1">
      <alignment horizontal="right"/>
    </xf>
    <xf numFmtId="10" fontId="5" fillId="0" borderId="0" xfId="15" applyNumberFormat="1" applyFont="1" applyBorder="1" applyAlignment="1"/>
    <xf numFmtId="169" fontId="5" fillId="0" borderId="4" xfId="13" applyNumberFormat="1" applyFont="1" applyBorder="1" applyAlignment="1"/>
    <xf numFmtId="169" fontId="5" fillId="0" borderId="0" xfId="13" applyNumberFormat="1" applyFont="1" applyBorder="1" applyAlignment="1"/>
    <xf numFmtId="0" fontId="5" fillId="0" borderId="0" xfId="15" applyFont="1" applyBorder="1" applyAlignment="1"/>
    <xf numFmtId="41" fontId="5" fillId="0" borderId="0" xfId="15" applyNumberFormat="1" applyFont="1" applyBorder="1" applyAlignment="1"/>
    <xf numFmtId="172" fontId="5" fillId="0" borderId="0" xfId="2" applyNumberFormat="1" applyFont="1" applyBorder="1" applyAlignment="1"/>
    <xf numFmtId="167" fontId="5" fillId="0" borderId="4" xfId="13" applyNumberFormat="1" applyFont="1" applyBorder="1" applyAlignment="1"/>
    <xf numFmtId="167" fontId="5" fillId="0" borderId="0" xfId="13" applyNumberFormat="1" applyFont="1" applyBorder="1" applyAlignment="1"/>
    <xf numFmtId="167" fontId="5" fillId="0" borderId="21" xfId="13" applyNumberFormat="1" applyFont="1" applyBorder="1" applyAlignment="1"/>
    <xf numFmtId="41" fontId="5" fillId="0" borderId="0" xfId="6" applyFont="1" applyBorder="1" applyAlignment="1">
      <alignment horizontal="center"/>
    </xf>
    <xf numFmtId="5" fontId="15" fillId="0" borderId="0" xfId="15" applyNumberFormat="1" applyFont="1" applyBorder="1" applyAlignment="1"/>
    <xf numFmtId="10" fontId="15" fillId="0" borderId="0" xfId="15" applyNumberFormat="1" applyFont="1" applyBorder="1" applyAlignment="1"/>
    <xf numFmtId="172" fontId="15" fillId="0" borderId="0" xfId="2" applyNumberFormat="1" applyFont="1" applyBorder="1" applyAlignment="1"/>
    <xf numFmtId="0" fontId="5" fillId="5" borderId="0" xfId="16" applyFont="1" applyFill="1"/>
    <xf numFmtId="0" fontId="5" fillId="5" borderId="0" xfId="15" applyFont="1" applyFill="1"/>
    <xf numFmtId="41" fontId="13" fillId="0" borderId="0" xfId="6" applyFont="1"/>
    <xf numFmtId="0" fontId="16" fillId="0" borderId="0" xfId="16" applyFont="1" applyFill="1" applyBorder="1" applyAlignment="1">
      <alignment horizontal="right"/>
    </xf>
    <xf numFmtId="0" fontId="5" fillId="5" borderId="0" xfId="15" applyFont="1" applyFill="1" applyBorder="1" applyAlignment="1"/>
    <xf numFmtId="0" fontId="9" fillId="5" borderId="0" xfId="15" applyFont="1" applyFill="1"/>
    <xf numFmtId="0" fontId="17" fillId="0" borderId="0" xfId="15" applyFont="1" applyBorder="1" applyAlignment="1">
      <alignment horizontal="left"/>
    </xf>
    <xf numFmtId="0" fontId="9" fillId="5" borderId="0" xfId="16" applyFont="1" applyFill="1" applyBorder="1" applyAlignment="1">
      <alignment horizontal="right"/>
    </xf>
    <xf numFmtId="0" fontId="5" fillId="5" borderId="0" xfId="15" applyFont="1" applyFill="1" applyAlignment="1">
      <alignment horizontal="center"/>
    </xf>
    <xf numFmtId="0" fontId="8" fillId="5" borderId="0" xfId="15" applyFont="1" applyFill="1" applyAlignment="1">
      <alignment horizontal="center"/>
    </xf>
    <xf numFmtId="172" fontId="5" fillId="0" borderId="0" xfId="2" applyNumberFormat="1" applyFont="1" applyFill="1" applyBorder="1" applyAlignment="1"/>
    <xf numFmtId="41" fontId="8" fillId="5" borderId="0" xfId="6" applyFont="1" applyFill="1" applyAlignment="1">
      <alignment horizontal="centerContinuous"/>
    </xf>
    <xf numFmtId="173" fontId="5" fillId="4" borderId="7" xfId="1" applyNumberFormat="1" applyFont="1" applyFill="1" applyBorder="1"/>
    <xf numFmtId="0" fontId="5" fillId="0" borderId="0" xfId="16" applyFont="1" applyFill="1" applyBorder="1" applyAlignment="1"/>
    <xf numFmtId="174" fontId="5" fillId="0" borderId="0" xfId="16" applyNumberFormat="1" applyFont="1" applyFill="1" applyBorder="1" applyAlignment="1"/>
    <xf numFmtId="41" fontId="8" fillId="5" borderId="0" xfId="6" applyFont="1" applyFill="1" applyBorder="1" applyAlignment="1">
      <alignment horizontal="center"/>
    </xf>
    <xf numFmtId="173" fontId="5" fillId="4" borderId="8" xfId="1" applyNumberFormat="1" applyFont="1" applyFill="1" applyBorder="1"/>
    <xf numFmtId="0" fontId="5" fillId="0" borderId="0" xfId="16" applyFont="1" applyFill="1" applyBorder="1" applyAlignment="1">
      <alignment horizontal="center"/>
    </xf>
    <xf numFmtId="175" fontId="9" fillId="5" borderId="0" xfId="16" applyNumberFormat="1" applyFont="1" applyFill="1" applyBorder="1" applyAlignment="1"/>
    <xf numFmtId="0" fontId="10" fillId="0" borderId="0" xfId="16" applyFont="1" applyFill="1" applyBorder="1" applyAlignment="1">
      <alignment horizontal="right"/>
    </xf>
    <xf numFmtId="172" fontId="5" fillId="0" borderId="4" xfId="2" applyNumberFormat="1" applyFont="1" applyFill="1" applyBorder="1" applyAlignment="1"/>
    <xf numFmtId="173" fontId="5" fillId="4" borderId="9" xfId="1" applyNumberFormat="1" applyFont="1" applyFill="1" applyBorder="1"/>
    <xf numFmtId="173" fontId="5" fillId="4" borderId="8" xfId="15" applyNumberFormat="1" applyFont="1" applyFill="1" applyBorder="1"/>
    <xf numFmtId="172" fontId="5" fillId="0" borderId="21" xfId="2" applyNumberFormat="1" applyFont="1" applyFill="1" applyBorder="1" applyAlignment="1"/>
    <xf numFmtId="0" fontId="5" fillId="4" borderId="8" xfId="15" applyFont="1" applyFill="1" applyBorder="1"/>
    <xf numFmtId="173" fontId="10" fillId="4" borderId="22" xfId="1" applyNumberFormat="1" applyFont="1" applyFill="1" applyBorder="1"/>
    <xf numFmtId="175" fontId="5" fillId="5" borderId="0" xfId="16" applyNumberFormat="1" applyFont="1" applyFill="1" applyBorder="1" applyAlignment="1"/>
    <xf numFmtId="175" fontId="5" fillId="0" borderId="0" xfId="16" applyNumberFormat="1" applyFont="1" applyFill="1" applyBorder="1" applyAlignment="1"/>
    <xf numFmtId="0" fontId="9" fillId="5" borderId="0" xfId="16" applyFont="1" applyFill="1" applyBorder="1" applyAlignment="1"/>
    <xf numFmtId="175" fontId="5" fillId="0" borderId="0" xfId="16" applyNumberFormat="1" applyFont="1"/>
    <xf numFmtId="0" fontId="5" fillId="0" borderId="0" xfId="15" applyFont="1" applyFill="1" applyBorder="1" applyAlignment="1">
      <alignment horizontal="center"/>
    </xf>
    <xf numFmtId="0" fontId="5" fillId="0" borderId="0" xfId="15" applyNumberFormat="1" applyFont="1" applyAlignment="1">
      <alignment horizontal="center"/>
    </xf>
    <xf numFmtId="0" fontId="10" fillId="0" borderId="0" xfId="6" applyNumberFormat="1" applyFont="1" applyAlignment="1">
      <alignment horizontal="center"/>
    </xf>
    <xf numFmtId="0" fontId="5" fillId="0" borderId="0" xfId="6" applyNumberFormat="1" applyFont="1" applyAlignment="1">
      <alignment horizontal="center"/>
    </xf>
    <xf numFmtId="0" fontId="5" fillId="0" borderId="5" xfId="6" applyNumberFormat="1" applyFont="1" applyBorder="1" applyAlignment="1">
      <alignment horizontal="center"/>
    </xf>
    <xf numFmtId="0" fontId="5" fillId="0" borderId="0" xfId="6" applyNumberFormat="1" applyFont="1" applyBorder="1" applyAlignment="1">
      <alignment horizontal="center"/>
    </xf>
    <xf numFmtId="169" fontId="5" fillId="0" borderId="0" xfId="13" applyNumberFormat="1" applyFont="1"/>
    <xf numFmtId="37" fontId="5" fillId="0" borderId="0" xfId="9" applyFont="1" applyAlignment="1">
      <alignment horizontal="right"/>
    </xf>
    <xf numFmtId="37" fontId="5" fillId="5" borderId="0" xfId="9" applyFont="1" applyFill="1"/>
    <xf numFmtId="37" fontId="10" fillId="0" borderId="0" xfId="9" applyFont="1" applyAlignment="1">
      <alignment horizontal="center"/>
    </xf>
    <xf numFmtId="37" fontId="9" fillId="0" borderId="0" xfId="9" applyFont="1"/>
    <xf numFmtId="1" fontId="5" fillId="0" borderId="5" xfId="6" applyNumberFormat="1" applyFont="1" applyBorder="1" applyAlignment="1">
      <alignment horizontal="center"/>
    </xf>
    <xf numFmtId="37" fontId="14" fillId="0" borderId="0" xfId="9" applyFont="1" applyAlignment="1">
      <alignment horizontal="center"/>
    </xf>
    <xf numFmtId="37" fontId="5" fillId="0" borderId="0" xfId="9" applyFont="1" applyFill="1"/>
    <xf numFmtId="37" fontId="9" fillId="0" borderId="0" xfId="9" applyFont="1" applyFill="1"/>
    <xf numFmtId="37" fontId="10" fillId="0" borderId="0" xfId="9" applyFont="1" applyFill="1" applyAlignment="1">
      <alignment horizontal="right"/>
    </xf>
    <xf numFmtId="169" fontId="10" fillId="0" borderId="0" xfId="13" applyNumberFormat="1" applyFont="1" applyFill="1" applyAlignment="1">
      <alignment horizontal="left"/>
    </xf>
    <xf numFmtId="10" fontId="5" fillId="0" borderId="0" xfId="14" applyNumberFormat="1" applyFont="1"/>
    <xf numFmtId="10" fontId="5" fillId="0" borderId="21" xfId="14" applyFont="1" applyBorder="1"/>
    <xf numFmtId="10" fontId="5" fillId="0" borderId="21" xfId="14" applyNumberFormat="1" applyFont="1" applyBorder="1"/>
    <xf numFmtId="169" fontId="5" fillId="0" borderId="0" xfId="13" applyNumberFormat="1" applyFont="1" applyFill="1"/>
    <xf numFmtId="14" fontId="5" fillId="0" borderId="0" xfId="9" applyNumberFormat="1" applyFont="1"/>
    <xf numFmtId="41" fontId="19" fillId="0" borderId="0" xfId="17" applyFont="1" applyAlignment="1">
      <alignment horizontal="center"/>
    </xf>
    <xf numFmtId="10" fontId="18" fillId="0" borderId="0" xfId="14" applyFont="1" applyBorder="1"/>
    <xf numFmtId="37" fontId="5" fillId="0" borderId="2" xfId="9" applyFont="1" applyBorder="1"/>
    <xf numFmtId="37" fontId="5" fillId="0" borderId="21" xfId="9" applyFont="1" applyBorder="1"/>
    <xf numFmtId="37" fontId="5" fillId="0" borderId="0" xfId="9" applyFont="1" applyAlignment="1">
      <alignment horizontal="left"/>
    </xf>
    <xf numFmtId="37" fontId="5" fillId="0" borderId="0" xfId="18" applyFont="1"/>
    <xf numFmtId="37" fontId="5" fillId="0" borderId="12" xfId="9" applyFont="1" applyBorder="1"/>
    <xf numFmtId="5" fontId="18" fillId="0" borderId="0" xfId="6" applyNumberFormat="1" applyFont="1" applyBorder="1" applyAlignment="1">
      <alignment horizontal="right"/>
    </xf>
    <xf numFmtId="37" fontId="5" fillId="0" borderId="2" xfId="9" applyFont="1" applyFill="1" applyBorder="1"/>
    <xf numFmtId="41" fontId="18" fillId="5" borderId="0" xfId="6" applyFont="1" applyFill="1"/>
    <xf numFmtId="37" fontId="5" fillId="5" borderId="0" xfId="9" applyFont="1" applyFill="1" applyBorder="1" applyAlignment="1">
      <alignment horizontal="left"/>
    </xf>
    <xf numFmtId="0" fontId="5" fillId="5" borderId="0" xfId="15" applyFont="1" applyFill="1" applyBorder="1" applyAlignment="1">
      <alignment horizontal="left"/>
    </xf>
    <xf numFmtId="37" fontId="5" fillId="5" borderId="0" xfId="9" quotePrefix="1" applyFont="1" applyFill="1" applyBorder="1" applyAlignment="1">
      <alignment horizontal="left"/>
    </xf>
    <xf numFmtId="0" fontId="5" fillId="0" borderId="0" xfId="9" applyNumberFormat="1" applyFont="1" applyAlignment="1">
      <alignment horizontal="center"/>
    </xf>
    <xf numFmtId="37" fontId="10" fillId="0" borderId="0" xfId="9" applyFont="1" applyBorder="1"/>
    <xf numFmtId="37" fontId="10" fillId="0" borderId="13" xfId="9" applyFont="1" applyFill="1" applyBorder="1" applyAlignment="1">
      <alignment horizontal="right"/>
    </xf>
    <xf numFmtId="37" fontId="10" fillId="0" borderId="0" xfId="9" applyFont="1" applyBorder="1" applyAlignment="1">
      <alignment horizontal="right"/>
    </xf>
    <xf numFmtId="37" fontId="10" fillId="0" borderId="0" xfId="9" applyFont="1" applyFill="1"/>
    <xf numFmtId="164" fontId="5" fillId="0" borderId="0" xfId="3" applyFont="1" applyFill="1" applyBorder="1" applyAlignment="1">
      <alignment horizontal="center"/>
    </xf>
    <xf numFmtId="37" fontId="5" fillId="0" borderId="11" xfId="8" applyFont="1" applyFill="1" applyBorder="1" applyAlignment="1">
      <alignment horizontal="center"/>
    </xf>
    <xf numFmtId="37" fontId="5" fillId="0" borderId="3" xfId="8" applyFont="1" applyFill="1" applyBorder="1" applyAlignment="1">
      <alignment horizontal="center"/>
    </xf>
    <xf numFmtId="37" fontId="5" fillId="0" borderId="19" xfId="8" applyFont="1" applyFill="1" applyBorder="1" applyAlignment="1">
      <alignment horizontal="center"/>
    </xf>
    <xf numFmtId="37" fontId="10" fillId="0" borderId="0" xfId="9" applyFont="1" applyAlignment="1">
      <alignment horizontal="center"/>
    </xf>
    <xf numFmtId="5" fontId="5" fillId="0" borderId="0" xfId="1" applyNumberFormat="1" applyFont="1" applyBorder="1"/>
    <xf numFmtId="3" fontId="5" fillId="5" borderId="5" xfId="3" applyNumberFormat="1" applyFont="1" applyFill="1" applyBorder="1"/>
    <xf numFmtId="3" fontId="5" fillId="0" borderId="5" xfId="3" applyNumberFormat="1" applyFont="1" applyFill="1" applyBorder="1"/>
    <xf numFmtId="3" fontId="5" fillId="0" borderId="0" xfId="3" applyNumberFormat="1" applyFont="1" applyFill="1" applyAlignment="1">
      <alignment horizontal="left"/>
    </xf>
    <xf numFmtId="164" fontId="10" fillId="0" borderId="0" xfId="3" applyFont="1" applyBorder="1" applyAlignment="1">
      <alignment horizontal="center"/>
    </xf>
    <xf numFmtId="164" fontId="5" fillId="0" borderId="0" xfId="3" applyFont="1" applyBorder="1" applyAlignment="1">
      <alignment horizontal="center"/>
    </xf>
    <xf numFmtId="164" fontId="10" fillId="5" borderId="0" xfId="3" applyFont="1" applyFill="1" applyBorder="1" applyAlignment="1">
      <alignment horizontal="center"/>
    </xf>
    <xf numFmtId="164" fontId="11" fillId="0" borderId="4" xfId="3" applyFont="1" applyBorder="1" applyAlignment="1">
      <alignment horizontal="left"/>
    </xf>
    <xf numFmtId="164" fontId="5" fillId="5" borderId="4" xfId="3" applyFont="1" applyFill="1" applyBorder="1" applyAlignment="1">
      <alignment horizontal="center"/>
    </xf>
    <xf numFmtId="164" fontId="5" fillId="0" borderId="4" xfId="3" applyFont="1" applyBorder="1" applyAlignment="1">
      <alignment horizontal="center"/>
    </xf>
    <xf numFmtId="0" fontId="5" fillId="0" borderId="4" xfId="3" applyNumberFormat="1" applyFont="1" applyBorder="1" applyAlignment="1">
      <alignment horizontal="center"/>
    </xf>
    <xf numFmtId="3" fontId="5" fillId="0" borderId="0" xfId="3" applyNumberFormat="1" applyFont="1" applyFill="1" applyBorder="1" applyAlignment="1">
      <alignment horizontal="left"/>
    </xf>
    <xf numFmtId="3" fontId="5" fillId="0" borderId="12" xfId="3" applyNumberFormat="1" applyFont="1" applyFill="1" applyBorder="1" applyAlignment="1">
      <alignment horizontal="left"/>
    </xf>
    <xf numFmtId="164" fontId="10" fillId="0" borderId="0" xfId="3" applyFont="1" applyFill="1" applyBorder="1" applyAlignment="1">
      <alignment horizontal="center"/>
    </xf>
    <xf numFmtId="0" fontId="10" fillId="0" borderId="0" xfId="3" applyNumberFormat="1" applyFont="1" applyFill="1" applyBorder="1" applyAlignment="1">
      <alignment horizontal="center"/>
    </xf>
    <xf numFmtId="0" fontId="5" fillId="0" borderId="4" xfId="3" applyNumberFormat="1" applyFont="1" applyFill="1" applyBorder="1" applyAlignment="1">
      <alignment horizontal="center"/>
    </xf>
    <xf numFmtId="3" fontId="11" fillId="0" borderId="4" xfId="3" applyNumberFormat="1" applyFont="1" applyFill="1" applyBorder="1" applyAlignment="1">
      <alignment horizontal="left"/>
    </xf>
    <xf numFmtId="37" fontId="5" fillId="0" borderId="0" xfId="9" applyFont="1" applyBorder="1"/>
    <xf numFmtId="37" fontId="21" fillId="0" borderId="0" xfId="9" applyFont="1" applyBorder="1"/>
    <xf numFmtId="37" fontId="5" fillId="0" borderId="0" xfId="8" applyFont="1" applyBorder="1" applyAlignment="1">
      <alignment horizontal="center"/>
    </xf>
    <xf numFmtId="37" fontId="5" fillId="3" borderId="0" xfId="8" applyFont="1" applyFill="1" applyBorder="1" applyAlignment="1">
      <alignment horizontal="center"/>
    </xf>
    <xf numFmtId="37" fontId="10" fillId="0" borderId="0" xfId="8" applyFont="1" applyBorder="1" applyAlignment="1">
      <alignment horizontal="center"/>
    </xf>
    <xf numFmtId="168" fontId="5" fillId="5" borderId="0" xfId="8" applyNumberFormat="1" applyFont="1" applyFill="1" applyBorder="1"/>
    <xf numFmtId="37" fontId="10" fillId="0" borderId="0" xfId="8" applyFont="1" applyBorder="1"/>
    <xf numFmtId="37" fontId="14" fillId="0" borderId="0" xfId="8" applyFont="1" applyBorder="1"/>
    <xf numFmtId="10" fontId="5" fillId="0" borderId="0" xfId="14" applyFont="1" applyFill="1" applyBorder="1" applyAlignment="1">
      <alignment horizontal="center"/>
    </xf>
    <xf numFmtId="10" fontId="5" fillId="0" borderId="0" xfId="14" applyFont="1" applyFill="1" applyBorder="1"/>
    <xf numFmtId="170" fontId="5" fillId="0" borderId="0" xfId="14" applyNumberFormat="1" applyFont="1" applyFill="1" applyBorder="1"/>
    <xf numFmtId="37" fontId="10" fillId="0" borderId="2" xfId="8" applyFont="1" applyFill="1" applyBorder="1" applyAlignment="1">
      <alignment horizontal="center"/>
    </xf>
    <xf numFmtId="41" fontId="5" fillId="0" borderId="20" xfId="1" applyFont="1" applyBorder="1"/>
    <xf numFmtId="37" fontId="5" fillId="0" borderId="15" xfId="8" applyFont="1" applyFill="1" applyBorder="1" applyAlignment="1">
      <alignment horizontal="center"/>
    </xf>
    <xf numFmtId="41" fontId="5" fillId="0" borderId="17" xfId="1" applyFont="1" applyBorder="1"/>
    <xf numFmtId="41" fontId="5" fillId="0" borderId="18" xfId="1" applyFont="1" applyFill="1" applyBorder="1"/>
    <xf numFmtId="37" fontId="5" fillId="0" borderId="15" xfId="8" applyFont="1" applyBorder="1" applyAlignment="1">
      <alignment horizontal="center"/>
    </xf>
    <xf numFmtId="41" fontId="5" fillId="0" borderId="0" xfId="8" applyNumberFormat="1" applyFont="1" applyFill="1" applyBorder="1"/>
    <xf numFmtId="10" fontId="20" fillId="0" borderId="24" xfId="2" applyNumberFormat="1" applyFont="1" applyBorder="1"/>
    <xf numFmtId="10" fontId="20" fillId="0" borderId="25" xfId="2" applyNumberFormat="1" applyFont="1" applyBorder="1"/>
    <xf numFmtId="37" fontId="20" fillId="0" borderId="26" xfId="8" applyFont="1" applyBorder="1"/>
    <xf numFmtId="37" fontId="5" fillId="0" borderId="0" xfId="9" applyFont="1" applyFill="1" applyBorder="1"/>
    <xf numFmtId="10" fontId="5" fillId="0" borderId="2" xfId="14" applyNumberFormat="1" applyFont="1" applyFill="1" applyBorder="1"/>
    <xf numFmtId="10" fontId="5" fillId="0" borderId="2" xfId="14" applyFont="1" applyFill="1" applyBorder="1"/>
    <xf numFmtId="41" fontId="5" fillId="0" borderId="2" xfId="6" applyFont="1" applyBorder="1" applyAlignment="1">
      <alignment horizontal="center"/>
    </xf>
    <xf numFmtId="0" fontId="5" fillId="5" borderId="0" xfId="16" applyFont="1" applyFill="1" applyBorder="1" applyAlignment="1">
      <alignment horizontal="right"/>
    </xf>
    <xf numFmtId="0" fontId="5" fillId="5" borderId="0" xfId="15" applyFont="1" applyFill="1" applyAlignment="1">
      <alignment horizontal="left"/>
    </xf>
    <xf numFmtId="0" fontId="15" fillId="5" borderId="0" xfId="16" applyFont="1" applyFill="1"/>
    <xf numFmtId="0" fontId="5" fillId="5" borderId="13" xfId="15" applyFont="1" applyFill="1" applyBorder="1" applyAlignment="1">
      <alignment horizontal="left"/>
    </xf>
    <xf numFmtId="169" fontId="5" fillId="5" borderId="13" xfId="1" applyNumberFormat="1" applyFont="1" applyFill="1" applyBorder="1" applyAlignment="1" applyProtection="1">
      <alignment horizontal="left"/>
    </xf>
    <xf numFmtId="0" fontId="5" fillId="0" borderId="2" xfId="6" applyNumberFormat="1" applyFont="1" applyBorder="1" applyAlignment="1">
      <alignment horizontal="center"/>
    </xf>
    <xf numFmtId="41" fontId="10" fillId="5" borderId="4" xfId="6" applyFont="1" applyFill="1" applyBorder="1" applyAlignment="1">
      <alignment horizontal="center"/>
    </xf>
    <xf numFmtId="41" fontId="10" fillId="5" borderId="1" xfId="6" applyFont="1" applyFill="1" applyBorder="1" applyAlignment="1">
      <alignment horizontal="center"/>
    </xf>
    <xf numFmtId="175" fontId="5" fillId="5" borderId="13" xfId="16" applyNumberFormat="1" applyFont="1" applyFill="1" applyBorder="1" applyAlignment="1"/>
    <xf numFmtId="0" fontId="5" fillId="5" borderId="0" xfId="16" applyFont="1" applyFill="1" applyBorder="1" applyAlignment="1"/>
    <xf numFmtId="0" fontId="10" fillId="5" borderId="4" xfId="15" applyFont="1" applyFill="1" applyBorder="1" applyAlignment="1">
      <alignment horizontal="center"/>
    </xf>
    <xf numFmtId="0" fontId="10" fillId="5" borderId="1" xfId="16" applyFont="1" applyFill="1" applyBorder="1" applyAlignment="1">
      <alignment horizontal="center"/>
    </xf>
    <xf numFmtId="37" fontId="5" fillId="5" borderId="13" xfId="9" applyFont="1" applyFill="1" applyBorder="1"/>
    <xf numFmtId="37" fontId="10" fillId="5" borderId="4" xfId="9" applyFont="1" applyFill="1" applyBorder="1" applyAlignment="1">
      <alignment horizontal="center"/>
    </xf>
    <xf numFmtId="37" fontId="10" fillId="5" borderId="1" xfId="9" applyFont="1" applyFill="1" applyBorder="1" applyAlignment="1">
      <alignment horizontal="center"/>
    </xf>
    <xf numFmtId="164" fontId="0" fillId="9" borderId="0" xfId="0" applyFill="1"/>
    <xf numFmtId="37" fontId="10" fillId="0" borderId="0" xfId="9" applyFont="1" applyFill="1" applyBorder="1" applyAlignment="1">
      <alignment horizontal="right"/>
    </xf>
    <xf numFmtId="37" fontId="10" fillId="5" borderId="0" xfId="9" applyFont="1" applyFill="1" applyAlignment="1"/>
    <xf numFmtId="37" fontId="10" fillId="5" borderId="0" xfId="9" applyFont="1" applyFill="1" applyAlignment="1">
      <alignment horizontal="center"/>
    </xf>
    <xf numFmtId="37" fontId="5" fillId="5" borderId="13" xfId="9" applyFont="1" applyFill="1" applyBorder="1" applyAlignment="1">
      <alignment horizontal="center"/>
    </xf>
    <xf numFmtId="0" fontId="10" fillId="0" borderId="2" xfId="6" applyNumberFormat="1" applyFont="1" applyBorder="1" applyAlignment="1">
      <alignment horizontal="center"/>
    </xf>
    <xf numFmtId="171" fontId="5" fillId="5" borderId="0" xfId="2" applyNumberFormat="1" applyFont="1" applyFill="1" applyBorder="1"/>
    <xf numFmtId="176" fontId="5" fillId="5" borderId="0" xfId="1" applyNumberFormat="1" applyFont="1" applyFill="1" applyBorder="1" applyAlignment="1" applyProtection="1"/>
    <xf numFmtId="5" fontId="5" fillId="0" borderId="16" xfId="1" applyNumberFormat="1" applyFont="1" applyFill="1" applyBorder="1"/>
    <xf numFmtId="41" fontId="5" fillId="0" borderId="12" xfId="3" applyNumberFormat="1" applyFont="1" applyFill="1" applyBorder="1"/>
    <xf numFmtId="177" fontId="10" fillId="0" borderId="0" xfId="3" applyNumberFormat="1" applyFont="1" applyAlignment="1">
      <alignment horizontal="center"/>
    </xf>
    <xf numFmtId="177" fontId="10" fillId="0" borderId="0" xfId="3" applyNumberFormat="1" applyFont="1" applyBorder="1" applyAlignment="1">
      <alignment horizontal="center"/>
    </xf>
    <xf numFmtId="177" fontId="10" fillId="5" borderId="0" xfId="3" applyNumberFormat="1" applyFont="1" applyFill="1" applyAlignment="1">
      <alignment horizontal="center"/>
    </xf>
    <xf numFmtId="42" fontId="5" fillId="0" borderId="0" xfId="1" applyNumberFormat="1" applyFont="1" applyBorder="1"/>
    <xf numFmtId="42" fontId="5" fillId="5" borderId="0" xfId="3" applyNumberFormat="1" applyFont="1" applyFill="1"/>
    <xf numFmtId="42" fontId="5" fillId="0" borderId="0" xfId="3" applyNumberFormat="1" applyFont="1"/>
    <xf numFmtId="1" fontId="5" fillId="0" borderId="5" xfId="3" applyNumberFormat="1" applyFont="1" applyBorder="1" applyAlignment="1">
      <alignment horizontal="center"/>
    </xf>
    <xf numFmtId="37" fontId="5" fillId="0" borderId="0" xfId="8" applyFont="1" applyFill="1" applyBorder="1" applyAlignment="1">
      <alignment horizontal="right"/>
    </xf>
    <xf numFmtId="173" fontId="5" fillId="0" borderId="2" xfId="1" applyNumberFormat="1" applyFont="1" applyFill="1" applyBorder="1" applyAlignment="1">
      <alignment horizontal="right"/>
    </xf>
    <xf numFmtId="177" fontId="5" fillId="0" borderId="0" xfId="3" applyNumberFormat="1" applyFont="1"/>
    <xf numFmtId="177" fontId="5" fillId="0" borderId="0" xfId="3" applyNumberFormat="1" applyFont="1" applyFill="1"/>
    <xf numFmtId="2" fontId="5" fillId="0" borderId="2" xfId="1" applyNumberFormat="1" applyFont="1" applyFill="1" applyBorder="1" applyAlignment="1">
      <alignment horizontal="right"/>
    </xf>
    <xf numFmtId="2" fontId="5" fillId="0" borderId="0" xfId="3" applyNumberFormat="1" applyFont="1"/>
    <xf numFmtId="1" fontId="5" fillId="0" borderId="5" xfId="3" applyNumberFormat="1" applyFont="1" applyFill="1" applyBorder="1" applyAlignment="1">
      <alignment horizontal="center"/>
    </xf>
    <xf numFmtId="5" fontId="5" fillId="0" borderId="2" xfId="3" applyNumberFormat="1" applyFont="1" applyFill="1" applyBorder="1"/>
    <xf numFmtId="5" fontId="5" fillId="0" borderId="2" xfId="1" applyNumberFormat="1" applyFont="1" applyFill="1" applyBorder="1"/>
    <xf numFmtId="5" fontId="5" fillId="0" borderId="15" xfId="1" applyNumberFormat="1" applyFont="1" applyFill="1" applyBorder="1"/>
    <xf numFmtId="5" fontId="5" fillId="0" borderId="17" xfId="1" applyNumberFormat="1" applyFont="1" applyFill="1" applyBorder="1"/>
    <xf numFmtId="0" fontId="5" fillId="0" borderId="0" xfId="10" applyFont="1" applyFill="1" applyBorder="1" applyAlignment="1">
      <alignment horizontal="center"/>
    </xf>
    <xf numFmtId="37" fontId="5" fillId="0" borderId="0" xfId="9" applyFont="1" applyFill="1" applyBorder="1" applyAlignment="1">
      <alignment horizontal="center"/>
    </xf>
    <xf numFmtId="37" fontId="13" fillId="0" borderId="2" xfId="8" applyFont="1" applyFill="1" applyBorder="1" applyAlignment="1">
      <alignment horizontal="right"/>
    </xf>
    <xf numFmtId="37" fontId="12" fillId="0" borderId="0" xfId="8" applyFont="1" applyFill="1" applyBorder="1" applyAlignment="1">
      <alignment horizontal="right"/>
    </xf>
    <xf numFmtId="43" fontId="5" fillId="0" borderId="2" xfId="1" applyNumberFormat="1" applyFont="1" applyFill="1" applyBorder="1"/>
    <xf numFmtId="37" fontId="5" fillId="0" borderId="0" xfId="11" applyFont="1" applyFill="1" applyBorder="1"/>
    <xf numFmtId="41" fontId="5" fillId="0" borderId="1" xfId="1" applyFont="1" applyFill="1" applyBorder="1"/>
    <xf numFmtId="41" fontId="5" fillId="0" borderId="6" xfId="1" applyFont="1" applyFill="1" applyBorder="1"/>
    <xf numFmtId="37" fontId="10" fillId="0" borderId="0" xfId="8" applyFont="1" applyFill="1" applyBorder="1"/>
    <xf numFmtId="37" fontId="14" fillId="0" borderId="0" xfId="8" applyFont="1" applyFill="1" applyBorder="1"/>
    <xf numFmtId="169" fontId="5" fillId="0" borderId="0" xfId="13" applyNumberFormat="1" applyFont="1" applyFill="1" applyBorder="1"/>
    <xf numFmtId="37" fontId="5" fillId="0" borderId="2" xfId="9" applyFont="1" applyFill="1" applyBorder="1" applyAlignment="1">
      <alignment horizontal="center"/>
    </xf>
    <xf numFmtId="37" fontId="5" fillId="0" borderId="2" xfId="8" applyFont="1" applyFill="1" applyBorder="1" applyAlignment="1">
      <alignment horizontal="center"/>
    </xf>
    <xf numFmtId="169" fontId="10" fillId="0" borderId="0" xfId="13" applyNumberFormat="1" applyFont="1" applyFill="1" applyBorder="1" applyAlignment="1">
      <alignment horizontal="right"/>
    </xf>
    <xf numFmtId="10" fontId="5" fillId="0" borderId="0" xfId="14" applyNumberFormat="1" applyFont="1" applyFill="1" applyBorder="1"/>
    <xf numFmtId="37" fontId="5" fillId="0" borderId="0" xfId="8" applyFont="1" applyFill="1" applyBorder="1" applyAlignment="1">
      <alignment horizontal="left"/>
    </xf>
    <xf numFmtId="0" fontId="5" fillId="0" borderId="0" xfId="10" applyFont="1" applyFill="1" applyBorder="1" applyAlignment="1">
      <alignment horizontal="left"/>
    </xf>
    <xf numFmtId="41" fontId="10" fillId="0" borderId="0" xfId="6" applyFont="1" applyFill="1" applyBorder="1" applyAlignment="1">
      <alignment horizontal="center"/>
    </xf>
    <xf numFmtId="41" fontId="10" fillId="0" borderId="2" xfId="6" applyFont="1" applyFill="1" applyBorder="1" applyAlignment="1">
      <alignment horizontal="center"/>
    </xf>
    <xf numFmtId="37" fontId="5" fillId="0" borderId="0" xfId="6" applyNumberFormat="1" applyFont="1" applyFill="1" applyBorder="1" applyAlignment="1">
      <alignment horizontal="center"/>
    </xf>
    <xf numFmtId="3" fontId="10" fillId="0" borderId="2" xfId="3" applyNumberFormat="1" applyFont="1" applyFill="1" applyBorder="1" applyAlignment="1">
      <alignment horizontal="center"/>
    </xf>
    <xf numFmtId="5" fontId="5" fillId="0" borderId="0" xfId="5" applyNumberFormat="1" applyFont="1" applyFill="1"/>
    <xf numFmtId="3" fontId="5" fillId="0" borderId="0" xfId="3" applyNumberFormat="1" applyFont="1" applyFill="1" applyBorder="1" applyAlignment="1">
      <alignment horizontal="center"/>
    </xf>
    <xf numFmtId="164" fontId="5" fillId="0" borderId="12" xfId="3" applyFont="1" applyFill="1" applyBorder="1" applyAlignment="1">
      <alignment horizontal="center"/>
    </xf>
    <xf numFmtId="3" fontId="5" fillId="0" borderId="12" xfId="3" applyNumberFormat="1" applyFont="1" applyFill="1" applyBorder="1" applyAlignment="1">
      <alignment horizontal="center"/>
    </xf>
    <xf numFmtId="3" fontId="10" fillId="0" borderId="0" xfId="3" applyNumberFormat="1" applyFont="1" applyFill="1"/>
    <xf numFmtId="177" fontId="10" fillId="0" borderId="0" xfId="6" applyNumberFormat="1" applyFont="1" applyFill="1" applyBorder="1" applyAlignment="1">
      <alignment horizontal="center"/>
    </xf>
    <xf numFmtId="177" fontId="10" fillId="0" borderId="0" xfId="6" applyNumberFormat="1" applyFont="1" applyFill="1" applyAlignment="1">
      <alignment horizontal="center"/>
    </xf>
    <xf numFmtId="177" fontId="10" fillId="0" borderId="0" xfId="3" applyNumberFormat="1" applyFont="1" applyFill="1" applyAlignment="1">
      <alignment horizontal="center"/>
    </xf>
    <xf numFmtId="3" fontId="5" fillId="0" borderId="4" xfId="3" applyNumberFormat="1" applyFont="1" applyFill="1" applyBorder="1" applyAlignment="1">
      <alignment horizontal="center"/>
    </xf>
    <xf numFmtId="42" fontId="5" fillId="0" borderId="0" xfId="1" applyNumberFormat="1" applyFont="1" applyFill="1" applyBorder="1"/>
    <xf numFmtId="42" fontId="5" fillId="0" borderId="0" xfId="56" applyNumberFormat="1" applyFont="1" applyFill="1"/>
    <xf numFmtId="42" fontId="5" fillId="0" borderId="0" xfId="1" applyNumberFormat="1" applyFont="1" applyFill="1"/>
    <xf numFmtId="5" fontId="5" fillId="0" borderId="12" xfId="3" applyNumberFormat="1" applyFont="1" applyFill="1" applyBorder="1"/>
    <xf numFmtId="166" fontId="5" fillId="0" borderId="0" xfId="5" applyNumberFormat="1" applyFont="1" applyFill="1" applyBorder="1"/>
    <xf numFmtId="166" fontId="10" fillId="0" borderId="0" xfId="5" applyNumberFormat="1" applyFont="1" applyFill="1"/>
    <xf numFmtId="5" fontId="10" fillId="0" borderId="0" xfId="1" applyNumberFormat="1" applyFont="1" applyFill="1"/>
    <xf numFmtId="41" fontId="10" fillId="0" borderId="0" xfId="1" applyFont="1" applyFill="1"/>
    <xf numFmtId="41" fontId="10" fillId="0" borderId="2" xfId="1" applyFont="1" applyFill="1" applyBorder="1"/>
    <xf numFmtId="41" fontId="5" fillId="0" borderId="2" xfId="1" applyFont="1" applyFill="1" applyBorder="1" applyAlignment="1">
      <alignment horizontal="right"/>
    </xf>
    <xf numFmtId="5" fontId="5" fillId="0" borderId="21" xfId="3" applyNumberFormat="1" applyFont="1" applyFill="1" applyBorder="1"/>
    <xf numFmtId="164" fontId="3" fillId="0" borderId="0" xfId="3" applyFont="1" applyFill="1" applyAlignment="1">
      <alignment horizontal="center"/>
    </xf>
    <xf numFmtId="164" fontId="3" fillId="0" borderId="12" xfId="3" applyFont="1" applyFill="1" applyBorder="1" applyAlignment="1">
      <alignment horizontal="center"/>
    </xf>
    <xf numFmtId="164" fontId="5" fillId="0" borderId="12" xfId="3" applyFont="1" applyFill="1" applyBorder="1"/>
    <xf numFmtId="164" fontId="3" fillId="0" borderId="0" xfId="3" applyFont="1" applyFill="1"/>
    <xf numFmtId="0" fontId="5" fillId="0" borderId="0" xfId="7" quotePrefix="1" applyNumberFormat="1" applyFont="1" applyFill="1" applyAlignment="1">
      <alignment horizontal="center"/>
    </xf>
    <xf numFmtId="164" fontId="24" fillId="0" borderId="0" xfId="3" applyFont="1" applyFill="1" applyAlignment="1">
      <alignment horizontal="center"/>
    </xf>
    <xf numFmtId="177" fontId="24" fillId="0" borderId="0" xfId="6" applyNumberFormat="1" applyFont="1" applyFill="1" applyAlignment="1">
      <alignment horizontal="center"/>
    </xf>
    <xf numFmtId="3" fontId="24" fillId="0" borderId="0" xfId="3" applyNumberFormat="1" applyFont="1" applyFill="1" applyBorder="1" applyAlignment="1">
      <alignment horizontal="center"/>
    </xf>
    <xf numFmtId="3" fontId="10" fillId="0" borderId="0" xfId="3" quotePrefix="1" applyNumberFormat="1" applyFont="1" applyFill="1" applyBorder="1" applyAlignment="1">
      <alignment horizontal="center"/>
    </xf>
    <xf numFmtId="3" fontId="24" fillId="0" borderId="2" xfId="3" applyNumberFormat="1" applyFont="1" applyFill="1" applyBorder="1" applyAlignment="1">
      <alignment horizontal="center"/>
    </xf>
    <xf numFmtId="164" fontId="10" fillId="0" borderId="2" xfId="3" applyFont="1" applyFill="1" applyBorder="1" applyAlignment="1">
      <alignment horizontal="center"/>
    </xf>
    <xf numFmtId="3" fontId="10" fillId="0" borderId="4" xfId="3" applyNumberFormat="1" applyFont="1" applyFill="1" applyBorder="1" applyAlignment="1">
      <alignment horizontal="center"/>
    </xf>
    <xf numFmtId="3" fontId="3" fillId="0" borderId="0" xfId="3" applyNumberFormat="1" applyFont="1" applyFill="1"/>
    <xf numFmtId="5" fontId="3" fillId="0" borderId="0" xfId="5" applyNumberFormat="1" applyFont="1" applyFill="1"/>
    <xf numFmtId="41" fontId="3" fillId="0" borderId="0" xfId="1" applyFont="1" applyFill="1"/>
    <xf numFmtId="41" fontId="3" fillId="0" borderId="2" xfId="1" applyFont="1" applyFill="1" applyBorder="1"/>
    <xf numFmtId="164" fontId="5" fillId="0" borderId="2" xfId="3" applyFont="1" applyFill="1" applyBorder="1"/>
    <xf numFmtId="41" fontId="3" fillId="0" borderId="0" xfId="1" applyFont="1" applyFill="1" applyBorder="1"/>
    <xf numFmtId="5" fontId="3" fillId="0" borderId="12" xfId="3" applyNumberFormat="1" applyFont="1" applyFill="1" applyBorder="1"/>
    <xf numFmtId="166" fontId="3" fillId="0" borderId="0" xfId="5" applyNumberFormat="1" applyFont="1" applyFill="1"/>
    <xf numFmtId="41" fontId="3" fillId="0" borderId="11" xfId="1" applyFont="1" applyFill="1" applyBorder="1"/>
    <xf numFmtId="164" fontId="3" fillId="0" borderId="2" xfId="3" applyFont="1" applyFill="1" applyBorder="1"/>
    <xf numFmtId="164" fontId="3" fillId="0" borderId="0" xfId="0" applyFont="1" applyFill="1" applyBorder="1" applyAlignment="1">
      <alignment horizontal="right"/>
    </xf>
    <xf numFmtId="5" fontId="3" fillId="0" borderId="0" xfId="3" applyNumberFormat="1" applyFont="1" applyFill="1" applyBorder="1"/>
    <xf numFmtId="41" fontId="3" fillId="0" borderId="0" xfId="1" applyFont="1" applyFill="1" applyBorder="1" applyAlignment="1">
      <alignment horizontal="right"/>
    </xf>
    <xf numFmtId="41" fontId="3" fillId="0" borderId="4" xfId="1" applyFont="1" applyFill="1" applyBorder="1"/>
    <xf numFmtId="2" fontId="3" fillId="0" borderId="2" xfId="1" applyNumberFormat="1" applyFont="1" applyFill="1" applyBorder="1" applyAlignment="1">
      <alignment horizontal="right"/>
    </xf>
    <xf numFmtId="41" fontId="18" fillId="0" borderId="0" xfId="6" applyNumberFormat="1" applyFont="1" applyBorder="1" applyAlignment="1">
      <alignment horizontal="right"/>
    </xf>
    <xf numFmtId="0" fontId="23" fillId="0" borderId="0" xfId="57" applyNumberFormat="1" applyFont="1" applyAlignment="1">
      <alignment horizontal="left"/>
    </xf>
    <xf numFmtId="0" fontId="23" fillId="0" borderId="0" xfId="57" applyFont="1"/>
    <xf numFmtId="0" fontId="23" fillId="0" borderId="0" xfId="57" applyNumberFormat="1" applyFont="1" applyAlignment="1">
      <alignment horizontal="center"/>
    </xf>
    <xf numFmtId="3" fontId="23" fillId="0" borderId="0" xfId="58" applyNumberFormat="1" applyFont="1"/>
    <xf numFmtId="0" fontId="27" fillId="0" borderId="0" xfId="59" applyFont="1"/>
    <xf numFmtId="0" fontId="28" fillId="0" borderId="0" xfId="58" applyFont="1"/>
    <xf numFmtId="3" fontId="27" fillId="0" borderId="0" xfId="59" applyNumberFormat="1" applyFont="1" applyFill="1"/>
    <xf numFmtId="3" fontId="27" fillId="0" borderId="0" xfId="59" applyNumberFormat="1" applyFont="1"/>
    <xf numFmtId="0" fontId="26" fillId="0" borderId="0" xfId="58"/>
    <xf numFmtId="3" fontId="29" fillId="0" borderId="0" xfId="59" applyNumberFormat="1" applyFont="1" applyAlignment="1"/>
    <xf numFmtId="3" fontId="29" fillId="0" borderId="0" xfId="59" applyNumberFormat="1" applyFont="1"/>
    <xf numFmtId="3" fontId="29" fillId="0" borderId="0" xfId="59" applyNumberFormat="1" applyFont="1" applyFill="1" applyAlignment="1">
      <alignment horizontal="center"/>
    </xf>
    <xf numFmtId="0" fontId="30" fillId="0" borderId="0" xfId="57" applyNumberFormat="1" applyFont="1" applyAlignment="1">
      <alignment horizontal="center"/>
    </xf>
    <xf numFmtId="0" fontId="30" fillId="0" borderId="0" xfId="57" applyFont="1" applyAlignment="1">
      <alignment horizontal="center"/>
    </xf>
    <xf numFmtId="3" fontId="29" fillId="0" borderId="0" xfId="59" applyNumberFormat="1" applyFont="1" applyAlignment="1">
      <alignment horizontal="center"/>
    </xf>
    <xf numFmtId="3" fontId="31" fillId="0" borderId="0" xfId="59" applyNumberFormat="1" applyFont="1" applyAlignment="1">
      <alignment horizontal="center"/>
    </xf>
    <xf numFmtId="0" fontId="30" fillId="0" borderId="15" xfId="57" applyNumberFormat="1" applyFont="1" applyBorder="1" applyAlignment="1">
      <alignment horizontal="center"/>
    </xf>
    <xf numFmtId="0" fontId="30" fillId="0" borderId="19" xfId="57" applyNumberFormat="1" applyFont="1" applyBorder="1" applyAlignment="1">
      <alignment horizontal="center"/>
    </xf>
    <xf numFmtId="0" fontId="30" fillId="0" borderId="19" xfId="57" applyFont="1" applyBorder="1" applyAlignment="1">
      <alignment horizontal="center"/>
    </xf>
    <xf numFmtId="0" fontId="30" fillId="0" borderId="11" xfId="57" applyFont="1" applyBorder="1" applyAlignment="1">
      <alignment horizontal="center"/>
    </xf>
    <xf numFmtId="0" fontId="30" fillId="0" borderId="3" xfId="57" applyFont="1" applyBorder="1" applyAlignment="1">
      <alignment horizontal="center"/>
    </xf>
    <xf numFmtId="3" fontId="29" fillId="0" borderId="15" xfId="59" applyNumberFormat="1" applyFont="1" applyFill="1" applyBorder="1" applyAlignment="1">
      <alignment horizontal="center"/>
    </xf>
    <xf numFmtId="3" fontId="29" fillId="0" borderId="15" xfId="59" applyNumberFormat="1" applyFont="1" applyBorder="1" applyAlignment="1">
      <alignment horizontal="center"/>
    </xf>
    <xf numFmtId="0" fontId="30" fillId="0" borderId="16" xfId="57" applyNumberFormat="1" applyFont="1" applyBorder="1" applyAlignment="1">
      <alignment horizontal="center"/>
    </xf>
    <xf numFmtId="0" fontId="30" fillId="0" borderId="13" xfId="57" applyNumberFormat="1" applyFont="1" applyBorder="1" applyAlignment="1">
      <alignment horizontal="center"/>
    </xf>
    <xf numFmtId="0" fontId="30" fillId="0" borderId="13" xfId="57" applyFont="1" applyBorder="1" applyAlignment="1">
      <alignment horizontal="center"/>
    </xf>
    <xf numFmtId="0" fontId="30" fillId="0" borderId="0" xfId="57" applyFont="1" applyBorder="1" applyAlignment="1">
      <alignment horizontal="center"/>
    </xf>
    <xf numFmtId="0" fontId="30" fillId="0" borderId="5" xfId="57" applyFont="1" applyBorder="1" applyAlignment="1">
      <alignment horizontal="center"/>
    </xf>
    <xf numFmtId="3" fontId="29" fillId="0" borderId="16" xfId="59" applyNumberFormat="1" applyFont="1" applyFill="1" applyBorder="1" applyAlignment="1">
      <alignment horizontal="center"/>
    </xf>
    <xf numFmtId="3" fontId="29" fillId="0" borderId="16" xfId="57" applyNumberFormat="1" applyFont="1" applyBorder="1" applyAlignment="1">
      <alignment horizontal="center"/>
    </xf>
    <xf numFmtId="3" fontId="29" fillId="0" borderId="16" xfId="57" applyNumberFormat="1" applyFont="1" applyFill="1" applyBorder="1" applyAlignment="1">
      <alignment horizontal="center"/>
    </xf>
    <xf numFmtId="0" fontId="30" fillId="0" borderId="17" xfId="57" applyNumberFormat="1" applyFont="1" applyBorder="1" applyAlignment="1">
      <alignment horizontal="center"/>
    </xf>
    <xf numFmtId="0" fontId="30" fillId="0" borderId="20" xfId="57" applyNumberFormat="1" applyFont="1" applyBorder="1" applyAlignment="1">
      <alignment horizontal="center"/>
    </xf>
    <xf numFmtId="0" fontId="30" fillId="0" borderId="20" xfId="57" applyFont="1" applyBorder="1" applyAlignment="1">
      <alignment horizontal="center"/>
    </xf>
    <xf numFmtId="0" fontId="30" fillId="0" borderId="2" xfId="57" applyFont="1" applyBorder="1" applyAlignment="1">
      <alignment horizontal="center"/>
    </xf>
    <xf numFmtId="0" fontId="30" fillId="0" borderId="18" xfId="57" applyFont="1" applyBorder="1" applyAlignment="1">
      <alignment horizontal="center"/>
    </xf>
    <xf numFmtId="3" fontId="29" fillId="0" borderId="17" xfId="59" applyNumberFormat="1" applyFont="1" applyFill="1" applyBorder="1" applyAlignment="1">
      <alignment horizontal="center"/>
    </xf>
    <xf numFmtId="3" fontId="29" fillId="0" borderId="17" xfId="57" applyNumberFormat="1" applyFont="1" applyBorder="1" applyAlignment="1">
      <alignment horizontal="center"/>
    </xf>
    <xf numFmtId="3" fontId="29" fillId="0" borderId="17" xfId="57" applyNumberFormat="1" applyFont="1" applyFill="1" applyBorder="1" applyAlignment="1">
      <alignment horizontal="center"/>
    </xf>
    <xf numFmtId="0" fontId="32" fillId="0" borderId="0" xfId="57" applyNumberFormat="1" applyFont="1" applyAlignment="1">
      <alignment horizontal="center"/>
    </xf>
    <xf numFmtId="0" fontId="32" fillId="0" borderId="0" xfId="57" applyFont="1" applyAlignment="1">
      <alignment horizontal="center"/>
    </xf>
    <xf numFmtId="4" fontId="29" fillId="0" borderId="0" xfId="59" applyNumberFormat="1" applyFont="1" applyAlignment="1">
      <alignment horizontal="center"/>
    </xf>
    <xf numFmtId="4" fontId="29" fillId="0" borderId="0" xfId="59" applyNumberFormat="1" applyFont="1" applyFill="1" applyBorder="1" applyAlignment="1">
      <alignment horizontal="center"/>
    </xf>
    <xf numFmtId="0" fontId="23" fillId="0" borderId="0" xfId="59" applyNumberFormat="1" applyFont="1" applyAlignment="1">
      <alignment horizontal="center"/>
    </xf>
    <xf numFmtId="0" fontId="23" fillId="0" borderId="0" xfId="59" applyFont="1"/>
    <xf numFmtId="5" fontId="23" fillId="0" borderId="0" xfId="59" applyNumberFormat="1" applyFont="1"/>
    <xf numFmtId="42" fontId="33" fillId="0" borderId="0" xfId="60" applyNumberFormat="1" applyFont="1" applyFill="1"/>
    <xf numFmtId="37" fontId="23" fillId="0" borderId="0" xfId="59" applyNumberFormat="1" applyFont="1"/>
    <xf numFmtId="41" fontId="33" fillId="0" borderId="0" xfId="60" applyNumberFormat="1" applyFont="1" applyFill="1"/>
    <xf numFmtId="41" fontId="33" fillId="0" borderId="2" xfId="60" applyNumberFormat="1" applyFont="1" applyFill="1" applyBorder="1"/>
    <xf numFmtId="41" fontId="27" fillId="0" borderId="0" xfId="59" applyNumberFormat="1" applyFont="1"/>
    <xf numFmtId="41" fontId="27" fillId="0" borderId="0" xfId="60" applyNumberFormat="1" applyFont="1" applyFill="1"/>
    <xf numFmtId="41" fontId="27" fillId="0" borderId="0" xfId="59" applyNumberFormat="1" applyFont="1" applyFill="1"/>
    <xf numFmtId="0" fontId="23" fillId="0" borderId="0" xfId="59" applyNumberFormat="1" applyFont="1" applyFill="1" applyAlignment="1">
      <alignment horizontal="center"/>
    </xf>
    <xf numFmtId="41" fontId="33" fillId="0" borderId="0" xfId="59" applyNumberFormat="1" applyFont="1"/>
    <xf numFmtId="41" fontId="33" fillId="0" borderId="0" xfId="60" applyNumberFormat="1" applyFont="1" applyFill="1" applyBorder="1"/>
    <xf numFmtId="41" fontId="33" fillId="0" borderId="0" xfId="59" applyNumberFormat="1" applyFont="1" applyFill="1"/>
    <xf numFmtId="0" fontId="23" fillId="0" borderId="0" xfId="58" applyFont="1"/>
    <xf numFmtId="0" fontId="6" fillId="0" borderId="0" xfId="58" applyFont="1"/>
    <xf numFmtId="41" fontId="27" fillId="0" borderId="2" xfId="59" applyNumberFormat="1" applyFont="1" applyBorder="1"/>
    <xf numFmtId="41" fontId="27" fillId="0" borderId="2" xfId="59" applyNumberFormat="1" applyFont="1" applyFill="1" applyBorder="1"/>
    <xf numFmtId="37" fontId="27" fillId="0" borderId="0" xfId="59" applyNumberFormat="1" applyFont="1"/>
    <xf numFmtId="41" fontId="23" fillId="0" borderId="0" xfId="60" applyNumberFormat="1" applyFont="1" applyFill="1"/>
    <xf numFmtId="42" fontId="27" fillId="0" borderId="12" xfId="59" applyNumberFormat="1" applyFont="1" applyBorder="1"/>
    <xf numFmtId="42" fontId="27" fillId="0" borderId="12" xfId="59" applyNumberFormat="1" applyFont="1" applyFill="1" applyBorder="1"/>
    <xf numFmtId="41" fontId="29" fillId="0" borderId="0" xfId="59" applyNumberFormat="1" applyFont="1"/>
    <xf numFmtId="41" fontId="29" fillId="0" borderId="0" xfId="60" applyNumberFormat="1" applyFont="1" applyFill="1"/>
    <xf numFmtId="42" fontId="34" fillId="0" borderId="0" xfId="60" applyNumberFormat="1" applyFont="1" applyFill="1"/>
    <xf numFmtId="41" fontId="34" fillId="0" borderId="0" xfId="60" applyNumberFormat="1" applyFont="1" applyFill="1"/>
    <xf numFmtId="41" fontId="34" fillId="0" borderId="2" xfId="60" applyNumberFormat="1" applyFont="1" applyFill="1" applyBorder="1"/>
    <xf numFmtId="41" fontId="27" fillId="0" borderId="4" xfId="59" applyNumberFormat="1" applyFont="1" applyBorder="1"/>
    <xf numFmtId="41" fontId="27" fillId="0" borderId="4" xfId="59" applyNumberFormat="1" applyFont="1" applyFill="1" applyBorder="1"/>
    <xf numFmtId="41" fontId="27" fillId="0" borderId="0" xfId="59" applyNumberFormat="1" applyFont="1" applyBorder="1"/>
    <xf numFmtId="0" fontId="23" fillId="0" borderId="0" xfId="59" applyNumberFormat="1" applyFont="1" applyBorder="1" applyAlignment="1">
      <alignment horizontal="center"/>
    </xf>
    <xf numFmtId="37" fontId="23" fillId="0" borderId="0" xfId="59" applyNumberFormat="1" applyFont="1" applyBorder="1"/>
    <xf numFmtId="37" fontId="27" fillId="0" borderId="0" xfId="59" applyNumberFormat="1" applyFont="1" applyBorder="1"/>
    <xf numFmtId="37" fontId="23" fillId="0" borderId="0" xfId="59" applyNumberFormat="1" applyFont="1" applyFill="1"/>
    <xf numFmtId="42" fontId="29" fillId="0" borderId="12" xfId="59" applyNumberFormat="1" applyFont="1" applyBorder="1"/>
    <xf numFmtId="37" fontId="23" fillId="0" borderId="0" xfId="57" applyNumberFormat="1" applyFont="1" applyBorder="1" applyAlignment="1">
      <alignment horizontal="center"/>
    </xf>
    <xf numFmtId="0" fontId="23" fillId="0" borderId="0" xfId="57" applyFont="1" applyBorder="1"/>
    <xf numFmtId="170" fontId="23" fillId="0" borderId="0" xfId="61" applyNumberFormat="1" applyFont="1" applyBorder="1"/>
    <xf numFmtId="41" fontId="29" fillId="0" borderId="0" xfId="59" applyNumberFormat="1" applyFont="1" applyFill="1"/>
    <xf numFmtId="41" fontId="27" fillId="0" borderId="0" xfId="57" applyNumberFormat="1" applyFont="1" applyFill="1"/>
    <xf numFmtId="3" fontId="27" fillId="0" borderId="0" xfId="57" applyNumberFormat="1" applyFont="1" applyFill="1"/>
    <xf numFmtId="3" fontId="29" fillId="0" borderId="0" xfId="59" applyNumberFormat="1" applyFont="1" applyFill="1"/>
    <xf numFmtId="0" fontId="27" fillId="0" borderId="0" xfId="59" applyNumberFormat="1" applyFont="1" applyAlignment="1">
      <alignment horizontal="left"/>
    </xf>
    <xf numFmtId="0" fontId="29" fillId="0" borderId="0" xfId="59" applyNumberFormat="1" applyFont="1" applyAlignment="1">
      <alignment horizontal="center"/>
    </xf>
    <xf numFmtId="0" fontId="29" fillId="0" borderId="0" xfId="59" applyFont="1" applyAlignment="1">
      <alignment horizontal="center"/>
    </xf>
    <xf numFmtId="0" fontId="29" fillId="0" borderId="15" xfId="59" applyNumberFormat="1" applyFont="1" applyBorder="1" applyAlignment="1">
      <alignment horizontal="center"/>
    </xf>
    <xf numFmtId="0" fontId="29" fillId="0" borderId="19" xfId="59" applyFont="1" applyBorder="1" applyAlignment="1">
      <alignment horizontal="center"/>
    </xf>
    <xf numFmtId="0" fontId="29" fillId="0" borderId="11" xfId="59" applyFont="1" applyBorder="1" applyAlignment="1">
      <alignment horizontal="center"/>
    </xf>
    <xf numFmtId="0" fontId="27" fillId="0" borderId="3" xfId="59" applyFont="1" applyBorder="1"/>
    <xf numFmtId="0" fontId="29" fillId="0" borderId="16" xfId="59" applyNumberFormat="1" applyFont="1" applyBorder="1" applyAlignment="1">
      <alignment horizontal="center"/>
    </xf>
    <xf numFmtId="0" fontId="29" fillId="0" borderId="13" xfId="59" applyFont="1" applyBorder="1" applyAlignment="1">
      <alignment horizontal="center"/>
    </xf>
    <xf numFmtId="0" fontId="29" fillId="0" borderId="0" xfId="59" applyFont="1" applyBorder="1" applyAlignment="1">
      <alignment horizontal="center"/>
    </xf>
    <xf numFmtId="0" fontId="27" fillId="0" borderId="5" xfId="59" applyFont="1" applyBorder="1"/>
    <xf numFmtId="0" fontId="29" fillId="0" borderId="17" xfId="59" applyNumberFormat="1" applyFont="1" applyBorder="1" applyAlignment="1">
      <alignment horizontal="center"/>
    </xf>
    <xf numFmtId="0" fontId="29" fillId="0" borderId="20" xfId="59" applyFont="1" applyBorder="1" applyAlignment="1">
      <alignment horizontal="center"/>
    </xf>
    <xf numFmtId="0" fontId="29" fillId="0" borderId="2" xfId="59" applyFont="1" applyBorder="1" applyAlignment="1">
      <alignment horizontal="center"/>
    </xf>
    <xf numFmtId="0" fontId="29" fillId="0" borderId="18" xfId="59" applyFont="1" applyBorder="1" applyAlignment="1">
      <alignment horizontal="center"/>
    </xf>
    <xf numFmtId="0" fontId="27" fillId="0" borderId="0" xfId="59" applyFont="1" applyAlignment="1">
      <alignment horizontal="left"/>
    </xf>
    <xf numFmtId="0" fontId="27" fillId="0" borderId="0" xfId="59" applyNumberFormat="1" applyFont="1" applyAlignment="1">
      <alignment horizontal="center"/>
    </xf>
    <xf numFmtId="5" fontId="27" fillId="0" borderId="0" xfId="59" applyNumberFormat="1" applyFont="1"/>
    <xf numFmtId="42" fontId="33" fillId="0" borderId="0" xfId="5" applyNumberFormat="1" applyFont="1" applyFill="1"/>
    <xf numFmtId="41" fontId="33" fillId="0" borderId="0" xfId="5" applyNumberFormat="1" applyFont="1" applyFill="1"/>
    <xf numFmtId="41" fontId="33" fillId="0" borderId="2" xfId="5" applyNumberFormat="1" applyFont="1" applyFill="1" applyBorder="1"/>
    <xf numFmtId="41" fontId="27" fillId="0" borderId="0" xfId="5" applyNumberFormat="1" applyFont="1" applyFill="1"/>
    <xf numFmtId="41" fontId="33" fillId="0" borderId="0" xfId="5" applyNumberFormat="1" applyFont="1" applyFill="1" applyBorder="1"/>
    <xf numFmtId="0" fontId="23" fillId="0" borderId="0" xfId="32" applyFont="1"/>
    <xf numFmtId="0" fontId="27" fillId="0" borderId="0" xfId="59" applyNumberFormat="1" applyFont="1" applyBorder="1" applyAlignment="1">
      <alignment horizontal="center"/>
    </xf>
    <xf numFmtId="0" fontId="27" fillId="0" borderId="0" xfId="59" applyFont="1" applyBorder="1"/>
    <xf numFmtId="5" fontId="29" fillId="0" borderId="0" xfId="59" applyNumberFormat="1" applyFont="1"/>
    <xf numFmtId="0" fontId="27" fillId="0" borderId="0" xfId="59" applyNumberFormat="1" applyFont="1" applyFill="1" applyAlignment="1">
      <alignment horizontal="center"/>
    </xf>
    <xf numFmtId="0" fontId="27" fillId="0" borderId="0" xfId="59" applyFont="1" applyFill="1"/>
    <xf numFmtId="3" fontId="27" fillId="0" borderId="0" xfId="7" applyNumberFormat="1" applyFont="1" applyFill="1"/>
    <xf numFmtId="0" fontId="27" fillId="0" borderId="0" xfId="7" applyFont="1" applyFill="1"/>
    <xf numFmtId="0" fontId="27" fillId="0" borderId="0" xfId="7" applyFont="1" applyFill="1" applyAlignment="1">
      <alignment horizontal="right"/>
    </xf>
    <xf numFmtId="0" fontId="3" fillId="0" borderId="0" xfId="32" applyFont="1"/>
    <xf numFmtId="3" fontId="27" fillId="0" borderId="0" xfId="59" applyNumberFormat="1" applyFont="1" applyFill="1" applyBorder="1"/>
    <xf numFmtId="3" fontId="29" fillId="0" borderId="0" xfId="59" applyNumberFormat="1" applyFont="1" applyFill="1" applyBorder="1" applyAlignment="1">
      <alignment horizontal="center"/>
    </xf>
    <xf numFmtId="167" fontId="29" fillId="0" borderId="15" xfId="5" applyNumberFormat="1" applyFont="1" applyFill="1" applyBorder="1" applyAlignment="1">
      <alignment horizontal="center"/>
    </xf>
    <xf numFmtId="3" fontId="29" fillId="0" borderId="16" xfId="7" quotePrefix="1" applyNumberFormat="1" applyFont="1" applyFill="1" applyBorder="1" applyAlignment="1">
      <alignment horizontal="center"/>
    </xf>
    <xf numFmtId="3" fontId="29" fillId="0" borderId="17" xfId="7" applyNumberFormat="1" applyFont="1" applyFill="1" applyBorder="1" applyAlignment="1">
      <alignment horizontal="center"/>
    </xf>
    <xf numFmtId="3" fontId="29" fillId="0" borderId="0" xfId="59" applyNumberFormat="1" applyFont="1" applyBorder="1" applyAlignment="1">
      <alignment horizontal="center"/>
    </xf>
    <xf numFmtId="167" fontId="27" fillId="0" borderId="0" xfId="5" applyNumberFormat="1" applyFont="1" applyFill="1" applyBorder="1"/>
    <xf numFmtId="166" fontId="27" fillId="0" borderId="0" xfId="5" applyNumberFormat="1" applyFont="1" applyFill="1" applyBorder="1"/>
    <xf numFmtId="37" fontId="27" fillId="0" borderId="0" xfId="59" applyNumberFormat="1" applyFont="1" applyFill="1" applyBorder="1"/>
    <xf numFmtId="5" fontId="27" fillId="0" borderId="0" xfId="59" applyNumberFormat="1" applyFont="1" applyFill="1" applyBorder="1"/>
    <xf numFmtId="41" fontId="27" fillId="0" borderId="0" xfId="59" applyNumberFormat="1" applyFont="1" applyFill="1" applyBorder="1"/>
    <xf numFmtId="0" fontId="3" fillId="0" borderId="0" xfId="32" applyFont="1" applyBorder="1"/>
    <xf numFmtId="42" fontId="29" fillId="0" borderId="12" xfId="59" applyNumberFormat="1" applyFont="1" applyFill="1" applyBorder="1"/>
    <xf numFmtId="5" fontId="29" fillId="0" borderId="0" xfId="59" applyNumberFormat="1" applyFont="1" applyFill="1" applyBorder="1"/>
    <xf numFmtId="3" fontId="29" fillId="0" borderId="27" xfId="59" applyNumberFormat="1" applyFont="1" applyFill="1" applyBorder="1" applyAlignment="1">
      <alignment horizontal="center"/>
    </xf>
    <xf numFmtId="3" fontId="29" fillId="0" borderId="28" xfId="59" applyNumberFormat="1" applyFont="1" applyFill="1" applyBorder="1" applyAlignment="1">
      <alignment horizontal="center"/>
    </xf>
    <xf numFmtId="3" fontId="29" fillId="0" borderId="29" xfId="59" applyNumberFormat="1" applyFont="1" applyFill="1" applyBorder="1" applyAlignment="1">
      <alignment horizontal="center"/>
    </xf>
    <xf numFmtId="0" fontId="29" fillId="0" borderId="30" xfId="59" quotePrefix="1" applyNumberFormat="1" applyFont="1" applyFill="1" applyBorder="1" applyAlignment="1">
      <alignment horizontal="center"/>
    </xf>
    <xf numFmtId="4" fontId="29" fillId="0" borderId="31" xfId="59" applyNumberFormat="1" applyFont="1" applyFill="1" applyBorder="1" applyAlignment="1">
      <alignment horizontal="center"/>
    </xf>
    <xf numFmtId="3" fontId="27" fillId="0" borderId="31" xfId="59" applyNumberFormat="1" applyFont="1" applyFill="1" applyBorder="1"/>
    <xf numFmtId="42" fontId="33" fillId="0" borderId="31" xfId="5" applyNumberFormat="1" applyFont="1" applyFill="1" applyBorder="1"/>
    <xf numFmtId="41" fontId="33" fillId="0" borderId="31" xfId="5" applyNumberFormat="1" applyFont="1" applyFill="1" applyBorder="1"/>
    <xf numFmtId="41" fontId="33" fillId="0" borderId="32" xfId="5" applyNumberFormat="1" applyFont="1" applyFill="1" applyBorder="1"/>
    <xf numFmtId="41" fontId="27" fillId="0" borderId="31" xfId="59" applyNumberFormat="1" applyFont="1" applyFill="1" applyBorder="1"/>
    <xf numFmtId="41" fontId="27" fillId="0" borderId="31" xfId="5" applyNumberFormat="1" applyFont="1" applyFill="1" applyBorder="1"/>
    <xf numFmtId="41" fontId="27" fillId="0" borderId="32" xfId="59" applyNumberFormat="1" applyFont="1" applyFill="1" applyBorder="1"/>
    <xf numFmtId="42" fontId="27" fillId="0" borderId="33" xfId="59" applyNumberFormat="1" applyFont="1" applyFill="1" applyBorder="1"/>
    <xf numFmtId="41" fontId="27" fillId="0" borderId="34" xfId="59" applyNumberFormat="1" applyFont="1" applyFill="1" applyBorder="1"/>
    <xf numFmtId="42" fontId="29" fillId="0" borderId="31" xfId="59" applyNumberFormat="1" applyFont="1" applyFill="1" applyBorder="1"/>
    <xf numFmtId="3" fontId="29" fillId="0" borderId="35" xfId="59" applyNumberFormat="1" applyFont="1" applyFill="1" applyBorder="1" applyAlignment="1">
      <alignment horizontal="center"/>
    </xf>
    <xf numFmtId="3" fontId="29" fillId="0" borderId="36" xfId="59" applyNumberFormat="1" applyFont="1" applyFill="1" applyBorder="1" applyAlignment="1">
      <alignment horizontal="center"/>
    </xf>
    <xf numFmtId="3" fontId="29" fillId="0" borderId="37" xfId="59" applyNumberFormat="1" applyFont="1" applyFill="1" applyBorder="1" applyAlignment="1">
      <alignment horizontal="center"/>
    </xf>
    <xf numFmtId="0" fontId="29" fillId="0" borderId="38" xfId="59" applyNumberFormat="1" applyFont="1" applyFill="1" applyBorder="1" applyAlignment="1">
      <alignment horizontal="center"/>
    </xf>
    <xf numFmtId="4" fontId="29" fillId="0" borderId="39" xfId="59" applyNumberFormat="1" applyFont="1" applyFill="1" applyBorder="1" applyAlignment="1">
      <alignment horizontal="center"/>
    </xf>
    <xf numFmtId="3" fontId="27" fillId="0" borderId="39" xfId="59" applyNumberFormat="1" applyFont="1" applyFill="1" applyBorder="1"/>
    <xf numFmtId="42" fontId="33" fillId="0" borderId="39" xfId="5" applyNumberFormat="1" applyFont="1" applyFill="1" applyBorder="1"/>
    <xf numFmtId="41" fontId="33" fillId="0" borderId="39" xfId="5" applyNumberFormat="1" applyFont="1" applyFill="1" applyBorder="1"/>
    <xf numFmtId="41" fontId="33" fillId="0" borderId="40" xfId="5" applyNumberFormat="1" applyFont="1" applyFill="1" applyBorder="1"/>
    <xf numFmtId="41" fontId="27" fillId="0" borderId="39" xfId="59" applyNumberFormat="1" applyFont="1" applyFill="1" applyBorder="1"/>
    <xf numFmtId="41" fontId="27" fillId="0" borderId="39" xfId="5" applyNumberFormat="1" applyFont="1" applyFill="1" applyBorder="1"/>
    <xf numFmtId="41" fontId="27" fillId="0" borderId="40" xfId="59" applyNumberFormat="1" applyFont="1" applyFill="1" applyBorder="1"/>
    <xf numFmtId="42" fontId="27" fillId="0" borderId="41" xfId="59" applyNumberFormat="1" applyFont="1" applyFill="1" applyBorder="1"/>
    <xf numFmtId="41" fontId="27" fillId="0" borderId="42" xfId="59" applyNumberFormat="1" applyFont="1" applyFill="1" applyBorder="1"/>
    <xf numFmtId="42" fontId="29" fillId="0" borderId="39" xfId="59" applyNumberFormat="1" applyFont="1" applyFill="1" applyBorder="1"/>
    <xf numFmtId="3" fontId="29" fillId="0" borderId="16" xfId="59" applyNumberFormat="1" applyFont="1" applyBorder="1" applyAlignment="1">
      <alignment horizontal="center"/>
    </xf>
    <xf numFmtId="3" fontId="29" fillId="0" borderId="17" xfId="59" applyNumberFormat="1" applyFont="1" applyBorder="1" applyAlignment="1">
      <alignment horizontal="center"/>
    </xf>
    <xf numFmtId="42" fontId="27" fillId="0" borderId="0" xfId="59" applyNumberFormat="1" applyFont="1"/>
    <xf numFmtId="0" fontId="27" fillId="0" borderId="0" xfId="59" applyNumberFormat="1" applyFont="1" applyFill="1" applyAlignment="1">
      <alignment horizontal="left"/>
    </xf>
    <xf numFmtId="41" fontId="27" fillId="0" borderId="0" xfId="7" applyNumberFormat="1" applyFont="1" applyFill="1"/>
    <xf numFmtId="0" fontId="5" fillId="0" borderId="0" xfId="32"/>
    <xf numFmtId="42" fontId="5" fillId="0" borderId="0" xfId="5" applyNumberFormat="1" applyFont="1" applyFill="1"/>
    <xf numFmtId="0" fontId="23" fillId="0" borderId="0" xfId="34" applyFont="1"/>
    <xf numFmtId="41" fontId="23" fillId="0" borderId="0" xfId="57" applyNumberFormat="1" applyFont="1"/>
    <xf numFmtId="3" fontId="23" fillId="0" borderId="0" xfId="57" applyNumberFormat="1" applyFont="1" applyFill="1" applyBorder="1"/>
    <xf numFmtId="41" fontId="40" fillId="0" borderId="0" xfId="57" applyNumberFormat="1" applyFont="1"/>
    <xf numFmtId="41" fontId="30" fillId="0" borderId="0" xfId="57" applyNumberFormat="1" applyFont="1"/>
    <xf numFmtId="3" fontId="30" fillId="0" borderId="0" xfId="57" applyNumberFormat="1" applyFont="1" applyFill="1" applyBorder="1" applyAlignment="1">
      <alignment horizontal="center"/>
    </xf>
    <xf numFmtId="41" fontId="23" fillId="0" borderId="0" xfId="74" applyNumberFormat="1" applyFont="1" applyAlignment="1">
      <alignment horizontal="center"/>
    </xf>
    <xf numFmtId="41" fontId="30" fillId="0" borderId="3" xfId="57" applyNumberFormat="1" applyFont="1" applyBorder="1" applyAlignment="1">
      <alignment horizontal="center"/>
    </xf>
    <xf numFmtId="167" fontId="30" fillId="0" borderId="0" xfId="60" applyNumberFormat="1" applyFont="1" applyFill="1" applyBorder="1" applyAlignment="1">
      <alignment horizontal="center"/>
    </xf>
    <xf numFmtId="41" fontId="30" fillId="0" borderId="5" xfId="57" applyNumberFormat="1" applyFont="1" applyBorder="1" applyAlignment="1">
      <alignment horizontal="center"/>
    </xf>
    <xf numFmtId="41" fontId="30" fillId="0" borderId="18" xfId="57" applyNumberFormat="1" applyFont="1" applyBorder="1" applyAlignment="1">
      <alignment horizontal="center"/>
    </xf>
    <xf numFmtId="2" fontId="30" fillId="0" borderId="0" xfId="57" applyNumberFormat="1" applyFont="1" applyAlignment="1">
      <alignment horizontal="center"/>
    </xf>
    <xf numFmtId="2" fontId="23" fillId="0" borderId="0" xfId="57" applyNumberFormat="1" applyFont="1" applyAlignment="1">
      <alignment horizontal="left"/>
    </xf>
    <xf numFmtId="2" fontId="41" fillId="0" borderId="0" xfId="62" applyNumberFormat="1" applyFont="1" applyAlignment="1" applyProtection="1">
      <alignment horizontal="center"/>
    </xf>
    <xf numFmtId="2" fontId="30" fillId="0" borderId="0" xfId="57" applyNumberFormat="1" applyFont="1" applyFill="1" applyBorder="1" applyAlignment="1">
      <alignment horizontal="center"/>
    </xf>
    <xf numFmtId="5" fontId="23" fillId="0" borderId="0" xfId="57" applyNumberFormat="1" applyFont="1"/>
    <xf numFmtId="167" fontId="23" fillId="0" borderId="0" xfId="60" applyNumberFormat="1" applyFont="1" applyFill="1" applyBorder="1"/>
    <xf numFmtId="37" fontId="23" fillId="0" borderId="0" xfId="57" applyNumberFormat="1" applyFont="1"/>
    <xf numFmtId="166" fontId="23" fillId="0" borderId="0" xfId="57" applyNumberFormat="1" applyFont="1" applyFill="1" applyBorder="1"/>
    <xf numFmtId="37" fontId="23" fillId="0" borderId="0" xfId="57" applyNumberFormat="1" applyFont="1" applyFill="1" applyBorder="1"/>
    <xf numFmtId="5" fontId="23" fillId="0" borderId="0" xfId="57" applyNumberFormat="1" applyFont="1" applyFill="1"/>
    <xf numFmtId="37" fontId="23" fillId="0" borderId="0" xfId="57" applyNumberFormat="1" applyFont="1" applyFill="1"/>
    <xf numFmtId="5" fontId="23" fillId="0" borderId="0" xfId="57" applyNumberFormat="1" applyFont="1" applyFill="1" applyBorder="1"/>
    <xf numFmtId="167" fontId="23" fillId="0" borderId="0" xfId="57" applyNumberFormat="1" applyFont="1" applyFill="1" applyBorder="1"/>
    <xf numFmtId="41" fontId="23" fillId="0" borderId="0" xfId="57" applyNumberFormat="1" applyFont="1" applyFill="1"/>
    <xf numFmtId="164" fontId="0" fillId="0" borderId="2" xfId="0" applyBorder="1"/>
    <xf numFmtId="42" fontId="5" fillId="0" borderId="2" xfId="1" applyNumberFormat="1" applyFont="1" applyBorder="1"/>
    <xf numFmtId="37" fontId="5" fillId="0" borderId="5" xfId="8" applyFont="1" applyFill="1" applyBorder="1"/>
    <xf numFmtId="37" fontId="5" fillId="0" borderId="16" xfId="8" applyFont="1" applyFill="1" applyBorder="1"/>
    <xf numFmtId="37" fontId="5" fillId="0" borderId="16" xfId="8" applyFont="1" applyBorder="1"/>
    <xf numFmtId="5" fontId="5" fillId="0" borderId="2" xfId="1" applyNumberFormat="1" applyFont="1" applyBorder="1"/>
    <xf numFmtId="3" fontId="23" fillId="0" borderId="0" xfId="66" applyNumberFormat="1" applyFont="1" applyAlignment="1">
      <alignment horizontal="centerContinuous"/>
    </xf>
    <xf numFmtId="0" fontId="23" fillId="0" borderId="0" xfId="66" applyFont="1" applyAlignment="1">
      <alignment horizontal="centerContinuous"/>
    </xf>
    <xf numFmtId="3" fontId="23" fillId="0" borderId="0" xfId="66" applyNumberFormat="1" applyFont="1"/>
    <xf numFmtId="3" fontId="44" fillId="0" borderId="0" xfId="66" applyNumberFormat="1" applyFont="1" applyAlignment="1">
      <alignment horizontal="center"/>
    </xf>
    <xf numFmtId="0" fontId="37" fillId="0" borderId="0" xfId="66"/>
    <xf numFmtId="3" fontId="23" fillId="0" borderId="0" xfId="66" applyNumberFormat="1" applyFont="1" applyAlignment="1">
      <alignment horizontal="center"/>
    </xf>
    <xf numFmtId="3" fontId="23" fillId="0" borderId="2" xfId="66" applyNumberFormat="1" applyFont="1" applyBorder="1" applyAlignment="1">
      <alignment horizontal="center"/>
    </xf>
    <xf numFmtId="3" fontId="23" fillId="0" borderId="0" xfId="66" applyNumberFormat="1" applyFont="1" applyAlignment="1">
      <alignment horizontal="left"/>
    </xf>
    <xf numFmtId="1" fontId="23" fillId="0" borderId="0" xfId="66" applyNumberFormat="1" applyFont="1" applyAlignment="1">
      <alignment horizontal="center"/>
    </xf>
    <xf numFmtId="179" fontId="23" fillId="0" borderId="0" xfId="66" applyNumberFormat="1" applyFont="1" applyAlignment="1">
      <alignment horizontal="left"/>
    </xf>
    <xf numFmtId="179" fontId="23" fillId="0" borderId="0" xfId="66" applyNumberFormat="1" applyFont="1"/>
    <xf numFmtId="5" fontId="23" fillId="0" borderId="0" xfId="66" applyNumberFormat="1" applyFont="1" applyProtection="1">
      <protection locked="0"/>
    </xf>
    <xf numFmtId="37" fontId="23" fillId="0" borderId="0" xfId="66" applyNumberFormat="1" applyFont="1" applyProtection="1">
      <protection locked="0"/>
    </xf>
    <xf numFmtId="37" fontId="23" fillId="0" borderId="11" xfId="66" applyNumberFormat="1" applyFont="1" applyBorder="1"/>
    <xf numFmtId="37" fontId="23" fillId="0" borderId="0" xfId="66" applyNumberFormat="1" applyFont="1"/>
    <xf numFmtId="37" fontId="23" fillId="0" borderId="4" xfId="66" applyNumberFormat="1" applyFont="1" applyBorder="1"/>
    <xf numFmtId="37" fontId="23" fillId="0" borderId="2" xfId="66" applyNumberFormat="1" applyFont="1" applyBorder="1"/>
    <xf numFmtId="180" fontId="23" fillId="0" borderId="0" xfId="66" applyNumberFormat="1" applyFont="1"/>
    <xf numFmtId="3" fontId="23" fillId="0" borderId="0" xfId="80" applyNumberFormat="1" applyFont="1" applyFill="1" applyAlignment="1">
      <alignment horizontal="left"/>
    </xf>
    <xf numFmtId="0" fontId="37" fillId="0" borderId="2" xfId="66" applyBorder="1"/>
    <xf numFmtId="3" fontId="23" fillId="0" borderId="0" xfId="80" applyNumberFormat="1" applyFont="1" applyAlignment="1">
      <alignment horizontal="center"/>
    </xf>
    <xf numFmtId="3" fontId="23" fillId="0" borderId="0" xfId="80" applyNumberFormat="1" applyFont="1" applyAlignment="1">
      <alignment horizontal="left"/>
    </xf>
    <xf numFmtId="3" fontId="23" fillId="0" borderId="0" xfId="80" applyNumberFormat="1" applyFont="1"/>
    <xf numFmtId="37" fontId="23" fillId="0" borderId="0" xfId="80" applyNumberFormat="1" applyFont="1"/>
    <xf numFmtId="1" fontId="23" fillId="0" borderId="0" xfId="80" applyNumberFormat="1" applyFont="1" applyAlignment="1">
      <alignment horizontal="center"/>
    </xf>
    <xf numFmtId="179" fontId="23" fillId="0" borderId="0" xfId="80" applyNumberFormat="1" applyFont="1" applyAlignment="1">
      <alignment horizontal="left"/>
    </xf>
    <xf numFmtId="179" fontId="23" fillId="0" borderId="0" xfId="80" applyNumberFormat="1" applyFont="1"/>
    <xf numFmtId="5" fontId="23" fillId="0" borderId="0" xfId="80" applyNumberFormat="1" applyFont="1"/>
    <xf numFmtId="37" fontId="23" fillId="0" borderId="2" xfId="66" applyNumberFormat="1" applyFont="1" applyBorder="1" applyProtection="1">
      <protection locked="0"/>
    </xf>
    <xf numFmtId="37" fontId="23" fillId="0" borderId="0" xfId="66" applyNumberFormat="1" applyFont="1" applyFill="1" applyProtection="1">
      <protection locked="0"/>
    </xf>
    <xf numFmtId="5" fontId="23" fillId="0" borderId="12" xfId="66" applyNumberFormat="1" applyFont="1" applyBorder="1"/>
    <xf numFmtId="164" fontId="5" fillId="0" borderId="0" xfId="3" quotePrefix="1" applyFont="1" applyBorder="1" applyAlignment="1">
      <alignment horizontal="center"/>
    </xf>
    <xf numFmtId="49" fontId="5" fillId="0" borderId="0" xfId="3" quotePrefix="1" applyNumberFormat="1" applyFont="1" applyBorder="1" applyAlignment="1">
      <alignment horizontal="center"/>
    </xf>
    <xf numFmtId="4" fontId="30" fillId="0" borderId="2" xfId="66" applyNumberFormat="1" applyFont="1" applyBorder="1" applyAlignment="1">
      <alignment horizontal="center"/>
    </xf>
    <xf numFmtId="0" fontId="10" fillId="0" borderId="0" xfId="1" applyNumberFormat="1" applyFont="1" applyFill="1" applyBorder="1" applyAlignment="1">
      <alignment horizontal="center"/>
    </xf>
    <xf numFmtId="3" fontId="3" fillId="0" borderId="4" xfId="3" applyNumberFormat="1" applyFont="1" applyFill="1" applyBorder="1" applyAlignment="1">
      <alignment horizontal="center"/>
    </xf>
    <xf numFmtId="164" fontId="5" fillId="0" borderId="4" xfId="3" applyFont="1" applyFill="1" applyBorder="1" applyAlignment="1">
      <alignment horizontal="center"/>
    </xf>
    <xf numFmtId="10" fontId="23" fillId="0" borderId="0" xfId="69" applyNumberFormat="1" applyFont="1"/>
    <xf numFmtId="43" fontId="27" fillId="0" borderId="0" xfId="7" applyNumberFormat="1" applyFont="1" applyFill="1"/>
    <xf numFmtId="164" fontId="57" fillId="0" borderId="0" xfId="3" applyFont="1"/>
    <xf numFmtId="0" fontId="57" fillId="0" borderId="0" xfId="3" applyNumberFormat="1" applyFont="1" applyAlignment="1">
      <alignment horizontal="center"/>
    </xf>
    <xf numFmtId="3" fontId="57" fillId="0" borderId="0" xfId="3" applyNumberFormat="1" applyFont="1" applyFill="1"/>
    <xf numFmtId="164" fontId="57" fillId="5" borderId="0" xfId="3" applyFont="1" applyFill="1"/>
    <xf numFmtId="0" fontId="20" fillId="0" borderId="0" xfId="3" applyNumberFormat="1" applyFont="1" applyAlignment="1">
      <alignment horizontal="center"/>
    </xf>
    <xf numFmtId="164" fontId="57" fillId="0" borderId="0" xfId="3" applyFont="1" applyAlignment="1">
      <alignment horizontal="center"/>
    </xf>
    <xf numFmtId="164" fontId="57" fillId="0" borderId="0" xfId="3" applyFont="1" applyFill="1" applyAlignment="1">
      <alignment horizontal="center"/>
    </xf>
    <xf numFmtId="164" fontId="20" fillId="5" borderId="0" xfId="3" applyFont="1" applyFill="1" applyAlignment="1">
      <alignment horizontal="center"/>
    </xf>
    <xf numFmtId="164" fontId="20" fillId="0" borderId="0" xfId="3" applyFont="1" applyAlignment="1">
      <alignment horizontal="center"/>
    </xf>
    <xf numFmtId="0" fontId="20" fillId="0" borderId="0" xfId="3" applyNumberFormat="1" applyFont="1" applyBorder="1" applyAlignment="1">
      <alignment horizontal="center"/>
    </xf>
    <xf numFmtId="164" fontId="57" fillId="0" borderId="0" xfId="3" applyFont="1" applyBorder="1"/>
    <xf numFmtId="3" fontId="20" fillId="0" borderId="0" xfId="3" applyNumberFormat="1" applyFont="1" applyFill="1" applyBorder="1" applyAlignment="1">
      <alignment horizontal="center"/>
    </xf>
    <xf numFmtId="3" fontId="20" fillId="0" borderId="0" xfId="3" applyNumberFormat="1" applyFont="1" applyBorder="1" applyAlignment="1">
      <alignment horizontal="center"/>
    </xf>
    <xf numFmtId="0" fontId="20" fillId="0" borderId="2" xfId="3" applyNumberFormat="1" applyFont="1" applyBorder="1" applyAlignment="1">
      <alignment horizontal="center"/>
    </xf>
    <xf numFmtId="3" fontId="20" fillId="0" borderId="2" xfId="3" applyNumberFormat="1" applyFont="1" applyFill="1" applyBorder="1" applyAlignment="1">
      <alignment horizontal="center"/>
    </xf>
    <xf numFmtId="3" fontId="20" fillId="0" borderId="2" xfId="3" applyNumberFormat="1" applyFont="1" applyBorder="1" applyAlignment="1">
      <alignment horizontal="center"/>
    </xf>
    <xf numFmtId="0" fontId="57" fillId="0" borderId="3" xfId="3" applyNumberFormat="1" applyFont="1" applyBorder="1" applyAlignment="1">
      <alignment horizontal="center"/>
    </xf>
    <xf numFmtId="3" fontId="58" fillId="0" borderId="1" xfId="3" applyNumberFormat="1" applyFont="1" applyFill="1" applyBorder="1" applyAlignment="1">
      <alignment horizontal="center"/>
    </xf>
    <xf numFmtId="3" fontId="58" fillId="0" borderId="4" xfId="3" applyNumberFormat="1" applyFont="1" applyFill="1" applyBorder="1" applyAlignment="1">
      <alignment horizontal="center"/>
    </xf>
    <xf numFmtId="165" fontId="57" fillId="0" borderId="4" xfId="2" applyNumberFormat="1" applyFont="1" applyBorder="1" applyAlignment="1">
      <alignment shrinkToFit="1"/>
    </xf>
    <xf numFmtId="3" fontId="58" fillId="0" borderId="4" xfId="3" applyNumberFormat="1" applyFont="1" applyBorder="1" applyAlignment="1">
      <alignment horizontal="center"/>
    </xf>
    <xf numFmtId="0" fontId="57" fillId="0" borderId="5" xfId="3" applyNumberFormat="1" applyFont="1" applyBorder="1" applyAlignment="1">
      <alignment horizontal="center"/>
    </xf>
    <xf numFmtId="3" fontId="57" fillId="0" borderId="0" xfId="3" applyNumberFormat="1" applyFont="1"/>
    <xf numFmtId="164" fontId="57" fillId="7" borderId="7" xfId="3" applyFont="1" applyFill="1" applyBorder="1"/>
    <xf numFmtId="10" fontId="57" fillId="7" borderId="8" xfId="2" applyNumberFormat="1" applyFont="1" applyFill="1" applyBorder="1" applyAlignment="1">
      <alignment horizontal="center"/>
    </xf>
    <xf numFmtId="5" fontId="57" fillId="0" borderId="0" xfId="3" applyNumberFormat="1" applyFont="1" applyFill="1"/>
    <xf numFmtId="5" fontId="57" fillId="0" borderId="0" xfId="5" applyNumberFormat="1" applyFont="1" applyFill="1"/>
    <xf numFmtId="5" fontId="57" fillId="0" borderId="0" xfId="1" applyNumberFormat="1" applyFont="1" applyFill="1"/>
    <xf numFmtId="5" fontId="57" fillId="2" borderId="0" xfId="1" applyNumberFormat="1" applyFont="1" applyFill="1"/>
    <xf numFmtId="164" fontId="20" fillId="7" borderId="9" xfId="4" applyFont="1" applyFill="1" applyBorder="1" applyAlignment="1">
      <alignment horizontal="center"/>
    </xf>
    <xf numFmtId="5" fontId="57" fillId="0" borderId="0" xfId="3" applyNumberFormat="1" applyFont="1"/>
    <xf numFmtId="41" fontId="57" fillId="0" borderId="0" xfId="1" applyFont="1" applyFill="1"/>
    <xf numFmtId="41" fontId="57" fillId="0" borderId="0" xfId="1" applyFont="1"/>
    <xf numFmtId="164" fontId="57" fillId="8" borderId="8" xfId="3" applyFont="1" applyFill="1" applyBorder="1"/>
    <xf numFmtId="41" fontId="57" fillId="0" borderId="2" xfId="1" applyFont="1" applyFill="1" applyBorder="1"/>
    <xf numFmtId="41" fontId="57" fillId="0" borderId="2" xfId="1" applyFont="1" applyBorder="1"/>
    <xf numFmtId="5" fontId="57" fillId="7" borderId="8" xfId="3" applyNumberFormat="1" applyFont="1" applyFill="1" applyBorder="1" applyAlignment="1">
      <alignment horizontal="center"/>
    </xf>
    <xf numFmtId="164" fontId="20" fillId="7" borderId="23" xfId="4" applyFont="1" applyFill="1" applyBorder="1" applyAlignment="1">
      <alignment horizontal="center"/>
    </xf>
    <xf numFmtId="169" fontId="57" fillId="0" borderId="2" xfId="1" applyNumberFormat="1" applyFont="1" applyFill="1" applyBorder="1"/>
    <xf numFmtId="169" fontId="57" fillId="0" borderId="0" xfId="1" applyNumberFormat="1" applyFont="1" applyFill="1"/>
    <xf numFmtId="41" fontId="57" fillId="0" borderId="11" xfId="1" applyFont="1" applyFill="1" applyBorder="1"/>
    <xf numFmtId="41" fontId="57" fillId="0" borderId="11" xfId="1" applyFont="1" applyBorder="1"/>
    <xf numFmtId="41" fontId="57" fillId="0" borderId="4" xfId="1" applyFont="1" applyFill="1" applyBorder="1"/>
    <xf numFmtId="41" fontId="57" fillId="0" borderId="0" xfId="1" applyFont="1" applyFill="1" applyBorder="1"/>
    <xf numFmtId="41" fontId="57" fillId="0" borderId="0" xfId="1" applyFont="1" applyBorder="1"/>
    <xf numFmtId="5" fontId="57" fillId="0" borderId="12" xfId="1" applyNumberFormat="1" applyFont="1" applyFill="1" applyBorder="1"/>
    <xf numFmtId="41" fontId="57" fillId="0" borderId="12" xfId="1" applyNumberFormat="1" applyFont="1" applyBorder="1"/>
    <xf numFmtId="5" fontId="57" fillId="0" borderId="12" xfId="1" applyNumberFormat="1" applyFont="1" applyBorder="1"/>
    <xf numFmtId="5" fontId="57" fillId="5" borderId="0" xfId="3" applyNumberFormat="1" applyFont="1" applyFill="1"/>
    <xf numFmtId="166" fontId="57" fillId="0" borderId="0" xfId="5" applyNumberFormat="1" applyFont="1" applyFill="1"/>
    <xf numFmtId="164" fontId="57" fillId="5" borderId="0" xfId="3" applyFont="1" applyFill="1" applyBorder="1"/>
    <xf numFmtId="164" fontId="57" fillId="5" borderId="0" xfId="3" applyFont="1" applyFill="1" applyBorder="1" applyAlignment="1">
      <alignment horizontal="center"/>
    </xf>
    <xf numFmtId="41" fontId="57" fillId="0" borderId="12" xfId="1" applyNumberFormat="1" applyFont="1" applyFill="1" applyBorder="1"/>
    <xf numFmtId="5" fontId="57" fillId="5" borderId="0" xfId="3" applyNumberFormat="1" applyFont="1" applyFill="1" applyBorder="1"/>
    <xf numFmtId="10" fontId="57" fillId="0" borderId="12" xfId="2" applyNumberFormat="1" applyFont="1" applyFill="1" applyBorder="1"/>
    <xf numFmtId="3" fontId="57" fillId="0" borderId="0" xfId="3" applyNumberFormat="1" applyFont="1" applyFill="1" applyBorder="1"/>
    <xf numFmtId="3" fontId="57" fillId="0" borderId="0" xfId="3" applyNumberFormat="1" applyFont="1" applyBorder="1"/>
    <xf numFmtId="10" fontId="57" fillId="0" borderId="12" xfId="2" applyNumberFormat="1" applyFont="1" applyBorder="1"/>
    <xf numFmtId="0" fontId="57" fillId="0" borderId="0" xfId="3" applyNumberFormat="1" applyFont="1" applyBorder="1" applyAlignment="1">
      <alignment horizontal="center"/>
    </xf>
    <xf numFmtId="10" fontId="57" fillId="0" borderId="0" xfId="2" applyNumberFormat="1" applyFont="1" applyFill="1" applyBorder="1"/>
    <xf numFmtId="10" fontId="57" fillId="0" borderId="0" xfId="2" applyNumberFormat="1" applyFont="1" applyBorder="1"/>
    <xf numFmtId="0" fontId="5" fillId="6" borderId="0" xfId="15" applyFont="1" applyFill="1"/>
    <xf numFmtId="0" fontId="59" fillId="0" borderId="0" xfId="34" applyFont="1"/>
    <xf numFmtId="0" fontId="59" fillId="0" borderId="0" xfId="71" applyFont="1"/>
    <xf numFmtId="0" fontId="60" fillId="0" borderId="0" xfId="67" applyFont="1"/>
    <xf numFmtId="37" fontId="5" fillId="0" borderId="0" xfId="9" applyFont="1" applyFill="1" applyBorder="1" applyAlignment="1">
      <alignment horizontal="center"/>
    </xf>
    <xf numFmtId="41" fontId="20" fillId="0" borderId="0" xfId="6" applyFont="1"/>
    <xf numFmtId="164" fontId="20" fillId="0" borderId="0" xfId="4" applyFont="1" applyFill="1" applyBorder="1" applyAlignment="1">
      <alignment horizontal="center"/>
    </xf>
    <xf numFmtId="37" fontId="20" fillId="0" borderId="0" xfId="9" applyFont="1"/>
    <xf numFmtId="0" fontId="20" fillId="0" borderId="0" xfId="15" applyFont="1"/>
    <xf numFmtId="164" fontId="20" fillId="0" borderId="0" xfId="3" applyFont="1" applyFill="1"/>
    <xf numFmtId="164" fontId="20" fillId="0" borderId="0" xfId="3" applyFont="1"/>
    <xf numFmtId="164" fontId="5" fillId="0" borderId="0" xfId="4" applyFont="1" applyFill="1" applyBorder="1" applyAlignment="1">
      <alignment horizontal="center"/>
    </xf>
    <xf numFmtId="3" fontId="5" fillId="5" borderId="0" xfId="3" applyNumberFormat="1" applyFont="1" applyFill="1" applyAlignment="1">
      <alignment horizontal="center"/>
    </xf>
    <xf numFmtId="3" fontId="5" fillId="5" borderId="0" xfId="3" applyNumberFormat="1" applyFont="1" applyFill="1" applyBorder="1" applyAlignment="1">
      <alignment horizontal="center"/>
    </xf>
    <xf numFmtId="169" fontId="5" fillId="0" borderId="0" xfId="13" applyNumberFormat="1" applyFont="1" applyAlignment="1">
      <alignment horizontal="center"/>
    </xf>
    <xf numFmtId="37" fontId="5" fillId="0" borderId="0" xfId="9" applyFont="1" applyFill="1" applyBorder="1" applyAlignment="1" applyProtection="1">
      <alignment horizontal="center"/>
    </xf>
    <xf numFmtId="164" fontId="5" fillId="0" borderId="0" xfId="3" quotePrefix="1" applyFont="1" applyBorder="1" applyAlignment="1" applyProtection="1">
      <alignment horizontal="center"/>
    </xf>
    <xf numFmtId="3" fontId="20" fillId="0" borderId="0" xfId="3" applyNumberFormat="1" applyFont="1" applyFill="1" applyBorder="1" applyAlignment="1" applyProtection="1">
      <alignment horizontal="center"/>
    </xf>
    <xf numFmtId="169" fontId="5" fillId="0" borderId="0" xfId="13" applyNumberFormat="1" applyFont="1" applyAlignment="1" applyProtection="1">
      <alignment horizontal="center"/>
    </xf>
    <xf numFmtId="0" fontId="5" fillId="0" borderId="0" xfId="15" applyFont="1" applyBorder="1" applyAlignment="1" applyProtection="1">
      <alignment horizontal="center"/>
    </xf>
    <xf numFmtId="0" fontId="5" fillId="0" borderId="0" xfId="16" applyFont="1" applyFill="1" applyBorder="1" applyAlignment="1" applyProtection="1">
      <alignment horizontal="center"/>
    </xf>
    <xf numFmtId="164" fontId="5" fillId="0" borderId="0" xfId="3" applyFont="1" applyFill="1" applyAlignment="1" applyProtection="1">
      <alignment horizontal="center"/>
    </xf>
    <xf numFmtId="169" fontId="10" fillId="0" borderId="0" xfId="13" applyNumberFormat="1" applyFont="1" applyFill="1" applyAlignment="1">
      <alignment horizontal="center"/>
    </xf>
    <xf numFmtId="41" fontId="5" fillId="0" borderId="13" xfId="1" applyFont="1" applyFill="1" applyBorder="1"/>
    <xf numFmtId="37" fontId="5" fillId="0" borderId="11" xfId="8" applyFont="1" applyFill="1" applyBorder="1" applyAlignment="1">
      <alignment horizontal="right"/>
    </xf>
    <xf numFmtId="37" fontId="20" fillId="0" borderId="0" xfId="8" applyFont="1" applyFill="1" applyBorder="1" applyAlignment="1">
      <alignment horizontal="center"/>
    </xf>
    <xf numFmtId="37" fontId="10" fillId="10" borderId="2" xfId="8" applyFont="1" applyFill="1" applyBorder="1" applyAlignment="1">
      <alignment horizontal="center"/>
    </xf>
    <xf numFmtId="37" fontId="5" fillId="0" borderId="0" xfId="8" applyFont="1" applyFill="1" applyBorder="1" applyAlignment="1">
      <alignment horizontal="left"/>
    </xf>
    <xf numFmtId="0" fontId="16" fillId="0" borderId="0" xfId="16" applyFont="1" applyFill="1" applyBorder="1" applyAlignment="1">
      <alignment horizontal="left"/>
    </xf>
    <xf numFmtId="0" fontId="10" fillId="0" borderId="0" xfId="15" applyFont="1" applyBorder="1" applyAlignment="1">
      <alignment horizontal="left"/>
    </xf>
    <xf numFmtId="3" fontId="5" fillId="0" borderId="0" xfId="3" applyNumberFormat="1" applyFont="1" applyBorder="1" applyAlignment="1">
      <alignment horizontal="left"/>
    </xf>
    <xf numFmtId="41" fontId="57" fillId="0" borderId="2" xfId="1" applyFont="1" applyFill="1" applyBorder="1" applyAlignment="1">
      <alignment horizontal="left"/>
    </xf>
    <xf numFmtId="164" fontId="20" fillId="0" borderId="2" xfId="3" applyFont="1" applyBorder="1" applyAlignment="1">
      <alignment horizontal="center"/>
    </xf>
    <xf numFmtId="164" fontId="58" fillId="0" borderId="4" xfId="3" applyFont="1" applyBorder="1" applyAlignment="1">
      <alignment horizontal="right"/>
    </xf>
    <xf numFmtId="164" fontId="57" fillId="6" borderId="14" xfId="3" applyFont="1" applyFill="1" applyBorder="1" applyAlignment="1">
      <alignment horizontal="center"/>
    </xf>
    <xf numFmtId="5" fontId="57" fillId="0" borderId="0" xfId="3" applyNumberFormat="1" applyFont="1" applyAlignment="1">
      <alignment horizontal="left" indent="1"/>
    </xf>
    <xf numFmtId="37" fontId="57" fillId="0" borderId="0" xfId="3" applyNumberFormat="1" applyFont="1" applyAlignment="1">
      <alignment horizontal="left" indent="1"/>
    </xf>
    <xf numFmtId="164" fontId="57" fillId="0" borderId="0" xfId="3" applyFont="1" applyAlignment="1">
      <alignment horizontal="left" indent="2"/>
    </xf>
    <xf numFmtId="37" fontId="57" fillId="0" borderId="0" xfId="3" applyNumberFormat="1" applyFont="1"/>
    <xf numFmtId="164" fontId="57" fillId="0" borderId="0" xfId="3" applyFont="1" applyFill="1"/>
    <xf numFmtId="37" fontId="57" fillId="0" borderId="0" xfId="3" applyNumberFormat="1" applyFont="1" applyAlignment="1">
      <alignment horizontal="left" indent="2"/>
    </xf>
    <xf numFmtId="164" fontId="57" fillId="0" borderId="0" xfId="3" applyFont="1" applyFill="1" applyAlignment="1">
      <alignment horizontal="left" indent="1"/>
    </xf>
    <xf numFmtId="37" fontId="57" fillId="0" borderId="0" xfId="3" applyNumberFormat="1" applyFont="1" applyBorder="1" applyAlignment="1">
      <alignment horizontal="left" indent="1"/>
    </xf>
    <xf numFmtId="5" fontId="57" fillId="0" borderId="13" xfId="3" applyNumberFormat="1" applyFont="1" applyBorder="1"/>
    <xf numFmtId="164" fontId="57" fillId="0" borderId="0" xfId="3" applyFont="1" applyFill="1" applyBorder="1" applyAlignment="1">
      <alignment horizontal="center"/>
    </xf>
    <xf numFmtId="164" fontId="20" fillId="0" borderId="0" xfId="3" applyFont="1" applyBorder="1" applyAlignment="1">
      <alignment horizontal="center"/>
    </xf>
    <xf numFmtId="3" fontId="11" fillId="0" borderId="4" xfId="3" applyNumberFormat="1" applyFont="1" applyBorder="1" applyAlignment="1">
      <alignment horizontal="right"/>
    </xf>
    <xf numFmtId="164" fontId="5" fillId="6" borderId="20" xfId="3" applyFont="1" applyFill="1" applyBorder="1" applyAlignment="1">
      <alignment horizontal="center"/>
    </xf>
    <xf numFmtId="42" fontId="5" fillId="0" borderId="0" xfId="3" applyNumberFormat="1" applyFont="1" applyBorder="1" applyAlignment="1">
      <alignment horizontal="left" indent="1"/>
    </xf>
    <xf numFmtId="37" fontId="5" fillId="0" borderId="0" xfId="3" applyNumberFormat="1" applyFont="1" applyBorder="1" applyAlignment="1">
      <alignment horizontal="left" indent="1"/>
    </xf>
    <xf numFmtId="164" fontId="5" fillId="0" borderId="0" xfId="3" applyFont="1" applyBorder="1" applyAlignment="1">
      <alignment horizontal="left" indent="2"/>
    </xf>
    <xf numFmtId="37" fontId="5" fillId="0" borderId="0" xfId="3" applyNumberFormat="1" applyFont="1" applyBorder="1"/>
    <xf numFmtId="37" fontId="5" fillId="0" borderId="0" xfId="3" applyNumberFormat="1" applyFont="1" applyBorder="1" applyAlignment="1">
      <alignment horizontal="left" indent="2"/>
    </xf>
    <xf numFmtId="37" fontId="5" fillId="0" borderId="0" xfId="3" applyNumberFormat="1" applyFont="1" applyBorder="1" applyAlignment="1">
      <alignment horizontal="left" indent="3"/>
    </xf>
    <xf numFmtId="37" fontId="5" fillId="0" borderId="13" xfId="3" applyNumberFormat="1" applyFont="1" applyBorder="1" applyAlignment="1">
      <alignment horizontal="left" indent="1"/>
    </xf>
    <xf numFmtId="164" fontId="5" fillId="6" borderId="1" xfId="3" applyFont="1" applyFill="1" applyBorder="1" applyAlignment="1">
      <alignment horizontal="center"/>
    </xf>
    <xf numFmtId="164" fontId="5" fillId="0" borderId="20" xfId="3" applyFont="1" applyBorder="1"/>
    <xf numFmtId="5" fontId="5" fillId="6" borderId="1" xfId="3" applyNumberFormat="1" applyFont="1" applyFill="1" applyBorder="1" applyAlignment="1">
      <alignment horizontal="center"/>
    </xf>
    <xf numFmtId="164" fontId="5" fillId="0" borderId="13" xfId="3" applyFont="1" applyFill="1" applyBorder="1"/>
    <xf numFmtId="164" fontId="5" fillId="6" borderId="13" xfId="3" applyFont="1" applyFill="1" applyBorder="1" applyAlignment="1"/>
    <xf numFmtId="164" fontId="5" fillId="0" borderId="13" xfId="0" applyFont="1" applyBorder="1" applyAlignment="1">
      <alignment horizontal="left"/>
    </xf>
    <xf numFmtId="164" fontId="5" fillId="0" borderId="13" xfId="4" applyFont="1" applyBorder="1" applyAlignment="1">
      <alignment horizontal="left" indent="1"/>
    </xf>
    <xf numFmtId="164" fontId="5" fillId="0" borderId="13" xfId="4" applyFont="1" applyBorder="1" applyAlignment="1">
      <alignment horizontal="left" indent="2"/>
    </xf>
    <xf numFmtId="164" fontId="5" fillId="0" borderId="13" xfId="0" applyFont="1" applyBorder="1" applyAlignment="1">
      <alignment horizontal="left" indent="1"/>
    </xf>
    <xf numFmtId="164" fontId="5" fillId="0" borderId="0" xfId="0" applyFont="1" applyBorder="1" applyAlignment="1">
      <alignment horizontal="left" indent="1"/>
    </xf>
    <xf numFmtId="164" fontId="5" fillId="0" borderId="0" xfId="0" applyFont="1" applyBorder="1" applyAlignment="1">
      <alignment horizontal="left" indent="2"/>
    </xf>
    <xf numFmtId="164" fontId="5" fillId="0" borderId="0" xfId="0" applyFont="1" applyBorder="1" applyAlignment="1">
      <alignment horizontal="left"/>
    </xf>
    <xf numFmtId="164" fontId="5" fillId="0" borderId="0" xfId="4" applyFont="1" applyBorder="1" applyAlignment="1">
      <alignment horizontal="left" indent="1"/>
    </xf>
    <xf numFmtId="164" fontId="5" fillId="0" borderId="0" xfId="0" applyFont="1" applyBorder="1"/>
    <xf numFmtId="164" fontId="10" fillId="0" borderId="0" xfId="0" applyFont="1" applyBorder="1"/>
    <xf numFmtId="164" fontId="10" fillId="0" borderId="0" xfId="0" applyFont="1" applyFill="1" applyBorder="1" applyAlignment="1"/>
    <xf numFmtId="164" fontId="20" fillId="0" borderId="0" xfId="3" applyFont="1" applyFill="1" applyBorder="1" applyAlignment="1">
      <alignment horizontal="center"/>
    </xf>
    <xf numFmtId="164" fontId="11" fillId="0" borderId="4" xfId="3" applyFont="1" applyFill="1" applyBorder="1" applyAlignment="1">
      <alignment horizontal="right"/>
    </xf>
    <xf numFmtId="164" fontId="5" fillId="6" borderId="14" xfId="3" applyFont="1" applyFill="1" applyBorder="1" applyAlignment="1">
      <alignment horizontal="center"/>
    </xf>
    <xf numFmtId="5" fontId="5" fillId="0" borderId="0" xfId="3" applyNumberFormat="1" applyFont="1" applyFill="1" applyAlignment="1">
      <alignment horizontal="left" indent="1"/>
    </xf>
    <xf numFmtId="37" fontId="5" fillId="0" borderId="0" xfId="3" applyNumberFormat="1" applyFont="1" applyFill="1" applyAlignment="1">
      <alignment horizontal="left" indent="1"/>
    </xf>
    <xf numFmtId="164" fontId="5" fillId="0" borderId="0" xfId="3" applyFont="1" applyFill="1" applyAlignment="1">
      <alignment horizontal="left" indent="2"/>
    </xf>
    <xf numFmtId="37" fontId="5" fillId="0" borderId="0" xfId="3" applyNumberFormat="1" applyFont="1" applyFill="1"/>
    <xf numFmtId="37" fontId="5" fillId="0" borderId="0" xfId="3" applyNumberFormat="1" applyFont="1" applyFill="1" applyAlignment="1">
      <alignment horizontal="left" indent="2"/>
    </xf>
    <xf numFmtId="37" fontId="5" fillId="0" borderId="0" xfId="3" applyNumberFormat="1" applyFont="1" applyFill="1" applyAlignment="1">
      <alignment horizontal="left" indent="3"/>
    </xf>
    <xf numFmtId="164" fontId="5" fillId="0" borderId="0" xfId="3" applyFont="1" applyFill="1" applyAlignment="1">
      <alignment horizontal="left" indent="1"/>
    </xf>
    <xf numFmtId="37" fontId="5" fillId="0" borderId="0" xfId="3" applyNumberFormat="1" applyFont="1" applyFill="1" applyBorder="1"/>
    <xf numFmtId="5" fontId="5" fillId="6" borderId="14" xfId="3" applyNumberFormat="1" applyFont="1" applyFill="1" applyBorder="1" applyAlignment="1">
      <alignment horizontal="center"/>
    </xf>
    <xf numFmtId="164" fontId="5" fillId="0" borderId="0" xfId="0" applyFont="1" applyFill="1" applyBorder="1"/>
    <xf numFmtId="164" fontId="5" fillId="0" borderId="0" xfId="0" applyFont="1" applyFill="1" applyBorder="1" applyAlignment="1">
      <alignment horizontal="left" indent="1"/>
    </xf>
    <xf numFmtId="2" fontId="5" fillId="0" borderId="0" xfId="0" applyNumberFormat="1" applyFont="1" applyBorder="1" applyAlignment="1">
      <alignment horizontal="left"/>
    </xf>
    <xf numFmtId="37" fontId="5" fillId="10" borderId="13" xfId="8" applyFont="1" applyFill="1" applyBorder="1" applyAlignment="1"/>
    <xf numFmtId="37" fontId="5" fillId="10" borderId="0" xfId="8" applyFont="1" applyFill="1" applyBorder="1" applyAlignment="1"/>
    <xf numFmtId="37" fontId="5" fillId="10" borderId="0" xfId="8" applyFont="1" applyFill="1" applyBorder="1"/>
    <xf numFmtId="37" fontId="57" fillId="0" borderId="0" xfId="3" applyNumberFormat="1" applyFont="1" applyFill="1" applyAlignment="1">
      <alignment horizontal="left" indent="1"/>
    </xf>
    <xf numFmtId="0" fontId="5" fillId="0" borderId="0" xfId="15" applyFont="1" applyFill="1"/>
    <xf numFmtId="0" fontId="5" fillId="0" borderId="0" xfId="15" applyFont="1" applyFill="1" applyAlignment="1">
      <alignment horizontal="center"/>
    </xf>
    <xf numFmtId="164" fontId="57" fillId="0" borderId="0" xfId="4" applyFont="1" applyFill="1" applyBorder="1" applyAlignment="1">
      <alignment horizontal="center"/>
    </xf>
    <xf numFmtId="164" fontId="22" fillId="7" borderId="7" xfId="4" applyFont="1" applyFill="1" applyBorder="1" applyAlignment="1">
      <alignment horizontal="center" vertical="center"/>
    </xf>
    <xf numFmtId="164" fontId="22" fillId="7" borderId="8" xfId="4" applyFont="1" applyFill="1" applyBorder="1" applyAlignment="1">
      <alignment horizontal="center" vertical="center"/>
    </xf>
    <xf numFmtId="164" fontId="22" fillId="7" borderId="10" xfId="4" applyFont="1" applyFill="1" applyBorder="1" applyAlignment="1">
      <alignment horizontal="center" vertical="center"/>
    </xf>
    <xf numFmtId="37" fontId="5" fillId="0" borderId="13" xfId="8" applyFont="1" applyFill="1" applyBorder="1" applyAlignment="1">
      <alignment horizontal="left"/>
    </xf>
    <xf numFmtId="37" fontId="5" fillId="0" borderId="0" xfId="8" applyFont="1" applyFill="1" applyBorder="1" applyAlignment="1">
      <alignment horizontal="left"/>
    </xf>
    <xf numFmtId="37" fontId="5" fillId="5" borderId="0" xfId="8" applyFont="1" applyFill="1" applyBorder="1" applyAlignment="1">
      <alignment horizontal="right"/>
    </xf>
    <xf numFmtId="37" fontId="5" fillId="3" borderId="0" xfId="8" applyFont="1" applyFill="1" applyBorder="1" applyAlignment="1">
      <alignment horizontal="center"/>
    </xf>
    <xf numFmtId="37" fontId="10" fillId="0" borderId="2" xfId="8" applyFont="1" applyFill="1" applyBorder="1" applyAlignment="1">
      <alignment horizontal="center"/>
    </xf>
    <xf numFmtId="37" fontId="10" fillId="0" borderId="2" xfId="8" applyFont="1" applyBorder="1" applyAlignment="1">
      <alignment horizontal="center"/>
    </xf>
    <xf numFmtId="37" fontId="14" fillId="5" borderId="0" xfId="8" applyFont="1" applyFill="1" applyBorder="1" applyAlignment="1">
      <alignment horizontal="center"/>
    </xf>
    <xf numFmtId="37" fontId="10" fillId="0" borderId="0" xfId="8" applyFont="1" applyBorder="1" applyAlignment="1">
      <alignment horizontal="right"/>
    </xf>
    <xf numFmtId="0" fontId="20" fillId="0" borderId="0" xfId="15" applyFont="1" applyBorder="1" applyAlignment="1">
      <alignment horizontal="center"/>
    </xf>
    <xf numFmtId="0" fontId="10" fillId="5" borderId="0" xfId="16" applyFont="1" applyFill="1" applyBorder="1" applyAlignment="1">
      <alignment horizontal="center"/>
    </xf>
    <xf numFmtId="37" fontId="20" fillId="0" borderId="0" xfId="9" applyFont="1" applyAlignment="1">
      <alignment horizontal="center"/>
    </xf>
    <xf numFmtId="41" fontId="10" fillId="5" borderId="2" xfId="6" applyFont="1" applyFill="1" applyBorder="1" applyAlignment="1">
      <alignment horizontal="center"/>
    </xf>
    <xf numFmtId="37" fontId="10" fillId="5" borderId="2" xfId="9" applyFont="1" applyFill="1" applyBorder="1" applyAlignment="1">
      <alignment horizontal="center"/>
    </xf>
    <xf numFmtId="37" fontId="10" fillId="0" borderId="13" xfId="9" applyFont="1" applyBorder="1" applyAlignment="1">
      <alignment horizontal="center"/>
    </xf>
    <xf numFmtId="37" fontId="10" fillId="0" borderId="0" xfId="9" applyFont="1" applyAlignment="1">
      <alignment horizontal="center"/>
    </xf>
  </cellXfs>
  <cellStyles count="180">
    <cellStyle name="20% - Accent1 2" xfId="81"/>
    <cellStyle name="20% - Accent1 3" xfId="82"/>
    <cellStyle name="20% - Accent2 2" xfId="83"/>
    <cellStyle name="20% - Accent2 3" xfId="84"/>
    <cellStyle name="20% - Accent3 2" xfId="85"/>
    <cellStyle name="20% - Accent3 3" xfId="86"/>
    <cellStyle name="20% - Accent4 2" xfId="87"/>
    <cellStyle name="20% - Accent4 3" xfId="88"/>
    <cellStyle name="20% - Accent5 2" xfId="89"/>
    <cellStyle name="20% - Accent5 3" xfId="90"/>
    <cellStyle name="20% - Accent6 2" xfId="91"/>
    <cellStyle name="20% - Accent6 3" xfId="92"/>
    <cellStyle name="40% - Accent1 2" xfId="93"/>
    <cellStyle name="40% - Accent1 3" xfId="94"/>
    <cellStyle name="40% - Accent2 2" xfId="95"/>
    <cellStyle name="40% - Accent2 3" xfId="96"/>
    <cellStyle name="40% - Accent3 2" xfId="97"/>
    <cellStyle name="40% - Accent3 3" xfId="98"/>
    <cellStyle name="40% - Accent4 2" xfId="99"/>
    <cellStyle name="40% - Accent4 3" xfId="100"/>
    <cellStyle name="40% - Accent5 2" xfId="101"/>
    <cellStyle name="40% - Accent5 3" xfId="102"/>
    <cellStyle name="40% - Accent6 2" xfId="103"/>
    <cellStyle name="40% - Accent6 3" xfId="104"/>
    <cellStyle name="ColumnAttributeAbovePrompt" xfId="105"/>
    <cellStyle name="ColumnAttributePrompt" xfId="106"/>
    <cellStyle name="ColumnAttributeValue" xfId="107"/>
    <cellStyle name="ColumnHeadingPrompt" xfId="108"/>
    <cellStyle name="ColumnHeadingValue" xfId="109"/>
    <cellStyle name="Comma" xfId="1" builtinId="3"/>
    <cellStyle name="Comma [0] 2" xfId="110"/>
    <cellStyle name="Comma 2" xfId="38"/>
    <cellStyle name="Comma 2 2" xfId="19"/>
    <cellStyle name="Comma 2 2 2" xfId="42"/>
    <cellStyle name="Comma 2 2 3" xfId="47"/>
    <cellStyle name="Comma 2 3" xfId="40"/>
    <cellStyle name="Comma 2 4" xfId="45"/>
    <cellStyle name="Comma 2 5" xfId="52"/>
    <cellStyle name="Comma 2 6" xfId="55"/>
    <cellStyle name="Comma 3" xfId="51"/>
    <cellStyle name="Comma 4" xfId="54"/>
    <cellStyle name="Comma 5" xfId="111"/>
    <cellStyle name="Comma 6" xfId="112"/>
    <cellStyle name="Comma_TEMPLATE 01" xfId="13"/>
    <cellStyle name="Currency" xfId="56" builtinId="4"/>
    <cellStyle name="Currency [0] 2" xfId="113"/>
    <cellStyle name="Currency 2" xfId="37"/>
    <cellStyle name="Currency 2 2" xfId="70"/>
    <cellStyle name="Currency 3" xfId="68"/>
    <cellStyle name="Date" xfId="20"/>
    <cellStyle name="Date 10" xfId="21"/>
    <cellStyle name="Date 11" xfId="22"/>
    <cellStyle name="Date 12" xfId="23"/>
    <cellStyle name="Date 2" xfId="24"/>
    <cellStyle name="Date 3" xfId="25"/>
    <cellStyle name="Date 4" xfId="26"/>
    <cellStyle name="Date 5" xfId="27"/>
    <cellStyle name="Date 6" xfId="28"/>
    <cellStyle name="Date 7" xfId="29"/>
    <cellStyle name="Date 8" xfId="30"/>
    <cellStyle name="Date 9" xfId="31"/>
    <cellStyle name="Entered" xfId="114"/>
    <cellStyle name="Followed Hyperlink 2" xfId="62"/>
    <cellStyle name="Grey" xfId="115"/>
    <cellStyle name="Heading1" xfId="116"/>
    <cellStyle name="Heading2" xfId="117"/>
    <cellStyle name="Hyperlink 2" xfId="63"/>
    <cellStyle name="Input [yellow]" xfId="118"/>
    <cellStyle name="LineItemPrompt" xfId="119"/>
    <cellStyle name="LineItemValue" xfId="120"/>
    <cellStyle name="Manual-Input" xfId="64"/>
    <cellStyle name="Normal" xfId="0" builtinId="0"/>
    <cellStyle name="Normal - Style1" xfId="121"/>
    <cellStyle name="Normal 10" xfId="75"/>
    <cellStyle name="Normal 11" xfId="122"/>
    <cellStyle name="Normal 12" xfId="76"/>
    <cellStyle name="Normal 13" xfId="77"/>
    <cellStyle name="Normal 14" xfId="123"/>
    <cellStyle name="Normal 15" xfId="124"/>
    <cellStyle name="Normal 16" xfId="125"/>
    <cellStyle name="Normal 17" xfId="126"/>
    <cellStyle name="Normal 2" xfId="32"/>
    <cellStyle name="Normal 2 2" xfId="33"/>
    <cellStyle name="Normal 2 2 2" xfId="127"/>
    <cellStyle name="Normal 2 2 2 2" xfId="128"/>
    <cellStyle name="Normal 2 2 2 2 2" xfId="129"/>
    <cellStyle name="Normal 2 2 3" xfId="130"/>
    <cellStyle name="Normal 2 2 4" xfId="131"/>
    <cellStyle name="Normal 2 3" xfId="65"/>
    <cellStyle name="Normal 2 3 2" xfId="132"/>
    <cellStyle name="Normal 2 4" xfId="73"/>
    <cellStyle name="Normal 2 5" xfId="133"/>
    <cellStyle name="Normal 2 6" xfId="134"/>
    <cellStyle name="Normal 2 7" xfId="135"/>
    <cellStyle name="Normal 2 8" xfId="136"/>
    <cellStyle name="Normal 2 9" xfId="137"/>
    <cellStyle name="Normal 3" xfId="18"/>
    <cellStyle name="Normal 3 2" xfId="34"/>
    <cellStyle name="Normal 3 3" xfId="66"/>
    <cellStyle name="Normal 4" xfId="12"/>
    <cellStyle name="Normal 4 2" xfId="44"/>
    <cellStyle name="Normal 4 3" xfId="49"/>
    <cellStyle name="Normal 4 4" xfId="39"/>
    <cellStyle name="Normal 4 5" xfId="71"/>
    <cellStyle name="Normal 5" xfId="50"/>
    <cellStyle name="Normal 5 2" xfId="72"/>
    <cellStyle name="Normal 6" xfId="11"/>
    <cellStyle name="Normal 6 2" xfId="35"/>
    <cellStyle name="Normal 6 2 2" xfId="43"/>
    <cellStyle name="Normal 6 2 3" xfId="48"/>
    <cellStyle name="Normal 6 3" xfId="41"/>
    <cellStyle name="Normal 6 4" xfId="46"/>
    <cellStyle name="Normal 7" xfId="53"/>
    <cellStyle name="Normal 8" xfId="58"/>
    <cellStyle name="Normal 9" xfId="67"/>
    <cellStyle name="Normal_Avista WA ELEC TY2006 Staff Rebuttal 05 capstruc" xfId="8"/>
    <cellStyle name="Normal_Bench response 01" xfId="15"/>
    <cellStyle name="Normal_Book3" xfId="17"/>
    <cellStyle name="Normal_DFIT-WaEle_SUM" xfId="80"/>
    <cellStyle name="Normal_DFIT-WaGas_SUM" xfId="10"/>
    <cellStyle name="Normal_IDGas6_97" xfId="5"/>
    <cellStyle name="Normal_IDGas6_97 2" xfId="60"/>
    <cellStyle name="Normal_Inc. Stmt." xfId="6"/>
    <cellStyle name="Normal_scratch" xfId="16"/>
    <cellStyle name="Normal_TEMPLATE 01" xfId="9"/>
    <cellStyle name="Normal_WAElec6_97" xfId="7"/>
    <cellStyle name="Normal_WAElec6_97 2" xfId="57"/>
    <cellStyle name="Normal_WAGas6_97" xfId="3"/>
    <cellStyle name="Normal_WAGas6_97 2" xfId="59"/>
    <cellStyle name="Normal_WAGas6_97 2 2" xfId="74"/>
    <cellStyle name="Normal_WAGas6_97_Avista WA GAS TY2006 Staff Rebuttal" xfId="4"/>
    <cellStyle name="Note 10" xfId="138"/>
    <cellStyle name="Note 10 2" xfId="139"/>
    <cellStyle name="Note 11" xfId="140"/>
    <cellStyle name="Note 11 2" xfId="141"/>
    <cellStyle name="Note 2" xfId="142"/>
    <cellStyle name="Note 2 2" xfId="143"/>
    <cellStyle name="Note 3" xfId="144"/>
    <cellStyle name="Note 3 2" xfId="145"/>
    <cellStyle name="Note 4" xfId="146"/>
    <cellStyle name="Note 4 2" xfId="147"/>
    <cellStyle name="Note 5" xfId="148"/>
    <cellStyle name="Note 5 2" xfId="149"/>
    <cellStyle name="Note 6" xfId="150"/>
    <cellStyle name="Note 6 2" xfId="151"/>
    <cellStyle name="Note 7" xfId="152"/>
    <cellStyle name="Note 7 2" xfId="153"/>
    <cellStyle name="Note 8" xfId="154"/>
    <cellStyle name="Note 8 2" xfId="155"/>
    <cellStyle name="Note 9" xfId="156"/>
    <cellStyle name="Note 9 2" xfId="157"/>
    <cellStyle name="OUTPUT AMOUNTS" xfId="78"/>
    <cellStyle name="Output Column Headings" xfId="158"/>
    <cellStyle name="OUTPUT LINE ITEMS" xfId="79"/>
    <cellStyle name="Output Report Heading" xfId="159"/>
    <cellStyle name="Output Report Title" xfId="160"/>
    <cellStyle name="Percent" xfId="2" builtinId="5"/>
    <cellStyle name="Percent [2]" xfId="161"/>
    <cellStyle name="Percent 2" xfId="36"/>
    <cellStyle name="Percent 3" xfId="61"/>
    <cellStyle name="Percent 4" xfId="69"/>
    <cellStyle name="Percent_TEMPLATE 01" xfId="14"/>
    <cellStyle name="ReportTitlePrompt" xfId="162"/>
    <cellStyle name="ReportTitleValue" xfId="163"/>
    <cellStyle name="RowAcctAbovePrompt" xfId="164"/>
    <cellStyle name="RowAcctSOBAbovePrompt" xfId="165"/>
    <cellStyle name="RowAcctSOBValue" xfId="166"/>
    <cellStyle name="RowAcctValue" xfId="167"/>
    <cellStyle name="RowAttrAbovePrompt" xfId="168"/>
    <cellStyle name="RowAttrValue" xfId="169"/>
    <cellStyle name="RowColSetAbovePrompt" xfId="170"/>
    <cellStyle name="RowColSetLeftPrompt" xfId="171"/>
    <cellStyle name="RowColSetValue" xfId="172"/>
    <cellStyle name="RowLeftPrompt" xfId="173"/>
    <cellStyle name="SampleUsingFormatMask" xfId="174"/>
    <cellStyle name="SampleWithNoFormatMask" xfId="175"/>
    <cellStyle name="StmtTtl1" xfId="176"/>
    <cellStyle name="StmtTtl2" xfId="177"/>
    <cellStyle name="Style 1" xfId="178"/>
    <cellStyle name="UploadThisRowValue" xfId="179"/>
  </cellStyles>
  <dxfs count="0"/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9" Type="http://schemas.openxmlformats.org/officeDocument/2006/relationships/customXml" Target="../customXml/item3.xml"/><Relationship Id="rId21" Type="http://schemas.openxmlformats.org/officeDocument/2006/relationships/externalLink" Target="externalLinks/externalLink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externalLink" Target="externalLinks/externalLink12.xml"/><Relationship Id="rId37" Type="http://schemas.openxmlformats.org/officeDocument/2006/relationships/customXml" Target="../customXml/item1.xml"/><Relationship Id="rId40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externalLink" Target="externalLinks/externalLink1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keating\AppData\Local\Microsoft\Windows\Temporary%20Internet%20Files\Content.Outlook\LD80RS0X\Copy%20of%20STAFF%20TY%202010%20vs%202011%20ISWC%20Details%207-30-12%20-%20mik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Avista\UE-120436%20GRC\Company's%20workpaper\N.%20UE__Andrews%20Nat.%20Gas%20WPs%20(AVA-Apr2012)\2012%20WA%20Gas%20RR%20Model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keating\AppData\Local\Microsoft\Windows\Temporary%20Internet%20Files\Content.Outlook\LD80RS0X\EJ%208-2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vista\2012%20Rate%20Case%20-%20UE-120436\Models\2012%20WA%20Gas%20RR%20Model%20from%20compan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070804\Staff%20WP\trash\Avista%20WA%20GAS%20TY2006%20Staff%20Rebuttal%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070804\Staff%20WP\trash\Avista%20WA%20ELEC%20TY2006%20Staff%20Rebuttal%2005%20capstru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vista\2012%20Rate%20Case%20-%20UE-120436\Electric%20adjustments\2.13%20Misc.%20Restating\EJK-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Avista\UE-120436%20GRC\Company's%20workpaper\N.%20UE__Andrews%20Electric%20WPs%20(AVA-Apr2012)\3.02%20PF%20-%20Labor%20Non-Exec\Downloads\Total%20Labor%20for%20Pension-Medic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vista\TEMPLATE%2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keating\AppData\Local\Microsoft\Windows\Temporary%20Internet%20Files\Content.Outlook\LD80RS0X\Exhibit%20No%20___(EJK-2)%209%2014%201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keating\AppData\Local\Microsoft\Windows\Temporary%20Internet%20Files\Content.Outlook\LD80RS0X\Breda%202012%20WA%20Gas%20RR%20Model%207%202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CASE\OPEN%20RATECASES\Avista%20GRC%202011%20UE-110876%20&amp;%20UG-110877\Company\Workpapers\I.%20UE___%20Avista%20Direct%20Evidence%20-%20(May2011)\3.%20AVA%20WP's\J.%20%20UE___%20Andrews%20-%20Electric%20WP's%20(AVA-May2011)\Andrews-WA%20ELEC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 ISWC"/>
      <sheetName val="Gas ISWC"/>
      <sheetName val="Staffi ISWC"/>
      <sheetName val="Staff Adjustments"/>
      <sheetName val="BS"/>
      <sheetName val="PPXLSaveData0"/>
      <sheetName val="PPXLFunctions"/>
      <sheetName val="PPXLOpen"/>
    </sheetNames>
    <sheetDataSet>
      <sheetData sheetId="0"/>
      <sheetData sheetId="1"/>
      <sheetData sheetId="2">
        <row r="93">
          <cell r="E93">
            <v>2047352.0742762054</v>
          </cell>
        </row>
      </sheetData>
      <sheetData sheetId="3"/>
      <sheetData sheetId="4">
        <row r="7">
          <cell r="R7">
            <v>149436363.01708335</v>
          </cell>
          <cell r="S7">
            <v>19</v>
          </cell>
        </row>
        <row r="8">
          <cell r="R8">
            <v>16414651.210416667</v>
          </cell>
          <cell r="S8">
            <v>19</v>
          </cell>
        </row>
        <row r="9">
          <cell r="R9">
            <v>10617170.748333333</v>
          </cell>
          <cell r="S9">
            <v>19</v>
          </cell>
        </row>
        <row r="10">
          <cell r="R10">
            <v>8406253.010416666</v>
          </cell>
          <cell r="S10">
            <v>19</v>
          </cell>
        </row>
        <row r="11">
          <cell r="R11">
            <v>1692106604.7624998</v>
          </cell>
          <cell r="S11">
            <v>13</v>
          </cell>
        </row>
        <row r="12">
          <cell r="R12">
            <v>439041156.2854166</v>
          </cell>
          <cell r="S12">
            <v>13</v>
          </cell>
        </row>
        <row r="13">
          <cell r="R13">
            <v>236980.81999999998</v>
          </cell>
          <cell r="S13">
            <v>13</v>
          </cell>
        </row>
        <row r="14">
          <cell r="R14">
            <v>720208866.30791664</v>
          </cell>
          <cell r="S14">
            <v>13</v>
          </cell>
        </row>
        <row r="15">
          <cell r="R15">
            <v>3921093.5679166671</v>
          </cell>
          <cell r="S15">
            <v>15</v>
          </cell>
        </row>
        <row r="16">
          <cell r="R16">
            <v>36232254.138750002</v>
          </cell>
          <cell r="S16">
            <v>15</v>
          </cell>
        </row>
        <row r="17">
          <cell r="R17">
            <v>154545492.13666666</v>
          </cell>
          <cell r="S17">
            <v>15</v>
          </cell>
        </row>
        <row r="18">
          <cell r="R18">
            <v>244312239.30958334</v>
          </cell>
          <cell r="S18">
            <v>15</v>
          </cell>
        </row>
        <row r="19">
          <cell r="R19">
            <v>290450873.17958331</v>
          </cell>
          <cell r="S19">
            <v>15</v>
          </cell>
        </row>
        <row r="20">
          <cell r="R20">
            <v>-2063509</v>
          </cell>
          <cell r="S20">
            <v>13</v>
          </cell>
        </row>
        <row r="21">
          <cell r="R21">
            <v>-5247725</v>
          </cell>
          <cell r="S21">
            <v>13</v>
          </cell>
        </row>
        <row r="22">
          <cell r="R22">
            <v>-2600000</v>
          </cell>
          <cell r="S22">
            <v>13</v>
          </cell>
        </row>
        <row r="23">
          <cell r="R23">
            <v>283484.25</v>
          </cell>
          <cell r="S23">
            <v>19</v>
          </cell>
        </row>
        <row r="24">
          <cell r="R24">
            <v>254354.23</v>
          </cell>
          <cell r="S24">
            <v>15</v>
          </cell>
        </row>
        <row r="25">
          <cell r="R25">
            <v>403189.39999999997</v>
          </cell>
          <cell r="S25">
            <v>15</v>
          </cell>
        </row>
        <row r="26">
          <cell r="R26">
            <v>962301.44999999984</v>
          </cell>
          <cell r="S26">
            <v>15</v>
          </cell>
        </row>
        <row r="27">
          <cell r="R27">
            <v>5300000</v>
          </cell>
          <cell r="S27">
            <v>19</v>
          </cell>
        </row>
        <row r="28">
          <cell r="R28">
            <v>343064.19750000007</v>
          </cell>
          <cell r="S28">
            <v>13</v>
          </cell>
        </row>
        <row r="29">
          <cell r="R29">
            <v>162352.37000000002</v>
          </cell>
          <cell r="S29">
            <v>13</v>
          </cell>
        </row>
        <row r="30">
          <cell r="R30">
            <v>3713707.2354166661</v>
          </cell>
          <cell r="S30">
            <v>13</v>
          </cell>
        </row>
        <row r="31">
          <cell r="R31">
            <v>198917.37250000003</v>
          </cell>
          <cell r="S31">
            <v>15</v>
          </cell>
        </row>
        <row r="32">
          <cell r="R32">
            <v>15821392.652916668</v>
          </cell>
          <cell r="S32">
            <v>33</v>
          </cell>
        </row>
        <row r="33">
          <cell r="R33">
            <v>157285.01708333334</v>
          </cell>
          <cell r="S33">
            <v>33</v>
          </cell>
        </row>
        <row r="34">
          <cell r="R34">
            <v>43037.61791666667</v>
          </cell>
          <cell r="S34">
            <v>33</v>
          </cell>
        </row>
        <row r="35">
          <cell r="R35">
            <v>1207744.9962500001</v>
          </cell>
          <cell r="S35">
            <v>33</v>
          </cell>
        </row>
        <row r="36">
          <cell r="R36">
            <v>107.25</v>
          </cell>
          <cell r="S36">
            <v>33</v>
          </cell>
        </row>
        <row r="37">
          <cell r="R37">
            <v>34562362.728333332</v>
          </cell>
          <cell r="S37">
            <v>33</v>
          </cell>
        </row>
        <row r="38">
          <cell r="R38">
            <v>4073309.02</v>
          </cell>
          <cell r="S38">
            <v>33</v>
          </cell>
        </row>
        <row r="39">
          <cell r="R39">
            <v>13289.247916666667</v>
          </cell>
          <cell r="S39">
            <v>33</v>
          </cell>
        </row>
        <row r="40">
          <cell r="R40">
            <v>10399576.790833334</v>
          </cell>
          <cell r="S40">
            <v>33</v>
          </cell>
        </row>
        <row r="41">
          <cell r="R41">
            <v>150020.88708333336</v>
          </cell>
          <cell r="S41">
            <v>33</v>
          </cell>
        </row>
        <row r="42">
          <cell r="R42">
            <v>953982.36583333358</v>
          </cell>
          <cell r="S42">
            <v>33</v>
          </cell>
        </row>
        <row r="43">
          <cell r="R43">
            <v>283643.55041666667</v>
          </cell>
          <cell r="S43">
            <v>33</v>
          </cell>
        </row>
        <row r="44">
          <cell r="R44">
            <v>3074845.3616666668</v>
          </cell>
          <cell r="S44">
            <v>33</v>
          </cell>
        </row>
        <row r="45">
          <cell r="R45">
            <v>1968653.4783333333</v>
          </cell>
          <cell r="S45">
            <v>33</v>
          </cell>
        </row>
        <row r="46">
          <cell r="R46">
            <v>-52390.597500000003</v>
          </cell>
          <cell r="S46">
            <v>33</v>
          </cell>
        </row>
        <row r="47">
          <cell r="R47">
            <v>110132.76</v>
          </cell>
          <cell r="S47">
            <v>33</v>
          </cell>
        </row>
        <row r="48">
          <cell r="R48">
            <v>-1741.3045833333329</v>
          </cell>
          <cell r="S48">
            <v>33</v>
          </cell>
        </row>
        <row r="49">
          <cell r="R49">
            <v>-867452.8520833333</v>
          </cell>
          <cell r="S49">
            <v>33</v>
          </cell>
        </row>
        <row r="50">
          <cell r="R50">
            <v>3800.5774999999999</v>
          </cell>
          <cell r="S50">
            <v>33</v>
          </cell>
        </row>
        <row r="51">
          <cell r="R51">
            <v>-145595.99166666667</v>
          </cell>
          <cell r="S51">
            <v>33</v>
          </cell>
        </row>
        <row r="52">
          <cell r="R52">
            <v>-2247.4550000000004</v>
          </cell>
          <cell r="S52">
            <v>33</v>
          </cell>
        </row>
        <row r="53">
          <cell r="R53">
            <v>-59082.630000000012</v>
          </cell>
          <cell r="S53">
            <v>33</v>
          </cell>
        </row>
        <row r="54">
          <cell r="R54">
            <v>-380146.42750000005</v>
          </cell>
          <cell r="S54">
            <v>33</v>
          </cell>
        </row>
        <row r="55">
          <cell r="R55">
            <v>-19164195.976249997</v>
          </cell>
          <cell r="S55">
            <v>20</v>
          </cell>
        </row>
        <row r="56">
          <cell r="R56">
            <v>-10618257.569166666</v>
          </cell>
          <cell r="S56">
            <v>20</v>
          </cell>
        </row>
        <row r="57">
          <cell r="R57">
            <v>-4063971.7779166661</v>
          </cell>
          <cell r="S57">
            <v>20</v>
          </cell>
        </row>
        <row r="58">
          <cell r="R58">
            <v>-2233706.4045833331</v>
          </cell>
          <cell r="S58">
            <v>20</v>
          </cell>
        </row>
        <row r="59">
          <cell r="R59">
            <v>-640436454.77291667</v>
          </cell>
          <cell r="S59">
            <v>14</v>
          </cell>
        </row>
        <row r="60">
          <cell r="R60">
            <v>-140714702.86291668</v>
          </cell>
          <cell r="S60">
            <v>14</v>
          </cell>
        </row>
        <row r="61">
          <cell r="R61">
            <v>-90596.04</v>
          </cell>
          <cell r="S61">
            <v>14</v>
          </cell>
        </row>
        <row r="62">
          <cell r="R62">
            <v>-213851917.35749999</v>
          </cell>
          <cell r="S62">
            <v>14</v>
          </cell>
        </row>
        <row r="63">
          <cell r="R63">
            <v>-1073941.0062499999</v>
          </cell>
          <cell r="S63">
            <v>16</v>
          </cell>
        </row>
        <row r="64">
          <cell r="R64">
            <v>-13987484.935833335</v>
          </cell>
          <cell r="S64">
            <v>16</v>
          </cell>
        </row>
        <row r="65">
          <cell r="R65">
            <v>-49463690.475416668</v>
          </cell>
          <cell r="S65">
            <v>16</v>
          </cell>
        </row>
        <row r="66">
          <cell r="R66">
            <v>-88404888.805000007</v>
          </cell>
          <cell r="S66">
            <v>16</v>
          </cell>
        </row>
        <row r="67">
          <cell r="R67">
            <v>-99026104.065416679</v>
          </cell>
          <cell r="S67">
            <v>16</v>
          </cell>
        </row>
        <row r="68">
          <cell r="R68">
            <v>1664372.78</v>
          </cell>
          <cell r="S68">
            <v>14</v>
          </cell>
        </row>
        <row r="69">
          <cell r="R69">
            <v>4232678.28</v>
          </cell>
          <cell r="S69">
            <v>14</v>
          </cell>
        </row>
        <row r="70">
          <cell r="R70">
            <v>960395.18</v>
          </cell>
          <cell r="S70">
            <v>14</v>
          </cell>
        </row>
        <row r="71">
          <cell r="R71">
            <v>-296800.05</v>
          </cell>
          <cell r="S71">
            <v>20</v>
          </cell>
        </row>
        <row r="72">
          <cell r="R72">
            <v>-18301155.267083336</v>
          </cell>
          <cell r="S72">
            <v>20</v>
          </cell>
        </row>
        <row r="73">
          <cell r="R73">
            <v>-33555.712083333332</v>
          </cell>
          <cell r="S73">
            <v>20</v>
          </cell>
        </row>
        <row r="74">
          <cell r="R74">
            <v>-4537.4000000000005</v>
          </cell>
          <cell r="S74">
            <v>20</v>
          </cell>
        </row>
        <row r="75">
          <cell r="R75">
            <v>-8332.0400000000027</v>
          </cell>
          <cell r="S75">
            <v>20</v>
          </cell>
        </row>
        <row r="76">
          <cell r="R76">
            <v>-6298978.7391666658</v>
          </cell>
          <cell r="S76">
            <v>14</v>
          </cell>
        </row>
        <row r="77">
          <cell r="R77">
            <v>-224023.82708333331</v>
          </cell>
          <cell r="S77">
            <v>14</v>
          </cell>
        </row>
        <row r="78">
          <cell r="R78">
            <v>-361267.05916666664</v>
          </cell>
          <cell r="S78">
            <v>16</v>
          </cell>
        </row>
        <row r="79">
          <cell r="R79">
            <v>-250590.38375000001</v>
          </cell>
          <cell r="S79">
            <v>16</v>
          </cell>
        </row>
        <row r="80">
          <cell r="R80">
            <v>-37106.890000000007</v>
          </cell>
          <cell r="S80">
            <v>16</v>
          </cell>
        </row>
        <row r="81">
          <cell r="R81">
            <v>-117370.18916666666</v>
          </cell>
          <cell r="S81">
            <v>16</v>
          </cell>
        </row>
        <row r="82">
          <cell r="R82">
            <v>-35924.677916666667</v>
          </cell>
          <cell r="S82">
            <v>16</v>
          </cell>
        </row>
        <row r="83">
          <cell r="R83">
            <v>-1648949.58</v>
          </cell>
          <cell r="S83">
            <v>14</v>
          </cell>
        </row>
        <row r="84">
          <cell r="R84">
            <v>-777698.55000000016</v>
          </cell>
          <cell r="S84">
            <v>14</v>
          </cell>
        </row>
        <row r="85">
          <cell r="R85">
            <v>2753492.58</v>
          </cell>
          <cell r="S85">
            <v>17</v>
          </cell>
        </row>
        <row r="86">
          <cell r="R86">
            <v>-2707818.094583333</v>
          </cell>
          <cell r="S86">
            <v>18</v>
          </cell>
        </row>
        <row r="87">
          <cell r="R87">
            <v>4283451.8650000012</v>
          </cell>
          <cell r="S87">
            <v>23</v>
          </cell>
        </row>
        <row r="88">
          <cell r="R88">
            <v>1052982.24</v>
          </cell>
          <cell r="S88">
            <v>23</v>
          </cell>
        </row>
        <row r="89">
          <cell r="R89">
            <v>5638551.8045833325</v>
          </cell>
          <cell r="S89">
            <v>39</v>
          </cell>
        </row>
        <row r="90">
          <cell r="R90">
            <v>97810.820000000022</v>
          </cell>
          <cell r="S90">
            <v>39</v>
          </cell>
        </row>
        <row r="91">
          <cell r="R91">
            <v>-911666.3041666667</v>
          </cell>
          <cell r="S91">
            <v>39</v>
          </cell>
        </row>
        <row r="92">
          <cell r="R92">
            <v>500000</v>
          </cell>
          <cell r="S92">
            <v>41</v>
          </cell>
        </row>
        <row r="93">
          <cell r="R93">
            <v>11547000</v>
          </cell>
          <cell r="S93">
            <v>41</v>
          </cell>
        </row>
        <row r="94">
          <cell r="R94">
            <v>172848725.28625</v>
          </cell>
          <cell r="S94">
            <v>40</v>
          </cell>
        </row>
        <row r="95">
          <cell r="R95">
            <v>-103132095.3725</v>
          </cell>
          <cell r="S95">
            <v>40</v>
          </cell>
        </row>
        <row r="96">
          <cell r="R96">
            <v>2403651.0833333335</v>
          </cell>
          <cell r="S96">
            <v>40</v>
          </cell>
        </row>
        <row r="97">
          <cell r="R97">
            <v>2237.0416666666665</v>
          </cell>
          <cell r="S97">
            <v>40</v>
          </cell>
        </row>
        <row r="98">
          <cell r="R98">
            <v>8.07</v>
          </cell>
          <cell r="S98">
            <v>40</v>
          </cell>
        </row>
        <row r="99">
          <cell r="R99">
            <v>64677.469999999979</v>
          </cell>
          <cell r="S99">
            <v>23</v>
          </cell>
        </row>
        <row r="100">
          <cell r="R100">
            <v>12715806.626666667</v>
          </cell>
          <cell r="S100">
            <v>41</v>
          </cell>
        </row>
        <row r="101">
          <cell r="R101">
            <v>-12393056.976666667</v>
          </cell>
          <cell r="S101">
            <v>41</v>
          </cell>
        </row>
        <row r="102">
          <cell r="R102">
            <v>47751.337499999994</v>
          </cell>
          <cell r="S102">
            <v>41</v>
          </cell>
        </row>
        <row r="103">
          <cell r="R103">
            <v>79626000</v>
          </cell>
          <cell r="S103">
            <v>27</v>
          </cell>
        </row>
        <row r="104">
          <cell r="R104">
            <v>-59617807.939999998</v>
          </cell>
          <cell r="S104">
            <v>27</v>
          </cell>
        </row>
        <row r="105">
          <cell r="R105">
            <v>457619.15083333338</v>
          </cell>
          <cell r="S105">
            <v>0</v>
          </cell>
        </row>
        <row r="106">
          <cell r="R106">
            <v>2930720.7962499992</v>
          </cell>
          <cell r="S106">
            <v>0</v>
          </cell>
        </row>
        <row r="107">
          <cell r="R107">
            <v>9556363.8037500009</v>
          </cell>
          <cell r="S107">
            <v>42</v>
          </cell>
        </row>
        <row r="108">
          <cell r="R108">
            <v>64062.121250000004</v>
          </cell>
          <cell r="S108">
            <v>0</v>
          </cell>
        </row>
        <row r="109">
          <cell r="R109">
            <v>2932708.4024999999</v>
          </cell>
          <cell r="S109" t="str">
            <v xml:space="preserve"> </v>
          </cell>
        </row>
        <row r="110">
          <cell r="R110">
            <v>-4771078.873333334</v>
          </cell>
          <cell r="S110" t="str">
            <v xml:space="preserve"> </v>
          </cell>
        </row>
        <row r="111">
          <cell r="R111">
            <v>4991.666666666667</v>
          </cell>
          <cell r="S111" t="str">
            <v xml:space="preserve"> </v>
          </cell>
        </row>
        <row r="112">
          <cell r="R112">
            <v>13914.647500000001</v>
          </cell>
          <cell r="S112" t="str">
            <v xml:space="preserve"> </v>
          </cell>
        </row>
        <row r="113">
          <cell r="R113">
            <v>54.395000000000003</v>
          </cell>
          <cell r="S113" t="str">
            <v xml:space="preserve"> </v>
          </cell>
        </row>
        <row r="114">
          <cell r="R114">
            <v>217916.66666666666</v>
          </cell>
          <cell r="S114">
            <v>0</v>
          </cell>
        </row>
        <row r="115">
          <cell r="R115">
            <v>9113203.1529166661</v>
          </cell>
          <cell r="S115">
            <v>0</v>
          </cell>
        </row>
        <row r="116">
          <cell r="R116">
            <v>1600000</v>
          </cell>
          <cell r="S116">
            <v>0</v>
          </cell>
        </row>
        <row r="117">
          <cell r="R117">
            <v>750000</v>
          </cell>
          <cell r="S117">
            <v>0</v>
          </cell>
        </row>
        <row r="118">
          <cell r="R118">
            <v>898405.61</v>
          </cell>
          <cell r="S118">
            <v>0</v>
          </cell>
        </row>
        <row r="119">
          <cell r="R119">
            <v>8859.4920833333326</v>
          </cell>
          <cell r="S119" t="str">
            <v xml:space="preserve"> </v>
          </cell>
        </row>
        <row r="120">
          <cell r="R120">
            <v>10000</v>
          </cell>
          <cell r="S120" t="str">
            <v xml:space="preserve"> </v>
          </cell>
        </row>
        <row r="121">
          <cell r="R121">
            <v>5000</v>
          </cell>
          <cell r="S121" t="str">
            <v xml:space="preserve"> </v>
          </cell>
        </row>
        <row r="122">
          <cell r="R122">
            <v>733.33333333333337</v>
          </cell>
          <cell r="S122" t="str">
            <v xml:space="preserve"> </v>
          </cell>
        </row>
        <row r="123">
          <cell r="R123">
            <v>12.5</v>
          </cell>
          <cell r="S123" t="str">
            <v xml:space="preserve"> </v>
          </cell>
        </row>
        <row r="124">
          <cell r="R124">
            <v>80000</v>
          </cell>
          <cell r="S124" t="str">
            <v xml:space="preserve"> </v>
          </cell>
        </row>
        <row r="125">
          <cell r="R125">
            <v>755350.23333333351</v>
          </cell>
          <cell r="S125" t="str">
            <v xml:space="preserve"> </v>
          </cell>
        </row>
        <row r="126">
          <cell r="R126">
            <v>5837560.2241666662</v>
          </cell>
          <cell r="S126">
            <v>0</v>
          </cell>
        </row>
        <row r="127">
          <cell r="R127">
            <v>287381.20333333331</v>
          </cell>
          <cell r="S127" t="str">
            <v xml:space="preserve"> </v>
          </cell>
        </row>
        <row r="128">
          <cell r="R128">
            <v>65093810.119583338</v>
          </cell>
          <cell r="S128" t="str">
            <v xml:space="preserve"> </v>
          </cell>
        </row>
        <row r="129">
          <cell r="R129">
            <v>12837415.847083336</v>
          </cell>
          <cell r="S129" t="str">
            <v xml:space="preserve"> </v>
          </cell>
        </row>
        <row r="130">
          <cell r="R130">
            <v>41500145.291666664</v>
          </cell>
          <cell r="S130" t="str">
            <v xml:space="preserve"> </v>
          </cell>
        </row>
        <row r="131">
          <cell r="R131">
            <v>20519008.375</v>
          </cell>
          <cell r="S131" t="str">
            <v xml:space="preserve"> </v>
          </cell>
        </row>
        <row r="132">
          <cell r="R132">
            <v>12610684.640416667</v>
          </cell>
          <cell r="S132" t="str">
            <v xml:space="preserve"> </v>
          </cell>
        </row>
        <row r="133">
          <cell r="R133">
            <v>10183784.068750001</v>
          </cell>
          <cell r="S133" t="str">
            <v xml:space="preserve"> </v>
          </cell>
        </row>
        <row r="134">
          <cell r="R134">
            <v>2459529.4066666667</v>
          </cell>
          <cell r="S134">
            <v>0</v>
          </cell>
        </row>
        <row r="135">
          <cell r="R135">
            <v>1485096.9054166665</v>
          </cell>
          <cell r="S135">
            <v>0</v>
          </cell>
        </row>
        <row r="136">
          <cell r="R136">
            <v>-29634.037083333333</v>
          </cell>
          <cell r="S136">
            <v>0</v>
          </cell>
        </row>
        <row r="137">
          <cell r="R137">
            <v>467912.48124999995</v>
          </cell>
          <cell r="S137">
            <v>0</v>
          </cell>
        </row>
        <row r="138">
          <cell r="R138">
            <v>1586692.0070833331</v>
          </cell>
          <cell r="S138">
            <v>0</v>
          </cell>
        </row>
        <row r="139">
          <cell r="R139">
            <v>4343.9933333333347</v>
          </cell>
          <cell r="S139">
            <v>0</v>
          </cell>
        </row>
        <row r="140">
          <cell r="R140">
            <v>2574198.8495833329</v>
          </cell>
          <cell r="S140">
            <v>0</v>
          </cell>
        </row>
        <row r="141">
          <cell r="R141">
            <v>55512.520000000011</v>
          </cell>
          <cell r="S141">
            <v>0</v>
          </cell>
        </row>
        <row r="142">
          <cell r="R142">
            <v>466.66666666666669</v>
          </cell>
          <cell r="S142">
            <v>0</v>
          </cell>
        </row>
        <row r="143">
          <cell r="R143">
            <v>30013.984583333335</v>
          </cell>
          <cell r="S143">
            <v>0</v>
          </cell>
        </row>
        <row r="144">
          <cell r="R144">
            <v>649098.93125000002</v>
          </cell>
          <cell r="S144">
            <v>0</v>
          </cell>
        </row>
        <row r="145">
          <cell r="R145">
            <v>58925.5</v>
          </cell>
          <cell r="S145">
            <v>0</v>
          </cell>
        </row>
        <row r="146">
          <cell r="R146">
            <v>-44041.018333333341</v>
          </cell>
          <cell r="S146">
            <v>0</v>
          </cell>
        </row>
        <row r="147">
          <cell r="R147">
            <v>-8691.4604166666668</v>
          </cell>
          <cell r="S147">
            <v>0</v>
          </cell>
        </row>
        <row r="148">
          <cell r="R148">
            <v>-2439.2112500000003</v>
          </cell>
          <cell r="S148">
            <v>0</v>
          </cell>
        </row>
        <row r="149">
          <cell r="R149">
            <v>-1.5275000000000001</v>
          </cell>
          <cell r="S149">
            <v>0</v>
          </cell>
        </row>
        <row r="150">
          <cell r="R150">
            <v>23182076.872916665</v>
          </cell>
          <cell r="S150">
            <v>0</v>
          </cell>
        </row>
        <row r="151">
          <cell r="R151">
            <v>50317001.849583328</v>
          </cell>
          <cell r="S151">
            <v>0</v>
          </cell>
        </row>
        <row r="152">
          <cell r="R152">
            <v>964460.5</v>
          </cell>
          <cell r="S152">
            <v>0</v>
          </cell>
        </row>
        <row r="153">
          <cell r="R153">
            <v>13287149.820000002</v>
          </cell>
          <cell r="S153">
            <v>0</v>
          </cell>
        </row>
        <row r="154">
          <cell r="R154">
            <v>-4305972.4216666669</v>
          </cell>
          <cell r="S154">
            <v>0</v>
          </cell>
        </row>
        <row r="155">
          <cell r="R155">
            <v>-9111319.2229166664</v>
          </cell>
          <cell r="S155">
            <v>0</v>
          </cell>
        </row>
        <row r="156">
          <cell r="R156">
            <v>-84099.439999999988</v>
          </cell>
          <cell r="S156">
            <v>0</v>
          </cell>
        </row>
        <row r="157">
          <cell r="R157">
            <v>-1967159.0845833335</v>
          </cell>
          <cell r="S157">
            <v>0</v>
          </cell>
        </row>
        <row r="158">
          <cell r="R158">
            <v>-26861.776249999999</v>
          </cell>
          <cell r="S158">
            <v>0</v>
          </cell>
        </row>
        <row r="159">
          <cell r="R159">
            <v>-20000</v>
          </cell>
          <cell r="S159">
            <v>0</v>
          </cell>
        </row>
        <row r="160">
          <cell r="R160">
            <v>-3933780.8462500009</v>
          </cell>
          <cell r="S160">
            <v>0</v>
          </cell>
        </row>
        <row r="161">
          <cell r="R161">
            <v>-7998659.8358333334</v>
          </cell>
          <cell r="S161">
            <v>0</v>
          </cell>
        </row>
        <row r="162">
          <cell r="R162">
            <v>-1.9783333333333335</v>
          </cell>
          <cell r="S162">
            <v>0</v>
          </cell>
        </row>
        <row r="163">
          <cell r="R163">
            <v>-148986.95208333334</v>
          </cell>
          <cell r="S163">
            <v>0</v>
          </cell>
        </row>
        <row r="164">
          <cell r="R164">
            <v>-2958856.2737499997</v>
          </cell>
          <cell r="S164">
            <v>0</v>
          </cell>
        </row>
        <row r="165">
          <cell r="R165">
            <v>-61596639.860000007</v>
          </cell>
          <cell r="S165">
            <v>0</v>
          </cell>
        </row>
        <row r="166">
          <cell r="R166">
            <v>-1630861.5520833337</v>
          </cell>
          <cell r="S166">
            <v>45</v>
          </cell>
        </row>
        <row r="167">
          <cell r="R167">
            <v>48545.835833333338</v>
          </cell>
          <cell r="S167">
            <v>45</v>
          </cell>
        </row>
        <row r="168">
          <cell r="R168">
            <v>1787104.2883333333</v>
          </cell>
          <cell r="S168" t="str">
            <v xml:space="preserve"> </v>
          </cell>
        </row>
        <row r="169">
          <cell r="R169">
            <v>5113322.791666667</v>
          </cell>
          <cell r="S169" t="str">
            <v xml:space="preserve"> </v>
          </cell>
        </row>
        <row r="170">
          <cell r="R170">
            <v>20619471.795833331</v>
          </cell>
          <cell r="S170" t="str">
            <v xml:space="preserve"> </v>
          </cell>
        </row>
        <row r="171">
          <cell r="R171">
            <v>894305.90458333341</v>
          </cell>
          <cell r="S171" t="str">
            <v xml:space="preserve"> </v>
          </cell>
        </row>
        <row r="172">
          <cell r="R172">
            <v>2117320.1916666664</v>
          </cell>
          <cell r="S172" t="str">
            <v xml:space="preserve"> </v>
          </cell>
        </row>
        <row r="173">
          <cell r="R173">
            <v>4529.0908333333327</v>
          </cell>
          <cell r="S173" t="str">
            <v xml:space="preserve"> </v>
          </cell>
        </row>
        <row r="174">
          <cell r="R174">
            <v>-2530.6954166666665</v>
          </cell>
          <cell r="S174" t="str">
            <v xml:space="preserve"> </v>
          </cell>
        </row>
        <row r="175">
          <cell r="R175">
            <v>48861.21125</v>
          </cell>
          <cell r="S175" t="str">
            <v xml:space="preserve"> </v>
          </cell>
        </row>
        <row r="176">
          <cell r="R176">
            <v>4659.8850000000002</v>
          </cell>
          <cell r="S176" t="str">
            <v xml:space="preserve"> </v>
          </cell>
        </row>
        <row r="177">
          <cell r="R177">
            <v>12088.948749999998</v>
          </cell>
          <cell r="S177" t="str">
            <v xml:space="preserve"> </v>
          </cell>
        </row>
        <row r="178">
          <cell r="R178">
            <v>15482583.45875</v>
          </cell>
          <cell r="S178">
            <v>23</v>
          </cell>
        </row>
        <row r="179">
          <cell r="R179">
            <v>1533313.4091666667</v>
          </cell>
          <cell r="S179">
            <v>23</v>
          </cell>
        </row>
        <row r="180">
          <cell r="R180">
            <v>225984.38791666666</v>
          </cell>
          <cell r="S180">
            <v>23</v>
          </cell>
        </row>
        <row r="181">
          <cell r="R181">
            <v>163741.69749999998</v>
          </cell>
          <cell r="S181">
            <v>23</v>
          </cell>
        </row>
        <row r="182">
          <cell r="R182">
            <v>17639.014166666668</v>
          </cell>
          <cell r="S182">
            <v>23</v>
          </cell>
        </row>
        <row r="183">
          <cell r="R183">
            <v>-181.66249999999999</v>
          </cell>
          <cell r="S183">
            <v>23</v>
          </cell>
        </row>
        <row r="184">
          <cell r="R184">
            <v>2696677.1666666665</v>
          </cell>
          <cell r="S184" t="str">
            <v xml:space="preserve"> </v>
          </cell>
        </row>
        <row r="185">
          <cell r="R185">
            <v>1418707.3187499999</v>
          </cell>
          <cell r="S185" t="str">
            <v xml:space="preserve"> </v>
          </cell>
        </row>
        <row r="186">
          <cell r="R186">
            <v>66566.099999999991</v>
          </cell>
          <cell r="S186" t="str">
            <v xml:space="preserve"> </v>
          </cell>
        </row>
        <row r="187">
          <cell r="R187">
            <v>803471.35416666663</v>
          </cell>
          <cell r="S187" t="str">
            <v xml:space="preserve"> </v>
          </cell>
        </row>
        <row r="188">
          <cell r="R188">
            <v>39755.073333333334</v>
          </cell>
          <cell r="S188" t="str">
            <v xml:space="preserve"> </v>
          </cell>
        </row>
        <row r="189">
          <cell r="R189">
            <v>73330.5</v>
          </cell>
          <cell r="S189" t="str">
            <v xml:space="preserve"> </v>
          </cell>
        </row>
        <row r="190">
          <cell r="R190">
            <v>2717.4579166666667</v>
          </cell>
          <cell r="S190" t="str">
            <v xml:space="preserve"> </v>
          </cell>
        </row>
        <row r="191">
          <cell r="R191">
            <v>89497.802499999991</v>
          </cell>
          <cell r="S191" t="str">
            <v xml:space="preserve"> </v>
          </cell>
        </row>
        <row r="192">
          <cell r="R192">
            <v>2061296.1025</v>
          </cell>
          <cell r="S192" t="str">
            <v xml:space="preserve"> </v>
          </cell>
        </row>
        <row r="193">
          <cell r="R193">
            <v>347391</v>
          </cell>
          <cell r="S193" t="str">
            <v xml:space="preserve"> </v>
          </cell>
        </row>
        <row r="194">
          <cell r="R194">
            <v>92583.981666666674</v>
          </cell>
          <cell r="S194">
            <v>0</v>
          </cell>
        </row>
        <row r="195">
          <cell r="R195">
            <v>-29013.274166666666</v>
          </cell>
          <cell r="S195">
            <v>0</v>
          </cell>
        </row>
        <row r="196">
          <cell r="R196">
            <v>14718.426249999999</v>
          </cell>
          <cell r="S196">
            <v>0</v>
          </cell>
        </row>
        <row r="197">
          <cell r="R197">
            <v>34497.74</v>
          </cell>
          <cell r="S197">
            <v>0</v>
          </cell>
        </row>
        <row r="198">
          <cell r="R198">
            <v>31331.024166666666</v>
          </cell>
          <cell r="S198">
            <v>0</v>
          </cell>
        </row>
        <row r="199">
          <cell r="R199">
            <v>7558.801666666669</v>
          </cell>
          <cell r="S199">
            <v>0</v>
          </cell>
        </row>
        <row r="200">
          <cell r="R200">
            <v>203.79208333333403</v>
          </cell>
          <cell r="S200">
            <v>0</v>
          </cell>
        </row>
        <row r="201">
          <cell r="R201">
            <v>-4058.8762499999998</v>
          </cell>
          <cell r="S201">
            <v>0</v>
          </cell>
        </row>
        <row r="202">
          <cell r="R202">
            <v>-7892.0275000000001</v>
          </cell>
          <cell r="S202">
            <v>0</v>
          </cell>
        </row>
        <row r="203">
          <cell r="R203">
            <v>571.42916666666667</v>
          </cell>
          <cell r="S203">
            <v>0</v>
          </cell>
        </row>
        <row r="204">
          <cell r="R204">
            <v>-6105.0079166666665</v>
          </cell>
          <cell r="S204">
            <v>0</v>
          </cell>
        </row>
        <row r="205">
          <cell r="R205">
            <v>211815.64999999994</v>
          </cell>
          <cell r="S205">
            <v>0</v>
          </cell>
        </row>
        <row r="206">
          <cell r="R206">
            <v>916666.65750000009</v>
          </cell>
          <cell r="S206">
            <v>23</v>
          </cell>
        </row>
        <row r="207">
          <cell r="R207">
            <v>19241.681249999998</v>
          </cell>
          <cell r="S207">
            <v>0</v>
          </cell>
        </row>
        <row r="208">
          <cell r="R208">
            <v>710363.79999999993</v>
          </cell>
          <cell r="S208">
            <v>0</v>
          </cell>
        </row>
        <row r="209">
          <cell r="R209">
            <v>1080527.54</v>
          </cell>
          <cell r="S209">
            <v>0</v>
          </cell>
        </row>
        <row r="210">
          <cell r="R210">
            <v>82821.277500000011</v>
          </cell>
          <cell r="S210">
            <v>23</v>
          </cell>
        </row>
        <row r="211">
          <cell r="R211">
            <v>2138502.25</v>
          </cell>
          <cell r="S211">
            <v>46</v>
          </cell>
        </row>
        <row r="212">
          <cell r="R212">
            <v>12299064.708333334</v>
          </cell>
          <cell r="S212">
            <v>46</v>
          </cell>
        </row>
        <row r="213">
          <cell r="R213">
            <v>99085.204166666663</v>
          </cell>
          <cell r="S213">
            <v>46</v>
          </cell>
        </row>
        <row r="214">
          <cell r="R214">
            <v>504035.35000000009</v>
          </cell>
          <cell r="S214">
            <v>46</v>
          </cell>
        </row>
        <row r="215">
          <cell r="R215">
            <v>101394.80625000001</v>
          </cell>
          <cell r="S215">
            <v>46</v>
          </cell>
        </row>
        <row r="216">
          <cell r="R216">
            <v>1.25E-3</v>
          </cell>
          <cell r="S216">
            <v>5</v>
          </cell>
        </row>
        <row r="217">
          <cell r="R217">
            <v>364385.05</v>
          </cell>
          <cell r="S217">
            <v>5</v>
          </cell>
        </row>
        <row r="218">
          <cell r="R218">
            <v>11732661.447083334</v>
          </cell>
          <cell r="S218">
            <v>5</v>
          </cell>
        </row>
        <row r="219">
          <cell r="R219">
            <v>16589.47</v>
          </cell>
          <cell r="S219">
            <v>5</v>
          </cell>
        </row>
        <row r="220">
          <cell r="R220">
            <v>58027.920000000006</v>
          </cell>
          <cell r="S220">
            <v>5</v>
          </cell>
        </row>
        <row r="221">
          <cell r="R221">
            <v>1905048.4562499998</v>
          </cell>
          <cell r="S221">
            <v>5</v>
          </cell>
        </row>
        <row r="222">
          <cell r="R222">
            <v>709128</v>
          </cell>
          <cell r="S222">
            <v>23</v>
          </cell>
        </row>
        <row r="223">
          <cell r="R223">
            <v>181506876.625</v>
          </cell>
          <cell r="S223">
            <v>23</v>
          </cell>
        </row>
        <row r="224">
          <cell r="R224">
            <v>74180855.197916672</v>
          </cell>
          <cell r="S224">
            <v>48</v>
          </cell>
        </row>
        <row r="225">
          <cell r="R225">
            <v>6006666.6900000004</v>
          </cell>
          <cell r="S225">
            <v>23</v>
          </cell>
        </row>
        <row r="226">
          <cell r="R226">
            <v>1765593.5</v>
          </cell>
          <cell r="S226">
            <v>48</v>
          </cell>
        </row>
        <row r="227">
          <cell r="R227">
            <v>6021442</v>
          </cell>
          <cell r="S227">
            <v>48</v>
          </cell>
        </row>
        <row r="228">
          <cell r="R228">
            <v>55611.75</v>
          </cell>
          <cell r="S228">
            <v>48</v>
          </cell>
        </row>
        <row r="229">
          <cell r="R229">
            <v>6084037.708333333</v>
          </cell>
          <cell r="S229">
            <v>48</v>
          </cell>
        </row>
        <row r="230">
          <cell r="R230">
            <v>10996.166666666666</v>
          </cell>
          <cell r="S230">
            <v>23</v>
          </cell>
        </row>
        <row r="231">
          <cell r="R231">
            <v>53618.85</v>
          </cell>
          <cell r="S231">
            <v>23</v>
          </cell>
        </row>
        <row r="232">
          <cell r="R232">
            <v>686846.8600000001</v>
          </cell>
          <cell r="S232">
            <v>23</v>
          </cell>
        </row>
        <row r="233">
          <cell r="R233">
            <v>249711.71</v>
          </cell>
          <cell r="S233">
            <v>23</v>
          </cell>
        </row>
        <row r="234">
          <cell r="R234">
            <v>436142.12000000005</v>
          </cell>
          <cell r="S234">
            <v>23</v>
          </cell>
        </row>
        <row r="235">
          <cell r="R235">
            <v>9649999.9299999997</v>
          </cell>
          <cell r="S235">
            <v>23</v>
          </cell>
        </row>
        <row r="236">
          <cell r="R236">
            <v>104196.21999999999</v>
          </cell>
          <cell r="S236">
            <v>23</v>
          </cell>
        </row>
        <row r="237">
          <cell r="R237">
            <v>2000000</v>
          </cell>
          <cell r="S237">
            <v>23</v>
          </cell>
        </row>
        <row r="238">
          <cell r="R238">
            <v>174651.04124999998</v>
          </cell>
          <cell r="S238">
            <v>23</v>
          </cell>
        </row>
        <row r="239">
          <cell r="R239">
            <v>90638</v>
          </cell>
          <cell r="S239">
            <v>23</v>
          </cell>
        </row>
        <row r="240">
          <cell r="R240">
            <v>162165.27458333335</v>
          </cell>
          <cell r="S240">
            <v>23</v>
          </cell>
        </row>
        <row r="241">
          <cell r="R241">
            <v>2076.8887500000001</v>
          </cell>
          <cell r="S241">
            <v>23</v>
          </cell>
        </row>
        <row r="242">
          <cell r="R242">
            <v>35402.707499999997</v>
          </cell>
          <cell r="S242">
            <v>23</v>
          </cell>
        </row>
        <row r="243">
          <cell r="R243">
            <v>71863.557499999995</v>
          </cell>
          <cell r="S243">
            <v>23</v>
          </cell>
        </row>
        <row r="244">
          <cell r="R244">
            <v>131645.48000000001</v>
          </cell>
          <cell r="S244">
            <v>23</v>
          </cell>
        </row>
        <row r="245">
          <cell r="R245">
            <v>52261.091249999998</v>
          </cell>
          <cell r="S245">
            <v>23</v>
          </cell>
        </row>
        <row r="246">
          <cell r="R246">
            <v>102886.35625</v>
          </cell>
          <cell r="S246">
            <v>23</v>
          </cell>
        </row>
        <row r="247">
          <cell r="R247">
            <v>9552.1708333333354</v>
          </cell>
          <cell r="S247">
            <v>23</v>
          </cell>
        </row>
        <row r="248">
          <cell r="R248">
            <v>-21510.458333333332</v>
          </cell>
          <cell r="S248">
            <v>23</v>
          </cell>
        </row>
        <row r="249">
          <cell r="R249">
            <v>14078.291666666666</v>
          </cell>
          <cell r="S249">
            <v>23</v>
          </cell>
        </row>
        <row r="250">
          <cell r="R250">
            <v>303428.49541666667</v>
          </cell>
          <cell r="S250">
            <v>23</v>
          </cell>
        </row>
        <row r="251">
          <cell r="R251">
            <v>569381.04999999993</v>
          </cell>
          <cell r="S251">
            <v>23</v>
          </cell>
        </row>
        <row r="252">
          <cell r="R252">
            <v>689118.25</v>
          </cell>
          <cell r="S252">
            <v>23</v>
          </cell>
        </row>
        <row r="253">
          <cell r="R253">
            <v>44342920.536666669</v>
          </cell>
          <cell r="S253">
            <v>46</v>
          </cell>
        </row>
        <row r="254">
          <cell r="R254">
            <v>11181827.708333334</v>
          </cell>
          <cell r="S254">
            <v>23</v>
          </cell>
        </row>
        <row r="255">
          <cell r="R255">
            <v>1374545.0045833334</v>
          </cell>
          <cell r="S255">
            <v>23</v>
          </cell>
        </row>
        <row r="256">
          <cell r="R256">
            <v>1687809.74125</v>
          </cell>
          <cell r="S256">
            <v>23</v>
          </cell>
        </row>
        <row r="257">
          <cell r="R257">
            <v>39708348.585416667</v>
          </cell>
          <cell r="S257">
            <v>23</v>
          </cell>
        </row>
        <row r="258">
          <cell r="R258">
            <v>1432446.3500000003</v>
          </cell>
          <cell r="S258">
            <v>23</v>
          </cell>
        </row>
        <row r="259">
          <cell r="R259">
            <v>2900845.8333333335</v>
          </cell>
          <cell r="S259">
            <v>23</v>
          </cell>
        </row>
        <row r="260">
          <cell r="R260">
            <v>1363002.3333333333</v>
          </cell>
          <cell r="S260">
            <v>23</v>
          </cell>
        </row>
        <row r="261">
          <cell r="R261">
            <v>5810321.713750001</v>
          </cell>
          <cell r="S261">
            <v>23</v>
          </cell>
        </row>
        <row r="262">
          <cell r="R262">
            <v>1695750.125</v>
          </cell>
          <cell r="S262">
            <v>23</v>
          </cell>
        </row>
        <row r="263">
          <cell r="R263">
            <v>-902244.58333333337</v>
          </cell>
          <cell r="S263">
            <v>23</v>
          </cell>
        </row>
        <row r="264">
          <cell r="R264">
            <v>4058188.4912500004</v>
          </cell>
          <cell r="S264">
            <v>0</v>
          </cell>
        </row>
        <row r="265">
          <cell r="R265">
            <v>261.79291666666694</v>
          </cell>
          <cell r="S265">
            <v>44</v>
          </cell>
        </row>
        <row r="266">
          <cell r="R266">
            <v>4956.4416666666666</v>
          </cell>
          <cell r="S266">
            <v>44</v>
          </cell>
        </row>
        <row r="267">
          <cell r="R267">
            <v>-442.16625000000005</v>
          </cell>
          <cell r="S267">
            <v>44</v>
          </cell>
        </row>
        <row r="268">
          <cell r="R268">
            <v>960.80666666666673</v>
          </cell>
          <cell r="S268">
            <v>44</v>
          </cell>
        </row>
        <row r="269">
          <cell r="R269">
            <v>-340354.04875000002</v>
          </cell>
          <cell r="S269">
            <v>44</v>
          </cell>
        </row>
        <row r="270">
          <cell r="R270">
            <v>3676.9558333333334</v>
          </cell>
          <cell r="S270">
            <v>44</v>
          </cell>
        </row>
        <row r="271">
          <cell r="R271">
            <v>89147.9375</v>
          </cell>
          <cell r="S271">
            <v>44</v>
          </cell>
        </row>
        <row r="272">
          <cell r="R272">
            <v>1869132.3683333332</v>
          </cell>
          <cell r="S272">
            <v>23</v>
          </cell>
        </row>
        <row r="273">
          <cell r="R273">
            <v>16303788.989166668</v>
          </cell>
          <cell r="S273">
            <v>23</v>
          </cell>
        </row>
        <row r="274">
          <cell r="R274">
            <v>1080233.4283333332</v>
          </cell>
          <cell r="S274">
            <v>23</v>
          </cell>
        </row>
        <row r="275">
          <cell r="R275">
            <v>1431533.1674999997</v>
          </cell>
          <cell r="S275">
            <v>23</v>
          </cell>
        </row>
        <row r="276">
          <cell r="R276">
            <v>-1024313.1316666665</v>
          </cell>
          <cell r="S276">
            <v>23</v>
          </cell>
        </row>
        <row r="277">
          <cell r="R277">
            <v>-1869132.3683333332</v>
          </cell>
          <cell r="S277">
            <v>23</v>
          </cell>
        </row>
        <row r="278">
          <cell r="R278">
            <v>-1431533.1775</v>
          </cell>
          <cell r="S278">
            <v>23</v>
          </cell>
        </row>
        <row r="279">
          <cell r="R279">
            <v>-16303788.989166668</v>
          </cell>
          <cell r="S279">
            <v>23</v>
          </cell>
        </row>
        <row r="280">
          <cell r="R280">
            <v>71508.095000000001</v>
          </cell>
          <cell r="S280">
            <v>44</v>
          </cell>
        </row>
        <row r="281">
          <cell r="R281">
            <v>219.20749999999998</v>
          </cell>
          <cell r="S281">
            <v>44</v>
          </cell>
        </row>
        <row r="282">
          <cell r="R282">
            <v>2355642</v>
          </cell>
          <cell r="S282">
            <v>23</v>
          </cell>
        </row>
        <row r="283">
          <cell r="R283">
            <v>1110999</v>
          </cell>
          <cell r="S283">
            <v>23</v>
          </cell>
        </row>
        <row r="284">
          <cell r="R284">
            <v>4912682.4508333337</v>
          </cell>
          <cell r="S284">
            <v>44</v>
          </cell>
        </row>
        <row r="285">
          <cell r="R285">
            <v>539608.41999999993</v>
          </cell>
          <cell r="S285">
            <v>44</v>
          </cell>
        </row>
        <row r="286">
          <cell r="R286">
            <v>3976.7295833333337</v>
          </cell>
          <cell r="S286">
            <v>44</v>
          </cell>
        </row>
        <row r="287">
          <cell r="R287">
            <v>1798927.6537499998</v>
          </cell>
          <cell r="S287">
            <v>44</v>
          </cell>
        </row>
        <row r="288">
          <cell r="R288">
            <v>1730385.6312499996</v>
          </cell>
          <cell r="S288">
            <v>44</v>
          </cell>
        </row>
        <row r="289">
          <cell r="R289">
            <v>-5841.2312500000007</v>
          </cell>
          <cell r="S289">
            <v>44</v>
          </cell>
        </row>
        <row r="290">
          <cell r="R290">
            <v>-4413622.666666667</v>
          </cell>
          <cell r="S290">
            <v>23</v>
          </cell>
        </row>
        <row r="291">
          <cell r="R291">
            <v>64648.416666666664</v>
          </cell>
          <cell r="S291">
            <v>23</v>
          </cell>
        </row>
        <row r="292">
          <cell r="R292">
            <v>394384.21249999997</v>
          </cell>
          <cell r="S292">
            <v>44</v>
          </cell>
        </row>
        <row r="293">
          <cell r="R293">
            <v>19776.710416666665</v>
          </cell>
          <cell r="S293">
            <v>23</v>
          </cell>
        </row>
        <row r="294">
          <cell r="R294">
            <v>1893591</v>
          </cell>
          <cell r="S294">
            <v>23</v>
          </cell>
        </row>
        <row r="295">
          <cell r="R295">
            <v>3721428</v>
          </cell>
          <cell r="S295">
            <v>23</v>
          </cell>
        </row>
        <row r="296">
          <cell r="R296">
            <v>286517.92000000004</v>
          </cell>
          <cell r="S296">
            <v>23</v>
          </cell>
        </row>
        <row r="297">
          <cell r="R297">
            <v>349682.04750000004</v>
          </cell>
          <cell r="S297">
            <v>0</v>
          </cell>
        </row>
        <row r="298">
          <cell r="R298">
            <v>-5034.7166666666662</v>
          </cell>
          <cell r="S298">
            <v>44</v>
          </cell>
        </row>
        <row r="299">
          <cell r="R299">
            <v>1643.4408333333333</v>
          </cell>
          <cell r="S299">
            <v>44</v>
          </cell>
        </row>
        <row r="300">
          <cell r="R300">
            <v>19506.665416666667</v>
          </cell>
          <cell r="S300">
            <v>44</v>
          </cell>
        </row>
        <row r="301">
          <cell r="R301">
            <v>-243.10749999999999</v>
          </cell>
          <cell r="S301">
            <v>44</v>
          </cell>
        </row>
        <row r="302">
          <cell r="R302">
            <v>18834.683750000004</v>
          </cell>
          <cell r="S302">
            <v>44</v>
          </cell>
        </row>
        <row r="303">
          <cell r="R303">
            <v>24064.694166666668</v>
          </cell>
          <cell r="S303">
            <v>44</v>
          </cell>
        </row>
        <row r="304">
          <cell r="R304">
            <v>2038380.5929166665</v>
          </cell>
          <cell r="S304">
            <v>25</v>
          </cell>
        </row>
        <row r="305">
          <cell r="R305">
            <v>-141.66666666666666</v>
          </cell>
          <cell r="S305">
            <v>25</v>
          </cell>
        </row>
        <row r="306">
          <cell r="R306">
            <v>12959.667500000001</v>
          </cell>
          <cell r="S306">
            <v>25</v>
          </cell>
        </row>
        <row r="307">
          <cell r="R307">
            <v>313396.66666666669</v>
          </cell>
          <cell r="S307">
            <v>23</v>
          </cell>
        </row>
        <row r="308">
          <cell r="R308">
            <v>238107.83333333334</v>
          </cell>
          <cell r="S308">
            <v>23</v>
          </cell>
        </row>
        <row r="309">
          <cell r="R309">
            <v>174000</v>
          </cell>
          <cell r="S309">
            <v>23</v>
          </cell>
        </row>
        <row r="310">
          <cell r="R310">
            <v>-5747.5858333333335</v>
          </cell>
          <cell r="S310">
            <v>44</v>
          </cell>
        </row>
        <row r="311">
          <cell r="R311">
            <v>-120546.37666666665</v>
          </cell>
          <cell r="S311">
            <v>44</v>
          </cell>
        </row>
        <row r="312">
          <cell r="R312">
            <v>24194487.926666666</v>
          </cell>
          <cell r="S312">
            <v>5</v>
          </cell>
        </row>
        <row r="313">
          <cell r="R313">
            <v>9.9999999999999985E-3</v>
          </cell>
          <cell r="S313">
            <v>22</v>
          </cell>
        </row>
        <row r="314">
          <cell r="R314">
            <v>11182679.125</v>
          </cell>
          <cell r="S314">
            <v>22</v>
          </cell>
        </row>
        <row r="315">
          <cell r="R315">
            <v>103278.375</v>
          </cell>
          <cell r="S315">
            <v>22</v>
          </cell>
        </row>
        <row r="316">
          <cell r="R316">
            <v>2816760.5645833332</v>
          </cell>
          <cell r="S316">
            <v>22</v>
          </cell>
        </row>
        <row r="317">
          <cell r="R317">
            <v>739999.33749999991</v>
          </cell>
          <cell r="S317">
            <v>22</v>
          </cell>
        </row>
        <row r="318">
          <cell r="R318">
            <v>573861.61</v>
          </cell>
          <cell r="S318">
            <v>22</v>
          </cell>
        </row>
        <row r="319">
          <cell r="R319">
            <v>223871</v>
          </cell>
          <cell r="S319">
            <v>47</v>
          </cell>
        </row>
        <row r="320">
          <cell r="R320">
            <v>5723331.1674999995</v>
          </cell>
          <cell r="S320">
            <v>47</v>
          </cell>
        </row>
        <row r="321">
          <cell r="R321">
            <v>-13243.283333333335</v>
          </cell>
          <cell r="S321">
            <v>22</v>
          </cell>
        </row>
        <row r="322">
          <cell r="R322">
            <v>19878.595416666667</v>
          </cell>
          <cell r="S322">
            <v>22</v>
          </cell>
        </row>
        <row r="323">
          <cell r="R323">
            <v>0.5</v>
          </cell>
          <cell r="S323">
            <v>22</v>
          </cell>
        </row>
        <row r="324">
          <cell r="R324">
            <v>169984.54124999998</v>
          </cell>
          <cell r="S324">
            <v>22</v>
          </cell>
        </row>
        <row r="325">
          <cell r="R325">
            <v>739538.21291666664</v>
          </cell>
          <cell r="S325">
            <v>22</v>
          </cell>
        </row>
        <row r="326">
          <cell r="R326">
            <v>-1.7499999999999998E-2</v>
          </cell>
          <cell r="S326">
            <v>22</v>
          </cell>
        </row>
        <row r="327">
          <cell r="R327">
            <v>254462.91541666668</v>
          </cell>
          <cell r="S327">
            <v>22</v>
          </cell>
        </row>
        <row r="328">
          <cell r="R328">
            <v>-149290.0229166667</v>
          </cell>
          <cell r="S328">
            <v>22</v>
          </cell>
        </row>
        <row r="329">
          <cell r="R329">
            <v>-16087203.15291667</v>
          </cell>
          <cell r="S329">
            <v>22</v>
          </cell>
        </row>
        <row r="330">
          <cell r="R330">
            <v>-769300</v>
          </cell>
          <cell r="S330">
            <v>22</v>
          </cell>
        </row>
        <row r="331">
          <cell r="R331">
            <v>65894402.375</v>
          </cell>
          <cell r="S331">
            <v>47</v>
          </cell>
        </row>
        <row r="332">
          <cell r="R332">
            <v>1407836.5729166663</v>
          </cell>
          <cell r="S332">
            <v>47</v>
          </cell>
        </row>
        <row r="333">
          <cell r="R333">
            <v>133618.88125000001</v>
          </cell>
          <cell r="S333">
            <v>22</v>
          </cell>
        </row>
        <row r="334">
          <cell r="R334">
            <v>369064.0395833333</v>
          </cell>
          <cell r="S334">
            <v>22</v>
          </cell>
        </row>
        <row r="335">
          <cell r="R335">
            <v>69583.491666666669</v>
          </cell>
          <cell r="S335">
            <v>22</v>
          </cell>
        </row>
        <row r="336">
          <cell r="R336">
            <v>-12080.177083333334</v>
          </cell>
          <cell r="S336">
            <v>22</v>
          </cell>
        </row>
        <row r="337">
          <cell r="R337">
            <v>258881.83125000002</v>
          </cell>
          <cell r="S337">
            <v>22</v>
          </cell>
        </row>
        <row r="338">
          <cell r="R338">
            <v>138018</v>
          </cell>
          <cell r="S338">
            <v>47</v>
          </cell>
        </row>
        <row r="339">
          <cell r="R339">
            <v>702766.17208333325</v>
          </cell>
          <cell r="S339">
            <v>22</v>
          </cell>
        </row>
        <row r="340">
          <cell r="R340">
            <v>176630.52666666673</v>
          </cell>
          <cell r="S340">
            <v>22</v>
          </cell>
        </row>
        <row r="341">
          <cell r="R341">
            <v>167601</v>
          </cell>
          <cell r="S341">
            <v>22</v>
          </cell>
        </row>
        <row r="342">
          <cell r="R342">
            <v>-160041.17999999996</v>
          </cell>
          <cell r="S342">
            <v>22</v>
          </cell>
        </row>
        <row r="343">
          <cell r="R343">
            <v>250373.6</v>
          </cell>
          <cell r="S343">
            <v>22</v>
          </cell>
        </row>
        <row r="344">
          <cell r="R344">
            <v>30242.901666666672</v>
          </cell>
          <cell r="S344">
            <v>22</v>
          </cell>
        </row>
        <row r="345">
          <cell r="R345">
            <v>22618.400000000005</v>
          </cell>
          <cell r="S345">
            <v>22</v>
          </cell>
        </row>
        <row r="346">
          <cell r="R346">
            <v>175679.19999999998</v>
          </cell>
          <cell r="S346">
            <v>22</v>
          </cell>
        </row>
        <row r="347">
          <cell r="R347">
            <v>543742.79166666663</v>
          </cell>
          <cell r="S347">
            <v>22</v>
          </cell>
        </row>
        <row r="348">
          <cell r="R348">
            <v>430268</v>
          </cell>
          <cell r="S348">
            <v>22</v>
          </cell>
        </row>
        <row r="349">
          <cell r="R349">
            <v>1514.1625000000001</v>
          </cell>
          <cell r="S349">
            <v>22</v>
          </cell>
        </row>
        <row r="350">
          <cell r="R350">
            <v>2730545.594583333</v>
          </cell>
          <cell r="S350">
            <v>22</v>
          </cell>
        </row>
        <row r="351">
          <cell r="R351">
            <v>34970.844166666669</v>
          </cell>
          <cell r="S351">
            <v>22</v>
          </cell>
        </row>
        <row r="352">
          <cell r="R352">
            <v>4838.166666666667</v>
          </cell>
          <cell r="S352">
            <v>22</v>
          </cell>
        </row>
        <row r="353">
          <cell r="R353">
            <v>60086</v>
          </cell>
          <cell r="S353">
            <v>22</v>
          </cell>
        </row>
        <row r="354">
          <cell r="R354">
            <v>-6673</v>
          </cell>
          <cell r="S354">
            <v>22</v>
          </cell>
        </row>
        <row r="355">
          <cell r="R355">
            <v>210457.27416666667</v>
          </cell>
          <cell r="S355">
            <v>22</v>
          </cell>
        </row>
        <row r="356">
          <cell r="R356">
            <v>662248.95041666657</v>
          </cell>
          <cell r="S356">
            <v>22</v>
          </cell>
        </row>
        <row r="357">
          <cell r="R357">
            <v>39289.564999999995</v>
          </cell>
          <cell r="S357">
            <v>22</v>
          </cell>
        </row>
        <row r="358">
          <cell r="R358">
            <v>92669.856250000012</v>
          </cell>
          <cell r="S358">
            <v>22</v>
          </cell>
        </row>
        <row r="359">
          <cell r="R359">
            <v>1870003.9470833333</v>
          </cell>
          <cell r="S359">
            <v>47</v>
          </cell>
        </row>
        <row r="360">
          <cell r="R360">
            <v>146449.33625000002</v>
          </cell>
          <cell r="S360">
            <v>47</v>
          </cell>
        </row>
        <row r="361">
          <cell r="R361">
            <v>24508074.546666667</v>
          </cell>
          <cell r="S361">
            <v>47</v>
          </cell>
        </row>
        <row r="362">
          <cell r="R362">
            <v>1550485.5687500003</v>
          </cell>
          <cell r="S362">
            <v>22</v>
          </cell>
        </row>
        <row r="363">
          <cell r="R363">
            <v>9401.2212500000005</v>
          </cell>
          <cell r="S363">
            <v>22</v>
          </cell>
        </row>
        <row r="364">
          <cell r="R364">
            <v>3874227.5920833331</v>
          </cell>
          <cell r="S364">
            <v>47</v>
          </cell>
        </row>
        <row r="365">
          <cell r="R365">
            <v>30183.963333333333</v>
          </cell>
          <cell r="S365">
            <v>47</v>
          </cell>
        </row>
        <row r="366">
          <cell r="R366">
            <v>49000</v>
          </cell>
          <cell r="S366">
            <v>47</v>
          </cell>
        </row>
        <row r="367">
          <cell r="R367">
            <v>3266585.9099999997</v>
          </cell>
          <cell r="S367">
            <v>22</v>
          </cell>
        </row>
        <row r="368">
          <cell r="R368">
            <v>34332.83125000001</v>
          </cell>
          <cell r="S368">
            <v>22</v>
          </cell>
        </row>
        <row r="369">
          <cell r="R369">
            <v>11460.485416666668</v>
          </cell>
          <cell r="S369">
            <v>22</v>
          </cell>
        </row>
        <row r="370">
          <cell r="R370">
            <v>19642.736666666668</v>
          </cell>
          <cell r="S370">
            <v>22</v>
          </cell>
        </row>
        <row r="371">
          <cell r="R371">
            <v>-1365799.5154166666</v>
          </cell>
          <cell r="S371">
            <v>24</v>
          </cell>
        </row>
        <row r="372">
          <cell r="R372">
            <v>-2515627.2279166668</v>
          </cell>
          <cell r="S372">
            <v>24</v>
          </cell>
        </row>
        <row r="373">
          <cell r="R373">
            <v>-1175546.47875</v>
          </cell>
          <cell r="S373">
            <v>24</v>
          </cell>
        </row>
        <row r="374">
          <cell r="R374">
            <v>-2702689.8379166662</v>
          </cell>
          <cell r="S374">
            <v>24</v>
          </cell>
        </row>
        <row r="375">
          <cell r="R375">
            <v>124921.5675</v>
          </cell>
          <cell r="S375">
            <v>24</v>
          </cell>
        </row>
        <row r="376">
          <cell r="R376">
            <v>2272.8975</v>
          </cell>
          <cell r="S376">
            <v>24</v>
          </cell>
        </row>
        <row r="377">
          <cell r="R377">
            <v>25000</v>
          </cell>
          <cell r="S377">
            <v>24</v>
          </cell>
        </row>
        <row r="378">
          <cell r="R378">
            <v>873.5533333333334</v>
          </cell>
          <cell r="S378">
            <v>24</v>
          </cell>
        </row>
        <row r="379">
          <cell r="R379">
            <v>21457.60666666667</v>
          </cell>
          <cell r="S379">
            <v>24</v>
          </cell>
        </row>
        <row r="380">
          <cell r="R380">
            <v>16866.862499999999</v>
          </cell>
          <cell r="S380">
            <v>0</v>
          </cell>
        </row>
        <row r="381">
          <cell r="R381">
            <v>16390.231250000001</v>
          </cell>
          <cell r="S381">
            <v>0</v>
          </cell>
        </row>
        <row r="382">
          <cell r="R382">
            <v>6096.8537500000011</v>
          </cell>
          <cell r="S382">
            <v>24</v>
          </cell>
        </row>
        <row r="383">
          <cell r="R383">
            <v>-2268517.6550000003</v>
          </cell>
          <cell r="S383">
            <v>24</v>
          </cell>
        </row>
        <row r="384">
          <cell r="R384">
            <v>-1205917.4266666668</v>
          </cell>
          <cell r="S384">
            <v>24</v>
          </cell>
        </row>
        <row r="385">
          <cell r="R385">
            <v>-4582568.5049999999</v>
          </cell>
          <cell r="S385">
            <v>0</v>
          </cell>
        </row>
        <row r="386">
          <cell r="R386">
            <v>2262539.1454166663</v>
          </cell>
          <cell r="S386">
            <v>0</v>
          </cell>
        </row>
        <row r="387">
          <cell r="R387">
            <v>3484006301.9866672</v>
          </cell>
          <cell r="S387">
            <v>0</v>
          </cell>
        </row>
        <row r="388">
          <cell r="R388">
            <v>0</v>
          </cell>
          <cell r="S388">
            <v>0</v>
          </cell>
        </row>
        <row r="389">
          <cell r="R389">
            <v>-61855162.051250488</v>
          </cell>
          <cell r="S389">
            <v>2</v>
          </cell>
        </row>
        <row r="390">
          <cell r="R390">
            <v>0</v>
          </cell>
          <cell r="S390">
            <v>0</v>
          </cell>
        </row>
        <row r="391">
          <cell r="R391">
            <v>-819411732.19749987</v>
          </cell>
          <cell r="S391">
            <v>2</v>
          </cell>
        </row>
        <row r="392">
          <cell r="R392">
            <v>-12703899.035416665</v>
          </cell>
          <cell r="S392">
            <v>2</v>
          </cell>
        </row>
        <row r="393">
          <cell r="R393">
            <v>14110989.842083335</v>
          </cell>
          <cell r="S393">
            <v>2</v>
          </cell>
        </row>
        <row r="394">
          <cell r="R394">
            <v>2286978.4549999996</v>
          </cell>
          <cell r="S394">
            <v>2</v>
          </cell>
        </row>
        <row r="395">
          <cell r="R395">
            <v>-6864172.0450000009</v>
          </cell>
          <cell r="S395">
            <v>2</v>
          </cell>
        </row>
        <row r="396">
          <cell r="R396">
            <v>-15164061.983333332</v>
          </cell>
          <cell r="S396">
            <v>2</v>
          </cell>
        </row>
        <row r="397">
          <cell r="R397">
            <v>-2943763.0833333335</v>
          </cell>
          <cell r="S397">
            <v>2</v>
          </cell>
        </row>
        <row r="398">
          <cell r="R398">
            <v>-1548121</v>
          </cell>
          <cell r="S398">
            <v>2</v>
          </cell>
        </row>
        <row r="399">
          <cell r="R399">
            <v>-292198629.66125</v>
          </cell>
          <cell r="S399">
            <v>2</v>
          </cell>
        </row>
        <row r="400">
          <cell r="R400">
            <v>15039088.201666668</v>
          </cell>
          <cell r="S400">
            <v>2</v>
          </cell>
        </row>
        <row r="401">
          <cell r="R401">
            <v>12882874.745000003</v>
          </cell>
          <cell r="S401">
            <v>2</v>
          </cell>
        </row>
        <row r="402">
          <cell r="R402">
            <v>4395849.208333333</v>
          </cell>
          <cell r="S402">
            <v>2</v>
          </cell>
        </row>
        <row r="403">
          <cell r="R403">
            <v>-2237.0416666666665</v>
          </cell>
          <cell r="S403">
            <v>2</v>
          </cell>
        </row>
        <row r="404">
          <cell r="R404">
            <v>-4100000</v>
          </cell>
          <cell r="S404">
            <v>4</v>
          </cell>
        </row>
        <row r="405">
          <cell r="R405">
            <v>-25000000</v>
          </cell>
          <cell r="S405">
            <v>4</v>
          </cell>
        </row>
        <row r="406">
          <cell r="R406">
            <v>-26875000</v>
          </cell>
          <cell r="S406">
            <v>4</v>
          </cell>
        </row>
        <row r="407">
          <cell r="R407">
            <v>1750000</v>
          </cell>
          <cell r="S407">
            <v>4</v>
          </cell>
        </row>
        <row r="408">
          <cell r="R408">
            <v>-2625000</v>
          </cell>
          <cell r="S408">
            <v>4</v>
          </cell>
        </row>
        <row r="409">
          <cell r="R409">
            <v>-5812500</v>
          </cell>
          <cell r="S409">
            <v>4</v>
          </cell>
        </row>
        <row r="410">
          <cell r="R410">
            <v>-2062500</v>
          </cell>
          <cell r="S410">
            <v>4</v>
          </cell>
        </row>
        <row r="411">
          <cell r="R411">
            <v>-375000</v>
          </cell>
          <cell r="S411">
            <v>4</v>
          </cell>
        </row>
        <row r="412">
          <cell r="R412">
            <v>-2625000</v>
          </cell>
          <cell r="S412">
            <v>4</v>
          </cell>
        </row>
        <row r="413">
          <cell r="R413">
            <v>-90000000</v>
          </cell>
          <cell r="S413">
            <v>4</v>
          </cell>
        </row>
        <row r="414">
          <cell r="R414">
            <v>-150000000</v>
          </cell>
          <cell r="S414">
            <v>4</v>
          </cell>
        </row>
        <row r="415">
          <cell r="R415">
            <v>-3620027.66</v>
          </cell>
          <cell r="S415">
            <v>4</v>
          </cell>
        </row>
        <row r="416">
          <cell r="R416">
            <v>-150000000</v>
          </cell>
          <cell r="S416">
            <v>4</v>
          </cell>
        </row>
        <row r="417">
          <cell r="R417">
            <v>2255172.12</v>
          </cell>
          <cell r="S417">
            <v>4</v>
          </cell>
        </row>
        <row r="418">
          <cell r="R418">
            <v>-250000000</v>
          </cell>
          <cell r="S418">
            <v>4</v>
          </cell>
        </row>
        <row r="419">
          <cell r="R419">
            <v>11153975.299999999</v>
          </cell>
          <cell r="S419">
            <v>4</v>
          </cell>
        </row>
        <row r="420">
          <cell r="R420">
            <v>-9277542.089999998</v>
          </cell>
          <cell r="S420">
            <v>4</v>
          </cell>
        </row>
        <row r="421">
          <cell r="R421">
            <v>-250000000</v>
          </cell>
          <cell r="S421">
            <v>4</v>
          </cell>
        </row>
        <row r="422">
          <cell r="R422">
            <v>-50000000</v>
          </cell>
          <cell r="S422">
            <v>4</v>
          </cell>
        </row>
        <row r="423">
          <cell r="R423">
            <v>-51291666.666666664</v>
          </cell>
          <cell r="S423">
            <v>4</v>
          </cell>
        </row>
        <row r="424">
          <cell r="R424">
            <v>-35708333.333333336</v>
          </cell>
          <cell r="S424">
            <v>4</v>
          </cell>
        </row>
        <row r="425">
          <cell r="R425">
            <v>3079125</v>
          </cell>
          <cell r="S425">
            <v>4</v>
          </cell>
        </row>
        <row r="426">
          <cell r="R426">
            <v>-3541666.6666666665</v>
          </cell>
          <cell r="S426">
            <v>4</v>
          </cell>
        </row>
        <row r="427">
          <cell r="R427">
            <v>-51547000</v>
          </cell>
          <cell r="S427">
            <v>3</v>
          </cell>
        </row>
        <row r="428">
          <cell r="R428">
            <v>-217641.52000000002</v>
          </cell>
          <cell r="S428">
            <v>4</v>
          </cell>
        </row>
        <row r="429">
          <cell r="R429">
            <v>1926171.1799999997</v>
          </cell>
          <cell r="S429">
            <v>4</v>
          </cell>
        </row>
        <row r="430">
          <cell r="R430">
            <v>-4864817.2658333341</v>
          </cell>
          <cell r="S430">
            <v>0</v>
          </cell>
        </row>
        <row r="431">
          <cell r="R431">
            <v>-10647356.709999999</v>
          </cell>
          <cell r="S431">
            <v>0</v>
          </cell>
        </row>
        <row r="432">
          <cell r="R432">
            <v>-2909491.3112499998</v>
          </cell>
          <cell r="S432">
            <v>0</v>
          </cell>
        </row>
        <row r="433">
          <cell r="R433">
            <v>-600478.91</v>
          </cell>
          <cell r="S433">
            <v>0</v>
          </cell>
        </row>
        <row r="434">
          <cell r="R434">
            <v>-14968.842083333331</v>
          </cell>
          <cell r="S434">
            <v>0</v>
          </cell>
        </row>
        <row r="435">
          <cell r="R435">
            <v>2329009.4879166665</v>
          </cell>
          <cell r="S435">
            <v>0</v>
          </cell>
        </row>
        <row r="436">
          <cell r="R436">
            <v>913.62249999999995</v>
          </cell>
          <cell r="S436">
            <v>0</v>
          </cell>
        </row>
        <row r="437">
          <cell r="R437">
            <v>6309526.3079166673</v>
          </cell>
          <cell r="S437">
            <v>0</v>
          </cell>
        </row>
        <row r="438">
          <cell r="R438">
            <v>250154.25</v>
          </cell>
          <cell r="S438">
            <v>0</v>
          </cell>
        </row>
        <row r="439">
          <cell r="R439">
            <v>636046.56874999986</v>
          </cell>
          <cell r="S439">
            <v>0</v>
          </cell>
        </row>
        <row r="440">
          <cell r="R440">
            <v>343693.50208333333</v>
          </cell>
          <cell r="S440">
            <v>0</v>
          </cell>
        </row>
        <row r="441">
          <cell r="R441">
            <v>1768786.4091666667</v>
          </cell>
          <cell r="S441">
            <v>0</v>
          </cell>
        </row>
        <row r="442">
          <cell r="R442">
            <v>5377771.8595833341</v>
          </cell>
          <cell r="S442">
            <v>26</v>
          </cell>
        </row>
        <row r="443">
          <cell r="R443">
            <v>-43312064.5</v>
          </cell>
          <cell r="S443">
            <v>26</v>
          </cell>
        </row>
        <row r="444">
          <cell r="R444">
            <v>-16352375.299999999</v>
          </cell>
          <cell r="S444">
            <v>44</v>
          </cell>
        </row>
        <row r="445">
          <cell r="R445">
            <v>-7272596.166666667</v>
          </cell>
          <cell r="S445">
            <v>44</v>
          </cell>
        </row>
        <row r="446">
          <cell r="R446">
            <v>43131399.208333336</v>
          </cell>
          <cell r="S446">
            <v>26</v>
          </cell>
        </row>
        <row r="447">
          <cell r="R447">
            <v>-139203929.5</v>
          </cell>
          <cell r="S447">
            <v>26</v>
          </cell>
        </row>
        <row r="448">
          <cell r="R448">
            <v>-5694784.4149999991</v>
          </cell>
          <cell r="S448">
            <v>26</v>
          </cell>
        </row>
        <row r="449">
          <cell r="R449">
            <v>-175065.66666666666</v>
          </cell>
          <cell r="S449">
            <v>26</v>
          </cell>
        </row>
        <row r="450">
          <cell r="R450">
            <v>-493276.55499999999</v>
          </cell>
          <cell r="S450">
            <v>26</v>
          </cell>
        </row>
        <row r="451">
          <cell r="R451">
            <v>-2006379.6958333338</v>
          </cell>
          <cell r="S451">
            <v>26</v>
          </cell>
        </row>
        <row r="452">
          <cell r="R452">
            <v>-4022392.2083333335</v>
          </cell>
          <cell r="S452">
            <v>44</v>
          </cell>
        </row>
        <row r="453">
          <cell r="R453">
            <v>1660600.5416666667</v>
          </cell>
          <cell r="S453">
            <v>44</v>
          </cell>
        </row>
        <row r="454">
          <cell r="R454">
            <v>4352877.53</v>
          </cell>
          <cell r="S454">
            <v>26</v>
          </cell>
        </row>
        <row r="455">
          <cell r="R455">
            <v>-3870963.9991666675</v>
          </cell>
          <cell r="S455">
            <v>50</v>
          </cell>
        </row>
        <row r="456">
          <cell r="R456">
            <v>61.854999999999997</v>
          </cell>
          <cell r="S456">
            <v>0</v>
          </cell>
        </row>
        <row r="457">
          <cell r="R457">
            <v>-81800000</v>
          </cell>
          <cell r="S457">
            <v>7</v>
          </cell>
        </row>
        <row r="458">
          <cell r="R458">
            <v>-1738025.5208333333</v>
          </cell>
          <cell r="S458">
            <v>0</v>
          </cell>
        </row>
        <row r="459">
          <cell r="R459">
            <v>-15175965.897499995</v>
          </cell>
          <cell r="S459">
            <v>0</v>
          </cell>
        </row>
        <row r="460">
          <cell r="R460">
            <v>-224897.79791666663</v>
          </cell>
          <cell r="S460">
            <v>0</v>
          </cell>
        </row>
        <row r="461">
          <cell r="R461">
            <v>-31858393.396249998</v>
          </cell>
          <cell r="S461">
            <v>0</v>
          </cell>
        </row>
        <row r="462">
          <cell r="R462">
            <v>-0.41666666666666669</v>
          </cell>
          <cell r="S462">
            <v>0</v>
          </cell>
        </row>
        <row r="463">
          <cell r="R463">
            <v>-4089.0741666666668</v>
          </cell>
          <cell r="S463">
            <v>0</v>
          </cell>
        </row>
        <row r="464">
          <cell r="R464">
            <v>17047.208333333332</v>
          </cell>
          <cell r="S464">
            <v>0</v>
          </cell>
        </row>
        <row r="465">
          <cell r="R465">
            <v>2032.4916666666668</v>
          </cell>
          <cell r="S465">
            <v>0</v>
          </cell>
        </row>
        <row r="466">
          <cell r="R466">
            <v>-3009854.9329166668</v>
          </cell>
          <cell r="S466">
            <v>0</v>
          </cell>
        </row>
        <row r="467">
          <cell r="R467">
            <v>-153117.39916666667</v>
          </cell>
          <cell r="S467">
            <v>0</v>
          </cell>
        </row>
        <row r="468">
          <cell r="R468">
            <v>-8199325.5233333334</v>
          </cell>
          <cell r="S468">
            <v>0</v>
          </cell>
        </row>
        <row r="469">
          <cell r="R469">
            <v>-3579992.3862499991</v>
          </cell>
          <cell r="S469">
            <v>0</v>
          </cell>
        </row>
        <row r="470">
          <cell r="R470">
            <v>-680630.2629166668</v>
          </cell>
          <cell r="S470">
            <v>0</v>
          </cell>
        </row>
        <row r="471">
          <cell r="R471">
            <v>-3605536.1050000004</v>
          </cell>
          <cell r="S471">
            <v>0</v>
          </cell>
        </row>
        <row r="472">
          <cell r="R472">
            <v>-7930.6425000000008</v>
          </cell>
          <cell r="S472">
            <v>0</v>
          </cell>
        </row>
        <row r="473">
          <cell r="R473">
            <v>-356644.65791666671</v>
          </cell>
          <cell r="S473">
            <v>23</v>
          </cell>
        </row>
        <row r="474">
          <cell r="R474">
            <v>-65927.937916666662</v>
          </cell>
          <cell r="S474">
            <v>0</v>
          </cell>
        </row>
        <row r="475">
          <cell r="R475">
            <v>-1821723.0733333335</v>
          </cell>
          <cell r="S475">
            <v>0</v>
          </cell>
        </row>
        <row r="476">
          <cell r="R476">
            <v>-17127994.783750001</v>
          </cell>
          <cell r="S476">
            <v>0</v>
          </cell>
        </row>
        <row r="477">
          <cell r="R477">
            <v>-1689675.1266666667</v>
          </cell>
          <cell r="S477">
            <v>0</v>
          </cell>
        </row>
        <row r="478">
          <cell r="R478">
            <v>-400547.26958333334</v>
          </cell>
          <cell r="S478">
            <v>0</v>
          </cell>
        </row>
        <row r="479">
          <cell r="R479">
            <v>-961658.22916666663</v>
          </cell>
          <cell r="S479">
            <v>0</v>
          </cell>
        </row>
        <row r="480">
          <cell r="R480">
            <v>-621241.91416666668</v>
          </cell>
          <cell r="S480">
            <v>0</v>
          </cell>
        </row>
        <row r="481">
          <cell r="R481">
            <v>-45070.723750000005</v>
          </cell>
          <cell r="S481">
            <v>0</v>
          </cell>
        </row>
        <row r="482">
          <cell r="R482">
            <v>-183333.31499999997</v>
          </cell>
          <cell r="S482">
            <v>23</v>
          </cell>
        </row>
        <row r="483">
          <cell r="R483">
            <v>-24447.481250000001</v>
          </cell>
          <cell r="S483">
            <v>0</v>
          </cell>
        </row>
        <row r="484">
          <cell r="R484">
            <v>-15246.666666666666</v>
          </cell>
          <cell r="S484">
            <v>0</v>
          </cell>
        </row>
        <row r="485">
          <cell r="R485">
            <v>-218.11708333333385</v>
          </cell>
          <cell r="S485">
            <v>0</v>
          </cell>
        </row>
        <row r="486">
          <cell r="R486">
            <v>-15990.884166666669</v>
          </cell>
          <cell r="S486">
            <v>45</v>
          </cell>
        </row>
        <row r="487">
          <cell r="R487">
            <v>-164.24958333333333</v>
          </cell>
          <cell r="S487">
            <v>45</v>
          </cell>
        </row>
        <row r="488">
          <cell r="R488">
            <v>9.9999999999999985E-3</v>
          </cell>
          <cell r="S488">
            <v>45</v>
          </cell>
        </row>
        <row r="489">
          <cell r="R489">
            <v>-705946.09999999974</v>
          </cell>
          <cell r="S489">
            <v>0</v>
          </cell>
        </row>
        <row r="490">
          <cell r="R490">
            <v>21.529166666666669</v>
          </cell>
          <cell r="S490">
            <v>21</v>
          </cell>
        </row>
        <row r="491">
          <cell r="R491">
            <v>-7447759.4024999989</v>
          </cell>
          <cell r="S491">
            <v>21</v>
          </cell>
        </row>
        <row r="492">
          <cell r="R492">
            <v>-101043.40625</v>
          </cell>
          <cell r="S492">
            <v>21</v>
          </cell>
        </row>
        <row r="493">
          <cell r="R493">
            <v>-62164.355833333335</v>
          </cell>
          <cell r="S493">
            <v>21</v>
          </cell>
        </row>
        <row r="494">
          <cell r="R494">
            <v>-792293.01250000007</v>
          </cell>
          <cell r="S494">
            <v>21</v>
          </cell>
        </row>
        <row r="495">
          <cell r="R495">
            <v>12059847.574166665</v>
          </cell>
          <cell r="S495">
            <v>0</v>
          </cell>
        </row>
        <row r="496">
          <cell r="R496">
            <v>-775556.69041666668</v>
          </cell>
          <cell r="S496">
            <v>0</v>
          </cell>
        </row>
        <row r="497">
          <cell r="R497">
            <v>5477.8708333333334</v>
          </cell>
          <cell r="S497">
            <v>0</v>
          </cell>
        </row>
        <row r="498">
          <cell r="R498">
            <v>-32708.289583333331</v>
          </cell>
          <cell r="S498">
            <v>0</v>
          </cell>
        </row>
        <row r="499">
          <cell r="R499">
            <v>-3278780.8062499999</v>
          </cell>
          <cell r="S499">
            <v>0</v>
          </cell>
        </row>
        <row r="500">
          <cell r="R500">
            <v>-4524196.4341666661</v>
          </cell>
          <cell r="S500">
            <v>0</v>
          </cell>
        </row>
        <row r="501">
          <cell r="R501">
            <v>234774.4420833333</v>
          </cell>
          <cell r="S501">
            <v>0</v>
          </cell>
        </row>
        <row r="502">
          <cell r="R502">
            <v>-9886974.9299999997</v>
          </cell>
          <cell r="S502">
            <v>0</v>
          </cell>
        </row>
        <row r="503">
          <cell r="R503">
            <v>-1147041.2849999999</v>
          </cell>
          <cell r="S503">
            <v>0</v>
          </cell>
        </row>
        <row r="504">
          <cell r="R504">
            <v>-443651.98166666669</v>
          </cell>
          <cell r="S504">
            <v>0</v>
          </cell>
        </row>
        <row r="505">
          <cell r="R505">
            <v>-3008882.6079166667</v>
          </cell>
          <cell r="S505">
            <v>0</v>
          </cell>
        </row>
        <row r="506">
          <cell r="R506">
            <v>14220.085833333333</v>
          </cell>
          <cell r="S506">
            <v>0</v>
          </cell>
        </row>
        <row r="507">
          <cell r="R507">
            <v>-95534.449583333335</v>
          </cell>
          <cell r="S507">
            <v>0</v>
          </cell>
        </row>
        <row r="508">
          <cell r="R508">
            <v>408820.83500000002</v>
          </cell>
          <cell r="S508">
            <v>0</v>
          </cell>
        </row>
        <row r="509">
          <cell r="R509">
            <v>131813.5</v>
          </cell>
          <cell r="S509">
            <v>0</v>
          </cell>
        </row>
        <row r="510">
          <cell r="R510">
            <v>-17640216.892083332</v>
          </cell>
          <cell r="S510">
            <v>0</v>
          </cell>
        </row>
        <row r="511">
          <cell r="R511">
            <v>-169120.32874999999</v>
          </cell>
          <cell r="S511">
            <v>0</v>
          </cell>
        </row>
        <row r="512">
          <cell r="R512">
            <v>-9754.3154166666664</v>
          </cell>
          <cell r="S512">
            <v>0</v>
          </cell>
        </row>
        <row r="513">
          <cell r="R513">
            <v>-32829.760833333334</v>
          </cell>
          <cell r="S513">
            <v>0</v>
          </cell>
        </row>
        <row r="514">
          <cell r="R514">
            <v>-5305250.354166666</v>
          </cell>
          <cell r="S514">
            <v>0</v>
          </cell>
        </row>
        <row r="515">
          <cell r="R515">
            <v>-25.776666666666667</v>
          </cell>
          <cell r="S515">
            <v>0</v>
          </cell>
        </row>
        <row r="516">
          <cell r="R516">
            <v>29357.731666666688</v>
          </cell>
          <cell r="S516">
            <v>0</v>
          </cell>
        </row>
        <row r="517">
          <cell r="R517">
            <v>-22.834166666666665</v>
          </cell>
          <cell r="S517">
            <v>0</v>
          </cell>
        </row>
        <row r="518">
          <cell r="R518">
            <v>-91.040416666666673</v>
          </cell>
          <cell r="S518">
            <v>0</v>
          </cell>
        </row>
        <row r="519">
          <cell r="R519">
            <v>-756.33750000000009</v>
          </cell>
          <cell r="S519">
            <v>0</v>
          </cell>
        </row>
        <row r="520">
          <cell r="R520">
            <v>-553.11208333333354</v>
          </cell>
          <cell r="S520">
            <v>0</v>
          </cell>
        </row>
        <row r="521">
          <cell r="R521">
            <v>-678333.33333333337</v>
          </cell>
          <cell r="S521">
            <v>50</v>
          </cell>
        </row>
        <row r="522">
          <cell r="R522">
            <v>-3896567.0270833336</v>
          </cell>
          <cell r="S522">
            <v>0</v>
          </cell>
        </row>
        <row r="523">
          <cell r="R523">
            <v>-500833.33333333331</v>
          </cell>
          <cell r="S523">
            <v>0</v>
          </cell>
        </row>
        <row r="524">
          <cell r="R524">
            <v>-13058.4625</v>
          </cell>
          <cell r="S524">
            <v>0</v>
          </cell>
        </row>
        <row r="525">
          <cell r="R525">
            <v>161286.44499999998</v>
          </cell>
          <cell r="S525">
            <v>0</v>
          </cell>
        </row>
        <row r="526">
          <cell r="R526">
            <v>-920163.25</v>
          </cell>
          <cell r="S526">
            <v>0</v>
          </cell>
        </row>
        <row r="527">
          <cell r="R527">
            <v>-106945.53166666666</v>
          </cell>
          <cell r="S527">
            <v>0</v>
          </cell>
        </row>
        <row r="528">
          <cell r="R528">
            <v>-2698583.3333333335</v>
          </cell>
          <cell r="S528">
            <v>23</v>
          </cell>
        </row>
        <row r="529">
          <cell r="R529">
            <v>-86939.82666666666</v>
          </cell>
          <cell r="S529">
            <v>0</v>
          </cell>
        </row>
        <row r="530">
          <cell r="R530">
            <v>241431.80000000002</v>
          </cell>
          <cell r="S530">
            <v>0</v>
          </cell>
        </row>
        <row r="531">
          <cell r="R531">
            <v>81397.472500000003</v>
          </cell>
          <cell r="S531">
            <v>0</v>
          </cell>
        </row>
        <row r="532">
          <cell r="R532">
            <v>-44982.309583333343</v>
          </cell>
          <cell r="S532">
            <v>0</v>
          </cell>
        </row>
        <row r="533">
          <cell r="R533">
            <v>-485671.07791666657</v>
          </cell>
          <cell r="S533">
            <v>0</v>
          </cell>
        </row>
        <row r="534">
          <cell r="R534">
            <v>-2112966.0862500002</v>
          </cell>
          <cell r="S534">
            <v>0</v>
          </cell>
        </row>
        <row r="535">
          <cell r="R535">
            <v>-727037.81374999986</v>
          </cell>
          <cell r="S535">
            <v>0</v>
          </cell>
        </row>
        <row r="536">
          <cell r="R536">
            <v>426542.4375</v>
          </cell>
          <cell r="S536">
            <v>0</v>
          </cell>
        </row>
        <row r="537">
          <cell r="R537">
            <v>-21.302499999999998</v>
          </cell>
          <cell r="S537">
            <v>0</v>
          </cell>
        </row>
        <row r="538">
          <cell r="R538">
            <v>-15648592.835833333</v>
          </cell>
          <cell r="S538">
            <v>0</v>
          </cell>
        </row>
        <row r="539">
          <cell r="R539">
            <v>-1188367.9841666666</v>
          </cell>
          <cell r="S539">
            <v>50</v>
          </cell>
        </row>
        <row r="540">
          <cell r="R540">
            <v>-1249171.2183333335</v>
          </cell>
          <cell r="S540">
            <v>50</v>
          </cell>
        </row>
        <row r="541">
          <cell r="R541">
            <v>-73325.647916666654</v>
          </cell>
          <cell r="S541">
            <v>50</v>
          </cell>
        </row>
        <row r="542">
          <cell r="R542">
            <v>-802405.00375000003</v>
          </cell>
          <cell r="S542">
            <v>50</v>
          </cell>
        </row>
        <row r="543">
          <cell r="R543">
            <v>33333.333333333336</v>
          </cell>
          <cell r="S543">
            <v>50</v>
          </cell>
        </row>
        <row r="544">
          <cell r="R544">
            <v>1075.7041666666669</v>
          </cell>
          <cell r="S544">
            <v>50</v>
          </cell>
        </row>
        <row r="545">
          <cell r="R545">
            <v>-290485.27083333331</v>
          </cell>
          <cell r="S545">
            <v>0</v>
          </cell>
        </row>
        <row r="546">
          <cell r="R546">
            <v>-197916.66666666666</v>
          </cell>
          <cell r="S546">
            <v>50</v>
          </cell>
        </row>
        <row r="547">
          <cell r="R547">
            <v>-2903867.4583333335</v>
          </cell>
          <cell r="S547">
            <v>0</v>
          </cell>
        </row>
        <row r="548">
          <cell r="R548">
            <v>-474720.65291666664</v>
          </cell>
          <cell r="S548">
            <v>0</v>
          </cell>
        </row>
        <row r="549">
          <cell r="R549">
            <v>-1590238.5083333331</v>
          </cell>
          <cell r="S549">
            <v>0</v>
          </cell>
        </row>
        <row r="550">
          <cell r="R550">
            <v>-4352877.53</v>
          </cell>
          <cell r="S550">
            <v>0</v>
          </cell>
        </row>
        <row r="551">
          <cell r="R551">
            <v>-209890.77916666665</v>
          </cell>
          <cell r="S551">
            <v>50</v>
          </cell>
        </row>
        <row r="552">
          <cell r="R552">
            <v>-4375000</v>
          </cell>
          <cell r="S552">
            <v>6</v>
          </cell>
        </row>
        <row r="553">
          <cell r="R553">
            <v>-46480967.75</v>
          </cell>
          <cell r="S553">
            <v>46</v>
          </cell>
        </row>
        <row r="554">
          <cell r="R554">
            <v>-23480894.416666668</v>
          </cell>
          <cell r="S554">
            <v>46</v>
          </cell>
        </row>
        <row r="555">
          <cell r="R555">
            <v>-448895.16958333337</v>
          </cell>
          <cell r="S555">
            <v>46</v>
          </cell>
        </row>
        <row r="556">
          <cell r="R556">
            <v>-4463787.2812499991</v>
          </cell>
          <cell r="S556">
            <v>46</v>
          </cell>
        </row>
        <row r="557">
          <cell r="R557">
            <v>-71496.976250000007</v>
          </cell>
          <cell r="S557">
            <v>46</v>
          </cell>
        </row>
        <row r="558">
          <cell r="R558">
            <v>5.1083333333333485</v>
          </cell>
          <cell r="S558">
            <v>21</v>
          </cell>
        </row>
        <row r="559">
          <cell r="R559">
            <v>-609859.69500000018</v>
          </cell>
          <cell r="S559">
            <v>21</v>
          </cell>
        </row>
        <row r="560">
          <cell r="R560">
            <v>-269997.28333333333</v>
          </cell>
          <cell r="S560">
            <v>21</v>
          </cell>
        </row>
        <row r="561">
          <cell r="R561">
            <v>-67621.78624999999</v>
          </cell>
          <cell r="S561">
            <v>21</v>
          </cell>
        </row>
        <row r="562">
          <cell r="R562">
            <v>-21575.723750000001</v>
          </cell>
          <cell r="S562">
            <v>21</v>
          </cell>
        </row>
        <row r="563">
          <cell r="R563">
            <v>-83333.333333333328</v>
          </cell>
          <cell r="S563">
            <v>44</v>
          </cell>
        </row>
        <row r="564">
          <cell r="R564">
            <v>-927065</v>
          </cell>
          <cell r="S564">
            <v>44</v>
          </cell>
        </row>
        <row r="565">
          <cell r="R565">
            <v>-290308.06000000006</v>
          </cell>
          <cell r="S565">
            <v>44</v>
          </cell>
        </row>
        <row r="566">
          <cell r="R566">
            <v>-86408.317500000005</v>
          </cell>
          <cell r="S566">
            <v>44</v>
          </cell>
        </row>
        <row r="567">
          <cell r="R567">
            <v>-141113.80541666664</v>
          </cell>
          <cell r="S567">
            <v>44</v>
          </cell>
        </row>
        <row r="568">
          <cell r="R568">
            <v>-898405.61</v>
          </cell>
          <cell r="S568">
            <v>44</v>
          </cell>
        </row>
        <row r="569">
          <cell r="R569">
            <v>-87500</v>
          </cell>
          <cell r="S569">
            <v>44</v>
          </cell>
        </row>
        <row r="570">
          <cell r="R570">
            <v>-603120.5541666667</v>
          </cell>
          <cell r="S570">
            <v>44</v>
          </cell>
        </row>
        <row r="571">
          <cell r="R571">
            <v>-98046</v>
          </cell>
          <cell r="S571">
            <v>44</v>
          </cell>
        </row>
        <row r="572">
          <cell r="R572">
            <v>-32682</v>
          </cell>
          <cell r="S572">
            <v>44</v>
          </cell>
        </row>
        <row r="573">
          <cell r="R573">
            <v>584689.64166666672</v>
          </cell>
          <cell r="S573">
            <v>23</v>
          </cell>
        </row>
        <row r="574">
          <cell r="R574">
            <v>-86239.94666666667</v>
          </cell>
          <cell r="S574">
            <v>44</v>
          </cell>
        </row>
        <row r="575">
          <cell r="R575">
            <v>-9556568.9537500013</v>
          </cell>
          <cell r="S575">
            <v>44</v>
          </cell>
        </row>
        <row r="576">
          <cell r="R576">
            <v>-140000</v>
          </cell>
          <cell r="S576">
            <v>44</v>
          </cell>
        </row>
        <row r="577">
          <cell r="R577">
            <v>-381768.375</v>
          </cell>
          <cell r="S577">
            <v>23</v>
          </cell>
        </row>
        <row r="578">
          <cell r="R578">
            <v>-1054469.5416666667</v>
          </cell>
          <cell r="S578">
            <v>23</v>
          </cell>
        </row>
        <row r="579">
          <cell r="R579">
            <v>-198810.83333333334</v>
          </cell>
          <cell r="S579">
            <v>23</v>
          </cell>
        </row>
        <row r="580">
          <cell r="R580">
            <v>63088.5</v>
          </cell>
          <cell r="S580">
            <v>23</v>
          </cell>
        </row>
        <row r="581">
          <cell r="R581">
            <v>-739662.375</v>
          </cell>
          <cell r="S581">
            <v>23</v>
          </cell>
        </row>
        <row r="582">
          <cell r="R582">
            <v>-11182679.125</v>
          </cell>
          <cell r="S582">
            <v>23</v>
          </cell>
        </row>
        <row r="583">
          <cell r="R583">
            <v>-103278.375</v>
          </cell>
          <cell r="S583">
            <v>23</v>
          </cell>
        </row>
        <row r="584">
          <cell r="R584">
            <v>-2121386.7433333336</v>
          </cell>
          <cell r="S584">
            <v>23</v>
          </cell>
        </row>
        <row r="585">
          <cell r="R585">
            <v>-33701.454166666656</v>
          </cell>
          <cell r="S585">
            <v>23</v>
          </cell>
        </row>
        <row r="586">
          <cell r="R586">
            <v>-138018</v>
          </cell>
          <cell r="S586">
            <v>48</v>
          </cell>
        </row>
        <row r="587">
          <cell r="R587">
            <v>-715376</v>
          </cell>
          <cell r="S587">
            <v>23</v>
          </cell>
        </row>
        <row r="588">
          <cell r="R588">
            <v>-1553550.875</v>
          </cell>
          <cell r="S588">
            <v>23</v>
          </cell>
        </row>
        <row r="589">
          <cell r="R589">
            <v>-7963721.7158333333</v>
          </cell>
          <cell r="S589">
            <v>23</v>
          </cell>
        </row>
        <row r="590">
          <cell r="R590">
            <v>-101993.57416666666</v>
          </cell>
          <cell r="S590">
            <v>23</v>
          </cell>
        </row>
        <row r="591">
          <cell r="R591">
            <v>-112255.82333333332</v>
          </cell>
          <cell r="S591">
            <v>23</v>
          </cell>
        </row>
        <row r="592">
          <cell r="R592">
            <v>-264991.97125</v>
          </cell>
          <cell r="S592">
            <v>23</v>
          </cell>
        </row>
        <row r="593">
          <cell r="R593">
            <v>-1049.3062499999996</v>
          </cell>
          <cell r="S593">
            <v>23</v>
          </cell>
        </row>
        <row r="594">
          <cell r="R594">
            <v>-3440.6512499999976</v>
          </cell>
          <cell r="S594">
            <v>23</v>
          </cell>
        </row>
        <row r="595">
          <cell r="R595">
            <v>-8949.6291666666675</v>
          </cell>
          <cell r="S595">
            <v>46</v>
          </cell>
        </row>
        <row r="596">
          <cell r="R596">
            <v>-7857649.4575000005</v>
          </cell>
          <cell r="S596">
            <v>22</v>
          </cell>
        </row>
        <row r="597">
          <cell r="R597">
            <v>-87384</v>
          </cell>
          <cell r="S597">
            <v>22</v>
          </cell>
        </row>
        <row r="598">
          <cell r="R598">
            <v>-168948</v>
          </cell>
          <cell r="S598">
            <v>22</v>
          </cell>
        </row>
        <row r="599">
          <cell r="R599">
            <v>-2556258.262083333</v>
          </cell>
          <cell r="S599">
            <v>0</v>
          </cell>
        </row>
        <row r="600">
          <cell r="R600">
            <v>-57404.928333333315</v>
          </cell>
          <cell r="S600">
            <v>47</v>
          </cell>
        </row>
        <row r="601">
          <cell r="R601">
            <v>177938.39166666669</v>
          </cell>
          <cell r="S601">
            <v>47</v>
          </cell>
        </row>
        <row r="602">
          <cell r="R602">
            <v>-189939.4</v>
          </cell>
          <cell r="S602">
            <v>22</v>
          </cell>
        </row>
        <row r="603">
          <cell r="R603">
            <v>-896796.66166666651</v>
          </cell>
          <cell r="S603">
            <v>22</v>
          </cell>
        </row>
        <row r="604">
          <cell r="R604">
            <v>-26218613.196666669</v>
          </cell>
          <cell r="S604">
            <v>22</v>
          </cell>
        </row>
        <row r="605">
          <cell r="R605">
            <v>-1798087.2883333333</v>
          </cell>
          <cell r="S605">
            <v>22</v>
          </cell>
        </row>
        <row r="606">
          <cell r="R606">
            <v>-267846176.66416666</v>
          </cell>
          <cell r="S606">
            <v>22</v>
          </cell>
        </row>
        <row r="607">
          <cell r="R607">
            <v>-58291481.215833336</v>
          </cell>
          <cell r="S607">
            <v>22</v>
          </cell>
        </row>
        <row r="608">
          <cell r="R608">
            <v>-30864499.189999998</v>
          </cell>
          <cell r="S608">
            <v>22</v>
          </cell>
        </row>
        <row r="609">
          <cell r="R609">
            <v>-5.2500000000000012E-2</v>
          </cell>
          <cell r="S609">
            <v>22</v>
          </cell>
        </row>
        <row r="610">
          <cell r="R610">
            <v>-9915</v>
          </cell>
          <cell r="S610">
            <v>22</v>
          </cell>
        </row>
        <row r="611">
          <cell r="R611">
            <v>-2107504.5</v>
          </cell>
          <cell r="S611">
            <v>22</v>
          </cell>
        </row>
        <row r="612">
          <cell r="R612">
            <v>-3913937.5</v>
          </cell>
          <cell r="S612">
            <v>22</v>
          </cell>
        </row>
        <row r="613">
          <cell r="R613">
            <v>-19463.875</v>
          </cell>
          <cell r="S613">
            <v>22</v>
          </cell>
        </row>
        <row r="614">
          <cell r="R614">
            <v>-36147.875</v>
          </cell>
          <cell r="S614">
            <v>22</v>
          </cell>
        </row>
        <row r="615">
          <cell r="R615">
            <v>-477054.46666666656</v>
          </cell>
          <cell r="S615">
            <v>22</v>
          </cell>
        </row>
        <row r="616">
          <cell r="R616">
            <v>-1256745.4200000002</v>
          </cell>
          <cell r="S616">
            <v>47</v>
          </cell>
        </row>
        <row r="617">
          <cell r="R617">
            <v>-204638.84791666665</v>
          </cell>
          <cell r="S617">
            <v>22</v>
          </cell>
        </row>
        <row r="618">
          <cell r="R618">
            <v>-109727.18333333333</v>
          </cell>
          <cell r="S618">
            <v>22</v>
          </cell>
        </row>
        <row r="619">
          <cell r="R619">
            <v>-3595803</v>
          </cell>
          <cell r="S619">
            <v>22</v>
          </cell>
        </row>
        <row r="620">
          <cell r="R620">
            <v>-19657.809583333346</v>
          </cell>
          <cell r="S620">
            <v>22</v>
          </cell>
        </row>
        <row r="621">
          <cell r="R621">
            <v>-46631.72</v>
          </cell>
          <cell r="S621">
            <v>22</v>
          </cell>
        </row>
        <row r="622">
          <cell r="R622">
            <v>-131569.24</v>
          </cell>
          <cell r="S622">
            <v>22</v>
          </cell>
        </row>
        <row r="623">
          <cell r="R623">
            <v>-29148.920000000002</v>
          </cell>
          <cell r="S623">
            <v>22</v>
          </cell>
        </row>
        <row r="624">
          <cell r="R624">
            <v>-95530</v>
          </cell>
          <cell r="S624">
            <v>22</v>
          </cell>
        </row>
        <row r="625">
          <cell r="R625">
            <v>-63527406.25</v>
          </cell>
          <cell r="S625">
            <v>47</v>
          </cell>
        </row>
        <row r="626">
          <cell r="R626">
            <v>-16035.323333333332</v>
          </cell>
          <cell r="S626">
            <v>22</v>
          </cell>
        </row>
        <row r="627">
          <cell r="R627">
            <v>160150.62875</v>
          </cell>
          <cell r="S627">
            <v>22</v>
          </cell>
        </row>
        <row r="628">
          <cell r="R628">
            <v>-74180855.197916672</v>
          </cell>
          <cell r="S628">
            <v>47</v>
          </cell>
        </row>
        <row r="629">
          <cell r="R629">
            <v>-6084037.708333333</v>
          </cell>
          <cell r="S629">
            <v>47</v>
          </cell>
        </row>
        <row r="630">
          <cell r="R630">
            <v>-467558.93</v>
          </cell>
          <cell r="S630">
            <v>22</v>
          </cell>
        </row>
        <row r="631">
          <cell r="R631">
            <v>1544768.8133333335</v>
          </cell>
          <cell r="S631">
            <v>22</v>
          </cell>
        </row>
        <row r="632">
          <cell r="R632">
            <v>-2102333.31</v>
          </cell>
          <cell r="S632">
            <v>22</v>
          </cell>
        </row>
        <row r="633">
          <cell r="R633">
            <v>-431666.62624999997</v>
          </cell>
          <cell r="S633">
            <v>22</v>
          </cell>
        </row>
        <row r="634">
          <cell r="R634">
            <v>-3848.6583333333333</v>
          </cell>
          <cell r="S634">
            <v>22</v>
          </cell>
        </row>
        <row r="635">
          <cell r="R635">
            <v>-18766.391666666666</v>
          </cell>
          <cell r="S635">
            <v>22</v>
          </cell>
        </row>
        <row r="636">
          <cell r="R636">
            <v>-250232.54500000001</v>
          </cell>
          <cell r="S636">
            <v>22</v>
          </cell>
        </row>
        <row r="637">
          <cell r="R637">
            <v>-87399.099999999977</v>
          </cell>
          <cell r="S637">
            <v>22</v>
          </cell>
        </row>
        <row r="638">
          <cell r="R638">
            <v>-152650.81</v>
          </cell>
          <cell r="S638">
            <v>22</v>
          </cell>
        </row>
        <row r="639">
          <cell r="R639">
            <v>-3377500.0700000003</v>
          </cell>
          <cell r="S639">
            <v>22</v>
          </cell>
        </row>
        <row r="640">
          <cell r="R640">
            <v>-36468.720000000001</v>
          </cell>
          <cell r="S640">
            <v>22</v>
          </cell>
        </row>
        <row r="641">
          <cell r="R641">
            <v>-700000</v>
          </cell>
          <cell r="S641">
            <v>22</v>
          </cell>
        </row>
        <row r="642">
          <cell r="R642">
            <v>-115478.17333333334</v>
          </cell>
          <cell r="S642">
            <v>22</v>
          </cell>
        </row>
        <row r="643">
          <cell r="R643">
            <v>318337.9483333333</v>
          </cell>
          <cell r="S643">
            <v>22</v>
          </cell>
        </row>
        <row r="644">
          <cell r="R644">
            <v>889470.1991666666</v>
          </cell>
          <cell r="S644">
            <v>22</v>
          </cell>
        </row>
        <row r="645">
          <cell r="R645">
            <v>1997725.1258333337</v>
          </cell>
          <cell r="S645">
            <v>22</v>
          </cell>
        </row>
        <row r="646">
          <cell r="R646">
            <v>1782688.2758333331</v>
          </cell>
          <cell r="S646">
            <v>22</v>
          </cell>
        </row>
        <row r="647">
          <cell r="R647">
            <v>-12390.822916666666</v>
          </cell>
          <cell r="S647">
            <v>22</v>
          </cell>
        </row>
        <row r="648">
          <cell r="R648">
            <v>-6922.2545833333343</v>
          </cell>
          <cell r="S648">
            <v>22</v>
          </cell>
        </row>
        <row r="649">
          <cell r="R649">
            <v>-18291.381666666668</v>
          </cell>
          <cell r="S649">
            <v>22</v>
          </cell>
        </row>
        <row r="650">
          <cell r="R650">
            <v>-36010.225000000006</v>
          </cell>
          <cell r="S650">
            <v>22</v>
          </cell>
        </row>
        <row r="651">
          <cell r="R651">
            <v>-12318.06</v>
          </cell>
          <cell r="S651">
            <v>22</v>
          </cell>
        </row>
        <row r="652">
          <cell r="R652">
            <v>-93881.900833333333</v>
          </cell>
          <cell r="S652">
            <v>22</v>
          </cell>
        </row>
        <row r="653">
          <cell r="R653">
            <v>-4927.4020833333334</v>
          </cell>
          <cell r="S653">
            <v>22</v>
          </cell>
        </row>
        <row r="654">
          <cell r="R654">
            <v>-662756.29999999993</v>
          </cell>
          <cell r="S654">
            <v>22</v>
          </cell>
        </row>
        <row r="655">
          <cell r="R655">
            <v>-1302500.5</v>
          </cell>
          <cell r="S655">
            <v>22</v>
          </cell>
        </row>
        <row r="656">
          <cell r="R656">
            <v>51041.986666666671</v>
          </cell>
          <cell r="S656">
            <v>22</v>
          </cell>
        </row>
        <row r="657">
          <cell r="R657">
            <v>-0.26249999999999996</v>
          </cell>
          <cell r="S657">
            <v>22</v>
          </cell>
        </row>
        <row r="658">
          <cell r="R658">
            <v>-3343.26125</v>
          </cell>
          <cell r="S658">
            <v>22</v>
          </cell>
        </row>
        <row r="659">
          <cell r="R659">
            <v>7528.6604166666666</v>
          </cell>
          <cell r="S659">
            <v>22</v>
          </cell>
        </row>
        <row r="660">
          <cell r="R660">
            <v>-2311339.8908333336</v>
          </cell>
          <cell r="S660">
            <v>22</v>
          </cell>
        </row>
        <row r="661">
          <cell r="R661">
            <v>-13897922.001666665</v>
          </cell>
          <cell r="S661">
            <v>22</v>
          </cell>
        </row>
        <row r="662">
          <cell r="R662">
            <v>-100281.3</v>
          </cell>
          <cell r="S662">
            <v>22</v>
          </cell>
        </row>
        <row r="663">
          <cell r="R663">
            <v>-497897.03</v>
          </cell>
          <cell r="S663">
            <v>22</v>
          </cell>
        </row>
        <row r="664">
          <cell r="R664">
            <v>-25152.244999999999</v>
          </cell>
          <cell r="S664">
            <v>22</v>
          </cell>
        </row>
        <row r="665">
          <cell r="R665">
            <v>-46075.917916666665</v>
          </cell>
          <cell r="S665">
            <v>22</v>
          </cell>
        </row>
        <row r="666">
          <cell r="R666">
            <v>-17798722.305000003</v>
          </cell>
          <cell r="S666">
            <v>22</v>
          </cell>
        </row>
        <row r="667">
          <cell r="R667">
            <v>-21948.791666666668</v>
          </cell>
          <cell r="S667">
            <v>22</v>
          </cell>
        </row>
        <row r="668">
          <cell r="R668">
            <v>-793443.54500000004</v>
          </cell>
          <cell r="S668">
            <v>22</v>
          </cell>
        </row>
        <row r="669">
          <cell r="R669">
            <v>3.0000000000000009E-2</v>
          </cell>
          <cell r="S669">
            <v>22</v>
          </cell>
        </row>
        <row r="670">
          <cell r="R670">
            <v>-4536.3079166666657</v>
          </cell>
          <cell r="S670">
            <v>22</v>
          </cell>
        </row>
        <row r="671">
          <cell r="R671">
            <v>0.25999999999999995</v>
          </cell>
          <cell r="S671">
            <v>22</v>
          </cell>
        </row>
        <row r="672">
          <cell r="R672">
            <v>-24505101.204583336</v>
          </cell>
          <cell r="S672">
            <v>47</v>
          </cell>
        </row>
        <row r="673">
          <cell r="R673">
            <v>-51909.783333333326</v>
          </cell>
          <cell r="S673">
            <v>22</v>
          </cell>
        </row>
        <row r="674">
          <cell r="R674">
            <v>-7105813.894166667</v>
          </cell>
          <cell r="S674">
            <v>22</v>
          </cell>
        </row>
        <row r="675">
          <cell r="R675">
            <v>-60900</v>
          </cell>
          <cell r="S675">
            <v>22</v>
          </cell>
        </row>
        <row r="676">
          <cell r="R676">
            <v>-1765593.5</v>
          </cell>
          <cell r="S676">
            <v>47</v>
          </cell>
        </row>
        <row r="677">
          <cell r="R677">
            <v>-3484006301.9866638</v>
          </cell>
          <cell r="S677">
            <v>0</v>
          </cell>
        </row>
        <row r="678">
          <cell r="R678">
            <v>0</v>
          </cell>
          <cell r="S678">
            <v>0</v>
          </cell>
        </row>
        <row r="679">
          <cell r="R679">
            <v>0</v>
          </cell>
          <cell r="S679">
            <v>0</v>
          </cell>
        </row>
        <row r="680">
          <cell r="R680">
            <v>0</v>
          </cell>
          <cell r="S680">
            <v>0</v>
          </cell>
        </row>
        <row r="681">
          <cell r="R681">
            <v>0</v>
          </cell>
          <cell r="S681">
            <v>0</v>
          </cell>
        </row>
        <row r="682">
          <cell r="R682">
            <v>0</v>
          </cell>
          <cell r="S682">
            <v>0</v>
          </cell>
        </row>
        <row r="683">
          <cell r="R683">
            <v>0</v>
          </cell>
          <cell r="S683">
            <v>0</v>
          </cell>
        </row>
        <row r="684">
          <cell r="R684">
            <v>0</v>
          </cell>
          <cell r="S684">
            <v>0</v>
          </cell>
        </row>
        <row r="685">
          <cell r="R685">
            <v>0</v>
          </cell>
          <cell r="S685">
            <v>0</v>
          </cell>
        </row>
        <row r="686">
          <cell r="R686">
            <v>0</v>
          </cell>
          <cell r="S686">
            <v>0</v>
          </cell>
        </row>
        <row r="687">
          <cell r="R687">
            <v>0</v>
          </cell>
          <cell r="S687">
            <v>0</v>
          </cell>
        </row>
        <row r="688">
          <cell r="R688">
            <v>0</v>
          </cell>
          <cell r="S688">
            <v>0</v>
          </cell>
        </row>
        <row r="689">
          <cell r="R689">
            <v>0</v>
          </cell>
          <cell r="S689">
            <v>0</v>
          </cell>
        </row>
        <row r="690">
          <cell r="R690">
            <v>0</v>
          </cell>
          <cell r="S690">
            <v>0</v>
          </cell>
        </row>
        <row r="691">
          <cell r="R691">
            <v>0</v>
          </cell>
          <cell r="S691">
            <v>0</v>
          </cell>
        </row>
        <row r="692">
          <cell r="R692">
            <v>0</v>
          </cell>
          <cell r="S692">
            <v>0</v>
          </cell>
        </row>
        <row r="693">
          <cell r="R693">
            <v>0</v>
          </cell>
          <cell r="S693">
            <v>0</v>
          </cell>
        </row>
        <row r="694">
          <cell r="R694">
            <v>0</v>
          </cell>
          <cell r="S694">
            <v>0</v>
          </cell>
        </row>
        <row r="695">
          <cell r="R695">
            <v>0</v>
          </cell>
          <cell r="S695">
            <v>0</v>
          </cell>
        </row>
        <row r="696">
          <cell r="R696">
            <v>0</v>
          </cell>
          <cell r="S696">
            <v>0</v>
          </cell>
        </row>
        <row r="697">
          <cell r="R697">
            <v>0</v>
          </cell>
          <cell r="S697">
            <v>0</v>
          </cell>
        </row>
        <row r="698">
          <cell r="R698">
            <v>0</v>
          </cell>
          <cell r="S698">
            <v>0</v>
          </cell>
        </row>
        <row r="699">
          <cell r="R699">
            <v>0</v>
          </cell>
          <cell r="S699">
            <v>0</v>
          </cell>
        </row>
        <row r="700">
          <cell r="R700">
            <v>0</v>
          </cell>
          <cell r="S700">
            <v>0</v>
          </cell>
        </row>
        <row r="701">
          <cell r="R701">
            <v>0</v>
          </cell>
          <cell r="S701">
            <v>0</v>
          </cell>
        </row>
        <row r="702">
          <cell r="R702">
            <v>0</v>
          </cell>
          <cell r="S702">
            <v>0</v>
          </cell>
        </row>
        <row r="703">
          <cell r="R703">
            <v>0</v>
          </cell>
          <cell r="S703">
            <v>0</v>
          </cell>
        </row>
        <row r="704">
          <cell r="R704">
            <v>0</v>
          </cell>
          <cell r="S704">
            <v>0</v>
          </cell>
        </row>
        <row r="705">
          <cell r="R705">
            <v>0</v>
          </cell>
          <cell r="S705">
            <v>0</v>
          </cell>
        </row>
        <row r="706">
          <cell r="R706">
            <v>0</v>
          </cell>
          <cell r="S706">
            <v>0</v>
          </cell>
        </row>
        <row r="707">
          <cell r="R707">
            <v>0</v>
          </cell>
          <cell r="S707">
            <v>0</v>
          </cell>
        </row>
        <row r="708">
          <cell r="R708">
            <v>0</v>
          </cell>
          <cell r="S708">
            <v>0</v>
          </cell>
        </row>
        <row r="709">
          <cell r="R709">
            <v>0</v>
          </cell>
          <cell r="S709">
            <v>0</v>
          </cell>
        </row>
        <row r="710">
          <cell r="R710">
            <v>0</v>
          </cell>
          <cell r="S710">
            <v>0</v>
          </cell>
        </row>
        <row r="711">
          <cell r="R711">
            <v>0</v>
          </cell>
          <cell r="S711">
            <v>0</v>
          </cell>
        </row>
        <row r="712">
          <cell r="R712">
            <v>0</v>
          </cell>
          <cell r="S712">
            <v>0</v>
          </cell>
        </row>
        <row r="713">
          <cell r="R713">
            <v>0</v>
          </cell>
          <cell r="S713">
            <v>0</v>
          </cell>
        </row>
        <row r="714">
          <cell r="R714">
            <v>0</v>
          </cell>
          <cell r="S714">
            <v>0</v>
          </cell>
        </row>
        <row r="715">
          <cell r="R715">
            <v>0</v>
          </cell>
          <cell r="S715">
            <v>0</v>
          </cell>
        </row>
        <row r="716">
          <cell r="R716">
            <v>0</v>
          </cell>
          <cell r="S716">
            <v>0</v>
          </cell>
        </row>
        <row r="717">
          <cell r="R717">
            <v>0</v>
          </cell>
          <cell r="S717">
            <v>0</v>
          </cell>
        </row>
        <row r="718">
          <cell r="R718">
            <v>0</v>
          </cell>
          <cell r="S718">
            <v>0</v>
          </cell>
        </row>
        <row r="719">
          <cell r="R719">
            <v>0</v>
          </cell>
          <cell r="S719">
            <v>0</v>
          </cell>
        </row>
        <row r="720">
          <cell r="R720">
            <v>0</v>
          </cell>
          <cell r="S720">
            <v>0</v>
          </cell>
        </row>
        <row r="721">
          <cell r="R721">
            <v>0</v>
          </cell>
          <cell r="S721">
            <v>0</v>
          </cell>
        </row>
        <row r="722">
          <cell r="R722">
            <v>0</v>
          </cell>
          <cell r="S722">
            <v>0</v>
          </cell>
        </row>
        <row r="723">
          <cell r="R723">
            <v>0</v>
          </cell>
          <cell r="S723">
            <v>0</v>
          </cell>
        </row>
        <row r="724">
          <cell r="R724">
            <v>0</v>
          </cell>
          <cell r="S724">
            <v>0</v>
          </cell>
        </row>
        <row r="725">
          <cell r="R725">
            <v>0</v>
          </cell>
          <cell r="S725">
            <v>0</v>
          </cell>
        </row>
        <row r="726">
          <cell r="R726">
            <v>0</v>
          </cell>
          <cell r="S726">
            <v>0</v>
          </cell>
        </row>
        <row r="727">
          <cell r="R727">
            <v>0</v>
          </cell>
          <cell r="S727">
            <v>0</v>
          </cell>
        </row>
        <row r="728">
          <cell r="R728">
            <v>0</v>
          </cell>
          <cell r="S728">
            <v>0</v>
          </cell>
        </row>
        <row r="729">
          <cell r="R729">
            <v>0</v>
          </cell>
          <cell r="S729">
            <v>0</v>
          </cell>
        </row>
        <row r="730">
          <cell r="R730">
            <v>0</v>
          </cell>
          <cell r="S730">
            <v>0</v>
          </cell>
        </row>
        <row r="731">
          <cell r="R731">
            <v>0</v>
          </cell>
          <cell r="S731">
            <v>0</v>
          </cell>
        </row>
        <row r="732">
          <cell r="R732">
            <v>0</v>
          </cell>
          <cell r="S732">
            <v>0</v>
          </cell>
        </row>
        <row r="733">
          <cell r="R733">
            <v>0</v>
          </cell>
          <cell r="S733">
            <v>0</v>
          </cell>
        </row>
        <row r="734">
          <cell r="R734">
            <v>0</v>
          </cell>
          <cell r="S734">
            <v>0</v>
          </cell>
        </row>
        <row r="735">
          <cell r="R735">
            <v>0</v>
          </cell>
          <cell r="S735">
            <v>0</v>
          </cell>
        </row>
        <row r="736">
          <cell r="R736">
            <v>0</v>
          </cell>
          <cell r="S736">
            <v>0</v>
          </cell>
        </row>
        <row r="737">
          <cell r="R737">
            <v>0</v>
          </cell>
          <cell r="S737">
            <v>0</v>
          </cell>
        </row>
        <row r="738">
          <cell r="R738">
            <v>0</v>
          </cell>
          <cell r="S738">
            <v>0</v>
          </cell>
        </row>
        <row r="739">
          <cell r="R739">
            <v>0</v>
          </cell>
          <cell r="S739">
            <v>0</v>
          </cell>
        </row>
        <row r="740">
          <cell r="R740">
            <v>0</v>
          </cell>
          <cell r="S740">
            <v>0</v>
          </cell>
        </row>
        <row r="741">
          <cell r="R741">
            <v>0</v>
          </cell>
          <cell r="S741">
            <v>0</v>
          </cell>
        </row>
        <row r="742">
          <cell r="R742">
            <v>0</v>
          </cell>
          <cell r="S742">
            <v>0</v>
          </cell>
        </row>
        <row r="743">
          <cell r="R743">
            <v>0</v>
          </cell>
          <cell r="S743">
            <v>0</v>
          </cell>
        </row>
        <row r="744">
          <cell r="R744">
            <v>0</v>
          </cell>
          <cell r="S744">
            <v>0</v>
          </cell>
        </row>
        <row r="745">
          <cell r="R745">
            <v>0</v>
          </cell>
          <cell r="S745">
            <v>0</v>
          </cell>
        </row>
        <row r="746">
          <cell r="R746">
            <v>0</v>
          </cell>
          <cell r="S746">
            <v>0</v>
          </cell>
        </row>
        <row r="747">
          <cell r="R747">
            <v>0</v>
          </cell>
          <cell r="S747">
            <v>0</v>
          </cell>
        </row>
        <row r="748">
          <cell r="R748">
            <v>0</v>
          </cell>
          <cell r="S748">
            <v>0</v>
          </cell>
        </row>
        <row r="749">
          <cell r="R749">
            <v>0</v>
          </cell>
          <cell r="S749">
            <v>0</v>
          </cell>
        </row>
        <row r="750">
          <cell r="R750">
            <v>0</v>
          </cell>
          <cell r="S750">
            <v>0</v>
          </cell>
        </row>
        <row r="751">
          <cell r="R751">
            <v>0</v>
          </cell>
          <cell r="S751">
            <v>0</v>
          </cell>
        </row>
        <row r="752">
          <cell r="R752">
            <v>0</v>
          </cell>
          <cell r="S752">
            <v>0</v>
          </cell>
        </row>
        <row r="753">
          <cell r="R753">
            <v>0</v>
          </cell>
          <cell r="S753">
            <v>0</v>
          </cell>
        </row>
        <row r="754">
          <cell r="R754">
            <v>0</v>
          </cell>
          <cell r="S754">
            <v>0</v>
          </cell>
        </row>
        <row r="755">
          <cell r="R755">
            <v>0</v>
          </cell>
          <cell r="S755">
            <v>0</v>
          </cell>
        </row>
        <row r="756">
          <cell r="R756">
            <v>0</v>
          </cell>
          <cell r="S756">
            <v>0</v>
          </cell>
        </row>
        <row r="757">
          <cell r="R757">
            <v>0</v>
          </cell>
          <cell r="S757">
            <v>0</v>
          </cell>
        </row>
        <row r="758">
          <cell r="R758">
            <v>0</v>
          </cell>
          <cell r="S758">
            <v>0</v>
          </cell>
        </row>
        <row r="759">
          <cell r="R759">
            <v>0</v>
          </cell>
          <cell r="S759">
            <v>0</v>
          </cell>
        </row>
        <row r="760">
          <cell r="R760">
            <v>0</v>
          </cell>
          <cell r="S760">
            <v>0</v>
          </cell>
        </row>
        <row r="761">
          <cell r="R761">
            <v>0</v>
          </cell>
          <cell r="S761">
            <v>0</v>
          </cell>
        </row>
        <row r="762">
          <cell r="R762">
            <v>0</v>
          </cell>
          <cell r="S762">
            <v>0</v>
          </cell>
        </row>
        <row r="763">
          <cell r="R763">
            <v>0</v>
          </cell>
          <cell r="S763">
            <v>0</v>
          </cell>
        </row>
        <row r="764">
          <cell r="R764">
            <v>0</v>
          </cell>
          <cell r="S764">
            <v>0</v>
          </cell>
        </row>
        <row r="765">
          <cell r="R765">
            <v>0</v>
          </cell>
          <cell r="S765">
            <v>0</v>
          </cell>
        </row>
        <row r="766">
          <cell r="R766">
            <v>0</v>
          </cell>
          <cell r="S766">
            <v>0</v>
          </cell>
        </row>
        <row r="767">
          <cell r="R767">
            <v>0</v>
          </cell>
          <cell r="S767">
            <v>0</v>
          </cell>
        </row>
        <row r="768">
          <cell r="R768">
            <v>0</v>
          </cell>
          <cell r="S768">
            <v>0</v>
          </cell>
        </row>
        <row r="769">
          <cell r="R769">
            <v>0</v>
          </cell>
          <cell r="S769">
            <v>0</v>
          </cell>
        </row>
        <row r="770">
          <cell r="R770">
            <v>0</v>
          </cell>
          <cell r="S770">
            <v>0</v>
          </cell>
        </row>
        <row r="771">
          <cell r="R771">
            <v>0</v>
          </cell>
          <cell r="S771">
            <v>0</v>
          </cell>
        </row>
        <row r="772">
          <cell r="R772">
            <v>0</v>
          </cell>
          <cell r="S772">
            <v>0</v>
          </cell>
        </row>
        <row r="773">
          <cell r="R773">
            <v>0</v>
          </cell>
          <cell r="S773">
            <v>0</v>
          </cell>
        </row>
        <row r="774">
          <cell r="R774">
            <v>0</v>
          </cell>
          <cell r="S774">
            <v>0</v>
          </cell>
        </row>
        <row r="775">
          <cell r="R775">
            <v>0</v>
          </cell>
          <cell r="S775">
            <v>0</v>
          </cell>
        </row>
        <row r="776">
          <cell r="R776">
            <v>0</v>
          </cell>
          <cell r="S776">
            <v>0</v>
          </cell>
        </row>
        <row r="777">
          <cell r="R777">
            <v>0</v>
          </cell>
          <cell r="S777">
            <v>0</v>
          </cell>
        </row>
        <row r="778">
          <cell r="R778">
            <v>0</v>
          </cell>
          <cell r="S778">
            <v>0</v>
          </cell>
        </row>
        <row r="779">
          <cell r="R779">
            <v>0</v>
          </cell>
          <cell r="S779">
            <v>0</v>
          </cell>
        </row>
        <row r="780">
          <cell r="R780">
            <v>0</v>
          </cell>
          <cell r="S780">
            <v>0</v>
          </cell>
        </row>
        <row r="781">
          <cell r="R781">
            <v>0</v>
          </cell>
          <cell r="S781">
            <v>0</v>
          </cell>
        </row>
        <row r="782">
          <cell r="R782">
            <v>0</v>
          </cell>
          <cell r="S782">
            <v>0</v>
          </cell>
        </row>
        <row r="783">
          <cell r="R783">
            <v>0</v>
          </cell>
          <cell r="S783">
            <v>0</v>
          </cell>
        </row>
        <row r="784">
          <cell r="R784">
            <v>0</v>
          </cell>
          <cell r="S784">
            <v>0</v>
          </cell>
        </row>
        <row r="785">
          <cell r="R785">
            <v>0</v>
          </cell>
          <cell r="S785">
            <v>0</v>
          </cell>
        </row>
        <row r="786">
          <cell r="R786">
            <v>0</v>
          </cell>
          <cell r="S786">
            <v>0</v>
          </cell>
        </row>
        <row r="787">
          <cell r="R787">
            <v>0</v>
          </cell>
          <cell r="S787">
            <v>0</v>
          </cell>
        </row>
        <row r="788">
          <cell r="R788">
            <v>0</v>
          </cell>
          <cell r="S788">
            <v>0</v>
          </cell>
        </row>
        <row r="789">
          <cell r="R789">
            <v>0</v>
          </cell>
          <cell r="S789">
            <v>0</v>
          </cell>
        </row>
        <row r="790">
          <cell r="R790">
            <v>0</v>
          </cell>
          <cell r="S790">
            <v>0</v>
          </cell>
        </row>
        <row r="791">
          <cell r="R791">
            <v>0</v>
          </cell>
          <cell r="S791">
            <v>0</v>
          </cell>
        </row>
        <row r="792">
          <cell r="R792">
            <v>0</v>
          </cell>
          <cell r="S792">
            <v>0</v>
          </cell>
        </row>
        <row r="793">
          <cell r="R793">
            <v>0</v>
          </cell>
          <cell r="S793">
            <v>0</v>
          </cell>
        </row>
        <row r="794">
          <cell r="R794">
            <v>0</v>
          </cell>
          <cell r="S794">
            <v>0</v>
          </cell>
        </row>
        <row r="795">
          <cell r="R795">
            <v>0</v>
          </cell>
          <cell r="S795">
            <v>0</v>
          </cell>
        </row>
        <row r="796">
          <cell r="R796">
            <v>0</v>
          </cell>
          <cell r="S796">
            <v>0</v>
          </cell>
        </row>
        <row r="797">
          <cell r="R797">
            <v>0</v>
          </cell>
          <cell r="S797">
            <v>0</v>
          </cell>
        </row>
        <row r="798">
          <cell r="R798">
            <v>0</v>
          </cell>
          <cell r="S798">
            <v>0</v>
          </cell>
        </row>
        <row r="799">
          <cell r="R799">
            <v>0</v>
          </cell>
          <cell r="S799">
            <v>0</v>
          </cell>
        </row>
        <row r="800">
          <cell r="R800">
            <v>0</v>
          </cell>
          <cell r="S800">
            <v>0</v>
          </cell>
        </row>
        <row r="801">
          <cell r="R801">
            <v>0</v>
          </cell>
          <cell r="S801">
            <v>0</v>
          </cell>
        </row>
        <row r="802">
          <cell r="R802">
            <v>0</v>
          </cell>
          <cell r="S802">
            <v>0</v>
          </cell>
        </row>
        <row r="803">
          <cell r="R803">
            <v>0</v>
          </cell>
          <cell r="S803">
            <v>0</v>
          </cell>
        </row>
        <row r="804">
          <cell r="R804">
            <v>0</v>
          </cell>
          <cell r="S804">
            <v>0</v>
          </cell>
        </row>
        <row r="805">
          <cell r="R805">
            <v>0</v>
          </cell>
          <cell r="S805">
            <v>0</v>
          </cell>
        </row>
        <row r="806">
          <cell r="R806">
            <v>0</v>
          </cell>
          <cell r="S806">
            <v>0</v>
          </cell>
        </row>
        <row r="807">
          <cell r="R807">
            <v>0</v>
          </cell>
          <cell r="S807">
            <v>0</v>
          </cell>
        </row>
        <row r="808">
          <cell r="R808">
            <v>0</v>
          </cell>
          <cell r="S808">
            <v>0</v>
          </cell>
        </row>
        <row r="809">
          <cell r="R809">
            <v>0</v>
          </cell>
          <cell r="S809">
            <v>0</v>
          </cell>
        </row>
        <row r="810">
          <cell r="R810">
            <v>0</v>
          </cell>
          <cell r="S810">
            <v>0</v>
          </cell>
        </row>
        <row r="811">
          <cell r="R811">
            <v>0</v>
          </cell>
          <cell r="S811">
            <v>0</v>
          </cell>
        </row>
        <row r="812">
          <cell r="R812">
            <v>0</v>
          </cell>
          <cell r="S812">
            <v>0</v>
          </cell>
        </row>
        <row r="813">
          <cell r="R813">
            <v>0</v>
          </cell>
          <cell r="S813">
            <v>0</v>
          </cell>
        </row>
        <row r="814">
          <cell r="R814">
            <v>0</v>
          </cell>
          <cell r="S814">
            <v>0</v>
          </cell>
        </row>
        <row r="815">
          <cell r="R815">
            <v>0</v>
          </cell>
          <cell r="S815">
            <v>0</v>
          </cell>
        </row>
        <row r="816">
          <cell r="R816">
            <v>0</v>
          </cell>
          <cell r="S816">
            <v>0</v>
          </cell>
        </row>
        <row r="817">
          <cell r="R817">
            <v>0</v>
          </cell>
          <cell r="S817">
            <v>0</v>
          </cell>
        </row>
        <row r="818">
          <cell r="R818">
            <v>0</v>
          </cell>
          <cell r="S818">
            <v>0</v>
          </cell>
        </row>
        <row r="819">
          <cell r="R819">
            <v>0</v>
          </cell>
          <cell r="S819">
            <v>0</v>
          </cell>
        </row>
        <row r="820">
          <cell r="R820">
            <v>0</v>
          </cell>
          <cell r="S820">
            <v>0</v>
          </cell>
        </row>
        <row r="821">
          <cell r="R821">
            <v>0</v>
          </cell>
          <cell r="S821">
            <v>0</v>
          </cell>
        </row>
        <row r="822">
          <cell r="R822">
            <v>0</v>
          </cell>
          <cell r="S822">
            <v>0</v>
          </cell>
        </row>
        <row r="823">
          <cell r="R823">
            <v>0</v>
          </cell>
          <cell r="S823">
            <v>0</v>
          </cell>
        </row>
        <row r="824">
          <cell r="R824">
            <v>0</v>
          </cell>
          <cell r="S824">
            <v>0</v>
          </cell>
        </row>
        <row r="825">
          <cell r="R825">
            <v>0</v>
          </cell>
          <cell r="S825">
            <v>0</v>
          </cell>
        </row>
        <row r="826">
          <cell r="R826">
            <v>0</v>
          </cell>
          <cell r="S826">
            <v>0</v>
          </cell>
        </row>
        <row r="827">
          <cell r="R827">
            <v>0</v>
          </cell>
          <cell r="S827">
            <v>0</v>
          </cell>
        </row>
        <row r="828">
          <cell r="R828">
            <v>0</v>
          </cell>
          <cell r="S828">
            <v>0</v>
          </cell>
        </row>
        <row r="829">
          <cell r="R829">
            <v>0</v>
          </cell>
          <cell r="S829">
            <v>0</v>
          </cell>
        </row>
        <row r="830">
          <cell r="R830">
            <v>0</v>
          </cell>
          <cell r="S830">
            <v>0</v>
          </cell>
        </row>
        <row r="831">
          <cell r="R831">
            <v>0</v>
          </cell>
          <cell r="S831">
            <v>0</v>
          </cell>
        </row>
        <row r="832">
          <cell r="R832">
            <v>0</v>
          </cell>
          <cell r="S832">
            <v>0</v>
          </cell>
        </row>
        <row r="833">
          <cell r="R833">
            <v>0</v>
          </cell>
          <cell r="S833">
            <v>0</v>
          </cell>
        </row>
        <row r="834">
          <cell r="R834">
            <v>0</v>
          </cell>
          <cell r="S834">
            <v>0</v>
          </cell>
        </row>
        <row r="835">
          <cell r="R835">
            <v>0</v>
          </cell>
          <cell r="S835">
            <v>0</v>
          </cell>
        </row>
        <row r="836">
          <cell r="R836">
            <v>0</v>
          </cell>
          <cell r="S836">
            <v>0</v>
          </cell>
        </row>
        <row r="837">
          <cell r="R837">
            <v>0</v>
          </cell>
          <cell r="S837">
            <v>0</v>
          </cell>
        </row>
        <row r="838">
          <cell r="R838">
            <v>0</v>
          </cell>
          <cell r="S838">
            <v>0</v>
          </cell>
        </row>
        <row r="839">
          <cell r="R839">
            <v>0</v>
          </cell>
          <cell r="S839">
            <v>0</v>
          </cell>
        </row>
        <row r="840">
          <cell r="R840">
            <v>0</v>
          </cell>
          <cell r="S840">
            <v>0</v>
          </cell>
        </row>
        <row r="841">
          <cell r="R841">
            <v>0</v>
          </cell>
          <cell r="S841">
            <v>0</v>
          </cell>
        </row>
        <row r="842">
          <cell r="R842">
            <v>0</v>
          </cell>
          <cell r="S842">
            <v>0</v>
          </cell>
        </row>
        <row r="843">
          <cell r="R843">
            <v>0</v>
          </cell>
          <cell r="S843">
            <v>0</v>
          </cell>
        </row>
        <row r="844">
          <cell r="R844">
            <v>0</v>
          </cell>
          <cell r="S844">
            <v>0</v>
          </cell>
        </row>
        <row r="845">
          <cell r="R845">
            <v>0</v>
          </cell>
          <cell r="S845">
            <v>0</v>
          </cell>
        </row>
        <row r="846">
          <cell r="R846">
            <v>0</v>
          </cell>
          <cell r="S846">
            <v>0</v>
          </cell>
        </row>
        <row r="847">
          <cell r="R847">
            <v>0</v>
          </cell>
          <cell r="S847">
            <v>0</v>
          </cell>
        </row>
        <row r="848">
          <cell r="R848">
            <v>0</v>
          </cell>
          <cell r="S848">
            <v>0</v>
          </cell>
        </row>
        <row r="849">
          <cell r="R849">
            <v>0</v>
          </cell>
          <cell r="S849">
            <v>0</v>
          </cell>
        </row>
        <row r="850">
          <cell r="R850">
            <v>0</v>
          </cell>
          <cell r="S850">
            <v>0</v>
          </cell>
        </row>
        <row r="851">
          <cell r="R851">
            <v>0</v>
          </cell>
          <cell r="S851">
            <v>0</v>
          </cell>
        </row>
        <row r="852">
          <cell r="R852">
            <v>0</v>
          </cell>
          <cell r="S852">
            <v>0</v>
          </cell>
        </row>
        <row r="853">
          <cell r="R853">
            <v>0</v>
          </cell>
          <cell r="S853">
            <v>0</v>
          </cell>
        </row>
        <row r="854">
          <cell r="R854">
            <v>0</v>
          </cell>
          <cell r="S854">
            <v>0</v>
          </cell>
        </row>
        <row r="855">
          <cell r="R855">
            <v>0</v>
          </cell>
          <cell r="S855">
            <v>0</v>
          </cell>
        </row>
        <row r="856">
          <cell r="R856">
            <v>0</v>
          </cell>
          <cell r="S856">
            <v>0</v>
          </cell>
        </row>
        <row r="857">
          <cell r="R857">
            <v>0</v>
          </cell>
          <cell r="S857">
            <v>0</v>
          </cell>
        </row>
        <row r="858">
          <cell r="R858">
            <v>0</v>
          </cell>
          <cell r="S858">
            <v>0</v>
          </cell>
        </row>
        <row r="859">
          <cell r="R859">
            <v>0</v>
          </cell>
          <cell r="S859">
            <v>0</v>
          </cell>
        </row>
        <row r="860">
          <cell r="R860">
            <v>0</v>
          </cell>
          <cell r="S860">
            <v>0</v>
          </cell>
        </row>
        <row r="861">
          <cell r="R861">
            <v>0</v>
          </cell>
          <cell r="S861">
            <v>0</v>
          </cell>
        </row>
        <row r="862">
          <cell r="R862">
            <v>0</v>
          </cell>
          <cell r="S862">
            <v>0</v>
          </cell>
        </row>
        <row r="863">
          <cell r="R863">
            <v>0</v>
          </cell>
          <cell r="S863">
            <v>0</v>
          </cell>
        </row>
        <row r="864">
          <cell r="R864">
            <v>0</v>
          </cell>
          <cell r="S864">
            <v>0</v>
          </cell>
        </row>
        <row r="865">
          <cell r="R865">
            <v>0</v>
          </cell>
          <cell r="S865">
            <v>0</v>
          </cell>
        </row>
        <row r="866">
          <cell r="R866">
            <v>0</v>
          </cell>
          <cell r="S866">
            <v>0</v>
          </cell>
        </row>
        <row r="867">
          <cell r="R867">
            <v>0</v>
          </cell>
          <cell r="S867">
            <v>0</v>
          </cell>
        </row>
        <row r="868">
          <cell r="R868">
            <v>0</v>
          </cell>
          <cell r="S868">
            <v>0</v>
          </cell>
        </row>
        <row r="869">
          <cell r="R869">
            <v>0</v>
          </cell>
          <cell r="S869">
            <v>0</v>
          </cell>
        </row>
        <row r="870">
          <cell r="R870">
            <v>0</v>
          </cell>
          <cell r="S870">
            <v>0</v>
          </cell>
        </row>
        <row r="871">
          <cell r="R871">
            <v>0</v>
          </cell>
          <cell r="S871">
            <v>0</v>
          </cell>
        </row>
        <row r="872">
          <cell r="R872">
            <v>0</v>
          </cell>
          <cell r="S872">
            <v>0</v>
          </cell>
        </row>
        <row r="873">
          <cell r="R873">
            <v>0</v>
          </cell>
          <cell r="S873">
            <v>0</v>
          </cell>
        </row>
        <row r="874">
          <cell r="R874">
            <v>0</v>
          </cell>
          <cell r="S874">
            <v>0</v>
          </cell>
        </row>
        <row r="875">
          <cell r="R875">
            <v>0</v>
          </cell>
          <cell r="S875">
            <v>0</v>
          </cell>
        </row>
        <row r="876">
          <cell r="R876">
            <v>0</v>
          </cell>
          <cell r="S876">
            <v>0</v>
          </cell>
        </row>
        <row r="877">
          <cell r="R877">
            <v>0</v>
          </cell>
          <cell r="S877">
            <v>0</v>
          </cell>
        </row>
        <row r="878">
          <cell r="R878">
            <v>0</v>
          </cell>
          <cell r="S878">
            <v>0</v>
          </cell>
        </row>
        <row r="879">
          <cell r="R879">
            <v>0</v>
          </cell>
          <cell r="S879">
            <v>0</v>
          </cell>
        </row>
        <row r="880">
          <cell r="R880">
            <v>0</v>
          </cell>
          <cell r="S880">
            <v>0</v>
          </cell>
        </row>
        <row r="881">
          <cell r="R881">
            <v>0</v>
          </cell>
          <cell r="S881">
            <v>0</v>
          </cell>
        </row>
        <row r="882">
          <cell r="R882">
            <v>0</v>
          </cell>
          <cell r="S882">
            <v>0</v>
          </cell>
        </row>
        <row r="883">
          <cell r="R883">
            <v>0</v>
          </cell>
          <cell r="S883">
            <v>0</v>
          </cell>
        </row>
        <row r="884">
          <cell r="R884">
            <v>0</v>
          </cell>
          <cell r="S884">
            <v>0</v>
          </cell>
        </row>
        <row r="885">
          <cell r="R885">
            <v>0</v>
          </cell>
          <cell r="S885">
            <v>0</v>
          </cell>
        </row>
        <row r="886">
          <cell r="R886">
            <v>0</v>
          </cell>
          <cell r="S886">
            <v>0</v>
          </cell>
        </row>
        <row r="887">
          <cell r="R887">
            <v>0</v>
          </cell>
          <cell r="S887">
            <v>0</v>
          </cell>
        </row>
        <row r="888">
          <cell r="R888">
            <v>0</v>
          </cell>
          <cell r="S888">
            <v>0</v>
          </cell>
        </row>
        <row r="889">
          <cell r="R889">
            <v>0</v>
          </cell>
          <cell r="S889">
            <v>0</v>
          </cell>
        </row>
        <row r="890">
          <cell r="R890">
            <v>0</v>
          </cell>
          <cell r="S890">
            <v>0</v>
          </cell>
        </row>
        <row r="891">
          <cell r="R891">
            <v>0</v>
          </cell>
          <cell r="S891">
            <v>0</v>
          </cell>
        </row>
        <row r="892">
          <cell r="R892">
            <v>0</v>
          </cell>
          <cell r="S892">
            <v>0</v>
          </cell>
        </row>
        <row r="893">
          <cell r="R893">
            <v>0</v>
          </cell>
          <cell r="S893">
            <v>0</v>
          </cell>
        </row>
        <row r="894">
          <cell r="R894">
            <v>0</v>
          </cell>
          <cell r="S894">
            <v>0</v>
          </cell>
        </row>
        <row r="895">
          <cell r="R895">
            <v>0</v>
          </cell>
          <cell r="S895">
            <v>0</v>
          </cell>
        </row>
        <row r="896">
          <cell r="R896">
            <v>0</v>
          </cell>
          <cell r="S896">
            <v>0</v>
          </cell>
        </row>
        <row r="897">
          <cell r="R897">
            <v>0</v>
          </cell>
          <cell r="S897">
            <v>0</v>
          </cell>
        </row>
        <row r="898">
          <cell r="R898">
            <v>0</v>
          </cell>
          <cell r="S898">
            <v>0</v>
          </cell>
        </row>
        <row r="899">
          <cell r="R899">
            <v>0</v>
          </cell>
          <cell r="S899">
            <v>0</v>
          </cell>
        </row>
        <row r="900">
          <cell r="R900">
            <v>0</v>
          </cell>
          <cell r="S900">
            <v>0</v>
          </cell>
        </row>
        <row r="901">
          <cell r="R901">
            <v>0</v>
          </cell>
          <cell r="S901">
            <v>0</v>
          </cell>
        </row>
        <row r="902">
          <cell r="R902">
            <v>0</v>
          </cell>
          <cell r="S902">
            <v>0</v>
          </cell>
        </row>
        <row r="903">
          <cell r="R903">
            <v>0</v>
          </cell>
          <cell r="S903">
            <v>0</v>
          </cell>
        </row>
        <row r="904">
          <cell r="R904">
            <v>0</v>
          </cell>
          <cell r="S904">
            <v>0</v>
          </cell>
        </row>
        <row r="905">
          <cell r="R905">
            <v>0</v>
          </cell>
          <cell r="S905">
            <v>0</v>
          </cell>
        </row>
        <row r="906">
          <cell r="R906">
            <v>0</v>
          </cell>
          <cell r="S906">
            <v>0</v>
          </cell>
        </row>
        <row r="907">
          <cell r="R907">
            <v>0</v>
          </cell>
          <cell r="S907">
            <v>0</v>
          </cell>
        </row>
        <row r="908">
          <cell r="R908">
            <v>0</v>
          </cell>
          <cell r="S908">
            <v>0</v>
          </cell>
        </row>
        <row r="909">
          <cell r="R909">
            <v>0</v>
          </cell>
          <cell r="S909">
            <v>0</v>
          </cell>
        </row>
        <row r="910">
          <cell r="R910">
            <v>0</v>
          </cell>
          <cell r="S910">
            <v>0</v>
          </cell>
        </row>
        <row r="911">
          <cell r="R911">
            <v>0</v>
          </cell>
          <cell r="S911">
            <v>0</v>
          </cell>
        </row>
        <row r="912">
          <cell r="R912">
            <v>0</v>
          </cell>
          <cell r="S912">
            <v>0</v>
          </cell>
        </row>
        <row r="913">
          <cell r="R913">
            <v>0</v>
          </cell>
          <cell r="S913">
            <v>0</v>
          </cell>
        </row>
        <row r="914">
          <cell r="R914">
            <v>0</v>
          </cell>
          <cell r="S914">
            <v>0</v>
          </cell>
        </row>
        <row r="915">
          <cell r="R915">
            <v>0</v>
          </cell>
          <cell r="S915">
            <v>0</v>
          </cell>
        </row>
        <row r="916">
          <cell r="R916">
            <v>0</v>
          </cell>
          <cell r="S916">
            <v>0</v>
          </cell>
        </row>
        <row r="917">
          <cell r="R917">
            <v>0</v>
          </cell>
          <cell r="S917">
            <v>0</v>
          </cell>
        </row>
        <row r="918">
          <cell r="R918">
            <v>0</v>
          </cell>
          <cell r="S918">
            <v>0</v>
          </cell>
        </row>
        <row r="919">
          <cell r="R919">
            <v>0</v>
          </cell>
          <cell r="S919">
            <v>0</v>
          </cell>
        </row>
        <row r="920">
          <cell r="R920">
            <v>0</v>
          </cell>
          <cell r="S920">
            <v>0</v>
          </cell>
        </row>
        <row r="921">
          <cell r="R921">
            <v>0</v>
          </cell>
          <cell r="S921">
            <v>0</v>
          </cell>
        </row>
        <row r="922">
          <cell r="R922">
            <v>0</v>
          </cell>
          <cell r="S922">
            <v>0</v>
          </cell>
        </row>
        <row r="923">
          <cell r="R923">
            <v>0</v>
          </cell>
          <cell r="S923">
            <v>0</v>
          </cell>
        </row>
        <row r="924">
          <cell r="R924">
            <v>0</v>
          </cell>
          <cell r="S924">
            <v>0</v>
          </cell>
        </row>
        <row r="925">
          <cell r="R925">
            <v>0</v>
          </cell>
          <cell r="S925">
            <v>0</v>
          </cell>
        </row>
        <row r="926">
          <cell r="R926">
            <v>0</v>
          </cell>
          <cell r="S926">
            <v>0</v>
          </cell>
        </row>
        <row r="927">
          <cell r="R927">
            <v>0</v>
          </cell>
          <cell r="S927">
            <v>0</v>
          </cell>
        </row>
        <row r="928">
          <cell r="R928">
            <v>0</v>
          </cell>
          <cell r="S928">
            <v>0</v>
          </cell>
        </row>
        <row r="929">
          <cell r="R929">
            <v>0</v>
          </cell>
          <cell r="S929">
            <v>0</v>
          </cell>
        </row>
        <row r="930">
          <cell r="R930">
            <v>0</v>
          </cell>
          <cell r="S930">
            <v>0</v>
          </cell>
        </row>
        <row r="931">
          <cell r="R931">
            <v>0</v>
          </cell>
          <cell r="S931">
            <v>0</v>
          </cell>
        </row>
        <row r="932">
          <cell r="R932">
            <v>0</v>
          </cell>
          <cell r="S932">
            <v>0</v>
          </cell>
        </row>
        <row r="933">
          <cell r="R933">
            <v>0</v>
          </cell>
          <cell r="S933">
            <v>0</v>
          </cell>
        </row>
        <row r="934">
          <cell r="R934">
            <v>0</v>
          </cell>
          <cell r="S934">
            <v>0</v>
          </cell>
        </row>
        <row r="935">
          <cell r="R935">
            <v>0</v>
          </cell>
          <cell r="S935">
            <v>0</v>
          </cell>
        </row>
        <row r="936">
          <cell r="R936">
            <v>0</v>
          </cell>
          <cell r="S936">
            <v>0</v>
          </cell>
        </row>
        <row r="937">
          <cell r="R937">
            <v>0</v>
          </cell>
          <cell r="S937">
            <v>0</v>
          </cell>
        </row>
        <row r="938">
          <cell r="R938">
            <v>0</v>
          </cell>
          <cell r="S938">
            <v>0</v>
          </cell>
        </row>
        <row r="939">
          <cell r="R939">
            <v>0</v>
          </cell>
          <cell r="S939">
            <v>0</v>
          </cell>
        </row>
        <row r="940">
          <cell r="R940">
            <v>0</v>
          </cell>
          <cell r="S940">
            <v>0</v>
          </cell>
        </row>
        <row r="941">
          <cell r="R941">
            <v>0</v>
          </cell>
          <cell r="S941">
            <v>0</v>
          </cell>
        </row>
        <row r="942">
          <cell r="R942">
            <v>0</v>
          </cell>
          <cell r="S942">
            <v>0</v>
          </cell>
        </row>
        <row r="943">
          <cell r="R943">
            <v>0</v>
          </cell>
          <cell r="S943">
            <v>0</v>
          </cell>
        </row>
        <row r="944">
          <cell r="R944">
            <v>0</v>
          </cell>
          <cell r="S944">
            <v>0</v>
          </cell>
        </row>
        <row r="945">
          <cell r="R945">
            <v>0</v>
          </cell>
          <cell r="S945">
            <v>0</v>
          </cell>
        </row>
        <row r="946">
          <cell r="R946">
            <v>0</v>
          </cell>
          <cell r="S946">
            <v>0</v>
          </cell>
        </row>
        <row r="947">
          <cell r="R947">
            <v>0</v>
          </cell>
          <cell r="S947">
            <v>0</v>
          </cell>
        </row>
        <row r="948">
          <cell r="R948">
            <v>0</v>
          </cell>
          <cell r="S948">
            <v>0</v>
          </cell>
        </row>
        <row r="949">
          <cell r="R949">
            <v>0</v>
          </cell>
          <cell r="S949">
            <v>0</v>
          </cell>
        </row>
        <row r="950">
          <cell r="R950">
            <v>0</v>
          </cell>
          <cell r="S950">
            <v>0</v>
          </cell>
        </row>
        <row r="951">
          <cell r="R951">
            <v>0</v>
          </cell>
          <cell r="S951">
            <v>0</v>
          </cell>
        </row>
        <row r="952">
          <cell r="R952">
            <v>0</v>
          </cell>
          <cell r="S952">
            <v>0</v>
          </cell>
        </row>
        <row r="953">
          <cell r="R953">
            <v>0</v>
          </cell>
          <cell r="S953">
            <v>0</v>
          </cell>
        </row>
        <row r="954">
          <cell r="R954">
            <v>0</v>
          </cell>
          <cell r="S954">
            <v>0</v>
          </cell>
        </row>
        <row r="955">
          <cell r="R955">
            <v>0</v>
          </cell>
          <cell r="S955">
            <v>0</v>
          </cell>
        </row>
        <row r="956">
          <cell r="R956">
            <v>0</v>
          </cell>
          <cell r="S956">
            <v>0</v>
          </cell>
        </row>
        <row r="957">
          <cell r="R957">
            <v>0</v>
          </cell>
          <cell r="S957">
            <v>0</v>
          </cell>
        </row>
        <row r="958">
          <cell r="R958">
            <v>0</v>
          </cell>
          <cell r="S958">
            <v>0</v>
          </cell>
        </row>
        <row r="959">
          <cell r="R959">
            <v>0</v>
          </cell>
          <cell r="S959">
            <v>0</v>
          </cell>
        </row>
        <row r="960">
          <cell r="R960">
            <v>0</v>
          </cell>
          <cell r="S960">
            <v>0</v>
          </cell>
        </row>
        <row r="961">
          <cell r="R961">
            <v>0</v>
          </cell>
          <cell r="S961">
            <v>0</v>
          </cell>
        </row>
        <row r="962">
          <cell r="R962">
            <v>0</v>
          </cell>
          <cell r="S962">
            <v>0</v>
          </cell>
        </row>
        <row r="963">
          <cell r="R963">
            <v>0</v>
          </cell>
          <cell r="S963">
            <v>0</v>
          </cell>
        </row>
        <row r="964">
          <cell r="R964">
            <v>0</v>
          </cell>
          <cell r="S964">
            <v>0</v>
          </cell>
        </row>
        <row r="965">
          <cell r="R965">
            <v>0</v>
          </cell>
          <cell r="S965">
            <v>0</v>
          </cell>
        </row>
        <row r="966">
          <cell r="R966">
            <v>0</v>
          </cell>
          <cell r="S966">
            <v>0</v>
          </cell>
        </row>
        <row r="967">
          <cell r="R967">
            <v>0</v>
          </cell>
          <cell r="S967">
            <v>0</v>
          </cell>
        </row>
        <row r="968">
          <cell r="R968">
            <v>0</v>
          </cell>
          <cell r="S968">
            <v>0</v>
          </cell>
        </row>
        <row r="969">
          <cell r="R969">
            <v>0</v>
          </cell>
          <cell r="S969">
            <v>0</v>
          </cell>
        </row>
        <row r="970">
          <cell r="R970">
            <v>0</v>
          </cell>
          <cell r="S970">
            <v>0</v>
          </cell>
        </row>
        <row r="971">
          <cell r="R971">
            <v>0</v>
          </cell>
          <cell r="S971">
            <v>0</v>
          </cell>
        </row>
        <row r="972">
          <cell r="R972">
            <v>0</v>
          </cell>
          <cell r="S972">
            <v>0</v>
          </cell>
        </row>
        <row r="973">
          <cell r="R973">
            <v>0</v>
          </cell>
          <cell r="S973">
            <v>0</v>
          </cell>
        </row>
        <row r="974">
          <cell r="R974">
            <v>0</v>
          </cell>
          <cell r="S974">
            <v>0</v>
          </cell>
        </row>
        <row r="975">
          <cell r="R975">
            <v>0</v>
          </cell>
          <cell r="S975">
            <v>0</v>
          </cell>
        </row>
        <row r="976">
          <cell r="R976">
            <v>0</v>
          </cell>
          <cell r="S976">
            <v>0</v>
          </cell>
        </row>
        <row r="977">
          <cell r="R977">
            <v>0</v>
          </cell>
          <cell r="S977">
            <v>0</v>
          </cell>
        </row>
        <row r="978">
          <cell r="R978">
            <v>0</v>
          </cell>
          <cell r="S978">
            <v>0</v>
          </cell>
        </row>
        <row r="979">
          <cell r="R979">
            <v>0</v>
          </cell>
          <cell r="S979">
            <v>0</v>
          </cell>
        </row>
        <row r="980">
          <cell r="R980">
            <v>0</v>
          </cell>
          <cell r="S980">
            <v>0</v>
          </cell>
        </row>
        <row r="981">
          <cell r="R981">
            <v>0</v>
          </cell>
          <cell r="S981">
            <v>0</v>
          </cell>
        </row>
        <row r="982">
          <cell r="R982">
            <v>0</v>
          </cell>
          <cell r="S982">
            <v>0</v>
          </cell>
        </row>
        <row r="983">
          <cell r="R983">
            <v>0</v>
          </cell>
          <cell r="S983">
            <v>0</v>
          </cell>
        </row>
        <row r="984">
          <cell r="R984">
            <v>0</v>
          </cell>
          <cell r="S984">
            <v>0</v>
          </cell>
        </row>
        <row r="985">
          <cell r="R985">
            <v>0</v>
          </cell>
          <cell r="S985">
            <v>0</v>
          </cell>
        </row>
        <row r="986">
          <cell r="R986">
            <v>0</v>
          </cell>
          <cell r="S986">
            <v>0</v>
          </cell>
        </row>
        <row r="987">
          <cell r="R987">
            <v>0</v>
          </cell>
          <cell r="S987">
            <v>0</v>
          </cell>
        </row>
        <row r="988">
          <cell r="R988">
            <v>0</v>
          </cell>
          <cell r="S988">
            <v>0</v>
          </cell>
        </row>
        <row r="989">
          <cell r="R989">
            <v>0</v>
          </cell>
          <cell r="S989">
            <v>0</v>
          </cell>
        </row>
        <row r="990">
          <cell r="R990">
            <v>0</v>
          </cell>
          <cell r="S990">
            <v>0</v>
          </cell>
        </row>
        <row r="991">
          <cell r="R991">
            <v>0</v>
          </cell>
          <cell r="S991">
            <v>0</v>
          </cell>
        </row>
        <row r="992">
          <cell r="R992">
            <v>0</v>
          </cell>
          <cell r="S992">
            <v>0</v>
          </cell>
        </row>
        <row r="993">
          <cell r="R993">
            <v>0</v>
          </cell>
          <cell r="S993">
            <v>0</v>
          </cell>
        </row>
        <row r="994">
          <cell r="R994">
            <v>0</v>
          </cell>
          <cell r="S994">
            <v>0</v>
          </cell>
        </row>
        <row r="995">
          <cell r="R995">
            <v>0</v>
          </cell>
          <cell r="S995">
            <v>0</v>
          </cell>
        </row>
        <row r="996">
          <cell r="R996">
            <v>0</v>
          </cell>
          <cell r="S996">
            <v>0</v>
          </cell>
        </row>
        <row r="997">
          <cell r="R997">
            <v>0</v>
          </cell>
          <cell r="S997">
            <v>0</v>
          </cell>
        </row>
        <row r="998">
          <cell r="R998">
            <v>0</v>
          </cell>
          <cell r="S998">
            <v>0</v>
          </cell>
        </row>
        <row r="999">
          <cell r="R999">
            <v>0</v>
          </cell>
          <cell r="S999">
            <v>0</v>
          </cell>
        </row>
        <row r="1000">
          <cell r="R1000">
            <v>0</v>
          </cell>
          <cell r="S1000">
            <v>0</v>
          </cell>
        </row>
        <row r="1001">
          <cell r="R1001">
            <v>0</v>
          </cell>
          <cell r="S1001">
            <v>0</v>
          </cell>
        </row>
        <row r="1002">
          <cell r="R1002">
            <v>0</v>
          </cell>
          <cell r="S1002">
            <v>0</v>
          </cell>
        </row>
        <row r="1003">
          <cell r="R1003">
            <v>0</v>
          </cell>
          <cell r="S1003">
            <v>0</v>
          </cell>
        </row>
        <row r="1004">
          <cell r="R1004">
            <v>0</v>
          </cell>
          <cell r="S1004">
            <v>0</v>
          </cell>
        </row>
        <row r="1005">
          <cell r="R1005">
            <v>0</v>
          </cell>
          <cell r="S1005">
            <v>0</v>
          </cell>
        </row>
        <row r="1006">
          <cell r="R1006">
            <v>0</v>
          </cell>
          <cell r="S1006">
            <v>0</v>
          </cell>
        </row>
        <row r="1007">
          <cell r="R1007">
            <v>0</v>
          </cell>
          <cell r="S1007">
            <v>0</v>
          </cell>
        </row>
        <row r="1008">
          <cell r="R1008">
            <v>0</v>
          </cell>
          <cell r="S1008">
            <v>0</v>
          </cell>
        </row>
        <row r="1009">
          <cell r="R1009">
            <v>0</v>
          </cell>
          <cell r="S1009">
            <v>0</v>
          </cell>
        </row>
        <row r="1010">
          <cell r="R1010">
            <v>0</v>
          </cell>
          <cell r="S1010">
            <v>0</v>
          </cell>
        </row>
        <row r="1011">
          <cell r="R1011">
            <v>0</v>
          </cell>
          <cell r="S1011">
            <v>0</v>
          </cell>
        </row>
        <row r="1012">
          <cell r="R1012">
            <v>0</v>
          </cell>
          <cell r="S1012">
            <v>0</v>
          </cell>
        </row>
        <row r="1013">
          <cell r="R1013">
            <v>0</v>
          </cell>
          <cell r="S1013">
            <v>0</v>
          </cell>
        </row>
        <row r="1014">
          <cell r="R1014">
            <v>0</v>
          </cell>
          <cell r="S1014">
            <v>0</v>
          </cell>
        </row>
        <row r="1015">
          <cell r="R1015">
            <v>0</v>
          </cell>
          <cell r="S1015">
            <v>0</v>
          </cell>
        </row>
        <row r="1016">
          <cell r="R1016">
            <v>0</v>
          </cell>
          <cell r="S1016">
            <v>0</v>
          </cell>
        </row>
        <row r="1017">
          <cell r="R1017">
            <v>0</v>
          </cell>
          <cell r="S1017">
            <v>0</v>
          </cell>
        </row>
        <row r="1018">
          <cell r="R1018">
            <v>0</v>
          </cell>
          <cell r="S1018">
            <v>0</v>
          </cell>
        </row>
        <row r="1019">
          <cell r="R1019">
            <v>0</v>
          </cell>
          <cell r="S1019">
            <v>0</v>
          </cell>
        </row>
        <row r="1020">
          <cell r="R1020">
            <v>0</v>
          </cell>
          <cell r="S1020">
            <v>0</v>
          </cell>
        </row>
        <row r="1021">
          <cell r="R1021">
            <v>0</v>
          </cell>
          <cell r="S1021">
            <v>0</v>
          </cell>
        </row>
        <row r="1022">
          <cell r="R1022">
            <v>0</v>
          </cell>
          <cell r="S1022">
            <v>0</v>
          </cell>
        </row>
        <row r="1023">
          <cell r="R1023">
            <v>0</v>
          </cell>
          <cell r="S1023">
            <v>0</v>
          </cell>
        </row>
        <row r="1024">
          <cell r="R1024">
            <v>0</v>
          </cell>
          <cell r="S1024">
            <v>0</v>
          </cell>
        </row>
        <row r="1025">
          <cell r="R1025">
            <v>0</v>
          </cell>
          <cell r="S1025">
            <v>0</v>
          </cell>
        </row>
        <row r="1026">
          <cell r="R1026">
            <v>0</v>
          </cell>
          <cell r="S1026">
            <v>0</v>
          </cell>
        </row>
        <row r="1027">
          <cell r="R1027">
            <v>0</v>
          </cell>
          <cell r="S1027">
            <v>0</v>
          </cell>
        </row>
        <row r="1028">
          <cell r="R1028">
            <v>0</v>
          </cell>
          <cell r="S1028">
            <v>0</v>
          </cell>
        </row>
        <row r="1029">
          <cell r="R1029">
            <v>0</v>
          </cell>
          <cell r="S1029">
            <v>0</v>
          </cell>
        </row>
        <row r="1030">
          <cell r="R1030">
            <v>0</v>
          </cell>
          <cell r="S1030">
            <v>0</v>
          </cell>
        </row>
        <row r="1031">
          <cell r="R1031">
            <v>0</v>
          </cell>
          <cell r="S1031">
            <v>0</v>
          </cell>
        </row>
        <row r="1032">
          <cell r="R1032">
            <v>0</v>
          </cell>
          <cell r="S1032">
            <v>0</v>
          </cell>
        </row>
        <row r="1033">
          <cell r="R1033">
            <v>0</v>
          </cell>
          <cell r="S1033">
            <v>0</v>
          </cell>
        </row>
        <row r="1034">
          <cell r="R1034">
            <v>0</v>
          </cell>
          <cell r="S1034">
            <v>0</v>
          </cell>
        </row>
        <row r="1035">
          <cell r="R1035">
            <v>0</v>
          </cell>
          <cell r="S1035">
            <v>0</v>
          </cell>
        </row>
        <row r="1036">
          <cell r="R1036">
            <v>0</v>
          </cell>
          <cell r="S1036">
            <v>0</v>
          </cell>
        </row>
        <row r="1037">
          <cell r="R1037">
            <v>0</v>
          </cell>
          <cell r="S1037">
            <v>0</v>
          </cell>
        </row>
        <row r="1038">
          <cell r="R1038">
            <v>0</v>
          </cell>
          <cell r="S1038">
            <v>0</v>
          </cell>
        </row>
        <row r="1039">
          <cell r="R1039">
            <v>0</v>
          </cell>
          <cell r="S1039">
            <v>0</v>
          </cell>
        </row>
        <row r="1040">
          <cell r="R1040">
            <v>0</v>
          </cell>
          <cell r="S1040">
            <v>0</v>
          </cell>
        </row>
        <row r="1041">
          <cell r="R1041">
            <v>0</v>
          </cell>
          <cell r="S1041">
            <v>0</v>
          </cell>
        </row>
        <row r="1042">
          <cell r="R1042">
            <v>0</v>
          </cell>
          <cell r="S1042">
            <v>0</v>
          </cell>
        </row>
        <row r="1043">
          <cell r="R1043">
            <v>0</v>
          </cell>
          <cell r="S1043">
            <v>0</v>
          </cell>
        </row>
        <row r="1044">
          <cell r="R1044">
            <v>0</v>
          </cell>
          <cell r="S1044">
            <v>0</v>
          </cell>
        </row>
        <row r="1045">
          <cell r="R1045">
            <v>0</v>
          </cell>
          <cell r="S1045">
            <v>0</v>
          </cell>
        </row>
        <row r="1046">
          <cell r="R1046">
            <v>0</v>
          </cell>
          <cell r="S1046">
            <v>0</v>
          </cell>
        </row>
        <row r="1047">
          <cell r="R1047">
            <v>0</v>
          </cell>
          <cell r="S1047">
            <v>0</v>
          </cell>
        </row>
        <row r="1048">
          <cell r="R1048">
            <v>0</v>
          </cell>
          <cell r="S1048">
            <v>0</v>
          </cell>
        </row>
        <row r="1049">
          <cell r="R1049">
            <v>0</v>
          </cell>
          <cell r="S1049">
            <v>0</v>
          </cell>
        </row>
        <row r="1050">
          <cell r="R1050">
            <v>0</v>
          </cell>
          <cell r="S1050">
            <v>0</v>
          </cell>
        </row>
        <row r="1051">
          <cell r="R1051">
            <v>0</v>
          </cell>
          <cell r="S1051">
            <v>0</v>
          </cell>
        </row>
        <row r="1052">
          <cell r="R1052">
            <v>0</v>
          </cell>
          <cell r="S1052">
            <v>0</v>
          </cell>
        </row>
        <row r="1053">
          <cell r="R1053">
            <v>0</v>
          </cell>
          <cell r="S1053">
            <v>0</v>
          </cell>
        </row>
        <row r="1054">
          <cell r="R1054">
            <v>0</v>
          </cell>
          <cell r="S1054">
            <v>0</v>
          </cell>
        </row>
        <row r="1055">
          <cell r="R1055">
            <v>0</v>
          </cell>
          <cell r="S1055">
            <v>0</v>
          </cell>
        </row>
        <row r="1056">
          <cell r="R1056">
            <v>0</v>
          </cell>
          <cell r="S1056">
            <v>0</v>
          </cell>
        </row>
        <row r="1057">
          <cell r="R1057">
            <v>0</v>
          </cell>
          <cell r="S1057">
            <v>0</v>
          </cell>
        </row>
        <row r="1058">
          <cell r="R1058">
            <v>0</v>
          </cell>
          <cell r="S1058">
            <v>0</v>
          </cell>
        </row>
        <row r="1059">
          <cell r="R1059">
            <v>0</v>
          </cell>
          <cell r="S1059">
            <v>0</v>
          </cell>
        </row>
        <row r="1060">
          <cell r="R1060">
            <v>0</v>
          </cell>
          <cell r="S1060">
            <v>0</v>
          </cell>
        </row>
        <row r="1061">
          <cell r="R1061">
            <v>0</v>
          </cell>
          <cell r="S1061">
            <v>0</v>
          </cell>
        </row>
        <row r="1062">
          <cell r="R1062">
            <v>0</v>
          </cell>
          <cell r="S1062">
            <v>0</v>
          </cell>
        </row>
        <row r="1063">
          <cell r="R1063">
            <v>0</v>
          </cell>
          <cell r="S1063">
            <v>0</v>
          </cell>
        </row>
        <row r="1064">
          <cell r="R1064">
            <v>0</v>
          </cell>
          <cell r="S1064">
            <v>0</v>
          </cell>
        </row>
        <row r="1065">
          <cell r="R1065">
            <v>0</v>
          </cell>
          <cell r="S1065">
            <v>0</v>
          </cell>
        </row>
        <row r="1066">
          <cell r="R1066">
            <v>0</v>
          </cell>
          <cell r="S1066">
            <v>0</v>
          </cell>
        </row>
        <row r="1067">
          <cell r="R1067">
            <v>0</v>
          </cell>
          <cell r="S1067">
            <v>0</v>
          </cell>
        </row>
        <row r="1068">
          <cell r="R1068">
            <v>0</v>
          </cell>
          <cell r="S1068">
            <v>0</v>
          </cell>
        </row>
        <row r="1069">
          <cell r="R1069">
            <v>0</v>
          </cell>
          <cell r="S1069">
            <v>0</v>
          </cell>
        </row>
        <row r="1070">
          <cell r="R1070">
            <v>0</v>
          </cell>
          <cell r="S1070">
            <v>0</v>
          </cell>
        </row>
        <row r="1071">
          <cell r="R1071">
            <v>0</v>
          </cell>
          <cell r="S1071">
            <v>0</v>
          </cell>
        </row>
        <row r="1072">
          <cell r="R1072">
            <v>0</v>
          </cell>
          <cell r="S1072">
            <v>0</v>
          </cell>
        </row>
        <row r="1073">
          <cell r="S1073">
            <v>0</v>
          </cell>
        </row>
        <row r="1074">
          <cell r="S1074">
            <v>0</v>
          </cell>
        </row>
        <row r="1075">
          <cell r="S1075">
            <v>0</v>
          </cell>
        </row>
        <row r="1076">
          <cell r="S1076">
            <v>0</v>
          </cell>
        </row>
        <row r="1077">
          <cell r="S1077">
            <v>0</v>
          </cell>
        </row>
        <row r="1078">
          <cell r="S1078">
            <v>0</v>
          </cell>
        </row>
        <row r="1079">
          <cell r="S1079">
            <v>0</v>
          </cell>
        </row>
        <row r="1080">
          <cell r="S1080">
            <v>0</v>
          </cell>
        </row>
        <row r="1081">
          <cell r="S1081">
            <v>0</v>
          </cell>
        </row>
        <row r="1082">
          <cell r="S1082">
            <v>0</v>
          </cell>
        </row>
        <row r="1083">
          <cell r="S1083">
            <v>0</v>
          </cell>
        </row>
        <row r="1084">
          <cell r="S1084">
            <v>0</v>
          </cell>
        </row>
        <row r="1085">
          <cell r="S1085">
            <v>0</v>
          </cell>
        </row>
      </sheetData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0SED RATES"/>
      <sheetName val="RR SUMMARY"/>
      <sheetName val="CF"/>
      <sheetName val="ADJ DETAIL INPUT"/>
      <sheetName val="LEAD SHEETS-DO NOT ENTER"/>
      <sheetName val="ADJ SUMMARY"/>
      <sheetName val="DEBT CALC"/>
      <sheetName val="ROO INPUT"/>
      <sheetName val="Recap Summary-for sttlmt disc"/>
    </sheetNames>
    <sheetDataSet>
      <sheetData sheetId="0"/>
      <sheetData sheetId="1">
        <row r="14">
          <cell r="M14">
            <v>2.9700000000000001E-2</v>
          </cell>
        </row>
      </sheetData>
      <sheetData sheetId="2"/>
      <sheetData sheetId="3"/>
      <sheetData sheetId="4"/>
      <sheetData sheetId="5"/>
      <sheetData sheetId="6"/>
      <sheetData sheetId="7">
        <row r="3">
          <cell r="A3" t="str">
            <v>AVISTA UTILITIES</v>
          </cell>
          <cell r="B3">
            <v>0</v>
          </cell>
          <cell r="C3">
            <v>0</v>
          </cell>
        </row>
        <row r="4">
          <cell r="A4" t="str">
            <v xml:space="preserve">WASHINGTON NATURAL GAS RESULTS </v>
          </cell>
          <cell r="B4">
            <v>0</v>
          </cell>
          <cell r="C4">
            <v>0</v>
          </cell>
        </row>
        <row r="5">
          <cell r="A5" t="str">
            <v>TWELVE MONTHS ENDED DECEMBER 31, 2011</v>
          </cell>
          <cell r="B5">
            <v>0</v>
          </cell>
          <cell r="C5">
            <v>0</v>
          </cell>
        </row>
        <row r="6">
          <cell r="A6" t="str">
            <v xml:space="preserve">(000'S OF DOLLARS)   </v>
          </cell>
          <cell r="B6">
            <v>0</v>
          </cell>
          <cell r="C6">
            <v>0</v>
          </cell>
        </row>
      </sheetData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-Gas"/>
      <sheetName val="Gas"/>
    </sheetNames>
    <sheetDataSet>
      <sheetData sheetId="0">
        <row r="23">
          <cell r="F23">
            <v>18.204000000000001</v>
          </cell>
        </row>
        <row r="34">
          <cell r="H34">
            <v>368</v>
          </cell>
        </row>
        <row r="39">
          <cell r="H39">
            <v>228</v>
          </cell>
        </row>
        <row r="40">
          <cell r="H40">
            <v>20</v>
          </cell>
        </row>
        <row r="44">
          <cell r="H44">
            <v>258</v>
          </cell>
        </row>
      </sheetData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0SED RATES"/>
      <sheetName val="RR SUMMARY"/>
      <sheetName val="CF"/>
      <sheetName val="ADJ DETAIL INPUT"/>
      <sheetName val="LEAD SHEETS-DO NOT ENTER"/>
      <sheetName val="ADJ SUMMARY"/>
      <sheetName val="DEBT CALC"/>
      <sheetName val="ROO INPUT"/>
      <sheetName val="Recap Summary-for sttlmt disc"/>
    </sheetNames>
    <sheetDataSet>
      <sheetData sheetId="0" refreshError="1"/>
      <sheetData sheetId="1">
        <row r="14">
          <cell r="M14">
            <v>2.9700000000000001E-2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 Sch1.1"/>
      <sheetName val="Restating Adj Sch 1.2 "/>
      <sheetName val="Pro Forma Adj Sch 1.3 "/>
      <sheetName val="Summary of Adj Sch 1.4"/>
      <sheetName val="Captial 2.0"/>
      <sheetName val="Rev Conv Factor 2.1"/>
      <sheetName val="Revenue Requirement 2.2"/>
      <sheetName val="ResultSumGas"/>
      <sheetName val="R-1 DFIT"/>
      <sheetName val="R-2 BldGain"/>
      <sheetName val="R-3 GasInv"/>
      <sheetName val="R-4 WznDSM"/>
      <sheetName val="R- 5 CustAdv"/>
      <sheetName val="R-6 WeatherGas"/>
      <sheetName val=" R- 7 B &amp; O"/>
      <sheetName val="R-8 PropTax"/>
      <sheetName val="R-9 UncollExp"/>
      <sheetName val="R-10 RegExp"/>
      <sheetName val="R-11 Inj &amp; Damages"/>
      <sheetName val="R-12 FIT"/>
      <sheetName val="R-13 PF Debt"/>
      <sheetName val="R- 14 IncentOther"/>
      <sheetName val="R-15 GainsLosses"/>
      <sheetName val="R-16 ElimAR"/>
      <sheetName val="R-17 SubSpace"/>
      <sheetName val="R- 18 ExciseTax"/>
      <sheetName val="PF-1 Non-Exec Salaries"/>
      <sheetName val="PF-2 Exec Salaries"/>
      <sheetName val="PF-3 DepStudy"/>
      <sheetName val="PF-4 StorageContr"/>
      <sheetName val="PF-5 Interest Sync."/>
      <sheetName val="Inputs"/>
      <sheetName val="## Proposed Rates"/>
      <sheetName val="#### blank"/>
      <sheetName val="## ConverFac_Exh"/>
      <sheetName val="CWIPAllo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Results Sch1.1"/>
      <sheetName val="Restating Adj Sch 1.2"/>
      <sheetName val="Pro Forma Adj Sch 1.3"/>
      <sheetName val="Summary of Adj Sch 1.4"/>
      <sheetName val="Capital Structure Sch 2.0"/>
      <sheetName val="Revenue Requirement 2.2"/>
      <sheetName val="Revenue Conv Factor 2.1"/>
      <sheetName val="DFIT R-1"/>
      <sheetName val="BldGain R-2"/>
      <sheetName val="ColstripAFUDC R-3"/>
      <sheetName val="ColstripCommon R-4"/>
      <sheetName val="KFSumm R-5"/>
      <sheetName val="CustAdv R-6"/>
      <sheetName val="WAPGE R-7"/>
      <sheetName val="SettleEx R-8"/>
      <sheetName val="Eliminate B&amp;O R-9"/>
      <sheetName val="PropTax R-10"/>
      <sheetName val="UncollExp R-11"/>
      <sheetName val="RegExp R-12"/>
      <sheetName val="Inj &amp; Dam R-13"/>
      <sheetName val="FIT R-14"/>
      <sheetName val="ElimPowerCost R-15"/>
      <sheetName val="NezPerce R-16"/>
      <sheetName val="GainsLoss R-17"/>
      <sheetName val="ElimAR R-18"/>
      <sheetName val="SubSpace R-19"/>
      <sheetName val="ExciseTax R-20"/>
      <sheetName val="RevNormalztn R-21"/>
      <sheetName val="Incent&amp;Oth R-22"/>
      <sheetName val="R-23 PF Debt"/>
      <sheetName val="Inputs"/>
      <sheetName val="PF-1 PS"/>
      <sheetName val="PF-2 Prod Property "/>
      <sheetName val="ProdFctrCalc"/>
      <sheetName val="PF-3 Labor nonexecr"/>
      <sheetName val="PF-4 Labor Exec"/>
      <sheetName val="PF-5 Trans Rev Exp"/>
      <sheetName val="PF-6 Trans Cap Addition"/>
      <sheetName val="PF-7 Gen Cap Addition"/>
      <sheetName val="PF-8 Depreciation"/>
      <sheetName val="PF-9 Pole"/>
      <sheetName val="PF -10 Purchased Power"/>
      <sheetName val="PF-11 PF Debt"/>
      <sheetName val="PF12open"/>
      <sheetName val="END "/>
      <sheetName val="RevReq_Exh"/>
      <sheetName val="ID_DSM_Inv"/>
      <sheetName val=" NU-Proposed Rates"/>
      <sheetName val="WARateNorm"/>
      <sheetName val="CWIPAllocDebt"/>
      <sheetName val="PFRstmtSheet"/>
      <sheetName val="not-used "/>
      <sheetName val="not used -1"/>
      <sheetName val="PF13open"/>
      <sheetName val="PF14open"/>
      <sheetName val="PSID"/>
      <sheetName val="PSWA-not used"/>
      <sheetName val="IDElec12_06"/>
      <sheetName val="ResultSumEl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>
        <row r="1">
          <cell r="A1" t="str">
            <v xml:space="preserve"> </v>
          </cell>
        </row>
      </sheetData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Elec adj"/>
      <sheetName val="Staff Gas adj"/>
      <sheetName val="Sheet1"/>
      <sheetName val="Sheet3"/>
      <sheetName val="Sheet4"/>
      <sheetName val="BOD Split"/>
      <sheetName val="MR-BOD-4 Revised"/>
      <sheetName val="BOD Fees"/>
      <sheetName val="MR-BOD-1"/>
      <sheetName val="PC_DR_"/>
      <sheetName val="MR-BOD-2"/>
      <sheetName val="MR-BOD-5 Revised"/>
      <sheetName val="Transaction Detail (2)"/>
      <sheetName val="Macro1"/>
      <sheetName val="Sheet2"/>
      <sheetName val="BOD Tota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C8" t="str">
            <v>2011 Stock Issuance</v>
          </cell>
        </row>
      </sheetData>
      <sheetData sheetId="8">
        <row r="23">
          <cell r="A23">
            <v>0.72382999999999997</v>
          </cell>
        </row>
      </sheetData>
      <sheetData sheetId="9"/>
      <sheetData sheetId="10"/>
      <sheetData sheetId="11"/>
      <sheetData sheetId="12"/>
      <sheetData sheetId="13">
        <row r="90">
          <cell r="A90" t="str">
            <v>Recover</v>
          </cell>
        </row>
      </sheetData>
      <sheetData sheetId="14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Labor"/>
      <sheetName val="Macro1"/>
    </sheetNames>
    <sheetDataSet>
      <sheetData sheetId="0" refreshError="1"/>
      <sheetData sheetId="1">
        <row r="69">
          <cell r="A69" t="str">
            <v>Recover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c. Stmt. 1.1"/>
      <sheetName val="Restating 1.2"/>
      <sheetName val="Pro Forma 1.3"/>
      <sheetName val="Avg Rate Base 2.1"/>
      <sheetName val="CIAC 2.2"/>
      <sheetName val="Working Cap 2.3"/>
      <sheetName val="Plant 3.1"/>
      <sheetName val="Depr 3.2 "/>
      <sheetName val="Captial 4.1"/>
      <sheetName val="Cost Debt 4.2"/>
      <sheetName val="PF Debt 4.3"/>
      <sheetName val="Income taxes 5.1"/>
      <sheetName val="Rev Conv Factor 5.2"/>
      <sheetName val="Deficiency 5.3"/>
      <sheetName val="Bal Sht 6.1"/>
      <sheetName val="not used"/>
    </sheetNames>
    <sheetDataSet>
      <sheetData sheetId="0">
        <row r="12">
          <cell r="B12" t="str">
            <v>Test Year Ended December 31, 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Sch1.1 RoO"/>
      <sheetName val="Sch 1.2 RsA "/>
      <sheetName val="Sch 1.3 PfA "/>
      <sheetName val=" Sch 1.4 Summary"/>
      <sheetName val=" Sch 2 RR "/>
      <sheetName val=" Sch 3 RCF "/>
      <sheetName val=" Sch 4 CC"/>
      <sheetName val="END RR Model"/>
      <sheetName val="Int Sch 5"/>
      <sheetName val="ADJ 1.04"/>
      <sheetName val="ADJ 1.05"/>
      <sheetName val="Cover-Gas"/>
      <sheetName val="2.11"/>
      <sheetName val="ADJ 2.14"/>
      <sheetName val="3.04"/>
      <sheetName val="ADJ 3.06"/>
      <sheetName val="ADJ 4.00"/>
      <sheetName val="ADJ 4.01"/>
      <sheetName val="ADJ 4.03"/>
      <sheetName val="Sheet1"/>
    </sheetNames>
    <sheetDataSet>
      <sheetData sheetId="0">
        <row r="2">
          <cell r="B2" t="str">
            <v>(000's of Dollars)</v>
          </cell>
        </row>
      </sheetData>
      <sheetData sheetId="1">
        <row r="70">
          <cell r="C70">
            <v>0</v>
          </cell>
        </row>
      </sheetData>
      <sheetData sheetId="2">
        <row r="70">
          <cell r="C7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0SED RATES"/>
      <sheetName val="RR SUMMARY"/>
      <sheetName val="CF"/>
      <sheetName val="ADJ DETAIL INPUT"/>
      <sheetName val="LEAD SHEETS-DO NOT ENTER"/>
      <sheetName val="ADJ SUMMARY"/>
      <sheetName val="DEBT CALC"/>
      <sheetName val="ROO INPUT"/>
      <sheetName val="Recap Summary-for sttlmt disc"/>
    </sheetNames>
    <sheetDataSet>
      <sheetData sheetId="0"/>
      <sheetData sheetId="1">
        <row r="14">
          <cell r="M14">
            <v>2.9600000000000001E-2</v>
          </cell>
        </row>
      </sheetData>
      <sheetData sheetId="2"/>
      <sheetData sheetId="3"/>
      <sheetData sheetId="4"/>
      <sheetData sheetId="5"/>
      <sheetData sheetId="6"/>
      <sheetData sheetId="7">
        <row r="3">
          <cell r="A3" t="str">
            <v>AVISTA UTILITIES</v>
          </cell>
          <cell r="B3">
            <v>0</v>
          </cell>
          <cell r="C3">
            <v>0</v>
          </cell>
        </row>
        <row r="4">
          <cell r="A4" t="str">
            <v xml:space="preserve">WASHINGTON NATURAL GAS RESULTS </v>
          </cell>
          <cell r="B4">
            <v>0</v>
          </cell>
          <cell r="C4">
            <v>0</v>
          </cell>
        </row>
        <row r="5">
          <cell r="A5" t="str">
            <v>TWELVE MONTHS ENDED DECEMBER 31, 2011</v>
          </cell>
          <cell r="B5">
            <v>0</v>
          </cell>
          <cell r="C5">
            <v>0</v>
          </cell>
        </row>
        <row r="6">
          <cell r="A6" t="str">
            <v xml:space="preserve">(000'S OF DOLLARS)   </v>
          </cell>
          <cell r="B6">
            <v>0</v>
          </cell>
          <cell r="C6">
            <v>0</v>
          </cell>
        </row>
      </sheetData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-WA"/>
      <sheetName val="RevReq_Exh_WA"/>
      <sheetName val="ConverFac_Exh-WA"/>
      <sheetName val="WAElec_09"/>
      <sheetName val="PFRstmtSheet"/>
      <sheetName val="ResultSumEl"/>
      <sheetName val="Retail Revenue Credit"/>
      <sheetName val="DFITAMA"/>
      <sheetName val="BldGain"/>
      <sheetName val="ColstripAFUDC"/>
      <sheetName val="ColstripCommon"/>
      <sheetName val="KF-BP_Summ"/>
      <sheetName val="CustAdv"/>
      <sheetName val="CustDep"/>
      <sheetName val="WA-SettleEx"/>
      <sheetName val="CDA"/>
      <sheetName val="Def_CDA"/>
      <sheetName val="CDA_CDR"/>
      <sheetName val="Def_SR"/>
      <sheetName val="SR_PME_DEF"/>
      <sheetName val="MoLease"/>
      <sheetName val="Res_Lancaster"/>
      <sheetName val="Res_Capital"/>
      <sheetName val="BandO"/>
      <sheetName val="PropTax"/>
      <sheetName val="UncollExp"/>
      <sheetName val="RegExp"/>
      <sheetName val="InjDam"/>
      <sheetName val="FIT"/>
      <sheetName val="ElimPowerCost"/>
      <sheetName val="NezPerce"/>
      <sheetName val="GainsLoss"/>
      <sheetName val="ElimAR"/>
      <sheetName val="SubSpace"/>
      <sheetName val="ExciseTax"/>
      <sheetName val="RevNormalztn"/>
      <sheetName val="MiscRestate"/>
      <sheetName val="Res_Incen"/>
      <sheetName val="BCKaBlck"/>
      <sheetName val="WrkgCap"/>
      <sheetName val="DebtInt"/>
      <sheetName val="DebtCalc"/>
      <sheetName val="PFPSWA"/>
      <sheetName val="PFLoad"/>
      <sheetName val="PFLabor"/>
      <sheetName val="PFExec"/>
      <sheetName val="PFTrans"/>
      <sheetName val="PFCapx2011"/>
      <sheetName val="PFNoxon"/>
      <sheetName val="PFVegMgmt"/>
      <sheetName val="PFEmpBen"/>
      <sheetName val="PFInsur"/>
      <sheetName val="Revised Comparison-For sttlmnt"/>
      <sheetName val="Open"/>
      <sheetName val="Open1"/>
      <sheetName val="PFOpen"/>
      <sheetName val="PF-OPEN1"/>
      <sheetName val="Inputs"/>
      <sheetName val="not-used"/>
      <sheetName val="PFProdFctr-WA-not used-formula"/>
      <sheetName val="PFProdFctr-WA calc"/>
    </sheetNames>
    <sheetDataSet>
      <sheetData sheetId="0"/>
      <sheetData sheetId="1"/>
      <sheetData sheetId="2"/>
      <sheetData sheetId="3">
        <row r="4">
          <cell r="A4" t="str">
            <v>TWELVE MONTHS ENDED DECEMBER 31, 2010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6">
          <cell r="D6" t="str">
            <v>AVISTA UTILITIES</v>
          </cell>
        </row>
      </sheetData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L84"/>
  <sheetViews>
    <sheetView tabSelected="1" zoomScaleNormal="100" workbookViewId="0">
      <pane xSplit="1" ySplit="8" topLeftCell="B9" activePane="bottomRight" state="frozen"/>
      <selection activeCell="D59" sqref="D59"/>
      <selection pane="topRight" activeCell="D59" sqref="D59"/>
      <selection pane="bottomLeft" activeCell="D59" sqref="D59"/>
      <selection pane="bottomRight" activeCell="D59" sqref="D59"/>
    </sheetView>
  </sheetViews>
  <sheetFormatPr defaultColWidth="10.83203125" defaultRowHeight="15.75" customHeight="1"/>
  <cols>
    <col min="1" max="1" width="5.83203125" style="593" customWidth="1"/>
    <col min="2" max="2" width="34.6640625" style="592" customWidth="1"/>
    <col min="3" max="6" width="18.83203125" style="594" customWidth="1"/>
    <col min="7" max="7" width="15.6640625" style="594" customWidth="1"/>
    <col min="8" max="9" width="18.83203125" style="592" customWidth="1"/>
    <col min="10" max="10" width="15" style="595" bestFit="1" customWidth="1"/>
    <col min="11" max="11" width="26.1640625" style="595" bestFit="1" customWidth="1"/>
    <col min="12" max="12" width="10.33203125" style="595" customWidth="1"/>
    <col min="13" max="16384" width="10.83203125" style="592"/>
  </cols>
  <sheetData>
    <row r="1" spans="1:12" ht="15.75" customHeight="1">
      <c r="F1" s="663"/>
      <c r="G1" s="48"/>
    </row>
    <row r="2" spans="1:12" ht="15.75" customHeight="1">
      <c r="A2" s="592"/>
      <c r="B2" s="593" t="s">
        <v>371</v>
      </c>
      <c r="D2" s="745"/>
      <c r="E2" s="745"/>
    </row>
    <row r="4" spans="1:12" s="600" customFormat="1" ht="15.75" customHeight="1">
      <c r="A4" s="596"/>
      <c r="B4" s="597" t="s">
        <v>1</v>
      </c>
      <c r="C4" s="598" t="s">
        <v>2</v>
      </c>
      <c r="D4" s="598" t="s">
        <v>3</v>
      </c>
      <c r="E4" s="598" t="s">
        <v>4</v>
      </c>
      <c r="F4" s="598" t="s">
        <v>5</v>
      </c>
      <c r="G4" s="598" t="s">
        <v>6</v>
      </c>
      <c r="H4" s="597" t="s">
        <v>7</v>
      </c>
      <c r="I4" s="597" t="s">
        <v>8</v>
      </c>
      <c r="J4" s="599"/>
      <c r="K4" s="595"/>
      <c r="L4" s="595"/>
    </row>
    <row r="5" spans="1:12" s="600" customFormat="1" ht="15.75" customHeight="1">
      <c r="A5" s="601"/>
      <c r="B5" s="602"/>
      <c r="C5" s="603"/>
      <c r="D5" s="603" t="s">
        <v>9</v>
      </c>
      <c r="E5" s="603"/>
      <c r="F5" s="603" t="s">
        <v>9</v>
      </c>
      <c r="G5" s="603"/>
      <c r="H5" s="604"/>
      <c r="I5" s="604" t="s">
        <v>10</v>
      </c>
      <c r="J5" s="599"/>
      <c r="K5" s="595"/>
      <c r="L5" s="595"/>
    </row>
    <row r="6" spans="1:12" s="600" customFormat="1" ht="15.75" customHeight="1">
      <c r="A6" s="601" t="s">
        <v>11</v>
      </c>
      <c r="B6" s="602"/>
      <c r="C6" s="603" t="s">
        <v>12</v>
      </c>
      <c r="D6" s="603" t="s">
        <v>13</v>
      </c>
      <c r="E6" s="603" t="s">
        <v>14</v>
      </c>
      <c r="F6" s="603" t="s">
        <v>15</v>
      </c>
      <c r="G6" s="670"/>
      <c r="H6" s="604" t="s">
        <v>16</v>
      </c>
      <c r="I6" s="604" t="s">
        <v>17</v>
      </c>
      <c r="J6" s="599"/>
      <c r="K6" s="595"/>
      <c r="L6" s="595"/>
    </row>
    <row r="7" spans="1:12" s="600" customFormat="1" ht="15.75" customHeight="1">
      <c r="A7" s="605" t="s">
        <v>18</v>
      </c>
      <c r="B7" s="685" t="s">
        <v>19</v>
      </c>
      <c r="C7" s="606" t="s">
        <v>10</v>
      </c>
      <c r="D7" s="606" t="s">
        <v>20</v>
      </c>
      <c r="E7" s="606" t="s">
        <v>10</v>
      </c>
      <c r="F7" s="606" t="s">
        <v>20</v>
      </c>
      <c r="G7" s="606" t="s">
        <v>10</v>
      </c>
      <c r="H7" s="607" t="s">
        <v>21</v>
      </c>
      <c r="I7" s="607" t="s">
        <v>22</v>
      </c>
      <c r="J7" s="599"/>
      <c r="K7" s="599"/>
      <c r="L7" s="595"/>
    </row>
    <row r="8" spans="1:12" s="597" customFormat="1" ht="15.75" customHeight="1" thickBot="1">
      <c r="A8" s="608"/>
      <c r="B8" s="686" t="s">
        <v>23</v>
      </c>
      <c r="C8" s="609" t="s">
        <v>361</v>
      </c>
      <c r="D8" s="610" t="s">
        <v>24</v>
      </c>
      <c r="E8" s="610" t="s">
        <v>25</v>
      </c>
      <c r="F8" s="610" t="s">
        <v>26</v>
      </c>
      <c r="G8" s="610" t="s">
        <v>368</v>
      </c>
      <c r="H8" s="611">
        <f>+H11/G11</f>
        <v>8.0021093985337619E-3</v>
      </c>
      <c r="I8" s="612" t="s">
        <v>369</v>
      </c>
      <c r="J8" s="599"/>
      <c r="K8" s="599" t="s">
        <v>27</v>
      </c>
      <c r="L8" s="595"/>
    </row>
    <row r="9" spans="1:12" ht="15.75" customHeight="1">
      <c r="A9" s="613">
        <v>1</v>
      </c>
      <c r="B9" s="687" t="s">
        <v>372</v>
      </c>
      <c r="H9" s="614"/>
      <c r="I9" s="614"/>
      <c r="J9" s="599"/>
      <c r="K9" s="615"/>
    </row>
    <row r="10" spans="1:12" ht="15.75" customHeight="1">
      <c r="A10" s="613">
        <v>2</v>
      </c>
      <c r="B10" s="592" t="s">
        <v>28</v>
      </c>
      <c r="I10" s="614"/>
      <c r="J10" s="599"/>
      <c r="K10" s="616">
        <f>+H8</f>
        <v>8.0021093985337619E-3</v>
      </c>
    </row>
    <row r="11" spans="1:12" s="622" customFormat="1" ht="15.75" customHeight="1">
      <c r="A11" s="613">
        <v>3</v>
      </c>
      <c r="B11" s="688" t="s">
        <v>29</v>
      </c>
      <c r="C11" s="617">
        <v>162860</v>
      </c>
      <c r="D11" s="618">
        <f>+'Sch 1.2 RsA '!C15</f>
        <v>-20978</v>
      </c>
      <c r="E11" s="617">
        <f>SUM(C11:D11)</f>
        <v>141882</v>
      </c>
      <c r="F11" s="619">
        <f>+'Sch 1.3 PfA '!C16</f>
        <v>0</v>
      </c>
      <c r="G11" s="619">
        <f>+F11+E11</f>
        <v>141882</v>
      </c>
      <c r="H11" s="620">
        <f>+' Sch 2 RR '!F26</f>
        <v>1135.3552856827671</v>
      </c>
      <c r="I11" s="619">
        <f>+H11+G11</f>
        <v>143017.35528568277</v>
      </c>
      <c r="J11" s="599"/>
      <c r="K11" s="621" t="s">
        <v>30</v>
      </c>
      <c r="L11" s="595"/>
    </row>
    <row r="12" spans="1:12" ht="15.75" customHeight="1">
      <c r="A12" s="613">
        <v>4</v>
      </c>
      <c r="B12" s="689" t="s">
        <v>31</v>
      </c>
      <c r="C12" s="623">
        <v>3538</v>
      </c>
      <c r="D12" s="623">
        <f>+'Sch 1.2 RsA '!C16</f>
        <v>-1337</v>
      </c>
      <c r="E12" s="623">
        <f>SUM(C12:D12)</f>
        <v>2201</v>
      </c>
      <c r="F12" s="623">
        <f>+'Sch 1.3 PfA '!C17</f>
        <v>0</v>
      </c>
      <c r="G12" s="623">
        <f>+F12+E12</f>
        <v>2201</v>
      </c>
      <c r="H12" s="623">
        <f>+'Sch 1.3 PfA '!E17</f>
        <v>0</v>
      </c>
      <c r="I12" s="624">
        <f>+H12+G12</f>
        <v>2201</v>
      </c>
      <c r="J12" s="599"/>
      <c r="K12" s="625"/>
    </row>
    <row r="13" spans="1:12" ht="15.75" customHeight="1">
      <c r="A13" s="613">
        <v>5</v>
      </c>
      <c r="B13" s="689" t="s">
        <v>32</v>
      </c>
      <c r="C13" s="684">
        <v>98841</v>
      </c>
      <c r="D13" s="626">
        <f>+'Sch 1.2 RsA '!C17</f>
        <v>-97206</v>
      </c>
      <c r="E13" s="626">
        <f>SUM(C13:D13)</f>
        <v>1635</v>
      </c>
      <c r="F13" s="626">
        <f>+'Sch 1.3 PfA '!C18</f>
        <v>0</v>
      </c>
      <c r="G13" s="626">
        <f>+F13+E13</f>
        <v>1635</v>
      </c>
      <c r="H13" s="626">
        <f>+'Sch 1.3 PfA '!E18</f>
        <v>0</v>
      </c>
      <c r="I13" s="627">
        <f>+H13+G13</f>
        <v>1635</v>
      </c>
      <c r="J13" s="599"/>
      <c r="K13" s="628">
        <f>+H14*1000</f>
        <v>1135355.2856827672</v>
      </c>
    </row>
    <row r="14" spans="1:12" ht="15.75" customHeight="1" thickBot="1">
      <c r="A14" s="613">
        <v>6</v>
      </c>
      <c r="B14" s="690" t="s">
        <v>34</v>
      </c>
      <c r="C14" s="623">
        <f t="shared" ref="C14:I14" si="0">SUM(C11:C13)</f>
        <v>265239</v>
      </c>
      <c r="D14" s="623">
        <f t="shared" si="0"/>
        <v>-119521</v>
      </c>
      <c r="E14" s="623">
        <f t="shared" si="0"/>
        <v>145718</v>
      </c>
      <c r="F14" s="623">
        <f t="shared" si="0"/>
        <v>0</v>
      </c>
      <c r="G14" s="623">
        <f t="shared" si="0"/>
        <v>145718</v>
      </c>
      <c r="H14" s="623">
        <f t="shared" si="0"/>
        <v>1135.3552856827671</v>
      </c>
      <c r="I14" s="624">
        <f t="shared" si="0"/>
        <v>146853.35528568277</v>
      </c>
      <c r="K14" s="629" t="s">
        <v>33</v>
      </c>
    </row>
    <row r="15" spans="1:12" ht="15.75" customHeight="1">
      <c r="A15" s="613">
        <v>7</v>
      </c>
      <c r="B15" s="691"/>
      <c r="C15" s="623"/>
      <c r="D15" s="623"/>
      <c r="E15" s="623"/>
      <c r="F15" s="623"/>
      <c r="G15" s="623"/>
      <c r="H15" s="623"/>
      <c r="I15" s="624"/>
    </row>
    <row r="16" spans="1:12" ht="15.75" customHeight="1">
      <c r="A16" s="613">
        <v>8</v>
      </c>
      <c r="B16" s="692" t="s">
        <v>35</v>
      </c>
      <c r="C16" s="623"/>
      <c r="D16" s="623"/>
      <c r="E16" s="623"/>
      <c r="F16" s="623"/>
      <c r="G16" s="623"/>
      <c r="H16" s="623"/>
      <c r="I16" s="624"/>
    </row>
    <row r="17" spans="1:11" ht="15.75" customHeight="1">
      <c r="A17" s="613">
        <v>9</v>
      </c>
      <c r="B17" s="689" t="s">
        <v>373</v>
      </c>
      <c r="C17" s="623"/>
      <c r="D17" s="623">
        <f>+'Sch 1.2 RsA '!C21</f>
        <v>0</v>
      </c>
      <c r="E17" s="623">
        <f>SUM(C17:D17)</f>
        <v>0</v>
      </c>
      <c r="F17" s="623">
        <f>+'Sch 1.3 PfA '!C21</f>
        <v>0</v>
      </c>
      <c r="G17" s="623">
        <f>+E17+F17</f>
        <v>0</v>
      </c>
      <c r="H17" s="624"/>
      <c r="I17" s="624">
        <f>+G17+H17</f>
        <v>0</v>
      </c>
    </row>
    <row r="18" spans="1:11" ht="15.75" customHeight="1" thickBot="1">
      <c r="A18" s="613">
        <v>10</v>
      </c>
      <c r="B18" s="691"/>
      <c r="C18" s="623"/>
      <c r="D18" s="623"/>
      <c r="E18" s="623"/>
      <c r="F18" s="623"/>
      <c r="G18" s="623"/>
      <c r="H18" s="623"/>
      <c r="I18" s="624"/>
    </row>
    <row r="19" spans="1:11" ht="15.75" customHeight="1">
      <c r="A19" s="613">
        <v>11</v>
      </c>
      <c r="B19" s="691" t="s">
        <v>374</v>
      </c>
      <c r="C19" s="623"/>
      <c r="D19" s="623"/>
      <c r="E19" s="623"/>
      <c r="F19" s="623"/>
      <c r="G19" s="623"/>
      <c r="H19" s="623"/>
      <c r="I19" s="624"/>
      <c r="K19" s="746" t="s">
        <v>184</v>
      </c>
    </row>
    <row r="20" spans="1:11" ht="15.75" customHeight="1">
      <c r="A20" s="613">
        <v>12</v>
      </c>
      <c r="B20" s="689" t="s">
        <v>36</v>
      </c>
      <c r="C20" s="623">
        <v>191302</v>
      </c>
      <c r="D20" s="623">
        <f>+'Sch 1.2 RsA '!C24</f>
        <v>-111295</v>
      </c>
      <c r="E20" s="623">
        <f>SUM(C20:D20)</f>
        <v>80007</v>
      </c>
      <c r="F20" s="623">
        <f>+'Sch 1.3 PfA '!C25</f>
        <v>0</v>
      </c>
      <c r="G20" s="623">
        <f>+F20+E20</f>
        <v>80007</v>
      </c>
      <c r="H20" s="623"/>
      <c r="I20" s="624">
        <f>+H20+G20</f>
        <v>80007</v>
      </c>
      <c r="K20" s="747"/>
    </row>
    <row r="21" spans="1:11" ht="15.75" customHeight="1">
      <c r="A21" s="613">
        <v>13</v>
      </c>
      <c r="B21" s="689" t="s">
        <v>37</v>
      </c>
      <c r="C21" s="623">
        <v>14</v>
      </c>
      <c r="D21" s="623">
        <f>+'Sch 1.2 RsA '!C25</f>
        <v>-3</v>
      </c>
      <c r="E21" s="623">
        <f>SUM(C21:D21)</f>
        <v>11</v>
      </c>
      <c r="F21" s="623">
        <f>+'Sch 1.3 PfA '!C26</f>
        <v>48</v>
      </c>
      <c r="G21" s="623">
        <f>+F21+E21</f>
        <v>59</v>
      </c>
      <c r="H21" s="623"/>
      <c r="I21" s="624">
        <f>+H21+G21</f>
        <v>59</v>
      </c>
      <c r="K21" s="747"/>
    </row>
    <row r="22" spans="1:11" ht="15.75" customHeight="1">
      <c r="A22" s="613">
        <v>14</v>
      </c>
      <c r="B22" s="689" t="s">
        <v>38</v>
      </c>
      <c r="C22" s="626">
        <v>-4366</v>
      </c>
      <c r="D22" s="626">
        <f>+'Sch 1.2 RsA '!C26</f>
        <v>5333</v>
      </c>
      <c r="E22" s="626">
        <f>SUM(C22:D22)</f>
        <v>967</v>
      </c>
      <c r="F22" s="626">
        <f>+'Sch 1.3 PfA '!C27</f>
        <v>0</v>
      </c>
      <c r="G22" s="626">
        <f>+F22+E22</f>
        <v>967</v>
      </c>
      <c r="H22" s="626"/>
      <c r="I22" s="627">
        <f>+H22+G22</f>
        <v>967</v>
      </c>
      <c r="K22" s="747"/>
    </row>
    <row r="23" spans="1:11" ht="15.75" customHeight="1">
      <c r="A23" s="613">
        <v>15</v>
      </c>
      <c r="B23" s="693" t="s">
        <v>39</v>
      </c>
      <c r="C23" s="623">
        <f t="shared" ref="C23:I23" si="1">SUM(C19:C22)</f>
        <v>186950</v>
      </c>
      <c r="D23" s="623">
        <f t="shared" si="1"/>
        <v>-105965</v>
      </c>
      <c r="E23" s="623">
        <f t="shared" si="1"/>
        <v>80985</v>
      </c>
      <c r="F23" s="623">
        <f>SUM(F20:F22)</f>
        <v>48</v>
      </c>
      <c r="G23" s="623">
        <f t="shared" si="1"/>
        <v>81033</v>
      </c>
      <c r="H23" s="623">
        <f t="shared" si="1"/>
        <v>0</v>
      </c>
      <c r="I23" s="624">
        <f t="shared" si="1"/>
        <v>81033</v>
      </c>
      <c r="K23" s="747"/>
    </row>
    <row r="24" spans="1:11" ht="15.75" customHeight="1">
      <c r="A24" s="613">
        <v>16</v>
      </c>
      <c r="B24" s="691"/>
      <c r="C24" s="623"/>
      <c r="D24" s="623"/>
      <c r="E24" s="623"/>
      <c r="F24" s="623"/>
      <c r="G24" s="623"/>
      <c r="H24" s="624"/>
      <c r="I24" s="624"/>
      <c r="K24" s="747"/>
    </row>
    <row r="25" spans="1:11" ht="15.75" customHeight="1">
      <c r="A25" s="613">
        <v>17</v>
      </c>
      <c r="B25" s="691" t="s">
        <v>40</v>
      </c>
      <c r="C25" s="623"/>
      <c r="D25" s="623"/>
      <c r="E25" s="623"/>
      <c r="F25" s="623"/>
      <c r="G25" s="623"/>
      <c r="H25" s="623"/>
      <c r="I25" s="624"/>
      <c r="K25" s="747"/>
    </row>
    <row r="26" spans="1:11" ht="15.75" customHeight="1" thickBot="1">
      <c r="A26" s="613">
        <v>18</v>
      </c>
      <c r="B26" s="689" t="s">
        <v>41</v>
      </c>
      <c r="C26" s="623">
        <v>585</v>
      </c>
      <c r="D26" s="623">
        <f>+'Sch 1.2 RsA '!C30</f>
        <v>88</v>
      </c>
      <c r="E26" s="623">
        <f>SUM(C26:D26)</f>
        <v>673</v>
      </c>
      <c r="F26" s="623">
        <f>+'Sch 1.3 PfA '!C31</f>
        <v>0</v>
      </c>
      <c r="G26" s="623">
        <f>+F26+E26</f>
        <v>673</v>
      </c>
      <c r="H26" s="623"/>
      <c r="I26" s="624">
        <f>+H26+G26</f>
        <v>673</v>
      </c>
      <c r="K26" s="748"/>
    </row>
    <row r="27" spans="1:11" ht="15.75" customHeight="1">
      <c r="A27" s="613">
        <v>19</v>
      </c>
      <c r="B27" s="689" t="s">
        <v>42</v>
      </c>
      <c r="C27" s="623">
        <v>395</v>
      </c>
      <c r="D27" s="623">
        <f>+'Sch 1.2 RsA '!C31</f>
        <v>0</v>
      </c>
      <c r="E27" s="623">
        <f>SUM(C27:D27)</f>
        <v>395</v>
      </c>
      <c r="F27" s="623">
        <f>+'Sch 1.3 PfA '!C32</f>
        <v>-63</v>
      </c>
      <c r="G27" s="623">
        <f>+F27+E27</f>
        <v>332</v>
      </c>
      <c r="H27" s="623"/>
      <c r="I27" s="624">
        <f>+H27+G27</f>
        <v>332</v>
      </c>
    </row>
    <row r="28" spans="1:11" ht="15.75" customHeight="1">
      <c r="A28" s="613">
        <v>20</v>
      </c>
      <c r="B28" s="689" t="s">
        <v>43</v>
      </c>
      <c r="C28" s="626">
        <v>19</v>
      </c>
      <c r="D28" s="626">
        <f>+'Sch 1.2 RsA '!C32</f>
        <v>0</v>
      </c>
      <c r="E28" s="626">
        <f>SUM(C28:D28)</f>
        <v>19</v>
      </c>
      <c r="F28" s="626">
        <f>+'Sch 1.3 PfA '!C33</f>
        <v>3</v>
      </c>
      <c r="G28" s="626">
        <f>+F28+E28</f>
        <v>22</v>
      </c>
      <c r="H28" s="626"/>
      <c r="I28" s="627">
        <f>+H28+G28</f>
        <v>22</v>
      </c>
    </row>
    <row r="29" spans="1:11" ht="15.75" customHeight="1">
      <c r="A29" s="613">
        <v>21</v>
      </c>
      <c r="B29" s="693" t="s">
        <v>44</v>
      </c>
      <c r="C29" s="623">
        <f t="shared" ref="C29:I29" si="2">SUM(C26:C28)</f>
        <v>999</v>
      </c>
      <c r="D29" s="623">
        <f t="shared" si="2"/>
        <v>88</v>
      </c>
      <c r="E29" s="623">
        <f t="shared" si="2"/>
        <v>1087</v>
      </c>
      <c r="F29" s="623">
        <f t="shared" si="2"/>
        <v>-60</v>
      </c>
      <c r="G29" s="623">
        <f t="shared" si="2"/>
        <v>1027</v>
      </c>
      <c r="H29" s="623">
        <f t="shared" si="2"/>
        <v>0</v>
      </c>
      <c r="I29" s="624">
        <f t="shared" si="2"/>
        <v>1027</v>
      </c>
    </row>
    <row r="30" spans="1:11" ht="15.75" customHeight="1">
      <c r="A30" s="613">
        <v>22</v>
      </c>
      <c r="B30" s="691"/>
      <c r="C30" s="623"/>
      <c r="D30" s="623"/>
      <c r="E30" s="623"/>
      <c r="F30" s="623"/>
      <c r="G30" s="623"/>
      <c r="H30" s="624"/>
      <c r="I30" s="624"/>
    </row>
    <row r="31" spans="1:11" ht="15.75" customHeight="1">
      <c r="A31" s="613">
        <v>23</v>
      </c>
      <c r="B31" s="691" t="s">
        <v>45</v>
      </c>
      <c r="C31" s="623"/>
      <c r="D31" s="623"/>
      <c r="E31" s="623"/>
      <c r="F31" s="623"/>
      <c r="G31" s="623"/>
      <c r="H31" s="623"/>
      <c r="I31" s="624"/>
    </row>
    <row r="32" spans="1:11" ht="15.75" customHeight="1">
      <c r="A32" s="613">
        <v>24</v>
      </c>
      <c r="B32" s="689" t="s">
        <v>41</v>
      </c>
      <c r="C32" s="623">
        <v>8854</v>
      </c>
      <c r="D32" s="623">
        <f>+'Sch 1.2 RsA '!C36</f>
        <v>0</v>
      </c>
      <c r="E32" s="623">
        <f>SUM(C32:D32)</f>
        <v>8854</v>
      </c>
      <c r="F32" s="623">
        <f>+'Sch 1.3 PfA '!C37</f>
        <v>740</v>
      </c>
      <c r="G32" s="623">
        <f>+F32+E32</f>
        <v>9594</v>
      </c>
      <c r="H32" s="623"/>
      <c r="I32" s="624">
        <f>+H32+G32</f>
        <v>9594</v>
      </c>
    </row>
    <row r="33" spans="1:9" ht="15.75" customHeight="1">
      <c r="A33" s="613">
        <v>25</v>
      </c>
      <c r="B33" s="689" t="s">
        <v>42</v>
      </c>
      <c r="C33" s="623">
        <v>6652</v>
      </c>
      <c r="D33" s="623">
        <f>+'Sch 1.2 RsA '!C37</f>
        <v>-3</v>
      </c>
      <c r="E33" s="623">
        <f>SUM(C33:D33)</f>
        <v>6649</v>
      </c>
      <c r="F33" s="623">
        <f>+'Sch 1.3 PfA '!C38</f>
        <v>325</v>
      </c>
      <c r="G33" s="623">
        <f>+F33+E33</f>
        <v>6974</v>
      </c>
      <c r="H33" s="623"/>
      <c r="I33" s="624">
        <f>+H33+G33</f>
        <v>6974</v>
      </c>
    </row>
    <row r="34" spans="1:9" ht="15.75" customHeight="1">
      <c r="A34" s="613">
        <v>26</v>
      </c>
      <c r="B34" s="689" t="s">
        <v>43</v>
      </c>
      <c r="C34" s="626">
        <v>14264</v>
      </c>
      <c r="D34" s="626">
        <f>+'Sch 1.2 RsA '!C38</f>
        <v>-6608</v>
      </c>
      <c r="E34" s="626">
        <f>SUM(C34:D34)</f>
        <v>7656</v>
      </c>
      <c r="F34" s="626">
        <f>+'Sch 1.3 PfA '!C39</f>
        <v>57</v>
      </c>
      <c r="G34" s="626">
        <f>+F34+E34</f>
        <v>7713</v>
      </c>
      <c r="H34" s="630">
        <f>H14*' Sch 3 RCF '!F16</f>
        <v>43.544168008747867</v>
      </c>
      <c r="I34" s="627">
        <f>+H34+G34</f>
        <v>7756.5441680087479</v>
      </c>
    </row>
    <row r="35" spans="1:9" ht="15.75" customHeight="1">
      <c r="A35" s="613">
        <v>27</v>
      </c>
      <c r="B35" s="693" t="s">
        <v>46</v>
      </c>
      <c r="C35" s="623">
        <f t="shared" ref="C35:I35" si="3">SUM(C32:C34)</f>
        <v>29770</v>
      </c>
      <c r="D35" s="623">
        <f t="shared" si="3"/>
        <v>-6611</v>
      </c>
      <c r="E35" s="623">
        <f t="shared" si="3"/>
        <v>23159</v>
      </c>
      <c r="F35" s="623">
        <f t="shared" si="3"/>
        <v>1122</v>
      </c>
      <c r="G35" s="623">
        <f t="shared" si="3"/>
        <v>24281</v>
      </c>
      <c r="H35" s="623">
        <f t="shared" si="3"/>
        <v>43.544168008747867</v>
      </c>
      <c r="I35" s="624">
        <f t="shared" si="3"/>
        <v>24324.544168008746</v>
      </c>
    </row>
    <row r="36" spans="1:9" ht="15.75" customHeight="1">
      <c r="A36" s="613">
        <v>28</v>
      </c>
      <c r="B36" s="691"/>
      <c r="C36" s="623"/>
      <c r="D36" s="623"/>
      <c r="E36" s="623"/>
      <c r="F36" s="623"/>
      <c r="G36" s="623"/>
      <c r="H36" s="624"/>
      <c r="I36" s="624"/>
    </row>
    <row r="37" spans="1:9" ht="15.75" customHeight="1">
      <c r="A37" s="613">
        <v>29</v>
      </c>
      <c r="B37" s="694" t="s">
        <v>47</v>
      </c>
      <c r="C37" s="623">
        <v>6121</v>
      </c>
      <c r="D37" s="623">
        <f>+'Sch 1.2 RsA '!C41</f>
        <v>-428</v>
      </c>
      <c r="E37" s="623">
        <f>SUM(C37:D37)</f>
        <v>5693</v>
      </c>
      <c r="F37" s="623">
        <f>+'Sch 1.3 PfA '!C42</f>
        <v>333</v>
      </c>
      <c r="G37" s="623">
        <f>+F37+E37</f>
        <v>6026</v>
      </c>
      <c r="H37" s="631">
        <f>H14*' Sch 3 RCF '!F17</f>
        <v>4.925171229291843</v>
      </c>
      <c r="I37" s="624">
        <f>+H37+G37</f>
        <v>6030.9251712292917</v>
      </c>
    </row>
    <row r="38" spans="1:9" ht="15.75" customHeight="1">
      <c r="A38" s="613">
        <v>30</v>
      </c>
      <c r="B38" s="694" t="s">
        <v>48</v>
      </c>
      <c r="C38" s="623">
        <v>9783</v>
      </c>
      <c r="D38" s="623">
        <f>+'Sch 1.2 RsA '!C42</f>
        <v>-8960</v>
      </c>
      <c r="E38" s="623">
        <f>SUM(C38:D38)</f>
        <v>823</v>
      </c>
      <c r="F38" s="623">
        <f>+'Sch 1.3 PfA '!C43</f>
        <v>29</v>
      </c>
      <c r="G38" s="623">
        <f>+F38+E38</f>
        <v>852</v>
      </c>
      <c r="H38" s="623"/>
      <c r="I38" s="624">
        <f>+H38+G38</f>
        <v>852</v>
      </c>
    </row>
    <row r="39" spans="1:9" ht="15.75" customHeight="1">
      <c r="A39" s="613">
        <v>31</v>
      </c>
      <c r="B39" s="694" t="s">
        <v>49</v>
      </c>
      <c r="C39" s="626">
        <v>3</v>
      </c>
      <c r="D39" s="626">
        <f>+'Sch 1.2 RsA '!C43</f>
        <v>0</v>
      </c>
      <c r="E39" s="626">
        <f>SUM(C39:D39)</f>
        <v>3</v>
      </c>
      <c r="F39" s="626">
        <f>+'Sch 1.3 PfA '!C44</f>
        <v>0</v>
      </c>
      <c r="G39" s="626">
        <f>+F39+E39</f>
        <v>3</v>
      </c>
      <c r="H39" s="626"/>
      <c r="I39" s="627">
        <f>+H39+G39</f>
        <v>3</v>
      </c>
    </row>
    <row r="40" spans="1:9" ht="15.75" customHeight="1">
      <c r="A40" s="613">
        <v>32</v>
      </c>
      <c r="B40" s="691"/>
      <c r="C40" s="623">
        <f>+SUM(C37:C39)</f>
        <v>15907</v>
      </c>
      <c r="D40" s="623">
        <f t="shared" ref="D40:I40" si="4">+SUM(D37:D39)</f>
        <v>-9388</v>
      </c>
      <c r="E40" s="623">
        <f t="shared" si="4"/>
        <v>6519</v>
      </c>
      <c r="F40" s="623">
        <f t="shared" si="4"/>
        <v>362</v>
      </c>
      <c r="G40" s="623">
        <f t="shared" si="4"/>
        <v>6881</v>
      </c>
      <c r="H40" s="624">
        <f t="shared" si="4"/>
        <v>4.925171229291843</v>
      </c>
      <c r="I40" s="624">
        <f t="shared" si="4"/>
        <v>6885.9251712292917</v>
      </c>
    </row>
    <row r="41" spans="1:9" ht="15.75" customHeight="1">
      <c r="A41" s="613">
        <v>33</v>
      </c>
      <c r="B41" s="692" t="s">
        <v>50</v>
      </c>
      <c r="C41" s="623"/>
      <c r="D41" s="623"/>
      <c r="E41" s="623"/>
      <c r="F41" s="623"/>
      <c r="G41" s="623"/>
      <c r="H41" s="623"/>
      <c r="I41" s="624"/>
    </row>
    <row r="42" spans="1:9" ht="15.75" customHeight="1">
      <c r="A42" s="613">
        <v>34</v>
      </c>
      <c r="B42" s="689" t="s">
        <v>41</v>
      </c>
      <c r="C42" s="623">
        <v>11384</v>
      </c>
      <c r="D42" s="623">
        <f>+'Sch 1.2 RsA '!C47</f>
        <v>-79</v>
      </c>
      <c r="E42" s="623">
        <f>SUM(C42:D42)</f>
        <v>11305</v>
      </c>
      <c r="F42" s="623">
        <f>+'Sch 1.3 PfA '!C47</f>
        <v>149</v>
      </c>
      <c r="G42" s="623">
        <f>+F42+E42</f>
        <v>11454</v>
      </c>
      <c r="H42" s="631">
        <f>H14*' Sch 3 RCF '!F15</f>
        <v>2.2707105713655342</v>
      </c>
      <c r="I42" s="624">
        <f>+H42+G42</f>
        <v>11456.270710571365</v>
      </c>
    </row>
    <row r="43" spans="1:9" ht="15.75" customHeight="1">
      <c r="A43" s="613">
        <v>35</v>
      </c>
      <c r="B43" s="689" t="s">
        <v>42</v>
      </c>
      <c r="C43" s="623">
        <v>2734</v>
      </c>
      <c r="D43" s="623">
        <f>+'Sch 1.2 RsA '!C48</f>
        <v>0</v>
      </c>
      <c r="E43" s="623">
        <f>SUM(C43:D43)</f>
        <v>2734</v>
      </c>
      <c r="F43" s="623">
        <f>+'Sch 1.3 PfA '!C48</f>
        <v>581</v>
      </c>
      <c r="G43" s="623">
        <f>+F43+E43</f>
        <v>3315</v>
      </c>
      <c r="H43" s="623"/>
      <c r="I43" s="624">
        <f>+H43+G43</f>
        <v>3315</v>
      </c>
    </row>
    <row r="44" spans="1:9" ht="15.75" customHeight="1">
      <c r="A44" s="613">
        <v>36</v>
      </c>
      <c r="B44" s="689" t="s">
        <v>375</v>
      </c>
      <c r="C44" s="623">
        <v>-186</v>
      </c>
      <c r="D44" s="623">
        <f>+'Sch 1.2 RsA '!C49</f>
        <v>-263</v>
      </c>
      <c r="E44" s="623">
        <f>SUM(C44:D44)</f>
        <v>-449</v>
      </c>
      <c r="F44" s="623">
        <f>+'Sch 1.3 PfA '!C49</f>
        <v>0</v>
      </c>
      <c r="G44" s="623">
        <f>+F44+E44</f>
        <v>-449</v>
      </c>
      <c r="H44" s="623"/>
      <c r="I44" s="624">
        <f>+H44+G44</f>
        <v>-449</v>
      </c>
    </row>
    <row r="45" spans="1:9" ht="15.75" customHeight="1">
      <c r="A45" s="613">
        <v>37</v>
      </c>
      <c r="B45" s="689" t="s">
        <v>43</v>
      </c>
      <c r="C45" s="626">
        <v>0</v>
      </c>
      <c r="D45" s="626">
        <f>+'Sch 1.2 RsA '!C50</f>
        <v>0</v>
      </c>
      <c r="E45" s="626">
        <f>SUM(C45:D45)</f>
        <v>0</v>
      </c>
      <c r="F45" s="623">
        <f>+'Sch 1.3 PfA '!C50</f>
        <v>1</v>
      </c>
      <c r="G45" s="626">
        <f>+F45+E45</f>
        <v>1</v>
      </c>
      <c r="H45" s="626"/>
      <c r="I45" s="627">
        <f>+H45+G45</f>
        <v>1</v>
      </c>
    </row>
    <row r="46" spans="1:9" ht="15.75" customHeight="1">
      <c r="A46" s="613">
        <v>38</v>
      </c>
      <c r="B46" s="693" t="s">
        <v>51</v>
      </c>
      <c r="C46" s="632">
        <f t="shared" ref="C46:I46" si="5">SUM(C42:C45)</f>
        <v>13932</v>
      </c>
      <c r="D46" s="632">
        <f t="shared" si="5"/>
        <v>-342</v>
      </c>
      <c r="E46" s="632">
        <f t="shared" si="5"/>
        <v>13590</v>
      </c>
      <c r="F46" s="632">
        <f>SUM(F42:F45)</f>
        <v>731</v>
      </c>
      <c r="G46" s="632">
        <f t="shared" si="5"/>
        <v>14321</v>
      </c>
      <c r="H46" s="623">
        <f t="shared" si="5"/>
        <v>2.2707105713655342</v>
      </c>
      <c r="I46" s="633">
        <f t="shared" si="5"/>
        <v>14323.270710571365</v>
      </c>
    </row>
    <row r="47" spans="1:9" ht="15.75" customHeight="1">
      <c r="A47" s="613">
        <v>39</v>
      </c>
      <c r="B47" s="691"/>
      <c r="C47" s="626"/>
      <c r="D47" s="626"/>
      <c r="E47" s="626"/>
      <c r="F47" s="626"/>
      <c r="G47" s="626"/>
      <c r="H47" s="627"/>
      <c r="I47" s="627"/>
    </row>
    <row r="48" spans="1:9" ht="15.6" customHeight="1">
      <c r="A48" s="613">
        <v>40</v>
      </c>
      <c r="B48" s="692" t="s">
        <v>52</v>
      </c>
      <c r="C48" s="626">
        <f>C17+C23+C29+C35+C37+C38+C39+C46</f>
        <v>247558</v>
      </c>
      <c r="D48" s="626">
        <f>D17+D23+D29+D35+D37+D38+D39+D46</f>
        <v>-122218</v>
      </c>
      <c r="E48" s="626">
        <f>E17+E23+E29+E35+E37+E38+E39+E46</f>
        <v>125340</v>
      </c>
      <c r="F48" s="626">
        <f>F17+F23+F29+F35+F37+F38+F39+F46</f>
        <v>2203</v>
      </c>
      <c r="G48" s="626">
        <f>G17+G23+G29+G35+G37+G38+G39+G46</f>
        <v>127543</v>
      </c>
      <c r="H48" s="634">
        <f>H17+H23+H29+H35+H40+H46</f>
        <v>50.740049809405242</v>
      </c>
      <c r="I48" s="627">
        <f t="shared" ref="I48" si="6">I17+I23+I29+I35+I37+I38+I39+I46</f>
        <v>127593.74004980941</v>
      </c>
    </row>
    <row r="49" spans="1:12" ht="15.6" customHeight="1">
      <c r="A49" s="613">
        <v>41</v>
      </c>
      <c r="B49" s="691"/>
      <c r="C49" s="623"/>
      <c r="D49" s="623"/>
      <c r="E49" s="623"/>
      <c r="F49" s="623"/>
      <c r="G49" s="623"/>
      <c r="H49" s="624"/>
      <c r="I49" s="624"/>
    </row>
    <row r="50" spans="1:12" ht="15.6" customHeight="1">
      <c r="A50" s="613">
        <v>42</v>
      </c>
      <c r="B50" s="694" t="s">
        <v>376</v>
      </c>
      <c r="C50" s="623">
        <f t="shared" ref="C50:I50" si="7">C14-C48</f>
        <v>17681</v>
      </c>
      <c r="D50" s="623">
        <f t="shared" si="7"/>
        <v>2697</v>
      </c>
      <c r="E50" s="623">
        <f t="shared" si="7"/>
        <v>20378</v>
      </c>
      <c r="F50" s="623">
        <f t="shared" si="7"/>
        <v>-2203</v>
      </c>
      <c r="G50" s="623">
        <f>G14-G48</f>
        <v>18175</v>
      </c>
      <c r="H50" s="623">
        <f t="shared" si="7"/>
        <v>1084.6152358733618</v>
      </c>
      <c r="I50" s="624">
        <f t="shared" si="7"/>
        <v>19259.615235873367</v>
      </c>
    </row>
    <row r="51" spans="1:12" ht="15.6" customHeight="1">
      <c r="A51" s="613">
        <v>43</v>
      </c>
      <c r="B51" s="694"/>
      <c r="C51" s="623"/>
      <c r="D51" s="623"/>
      <c r="E51" s="623"/>
      <c r="F51" s="623"/>
      <c r="G51" s="623"/>
      <c r="H51" s="623"/>
      <c r="I51" s="624"/>
    </row>
    <row r="52" spans="1:12" ht="15.6" customHeight="1">
      <c r="A52" s="613">
        <v>44</v>
      </c>
      <c r="B52" s="692" t="s">
        <v>377</v>
      </c>
      <c r="C52" s="623"/>
      <c r="D52" s="623"/>
      <c r="E52" s="623"/>
      <c r="F52" s="623"/>
      <c r="G52" s="623"/>
      <c r="H52" s="623"/>
      <c r="I52" s="624"/>
    </row>
    <row r="53" spans="1:12" ht="15.6" customHeight="1">
      <c r="A53" s="613">
        <v>45</v>
      </c>
      <c r="B53" s="689" t="s">
        <v>53</v>
      </c>
      <c r="C53" s="623">
        <v>-591</v>
      </c>
      <c r="D53" s="623">
        <f>+'Sch 1.2 RsA '!C58</f>
        <v>844</v>
      </c>
      <c r="E53" s="623">
        <f>+D53+C53</f>
        <v>253</v>
      </c>
      <c r="F53" s="623">
        <f>+'Sch 1.3 PfA '!C58</f>
        <v>-770</v>
      </c>
      <c r="G53" s="623">
        <f>+F53+E53</f>
        <v>-517</v>
      </c>
      <c r="H53" s="623">
        <f>+H50*0.35</f>
        <v>379.61533255567662</v>
      </c>
      <c r="I53" s="624">
        <f>+H53+G53</f>
        <v>-137.38466744432338</v>
      </c>
    </row>
    <row r="54" spans="1:12" ht="15.6" customHeight="1">
      <c r="A54" s="613">
        <v>46</v>
      </c>
      <c r="B54" s="689" t="s">
        <v>217</v>
      </c>
      <c r="C54" s="623"/>
      <c r="D54" s="623">
        <f>'Sch 1.2 RsA '!C59</f>
        <v>81</v>
      </c>
      <c r="E54" s="623">
        <f t="shared" ref="E54:E56" si="8">+D54+C54</f>
        <v>81</v>
      </c>
      <c r="F54" s="623">
        <f>+'Sch 1.3 PfA '!C59</f>
        <v>0</v>
      </c>
      <c r="G54" s="623">
        <f>+F54+E54</f>
        <v>81</v>
      </c>
      <c r="H54" s="623"/>
      <c r="I54" s="624">
        <f>+H54+G54</f>
        <v>81</v>
      </c>
    </row>
    <row r="55" spans="1:12" ht="15.6" customHeight="1">
      <c r="A55" s="613">
        <v>47</v>
      </c>
      <c r="B55" s="689" t="s">
        <v>54</v>
      </c>
      <c r="C55" s="623">
        <v>5719</v>
      </c>
      <c r="D55" s="623">
        <f>+'Sch 1.2 RsA '!C60</f>
        <v>-28</v>
      </c>
      <c r="E55" s="623">
        <f t="shared" si="8"/>
        <v>5691</v>
      </c>
      <c r="F55" s="623">
        <f>+'Sch 1.3 PfA '!C60</f>
        <v>0</v>
      </c>
      <c r="G55" s="623">
        <f>+F55+E55</f>
        <v>5691</v>
      </c>
      <c r="H55" s="623"/>
      <c r="I55" s="624">
        <f>+H55+G55</f>
        <v>5691</v>
      </c>
    </row>
    <row r="56" spans="1:12" ht="15.6" customHeight="1">
      <c r="A56" s="613">
        <v>48</v>
      </c>
      <c r="B56" s="689" t="s">
        <v>55</v>
      </c>
      <c r="C56" s="626">
        <v>-27</v>
      </c>
      <c r="D56" s="626">
        <f>+'Sch 1.2 RsA '!C61</f>
        <v>0</v>
      </c>
      <c r="E56" s="626">
        <f t="shared" si="8"/>
        <v>-27</v>
      </c>
      <c r="F56" s="626">
        <f>+'Sch 1.3 PfA '!C61</f>
        <v>0</v>
      </c>
      <c r="G56" s="626">
        <f>+F56+E56</f>
        <v>-27</v>
      </c>
      <c r="H56" s="626"/>
      <c r="I56" s="627">
        <f>+H56+G56</f>
        <v>-27</v>
      </c>
    </row>
    <row r="57" spans="1:12" ht="15.6" customHeight="1">
      <c r="A57" s="613">
        <v>49</v>
      </c>
      <c r="B57" s="693" t="s">
        <v>378</v>
      </c>
      <c r="C57" s="635">
        <f>SUM(C53:C56)</f>
        <v>5101</v>
      </c>
      <c r="D57" s="635">
        <f t="shared" ref="D57:I57" si="9">SUM(D53:D56)</f>
        <v>897</v>
      </c>
      <c r="E57" s="635">
        <f>SUM(E53:E56)</f>
        <v>5998</v>
      </c>
      <c r="F57" s="635">
        <f t="shared" si="9"/>
        <v>-770</v>
      </c>
      <c r="G57" s="635">
        <f t="shared" si="9"/>
        <v>5228</v>
      </c>
      <c r="H57" s="636">
        <f t="shared" si="9"/>
        <v>379.61533255567662</v>
      </c>
      <c r="I57" s="636">
        <f t="shared" si="9"/>
        <v>5607.615332555677</v>
      </c>
    </row>
    <row r="58" spans="1:12" ht="15.6" customHeight="1">
      <c r="A58" s="613">
        <v>50</v>
      </c>
      <c r="C58" s="623"/>
      <c r="H58" s="614"/>
      <c r="I58" s="614"/>
    </row>
    <row r="59" spans="1:12" s="622" customFormat="1" ht="15.6" customHeight="1" thickBot="1">
      <c r="A59" s="613">
        <v>51</v>
      </c>
      <c r="B59" s="617" t="s">
        <v>56</v>
      </c>
      <c r="C59" s="637">
        <f>C50-C57</f>
        <v>12580</v>
      </c>
      <c r="D59" s="637">
        <f t="shared" ref="D59:I59" si="10">D50-D57</f>
        <v>1800</v>
      </c>
      <c r="E59" s="637">
        <f>E50-E57</f>
        <v>14380</v>
      </c>
      <c r="F59" s="637">
        <f t="shared" si="10"/>
        <v>-1433</v>
      </c>
      <c r="G59" s="637">
        <f t="shared" si="10"/>
        <v>12947</v>
      </c>
      <c r="H59" s="638">
        <f>H50-H57</f>
        <v>704.99990331768527</v>
      </c>
      <c r="I59" s="639">
        <f t="shared" si="10"/>
        <v>13651.99990331769</v>
      </c>
      <c r="J59" s="595"/>
      <c r="K59" s="640"/>
      <c r="L59" s="595"/>
    </row>
    <row r="60" spans="1:12" ht="15.6" customHeight="1" thickTop="1">
      <c r="A60" s="613">
        <v>52</v>
      </c>
      <c r="C60" s="623"/>
      <c r="H60" s="614"/>
      <c r="I60" s="614"/>
    </row>
    <row r="61" spans="1:12" ht="15.6" customHeight="1">
      <c r="A61" s="613">
        <v>53</v>
      </c>
      <c r="B61" s="687" t="s">
        <v>57</v>
      </c>
      <c r="C61" s="623"/>
      <c r="H61" s="614"/>
      <c r="I61" s="614"/>
    </row>
    <row r="62" spans="1:12" ht="15.6" customHeight="1">
      <c r="A62" s="613">
        <v>54</v>
      </c>
      <c r="B62" s="592" t="s">
        <v>58</v>
      </c>
      <c r="C62" s="623"/>
      <c r="D62" s="641"/>
      <c r="F62" s="641"/>
      <c r="H62" s="641"/>
      <c r="I62" s="614"/>
    </row>
    <row r="63" spans="1:12" ht="15.6" customHeight="1">
      <c r="A63" s="613">
        <v>55</v>
      </c>
      <c r="B63" s="689" t="s">
        <v>40</v>
      </c>
      <c r="C63" s="619">
        <v>22008</v>
      </c>
      <c r="D63" s="619">
        <f>+'Sch 1.2 RsA '!C68</f>
        <v>0</v>
      </c>
      <c r="E63" s="617">
        <f>SUM(C63:D63)</f>
        <v>22008</v>
      </c>
      <c r="F63" s="619">
        <f>+'Sch 1.3 PfA '!C68</f>
        <v>0</v>
      </c>
      <c r="G63" s="617">
        <f>+F63+E63</f>
        <v>22008</v>
      </c>
      <c r="H63" s="619"/>
      <c r="I63" s="622">
        <f>+H63+G63</f>
        <v>22008</v>
      </c>
    </row>
    <row r="64" spans="1:12" ht="15.6" customHeight="1">
      <c r="A64" s="613">
        <v>56</v>
      </c>
      <c r="B64" s="689" t="s">
        <v>59</v>
      </c>
      <c r="C64" s="623">
        <v>281279</v>
      </c>
      <c r="D64" s="623">
        <f>+'Sch 1.2 RsA '!C69</f>
        <v>0</v>
      </c>
      <c r="E64" s="623">
        <f>SUM(C64:D64)</f>
        <v>281279</v>
      </c>
      <c r="F64" s="623">
        <f>+'Sch 1.3 PfA '!C69</f>
        <v>0</v>
      </c>
      <c r="G64" s="623">
        <f>+F64+E64</f>
        <v>281279</v>
      </c>
      <c r="H64" s="623"/>
      <c r="I64" s="624">
        <f>+H64+G64</f>
        <v>281279</v>
      </c>
    </row>
    <row r="65" spans="1:12" ht="15.6" customHeight="1">
      <c r="A65" s="613">
        <v>57</v>
      </c>
      <c r="B65" s="742" t="s">
        <v>60</v>
      </c>
      <c r="C65" s="626">
        <v>38971</v>
      </c>
      <c r="D65" s="626">
        <f>+'[7]Sch 1.2 RsA '!C70</f>
        <v>0</v>
      </c>
      <c r="E65" s="626">
        <f>SUM(C65:D65)</f>
        <v>38971</v>
      </c>
      <c r="F65" s="626">
        <f>+'[7]Sch 1.3 PfA '!C70</f>
        <v>0</v>
      </c>
      <c r="G65" s="626">
        <f>+F65+E65</f>
        <v>38971</v>
      </c>
      <c r="H65" s="626"/>
      <c r="I65" s="626">
        <f>+H65+G65</f>
        <v>38971</v>
      </c>
    </row>
    <row r="66" spans="1:12" ht="15.6" customHeight="1">
      <c r="A66" s="613">
        <v>58</v>
      </c>
      <c r="B66" s="693" t="s">
        <v>61</v>
      </c>
      <c r="C66" s="623">
        <f t="shared" ref="C66:I66" si="11">SUM(C63:C65)</f>
        <v>342258</v>
      </c>
      <c r="D66" s="623">
        <f t="shared" si="11"/>
        <v>0</v>
      </c>
      <c r="E66" s="623">
        <f t="shared" si="11"/>
        <v>342258</v>
      </c>
      <c r="F66" s="623">
        <f t="shared" si="11"/>
        <v>0</v>
      </c>
      <c r="G66" s="623">
        <f t="shared" si="11"/>
        <v>342258</v>
      </c>
      <c r="H66" s="624">
        <f t="shared" si="11"/>
        <v>0</v>
      </c>
      <c r="I66" s="624">
        <f t="shared" si="11"/>
        <v>342258</v>
      </c>
      <c r="J66" s="642"/>
      <c r="K66" s="642"/>
    </row>
    <row r="67" spans="1:12" ht="15.6" customHeight="1">
      <c r="A67" s="613">
        <v>59</v>
      </c>
      <c r="B67" s="691"/>
      <c r="C67" s="623"/>
      <c r="D67" s="623"/>
      <c r="E67" s="623"/>
      <c r="F67" s="623"/>
      <c r="G67" s="623"/>
      <c r="H67" s="624"/>
      <c r="I67" s="624"/>
      <c r="J67" s="642"/>
      <c r="K67" s="642"/>
    </row>
    <row r="68" spans="1:12" ht="15.6" customHeight="1">
      <c r="A68" s="613">
        <v>60</v>
      </c>
      <c r="B68" s="691" t="s">
        <v>62</v>
      </c>
      <c r="C68" s="623"/>
      <c r="D68" s="623"/>
      <c r="E68" s="623"/>
      <c r="F68" s="623"/>
      <c r="G68" s="623"/>
      <c r="H68" s="623"/>
      <c r="I68" s="624"/>
      <c r="J68" s="642"/>
      <c r="K68" s="642"/>
    </row>
    <row r="69" spans="1:12" ht="15.6" customHeight="1">
      <c r="A69" s="613">
        <v>61</v>
      </c>
      <c r="B69" s="689" t="s">
        <v>40</v>
      </c>
      <c r="C69" s="623">
        <v>8286</v>
      </c>
      <c r="D69" s="623">
        <f>+'Sch 1.2 RsA '!C74</f>
        <v>0</v>
      </c>
      <c r="E69" s="623">
        <f>SUM(C69:D69)</f>
        <v>8286</v>
      </c>
      <c r="F69" s="623">
        <f>+'Sch 1.3 PfA '!C74</f>
        <v>0</v>
      </c>
      <c r="G69" s="623">
        <f>+F69+E69</f>
        <v>8286</v>
      </c>
      <c r="H69" s="623"/>
      <c r="I69" s="624">
        <f>+H69+G69</f>
        <v>8286</v>
      </c>
      <c r="J69" s="642"/>
      <c r="K69" s="642"/>
    </row>
    <row r="70" spans="1:12" ht="15.6" customHeight="1">
      <c r="A70" s="613">
        <v>62</v>
      </c>
      <c r="B70" s="689" t="s">
        <v>59</v>
      </c>
      <c r="C70" s="623">
        <v>97489</v>
      </c>
      <c r="D70" s="623">
        <f>+'Sch 1.2 RsA '!C75</f>
        <v>0</v>
      </c>
      <c r="E70" s="623">
        <f>SUM(C70:D70)</f>
        <v>97489</v>
      </c>
      <c r="F70" s="623">
        <f>+'Sch 1.3 PfA '!C75</f>
        <v>0</v>
      </c>
      <c r="G70" s="623">
        <f>+F70+E70</f>
        <v>97489</v>
      </c>
      <c r="H70" s="623"/>
      <c r="I70" s="624">
        <f>+H70+G70</f>
        <v>97489</v>
      </c>
      <c r="J70" s="642"/>
      <c r="K70" s="642"/>
    </row>
    <row r="71" spans="1:12" ht="15.6" customHeight="1">
      <c r="A71" s="613">
        <v>63</v>
      </c>
      <c r="B71" s="689" t="s">
        <v>60</v>
      </c>
      <c r="C71" s="623">
        <v>10926</v>
      </c>
      <c r="D71" s="626">
        <f>+'Sch 1.2 RsA '!C76</f>
        <v>0</v>
      </c>
      <c r="E71" s="623">
        <f>SUM(C71:D71)</f>
        <v>10926</v>
      </c>
      <c r="F71" s="626">
        <f>+'Sch 1.3 PfA '!C76</f>
        <v>0</v>
      </c>
      <c r="G71" s="626">
        <f>+F71+E71</f>
        <v>10926</v>
      </c>
      <c r="H71" s="626"/>
      <c r="I71" s="627">
        <f>+H71+G71</f>
        <v>10926</v>
      </c>
      <c r="J71" s="642"/>
      <c r="K71" s="642"/>
    </row>
    <row r="72" spans="1:12" ht="15.6" customHeight="1">
      <c r="A72" s="613">
        <v>64</v>
      </c>
      <c r="B72" s="693" t="s">
        <v>379</v>
      </c>
      <c r="C72" s="632">
        <f t="shared" ref="C72:I72" si="12">SUM(C69:C71)</f>
        <v>116701</v>
      </c>
      <c r="D72" s="632">
        <f t="shared" si="12"/>
        <v>0</v>
      </c>
      <c r="E72" s="632">
        <f t="shared" si="12"/>
        <v>116701</v>
      </c>
      <c r="F72" s="632">
        <f t="shared" si="12"/>
        <v>0</v>
      </c>
      <c r="G72" s="632">
        <f t="shared" si="12"/>
        <v>116701</v>
      </c>
      <c r="H72" s="633">
        <f t="shared" si="12"/>
        <v>0</v>
      </c>
      <c r="I72" s="633">
        <f t="shared" si="12"/>
        <v>116701</v>
      </c>
      <c r="J72" s="642"/>
      <c r="K72" s="642"/>
    </row>
    <row r="73" spans="1:12" ht="15.6" customHeight="1">
      <c r="A73" s="613">
        <v>65</v>
      </c>
      <c r="B73" s="691"/>
      <c r="C73" s="635"/>
      <c r="D73" s="635"/>
      <c r="E73" s="635"/>
      <c r="F73" s="635"/>
      <c r="G73" s="635"/>
      <c r="H73" s="636"/>
      <c r="I73" s="636"/>
      <c r="J73" s="642"/>
      <c r="K73" s="642"/>
    </row>
    <row r="74" spans="1:12" s="602" customFormat="1" ht="15.6" customHeight="1">
      <c r="A74" s="613">
        <v>66</v>
      </c>
      <c r="B74" s="695" t="s">
        <v>54</v>
      </c>
      <c r="C74" s="635">
        <v>-41707</v>
      </c>
      <c r="D74" s="623">
        <f>+'Sch 1.2 RsA '!C79</f>
        <v>-297</v>
      </c>
      <c r="E74" s="635">
        <f>SUM(C74:D74)</f>
        <v>-42004</v>
      </c>
      <c r="F74" s="623">
        <f>+'Sch 1.3 PfA '!C79</f>
        <v>0</v>
      </c>
      <c r="G74" s="623">
        <f>+F74+E74</f>
        <v>-42004</v>
      </c>
      <c r="H74" s="623"/>
      <c r="I74" s="624">
        <f>+H74+G74</f>
        <v>-42004</v>
      </c>
      <c r="J74" s="642"/>
      <c r="K74" s="642"/>
      <c r="L74" s="595"/>
    </row>
    <row r="75" spans="1:12" ht="15.6" customHeight="1">
      <c r="A75" s="613">
        <v>67</v>
      </c>
      <c r="B75" s="689" t="s">
        <v>115</v>
      </c>
      <c r="C75" s="623">
        <v>13753</v>
      </c>
      <c r="D75" s="623">
        <f>+'Sch 1.2 RsA '!C80</f>
        <v>-10773</v>
      </c>
      <c r="E75" s="635">
        <f>SUM(C75:D75)</f>
        <v>2980</v>
      </c>
      <c r="F75" s="623">
        <f>+'Sch 1.3 PfA '!C80</f>
        <v>0</v>
      </c>
      <c r="G75" s="623">
        <f>+F75+E75</f>
        <v>2980</v>
      </c>
      <c r="H75" s="623"/>
      <c r="I75" s="624">
        <f>+H75+G75</f>
        <v>2980</v>
      </c>
      <c r="J75" s="642"/>
      <c r="K75" s="642"/>
    </row>
    <row r="76" spans="1:12" ht="15.6" customHeight="1">
      <c r="A76" s="613">
        <v>68</v>
      </c>
      <c r="B76" s="689" t="s">
        <v>380</v>
      </c>
      <c r="C76" s="623">
        <v>-14</v>
      </c>
      <c r="D76" s="623">
        <f>+'Sch 1.2 RsA '!C81</f>
        <v>14</v>
      </c>
      <c r="E76" s="635">
        <f>SUM(C76:D76)</f>
        <v>0</v>
      </c>
      <c r="F76" s="623">
        <f>+'Sch 1.3 PfA '!C81</f>
        <v>0</v>
      </c>
      <c r="G76" s="623">
        <f>+F76+E76</f>
        <v>0</v>
      </c>
      <c r="H76" s="623"/>
      <c r="I76" s="624">
        <f>+H76+G76</f>
        <v>0</v>
      </c>
      <c r="J76" s="642"/>
      <c r="K76" s="642"/>
    </row>
    <row r="77" spans="1:12" ht="15.6" customHeight="1">
      <c r="A77" s="613">
        <v>69</v>
      </c>
      <c r="B77" s="689" t="s">
        <v>381</v>
      </c>
      <c r="C77" s="623">
        <v>-1010</v>
      </c>
      <c r="D77" s="623">
        <f>+'Sch 1.2 RsA '!C82</f>
        <v>-2</v>
      </c>
      <c r="E77" s="635">
        <f>SUM(C77:D77)</f>
        <v>-1012</v>
      </c>
      <c r="F77" s="623">
        <f>+'Sch 1.3 PfA '!C82</f>
        <v>0</v>
      </c>
      <c r="G77" s="623">
        <f>+F77+E77</f>
        <v>-1012</v>
      </c>
      <c r="H77" s="623"/>
      <c r="I77" s="624">
        <f>+H77+G77</f>
        <v>-1012</v>
      </c>
      <c r="J77" s="643"/>
      <c r="K77" s="642"/>
    </row>
    <row r="78" spans="1:12" ht="15.6" customHeight="1">
      <c r="A78" s="613">
        <v>70</v>
      </c>
      <c r="B78" s="689" t="s">
        <v>167</v>
      </c>
      <c r="C78" s="626"/>
      <c r="D78" s="626">
        <f>+'Sch 1.2 RsA '!C83</f>
        <v>3568</v>
      </c>
      <c r="E78" s="626">
        <f>SUM(C78:D78)</f>
        <v>3568</v>
      </c>
      <c r="F78" s="626">
        <f>+'Sch 1.3 PfA '!C83</f>
        <v>0</v>
      </c>
      <c r="G78" s="626">
        <f>+F78+E78</f>
        <v>3568</v>
      </c>
      <c r="H78" s="626"/>
      <c r="I78" s="627">
        <f>+H78+G78</f>
        <v>3568</v>
      </c>
      <c r="J78" s="642"/>
      <c r="K78" s="642"/>
    </row>
    <row r="79" spans="1:12" s="622" customFormat="1" ht="15.6" customHeight="1" thickBot="1">
      <c r="A79" s="613">
        <v>72</v>
      </c>
      <c r="B79" s="696" t="s">
        <v>63</v>
      </c>
      <c r="C79" s="644">
        <f>C66-C72+C74+C75+C78+C77+C76</f>
        <v>196579</v>
      </c>
      <c r="D79" s="637">
        <f t="shared" ref="D79:I79" si="13">D66-D72+D74+D75+D78+D77+D76</f>
        <v>-7490</v>
      </c>
      <c r="E79" s="644">
        <f>E66-E72+E74+E75+E78+E77+E76</f>
        <v>189089</v>
      </c>
      <c r="F79" s="644">
        <f>F66-F72+F74+F75+F78+F77+F76</f>
        <v>0</v>
      </c>
      <c r="G79" s="637">
        <f t="shared" si="13"/>
        <v>189089</v>
      </c>
      <c r="H79" s="639">
        <f t="shared" si="13"/>
        <v>0</v>
      </c>
      <c r="I79" s="639">
        <f t="shared" si="13"/>
        <v>189089</v>
      </c>
      <c r="J79" s="645"/>
      <c r="K79" s="645"/>
      <c r="L79" s="595"/>
    </row>
    <row r="80" spans="1:12" ht="15.6" customHeight="1" thickTop="1" thickBot="1">
      <c r="A80" s="613">
        <v>73</v>
      </c>
      <c r="B80" s="687" t="s">
        <v>64</v>
      </c>
      <c r="C80" s="646">
        <f>ROUND(C59/C79,4)</f>
        <v>6.4000000000000001E-2</v>
      </c>
      <c r="D80" s="647"/>
      <c r="E80" s="646">
        <f>ROUND(E59/E79,4)</f>
        <v>7.5999999999999998E-2</v>
      </c>
      <c r="F80" s="647"/>
      <c r="G80" s="646">
        <f>ROUND(G59/G79,4)</f>
        <v>6.8500000000000005E-2</v>
      </c>
      <c r="H80" s="648"/>
      <c r="I80" s="649">
        <f>ROUND(I59/I79,4)</f>
        <v>7.22E-2</v>
      </c>
      <c r="J80" s="642"/>
      <c r="K80" s="642"/>
    </row>
    <row r="81" spans="1:11" ht="15.75" customHeight="1" thickTop="1">
      <c r="A81" s="650"/>
      <c r="B81" s="697"/>
      <c r="C81" s="651"/>
      <c r="D81" s="647"/>
      <c r="E81" s="651"/>
      <c r="F81" s="647"/>
      <c r="G81" s="651"/>
      <c r="H81" s="648"/>
      <c r="I81" s="652"/>
      <c r="J81" s="642"/>
      <c r="K81" s="642"/>
    </row>
    <row r="82" spans="1:11" ht="15.75" customHeight="1">
      <c r="J82" s="642"/>
      <c r="K82" s="642"/>
    </row>
    <row r="83" spans="1:11" ht="15.75" customHeight="1">
      <c r="J83" s="642"/>
      <c r="K83" s="642"/>
    </row>
    <row r="84" spans="1:11" ht="15.75" customHeight="1">
      <c r="J84" s="642"/>
      <c r="K84" s="642"/>
    </row>
  </sheetData>
  <mergeCells count="2">
    <mergeCell ref="D2:E2"/>
    <mergeCell ref="K19:K26"/>
  </mergeCells>
  <printOptions horizontalCentered="1"/>
  <pageMargins left="0" right="0" top="0.75" bottom="0.3" header="0.3" footer="0.3"/>
  <pageSetup scale="54" orientation="portrait" r:id="rId1"/>
  <headerFooter scaleWithDoc="0" alignWithMargins="0">
    <oddHeader>&amp;L&amp;"Arial,Regular"&amp;10Avista Corporation
&amp;"Arial,Bold"Natural Gas - Results of Operations (Schedule 1.1)&amp;"Arial,Regular"
Twelve Months Ended December 31, 2011&amp;R&amp;"Arial,Regular"&amp;10Exhibit No. ___ (EJK-2)
Dockets UE-120436 &amp;&amp; UG-120437
Page &amp;P of &amp;N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8"/>
  <sheetViews>
    <sheetView zoomScale="110" zoomScaleNormal="110" zoomScaleSheetLayoutView="100" workbookViewId="0">
      <pane ySplit="9" topLeftCell="A40" activePane="bottomLeft" state="frozen"/>
      <selection pane="bottomLeft" activeCell="E56" sqref="E56"/>
    </sheetView>
  </sheetViews>
  <sheetFormatPr defaultColWidth="12.5" defaultRowHeight="12.75"/>
  <cols>
    <col min="1" max="1" width="5.5" style="355" customWidth="1"/>
    <col min="2" max="3" width="2" style="354" customWidth="1"/>
    <col min="4" max="4" width="39.33203125" style="354" customWidth="1"/>
    <col min="5" max="5" width="15.5" style="523" customWidth="1"/>
    <col min="6" max="7" width="3.33203125" style="354" customWidth="1"/>
    <col min="8" max="8" width="3.33203125" style="524" customWidth="1"/>
    <col min="9" max="15" width="12.5" style="520"/>
    <col min="16" max="16384" width="12.5" style="354"/>
  </cols>
  <sheetData>
    <row r="1" spans="1:60" s="520" customFormat="1">
      <c r="A1" s="353" t="s">
        <v>300</v>
      </c>
      <c r="B1" s="354"/>
      <c r="C1" s="354"/>
      <c r="D1" s="355"/>
      <c r="E1" s="523"/>
      <c r="F1" s="354"/>
      <c r="G1" s="354"/>
      <c r="H1" s="524"/>
      <c r="P1" s="354"/>
      <c r="Q1" s="354"/>
      <c r="R1" s="354"/>
      <c r="S1" s="354"/>
      <c r="T1" s="354"/>
      <c r="U1" s="354"/>
      <c r="V1" s="354"/>
      <c r="W1" s="354"/>
      <c r="X1" s="354"/>
      <c r="Y1" s="354"/>
      <c r="Z1" s="354"/>
      <c r="AA1" s="354"/>
      <c r="AB1" s="354"/>
      <c r="AC1" s="354"/>
      <c r="AD1" s="354"/>
      <c r="AE1" s="354"/>
      <c r="AF1" s="354"/>
      <c r="AG1" s="354"/>
      <c r="AH1" s="354"/>
      <c r="AI1" s="354"/>
      <c r="AJ1" s="354"/>
      <c r="AK1" s="354"/>
      <c r="AL1" s="354"/>
      <c r="AM1" s="354"/>
      <c r="AN1" s="354"/>
      <c r="AO1" s="354"/>
      <c r="AP1" s="354"/>
      <c r="AQ1" s="354"/>
      <c r="AR1" s="354"/>
      <c r="AS1" s="354"/>
      <c r="AT1" s="354"/>
      <c r="AU1" s="354"/>
      <c r="AV1" s="354"/>
      <c r="AW1" s="354"/>
      <c r="AX1" s="354"/>
      <c r="AY1" s="354"/>
      <c r="AZ1" s="354"/>
      <c r="BA1" s="354"/>
      <c r="BB1" s="354"/>
      <c r="BC1" s="354"/>
      <c r="BD1" s="354"/>
      <c r="BE1" s="354"/>
      <c r="BF1" s="354"/>
      <c r="BG1" s="354"/>
      <c r="BH1" s="354"/>
    </row>
    <row r="2" spans="1:60" s="520" customFormat="1">
      <c r="A2" s="353" t="s">
        <v>301</v>
      </c>
      <c r="B2" s="354"/>
      <c r="C2" s="354"/>
      <c r="D2" s="355"/>
      <c r="E2" s="525"/>
      <c r="F2" s="354"/>
      <c r="G2" s="354"/>
      <c r="H2" s="524"/>
      <c r="P2" s="354"/>
      <c r="Q2" s="354"/>
      <c r="R2" s="354"/>
      <c r="S2" s="354"/>
      <c r="T2" s="354"/>
      <c r="U2" s="354"/>
      <c r="V2" s="354"/>
      <c r="W2" s="354"/>
      <c r="X2" s="354"/>
      <c r="Y2" s="354"/>
      <c r="Z2" s="354"/>
      <c r="AA2" s="354"/>
      <c r="AB2" s="354"/>
      <c r="AC2" s="354"/>
      <c r="AD2" s="354"/>
      <c r="AE2" s="354"/>
      <c r="AF2" s="354"/>
      <c r="AG2" s="354"/>
      <c r="AH2" s="354"/>
      <c r="AI2" s="354"/>
      <c r="AJ2" s="354"/>
      <c r="AK2" s="354"/>
      <c r="AL2" s="354"/>
      <c r="AM2" s="354"/>
      <c r="AN2" s="354"/>
      <c r="AO2" s="354"/>
      <c r="AP2" s="354"/>
      <c r="AQ2" s="354"/>
      <c r="AR2" s="354"/>
      <c r="AS2" s="354"/>
      <c r="AT2" s="354"/>
      <c r="AU2" s="354"/>
      <c r="AV2" s="354"/>
      <c r="AW2" s="354"/>
      <c r="AX2" s="354"/>
      <c r="AY2" s="354"/>
      <c r="AZ2" s="354"/>
      <c r="BA2" s="354"/>
      <c r="BB2" s="354"/>
      <c r="BC2" s="354"/>
      <c r="BD2" s="354"/>
      <c r="BE2" s="354"/>
      <c r="BF2" s="354"/>
      <c r="BG2" s="354"/>
      <c r="BH2" s="354"/>
    </row>
    <row r="3" spans="1:60" s="520" customFormat="1">
      <c r="A3" s="353" t="s">
        <v>286</v>
      </c>
      <c r="B3" s="354"/>
      <c r="C3" s="354"/>
      <c r="D3" s="355"/>
      <c r="E3" s="526"/>
      <c r="F3" s="354"/>
      <c r="G3" s="354"/>
      <c r="H3" s="524"/>
      <c r="P3" s="354"/>
      <c r="Q3" s="354"/>
      <c r="R3" s="354"/>
      <c r="S3" s="354"/>
      <c r="T3" s="354"/>
      <c r="U3" s="354"/>
      <c r="V3" s="354"/>
      <c r="W3" s="354"/>
      <c r="X3" s="354"/>
      <c r="Y3" s="354"/>
      <c r="Z3" s="354"/>
      <c r="AA3" s="354"/>
      <c r="AB3" s="354"/>
      <c r="AC3" s="354"/>
      <c r="AD3" s="354"/>
      <c r="AE3" s="354"/>
      <c r="AF3" s="354"/>
      <c r="AG3" s="354"/>
      <c r="AH3" s="354"/>
      <c r="AI3" s="354"/>
      <c r="AJ3" s="354"/>
      <c r="AK3" s="354"/>
      <c r="AL3" s="354"/>
      <c r="AM3" s="354"/>
      <c r="AN3" s="354"/>
      <c r="AO3" s="354"/>
      <c r="AP3" s="354"/>
      <c r="AQ3" s="354"/>
      <c r="AR3" s="354"/>
      <c r="AS3" s="354"/>
      <c r="AT3" s="354"/>
      <c r="AU3" s="354"/>
      <c r="AV3" s="354"/>
      <c r="AW3" s="354"/>
      <c r="AX3" s="354"/>
      <c r="AY3" s="354"/>
      <c r="AZ3" s="354"/>
      <c r="BA3" s="354"/>
      <c r="BB3" s="354"/>
      <c r="BC3" s="354"/>
      <c r="BD3" s="354"/>
      <c r="BE3" s="354"/>
      <c r="BF3" s="354"/>
      <c r="BG3" s="354"/>
      <c r="BH3" s="354"/>
    </row>
    <row r="4" spans="1:60" s="520" customFormat="1" ht="12.75" customHeight="1">
      <c r="A4" s="353" t="s">
        <v>302</v>
      </c>
      <c r="B4" s="354"/>
      <c r="C4" s="354"/>
      <c r="D4" s="355"/>
      <c r="E4" s="523"/>
      <c r="F4" s="354"/>
      <c r="G4" s="354"/>
      <c r="H4" s="527"/>
      <c r="P4" s="354"/>
      <c r="Q4" s="354"/>
      <c r="R4" s="354"/>
      <c r="S4" s="354"/>
      <c r="T4" s="354"/>
      <c r="U4" s="354"/>
      <c r="V4" s="354"/>
      <c r="W4" s="354"/>
      <c r="X4" s="354"/>
      <c r="Y4" s="354"/>
      <c r="Z4" s="354"/>
      <c r="AA4" s="354"/>
      <c r="AB4" s="354"/>
      <c r="AC4" s="354"/>
      <c r="AD4" s="354"/>
      <c r="AE4" s="354"/>
      <c r="AF4" s="354"/>
      <c r="AG4" s="354"/>
      <c r="AH4" s="354"/>
      <c r="AI4" s="354"/>
      <c r="AJ4" s="354"/>
      <c r="AK4" s="354"/>
      <c r="AL4" s="354"/>
      <c r="AM4" s="354"/>
      <c r="AN4" s="354"/>
      <c r="AO4" s="354"/>
      <c r="AP4" s="354"/>
      <c r="AQ4" s="354"/>
      <c r="AR4" s="354"/>
      <c r="AS4" s="354"/>
      <c r="AT4" s="354"/>
      <c r="AU4" s="354"/>
      <c r="AV4" s="354"/>
      <c r="AW4" s="354"/>
      <c r="AX4" s="354"/>
      <c r="AY4" s="354"/>
      <c r="AZ4" s="354"/>
      <c r="BA4" s="354"/>
      <c r="BB4" s="354"/>
      <c r="BC4" s="354"/>
      <c r="BD4" s="354"/>
      <c r="BE4" s="354"/>
      <c r="BF4" s="354"/>
      <c r="BG4" s="354"/>
      <c r="BH4" s="354"/>
    </row>
    <row r="5" spans="1:60" s="366" customFormat="1" ht="13.5" customHeight="1">
      <c r="A5" s="365"/>
      <c r="D5" s="365"/>
      <c r="E5" s="528"/>
      <c r="H5" s="527"/>
    </row>
    <row r="6" spans="1:60" s="366" customFormat="1" ht="12" customHeight="1">
      <c r="A6" s="369"/>
      <c r="B6" s="371"/>
      <c r="C6" s="372"/>
      <c r="D6" s="372"/>
      <c r="E6" s="529" t="s">
        <v>79</v>
      </c>
      <c r="H6" s="530"/>
    </row>
    <row r="7" spans="1:60" s="366" customFormat="1" ht="12">
      <c r="A7" s="376" t="s">
        <v>11</v>
      </c>
      <c r="B7" s="378"/>
      <c r="C7" s="379"/>
      <c r="D7" s="379"/>
      <c r="E7" s="531" t="s">
        <v>303</v>
      </c>
      <c r="H7" s="527"/>
    </row>
    <row r="8" spans="1:60" s="366" customFormat="1" ht="12">
      <c r="A8" s="384" t="s">
        <v>18</v>
      </c>
      <c r="B8" s="386"/>
      <c r="C8" s="387"/>
      <c r="D8" s="387" t="s">
        <v>19</v>
      </c>
      <c r="E8" s="532"/>
      <c r="H8" s="527"/>
    </row>
    <row r="9" spans="1:60" s="533" customFormat="1" ht="12">
      <c r="B9" s="534" t="s">
        <v>304</v>
      </c>
      <c r="E9" s="535">
        <v>1.04</v>
      </c>
      <c r="H9" s="536"/>
    </row>
    <row r="10" spans="1:60" s="533" customFormat="1" ht="12">
      <c r="A10" s="454"/>
      <c r="B10" s="357"/>
      <c r="C10" s="357"/>
      <c r="D10" s="357"/>
      <c r="E10" s="359"/>
      <c r="H10" s="536"/>
    </row>
    <row r="11" spans="1:60" s="533" customFormat="1" ht="12">
      <c r="A11" s="454"/>
      <c r="B11" s="357" t="s">
        <v>28</v>
      </c>
      <c r="C11" s="357"/>
      <c r="D11" s="357"/>
      <c r="E11" s="359"/>
      <c r="H11" s="536"/>
    </row>
    <row r="12" spans="1:60" s="520" customFormat="1">
      <c r="A12" s="454">
        <v>1</v>
      </c>
      <c r="B12" s="455" t="s">
        <v>29</v>
      </c>
      <c r="C12" s="455"/>
      <c r="D12" s="455"/>
      <c r="E12" s="456">
        <v>0</v>
      </c>
      <c r="F12" s="354"/>
      <c r="G12" s="354"/>
      <c r="H12" s="524"/>
      <c r="P12" s="354"/>
      <c r="Q12" s="354"/>
      <c r="R12" s="354"/>
      <c r="S12" s="354"/>
      <c r="T12" s="354"/>
      <c r="U12" s="354"/>
      <c r="V12" s="354"/>
      <c r="W12" s="354"/>
      <c r="X12" s="354"/>
      <c r="Y12" s="354"/>
      <c r="Z12" s="354"/>
      <c r="AA12" s="354"/>
      <c r="AB12" s="354"/>
      <c r="AC12" s="354"/>
      <c r="AD12" s="354"/>
      <c r="AE12" s="354"/>
      <c r="AF12" s="354"/>
      <c r="AG12" s="354"/>
      <c r="AH12" s="354"/>
      <c r="AI12" s="354"/>
      <c r="AJ12" s="354"/>
      <c r="AK12" s="354"/>
      <c r="AL12" s="354"/>
      <c r="AM12" s="354"/>
      <c r="AN12" s="354"/>
      <c r="AO12" s="354"/>
      <c r="AP12" s="354"/>
      <c r="AQ12" s="354"/>
      <c r="AR12" s="354"/>
      <c r="AS12" s="354"/>
      <c r="AT12" s="354"/>
      <c r="AU12" s="354"/>
      <c r="AV12" s="354"/>
      <c r="AW12" s="354"/>
      <c r="AX12" s="354"/>
      <c r="AY12" s="354"/>
      <c r="AZ12" s="354"/>
      <c r="BA12" s="354"/>
      <c r="BB12" s="354"/>
      <c r="BC12" s="354"/>
      <c r="BD12" s="354"/>
      <c r="BE12" s="354"/>
      <c r="BF12" s="354"/>
      <c r="BG12" s="354"/>
      <c r="BH12" s="354"/>
    </row>
    <row r="13" spans="1:60" s="537" customFormat="1" ht="12">
      <c r="A13" s="454">
        <v>2</v>
      </c>
      <c r="B13" s="414" t="s">
        <v>31</v>
      </c>
      <c r="C13" s="357"/>
      <c r="D13" s="414"/>
      <c r="E13" s="457">
        <v>0</v>
      </c>
      <c r="H13" s="538"/>
    </row>
    <row r="14" spans="1:60" s="539" customFormat="1" ht="12">
      <c r="A14" s="454">
        <v>3</v>
      </c>
      <c r="B14" s="414" t="s">
        <v>32</v>
      </c>
      <c r="C14" s="357"/>
      <c r="D14" s="414"/>
      <c r="E14" s="458">
        <v>0</v>
      </c>
      <c r="H14" s="540"/>
    </row>
    <row r="15" spans="1:60" s="539" customFormat="1" ht="12">
      <c r="A15" s="454">
        <v>4</v>
      </c>
      <c r="B15" s="357" t="s">
        <v>34</v>
      </c>
      <c r="C15" s="414"/>
      <c r="D15" s="414"/>
      <c r="E15" s="403">
        <f t="shared" ref="E15" si="0">SUM(E12:E14)</f>
        <v>0</v>
      </c>
      <c r="H15" s="540"/>
    </row>
    <row r="16" spans="1:60" s="539" customFormat="1" ht="12">
      <c r="A16" s="454"/>
      <c r="B16" s="357"/>
      <c r="C16" s="414"/>
      <c r="D16" s="414"/>
      <c r="E16" s="459"/>
      <c r="H16" s="541"/>
    </row>
    <row r="17" spans="1:8" s="539" customFormat="1" ht="12">
      <c r="A17" s="454"/>
      <c r="B17" s="357" t="s">
        <v>35</v>
      </c>
      <c r="C17" s="414"/>
      <c r="D17" s="414"/>
      <c r="E17" s="459"/>
      <c r="H17" s="540"/>
    </row>
    <row r="18" spans="1:8" s="539" customFormat="1" ht="12">
      <c r="A18" s="454"/>
      <c r="B18" s="414" t="s">
        <v>275</v>
      </c>
      <c r="C18" s="357"/>
      <c r="D18" s="414"/>
      <c r="E18" s="459"/>
      <c r="H18" s="541"/>
    </row>
    <row r="19" spans="1:8" s="539" customFormat="1" ht="12">
      <c r="A19" s="454">
        <v>5</v>
      </c>
      <c r="B19" s="357"/>
      <c r="C19" s="414" t="s">
        <v>36</v>
      </c>
      <c r="D19" s="414"/>
      <c r="E19" s="457">
        <v>0</v>
      </c>
      <c r="H19" s="540"/>
    </row>
    <row r="20" spans="1:8" s="539" customFormat="1" ht="12">
      <c r="A20" s="454">
        <v>6</v>
      </c>
      <c r="B20" s="357"/>
      <c r="C20" s="414" t="s">
        <v>37</v>
      </c>
      <c r="D20" s="414"/>
      <c r="E20" s="457">
        <v>0</v>
      </c>
      <c r="H20" s="540"/>
    </row>
    <row r="21" spans="1:8" s="539" customFormat="1" ht="12">
      <c r="A21" s="454">
        <v>7</v>
      </c>
      <c r="B21" s="357"/>
      <c r="C21" s="414" t="s">
        <v>38</v>
      </c>
      <c r="D21" s="414"/>
      <c r="E21" s="458">
        <v>0</v>
      </c>
      <c r="H21" s="540"/>
    </row>
    <row r="22" spans="1:8" s="539" customFormat="1" ht="12">
      <c r="A22" s="454">
        <v>8</v>
      </c>
      <c r="B22" s="414" t="s">
        <v>39</v>
      </c>
      <c r="C22" s="414"/>
      <c r="D22" s="357"/>
      <c r="E22" s="405">
        <f t="shared" ref="E22" si="1">SUM(E19:E21)</f>
        <v>0</v>
      </c>
      <c r="H22" s="540"/>
    </row>
    <row r="23" spans="1:8" s="539" customFormat="1" ht="12">
      <c r="A23" s="454"/>
      <c r="B23" s="414"/>
      <c r="C23" s="414"/>
      <c r="D23" s="357"/>
      <c r="E23" s="405"/>
      <c r="H23" s="540"/>
    </row>
    <row r="24" spans="1:8" s="539" customFormat="1" ht="12">
      <c r="A24" s="454"/>
      <c r="B24" s="414" t="s">
        <v>40</v>
      </c>
      <c r="C24" s="357"/>
      <c r="D24" s="414"/>
      <c r="E24" s="459"/>
      <c r="H24" s="540"/>
    </row>
    <row r="25" spans="1:8" s="539" customFormat="1" ht="12">
      <c r="A25" s="454">
        <v>9</v>
      </c>
      <c r="B25" s="357"/>
      <c r="C25" s="414" t="s">
        <v>41</v>
      </c>
      <c r="D25" s="414"/>
      <c r="E25" s="457">
        <v>0</v>
      </c>
      <c r="H25" s="540"/>
    </row>
    <row r="26" spans="1:8" s="539" customFormat="1" ht="12">
      <c r="A26" s="454">
        <v>10</v>
      </c>
      <c r="B26" s="357"/>
      <c r="C26" s="414" t="s">
        <v>221</v>
      </c>
      <c r="D26" s="414"/>
      <c r="E26" s="457">
        <v>0</v>
      </c>
      <c r="H26" s="540"/>
    </row>
    <row r="27" spans="1:8" s="539" customFormat="1" ht="12">
      <c r="A27" s="454">
        <v>11</v>
      </c>
      <c r="B27" s="357"/>
      <c r="C27" s="414" t="s">
        <v>43</v>
      </c>
      <c r="D27" s="414"/>
      <c r="E27" s="458">
        <v>0</v>
      </c>
      <c r="H27" s="541"/>
    </row>
    <row r="28" spans="1:8" s="539" customFormat="1" ht="12">
      <c r="A28" s="454">
        <v>12</v>
      </c>
      <c r="B28" s="414" t="s">
        <v>44</v>
      </c>
      <c r="C28" s="414"/>
      <c r="D28" s="357"/>
      <c r="E28" s="405">
        <f t="shared" ref="E28" si="2">SUM(E25:E27)</f>
        <v>0</v>
      </c>
      <c r="H28" s="540"/>
    </row>
    <row r="29" spans="1:8" s="539" customFormat="1" ht="12">
      <c r="A29" s="454"/>
      <c r="B29" s="414"/>
      <c r="C29" s="414"/>
      <c r="D29" s="357"/>
      <c r="E29" s="405"/>
      <c r="H29" s="540"/>
    </row>
    <row r="30" spans="1:8" s="539" customFormat="1" ht="12">
      <c r="A30" s="454"/>
      <c r="B30" s="414" t="s">
        <v>45</v>
      </c>
      <c r="C30" s="357"/>
      <c r="D30" s="414"/>
      <c r="E30" s="459"/>
      <c r="H30" s="540"/>
    </row>
    <row r="31" spans="1:8" s="539" customFormat="1" ht="12">
      <c r="A31" s="454">
        <v>13</v>
      </c>
      <c r="B31" s="357"/>
      <c r="C31" s="414" t="s">
        <v>41</v>
      </c>
      <c r="D31" s="414"/>
      <c r="E31" s="457">
        <v>0</v>
      </c>
      <c r="H31" s="540"/>
    </row>
    <row r="32" spans="1:8" s="539" customFormat="1" ht="12">
      <c r="A32" s="454">
        <v>14</v>
      </c>
      <c r="B32" s="357"/>
      <c r="C32" s="414" t="s">
        <v>221</v>
      </c>
      <c r="D32" s="414"/>
      <c r="E32" s="457">
        <v>0</v>
      </c>
      <c r="H32" s="540"/>
    </row>
    <row r="33" spans="1:8" s="539" customFormat="1" ht="12">
      <c r="A33" s="454">
        <v>15</v>
      </c>
      <c r="B33" s="357"/>
      <c r="C33" s="414" t="s">
        <v>43</v>
      </c>
      <c r="D33" s="414"/>
      <c r="E33" s="458">
        <v>0</v>
      </c>
      <c r="H33" s="541"/>
    </row>
    <row r="34" spans="1:8" s="539" customFormat="1" ht="12">
      <c r="A34" s="454">
        <v>16</v>
      </c>
      <c r="B34" s="414" t="s">
        <v>46</v>
      </c>
      <c r="C34" s="414"/>
      <c r="D34" s="357"/>
      <c r="E34" s="405">
        <f>SUM(E31:E33)</f>
        <v>0</v>
      </c>
      <c r="H34" s="540"/>
    </row>
    <row r="35" spans="1:8" s="539" customFormat="1" ht="12">
      <c r="A35" s="454"/>
      <c r="B35" s="357"/>
      <c r="C35" s="414"/>
      <c r="D35" s="414"/>
      <c r="E35" s="405"/>
      <c r="H35" s="540"/>
    </row>
    <row r="36" spans="1:8" s="539" customFormat="1" ht="12">
      <c r="A36" s="454">
        <v>17</v>
      </c>
      <c r="B36" s="357" t="s">
        <v>47</v>
      </c>
      <c r="C36" s="414"/>
      <c r="D36" s="414"/>
      <c r="E36" s="460">
        <v>0</v>
      </c>
      <c r="H36" s="540"/>
    </row>
    <row r="37" spans="1:8" s="539" customFormat="1" ht="12">
      <c r="A37" s="454">
        <v>18</v>
      </c>
      <c r="B37" s="357" t="s">
        <v>48</v>
      </c>
      <c r="C37" s="414"/>
      <c r="D37" s="414"/>
      <c r="E37" s="457">
        <v>0</v>
      </c>
      <c r="H37" s="540"/>
    </row>
    <row r="38" spans="1:8" s="539" customFormat="1" ht="12">
      <c r="A38" s="454">
        <v>19</v>
      </c>
      <c r="B38" s="357" t="s">
        <v>49</v>
      </c>
      <c r="C38" s="414"/>
      <c r="D38" s="414"/>
      <c r="E38" s="457">
        <v>0</v>
      </c>
      <c r="H38" s="540"/>
    </row>
    <row r="39" spans="1:8" s="539" customFormat="1" ht="12">
      <c r="A39" s="454"/>
      <c r="B39" s="357"/>
      <c r="C39" s="414"/>
      <c r="D39" s="414"/>
      <c r="E39" s="457"/>
      <c r="H39" s="540"/>
    </row>
    <row r="40" spans="1:8" s="539" customFormat="1" ht="12">
      <c r="A40" s="454"/>
      <c r="B40" s="357" t="s">
        <v>50</v>
      </c>
      <c r="C40" s="414"/>
      <c r="D40" s="414"/>
      <c r="E40" s="457"/>
      <c r="H40" s="540"/>
    </row>
    <row r="41" spans="1:8" s="539" customFormat="1" ht="12">
      <c r="A41" s="454">
        <v>20</v>
      </c>
      <c r="B41" s="357"/>
      <c r="C41" s="414" t="s">
        <v>41</v>
      </c>
      <c r="D41" s="414"/>
      <c r="E41" s="457">
        <v>0</v>
      </c>
      <c r="H41" s="540"/>
    </row>
    <row r="42" spans="1:8" s="539" customFormat="1" ht="12">
      <c r="A42" s="454">
        <v>21</v>
      </c>
      <c r="B42" s="357"/>
      <c r="C42" s="414" t="s">
        <v>221</v>
      </c>
      <c r="D42" s="414"/>
      <c r="E42" s="457">
        <v>0</v>
      </c>
      <c r="H42" s="540"/>
    </row>
    <row r="43" spans="1:8" s="539" customFormat="1" ht="12">
      <c r="A43" s="454">
        <v>22</v>
      </c>
      <c r="B43" s="357"/>
      <c r="C43" s="461" t="s">
        <v>224</v>
      </c>
      <c r="D43" s="414"/>
      <c r="E43" s="457"/>
      <c r="H43" s="541"/>
    </row>
    <row r="44" spans="1:8" s="539" customFormat="1" ht="18" customHeight="1">
      <c r="A44" s="454">
        <v>23</v>
      </c>
      <c r="B44" s="357"/>
      <c r="C44" s="414" t="s">
        <v>43</v>
      </c>
      <c r="D44" s="414"/>
      <c r="E44" s="458">
        <v>0</v>
      </c>
      <c r="H44" s="541"/>
    </row>
    <row r="45" spans="1:8" s="539" customFormat="1" ht="12">
      <c r="A45" s="454">
        <v>24</v>
      </c>
      <c r="B45" s="414" t="s">
        <v>51</v>
      </c>
      <c r="C45" s="414"/>
      <c r="D45" s="357"/>
      <c r="E45" s="413">
        <f>SUM(E41:E44)</f>
        <v>0</v>
      </c>
      <c r="H45" s="541"/>
    </row>
    <row r="46" spans="1:8" s="539" customFormat="1" ht="12">
      <c r="A46" s="454">
        <v>25</v>
      </c>
      <c r="B46" s="357" t="s">
        <v>52</v>
      </c>
      <c r="C46" s="414"/>
      <c r="D46" s="414"/>
      <c r="E46" s="412">
        <f t="shared" ref="E46" si="3">E18+E22+E28+E34+E36+E37+E38+E45</f>
        <v>0</v>
      </c>
      <c r="H46" s="541"/>
    </row>
    <row r="47" spans="1:8" s="539" customFormat="1" ht="12">
      <c r="A47" s="454"/>
      <c r="B47" s="357"/>
      <c r="C47" s="414"/>
      <c r="D47" s="414"/>
      <c r="E47" s="405"/>
      <c r="H47" s="540"/>
    </row>
    <row r="48" spans="1:8" s="539" customFormat="1" ht="12">
      <c r="A48" s="454">
        <v>26</v>
      </c>
      <c r="B48" s="357" t="s">
        <v>259</v>
      </c>
      <c r="C48" s="414"/>
      <c r="D48" s="414"/>
      <c r="E48" s="405">
        <f t="shared" ref="E48" si="4">E15-E46</f>
        <v>0</v>
      </c>
      <c r="H48" s="540"/>
    </row>
    <row r="49" spans="1:60" s="539" customFormat="1" ht="12">
      <c r="A49" s="454"/>
      <c r="B49" s="357"/>
      <c r="C49" s="414"/>
      <c r="D49" s="414"/>
      <c r="E49" s="405"/>
      <c r="F49" s="537"/>
      <c r="H49" s="540"/>
    </row>
    <row r="50" spans="1:60" s="543" customFormat="1" ht="12">
      <c r="A50" s="454"/>
      <c r="B50" s="357" t="s">
        <v>260</v>
      </c>
      <c r="C50" s="414"/>
      <c r="D50" s="414"/>
      <c r="E50" s="459"/>
      <c r="F50" s="542"/>
      <c r="H50" s="540"/>
    </row>
    <row r="51" spans="1:60" s="539" customFormat="1" ht="12">
      <c r="A51" s="454">
        <v>27</v>
      </c>
      <c r="B51" s="414" t="s">
        <v>53</v>
      </c>
      <c r="C51" s="357"/>
      <c r="D51" s="414"/>
      <c r="E51" s="459">
        <v>-20</v>
      </c>
      <c r="F51" s="354"/>
      <c r="H51" s="540"/>
    </row>
    <row r="52" spans="1:60" s="539" customFormat="1" ht="12">
      <c r="A52" s="454">
        <v>28</v>
      </c>
      <c r="B52" s="414" t="s">
        <v>217</v>
      </c>
      <c r="C52" s="357"/>
      <c r="D52" s="414"/>
      <c r="E52" s="459">
        <f>(E79*'[8]RR SUMMARY'!$M$14)*-0.35</f>
        <v>0</v>
      </c>
      <c r="F52" s="354"/>
      <c r="H52" s="540"/>
    </row>
    <row r="53" spans="1:60" s="520" customFormat="1">
      <c r="A53" s="454">
        <v>29</v>
      </c>
      <c r="B53" s="414" t="s">
        <v>54</v>
      </c>
      <c r="C53" s="357"/>
      <c r="D53" s="414"/>
      <c r="E53" s="457">
        <v>0</v>
      </c>
      <c r="F53" s="354"/>
      <c r="G53" s="354"/>
      <c r="H53" s="524"/>
      <c r="P53" s="354"/>
      <c r="Q53" s="354"/>
      <c r="R53" s="354"/>
      <c r="S53" s="354"/>
      <c r="T53" s="354"/>
      <c r="U53" s="354"/>
      <c r="V53" s="354"/>
      <c r="W53" s="354"/>
      <c r="X53" s="354"/>
      <c r="Y53" s="354"/>
      <c r="Z53" s="354"/>
      <c r="AA53" s="354"/>
      <c r="AB53" s="354"/>
      <c r="AC53" s="354"/>
      <c r="AD53" s="354"/>
      <c r="AE53" s="354"/>
      <c r="AF53" s="354"/>
      <c r="AG53" s="354"/>
      <c r="AH53" s="354"/>
      <c r="AI53" s="354"/>
      <c r="AJ53" s="354"/>
      <c r="AK53" s="354"/>
      <c r="AL53" s="354"/>
      <c r="AM53" s="354"/>
      <c r="AN53" s="354"/>
      <c r="AO53" s="354"/>
      <c r="AP53" s="354"/>
      <c r="AQ53" s="354"/>
      <c r="AR53" s="354"/>
      <c r="AS53" s="354"/>
      <c r="AT53" s="354"/>
      <c r="AU53" s="354"/>
      <c r="AV53" s="354"/>
      <c r="AW53" s="354"/>
      <c r="AX53" s="354"/>
      <c r="AY53" s="354"/>
      <c r="AZ53" s="354"/>
      <c r="BA53" s="354"/>
      <c r="BB53" s="354"/>
      <c r="BC53" s="354"/>
      <c r="BD53" s="354"/>
      <c r="BE53" s="354"/>
      <c r="BF53" s="354"/>
      <c r="BG53" s="354"/>
      <c r="BH53" s="354"/>
    </row>
    <row r="54" spans="1:60" s="537" customFormat="1" ht="12">
      <c r="A54" s="454">
        <v>30</v>
      </c>
      <c r="B54" s="414" t="s">
        <v>55</v>
      </c>
      <c r="C54" s="357"/>
      <c r="D54" s="414"/>
      <c r="E54" s="458">
        <v>0</v>
      </c>
      <c r="F54" s="354"/>
      <c r="H54" s="544"/>
    </row>
    <row r="55" spans="1:60" s="520" customFormat="1">
      <c r="A55" s="454"/>
      <c r="B55" s="357"/>
      <c r="C55" s="357"/>
      <c r="D55" s="357"/>
      <c r="E55" s="405"/>
      <c r="F55" s="354"/>
      <c r="G55" s="354"/>
      <c r="H55" s="524"/>
      <c r="P55" s="354"/>
      <c r="Q55" s="354"/>
      <c r="R55" s="354"/>
      <c r="S55" s="354"/>
      <c r="T55" s="354"/>
      <c r="U55" s="354"/>
      <c r="V55" s="354"/>
      <c r="W55" s="354"/>
      <c r="X55" s="354"/>
      <c r="Y55" s="354"/>
      <c r="Z55" s="354"/>
      <c r="AA55" s="354"/>
      <c r="AB55" s="354"/>
      <c r="AC55" s="354"/>
      <c r="AD55" s="354"/>
      <c r="AE55" s="354"/>
      <c r="AF55" s="354"/>
      <c r="AG55" s="354"/>
      <c r="AH55" s="354"/>
      <c r="AI55" s="354"/>
      <c r="AJ55" s="354"/>
      <c r="AK55" s="354"/>
      <c r="AL55" s="354"/>
      <c r="AM55" s="354"/>
      <c r="AN55" s="354"/>
      <c r="AO55" s="354"/>
      <c r="AP55" s="354"/>
      <c r="AQ55" s="354"/>
      <c r="AR55" s="354"/>
      <c r="AS55" s="354"/>
      <c r="AT55" s="354"/>
      <c r="AU55" s="354"/>
      <c r="AV55" s="354"/>
      <c r="AW55" s="354"/>
      <c r="AX55" s="354"/>
      <c r="AY55" s="354"/>
      <c r="AZ55" s="354"/>
      <c r="BA55" s="354"/>
      <c r="BB55" s="354"/>
      <c r="BC55" s="354"/>
      <c r="BD55" s="354"/>
      <c r="BE55" s="354"/>
      <c r="BF55" s="354"/>
      <c r="BG55" s="354"/>
      <c r="BH55" s="354"/>
    </row>
    <row r="56" spans="1:60" s="520" customFormat="1" ht="13.5" thickBot="1">
      <c r="A56" s="454">
        <v>31</v>
      </c>
      <c r="B56" s="455" t="s">
        <v>56</v>
      </c>
      <c r="C56" s="455"/>
      <c r="D56" s="455"/>
      <c r="E56" s="417">
        <f>E48-SUM(E51:E54)</f>
        <v>20</v>
      </c>
      <c r="F56" s="354"/>
      <c r="G56" s="354"/>
      <c r="H56" s="524"/>
      <c r="P56" s="354"/>
      <c r="Q56" s="354"/>
      <c r="R56" s="354"/>
      <c r="S56" s="354"/>
      <c r="T56" s="354"/>
      <c r="U56" s="354"/>
      <c r="V56" s="354"/>
      <c r="W56" s="354"/>
      <c r="X56" s="354"/>
      <c r="Y56" s="354"/>
      <c r="Z56" s="354"/>
      <c r="AA56" s="354"/>
      <c r="AB56" s="354"/>
      <c r="AC56" s="354"/>
      <c r="AD56" s="354"/>
      <c r="AE56" s="354"/>
      <c r="AF56" s="354"/>
      <c r="AG56" s="354"/>
      <c r="AH56" s="354"/>
      <c r="AI56" s="354"/>
      <c r="AJ56" s="354"/>
      <c r="AK56" s="354"/>
      <c r="AL56" s="354"/>
      <c r="AM56" s="354"/>
      <c r="AN56" s="354"/>
      <c r="AO56" s="354"/>
      <c r="AP56" s="354"/>
      <c r="AQ56" s="354"/>
      <c r="AR56" s="354"/>
      <c r="AS56" s="354"/>
      <c r="AT56" s="354"/>
      <c r="AU56" s="354"/>
      <c r="AV56" s="354"/>
      <c r="AW56" s="354"/>
      <c r="AX56" s="354"/>
      <c r="AY56" s="354"/>
      <c r="AZ56" s="354"/>
      <c r="BA56" s="354"/>
      <c r="BB56" s="354"/>
      <c r="BC56" s="354"/>
      <c r="BD56" s="354"/>
      <c r="BE56" s="354"/>
      <c r="BF56" s="354"/>
      <c r="BG56" s="354"/>
      <c r="BH56" s="354"/>
    </row>
    <row r="57" spans="1:60" s="520" customFormat="1" ht="13.5" thickTop="1">
      <c r="A57" s="454"/>
      <c r="B57" s="357"/>
      <c r="C57" s="357"/>
      <c r="D57" s="357"/>
      <c r="E57" s="405"/>
      <c r="F57" s="354"/>
      <c r="G57" s="354"/>
      <c r="H57" s="524"/>
      <c r="P57" s="354"/>
      <c r="Q57" s="354"/>
      <c r="R57" s="354"/>
      <c r="S57" s="354"/>
      <c r="T57" s="354"/>
      <c r="U57" s="354"/>
      <c r="V57" s="354"/>
      <c r="W57" s="354"/>
      <c r="X57" s="354"/>
      <c r="Y57" s="354"/>
      <c r="Z57" s="354"/>
      <c r="AA57" s="354"/>
      <c r="AB57" s="354"/>
      <c r="AC57" s="354"/>
      <c r="AD57" s="354"/>
      <c r="AE57" s="354"/>
      <c r="AF57" s="354"/>
      <c r="AG57" s="354"/>
      <c r="AH57" s="354"/>
      <c r="AI57" s="354"/>
      <c r="AJ57" s="354"/>
      <c r="AK57" s="354"/>
      <c r="AL57" s="354"/>
      <c r="AM57" s="354"/>
      <c r="AN57" s="354"/>
      <c r="AO57" s="354"/>
      <c r="AP57" s="354"/>
      <c r="AQ57" s="354"/>
      <c r="AR57" s="354"/>
      <c r="AS57" s="354"/>
      <c r="AT57" s="354"/>
      <c r="AU57" s="354"/>
      <c r="AV57" s="354"/>
      <c r="AW57" s="354"/>
      <c r="AX57" s="354"/>
      <c r="AY57" s="354"/>
      <c r="AZ57" s="354"/>
      <c r="BA57" s="354"/>
      <c r="BB57" s="354"/>
      <c r="BC57" s="354"/>
      <c r="BD57" s="354"/>
      <c r="BE57" s="354"/>
      <c r="BF57" s="354"/>
      <c r="BG57" s="354"/>
      <c r="BH57" s="354"/>
    </row>
    <row r="58" spans="1:60" s="537" customFormat="1" ht="12">
      <c r="A58" s="454"/>
      <c r="B58" s="357" t="s">
        <v>57</v>
      </c>
      <c r="C58" s="357"/>
      <c r="D58" s="357"/>
      <c r="E58" s="405"/>
      <c r="F58" s="354"/>
      <c r="H58" s="545"/>
    </row>
    <row r="59" spans="1:60" s="539" customFormat="1" ht="12">
      <c r="A59" s="454"/>
      <c r="B59" s="357" t="s">
        <v>58</v>
      </c>
      <c r="C59" s="357"/>
      <c r="D59" s="357"/>
      <c r="E59" s="459"/>
      <c r="F59" s="354"/>
      <c r="H59" s="540"/>
    </row>
    <row r="60" spans="1:60" s="539" customFormat="1" ht="12">
      <c r="A60" s="454">
        <v>32</v>
      </c>
      <c r="B60" s="414"/>
      <c r="C60" s="414" t="s">
        <v>40</v>
      </c>
      <c r="D60" s="414"/>
      <c r="E60" s="456">
        <v>0</v>
      </c>
      <c r="F60" s="354"/>
      <c r="H60" s="540"/>
    </row>
    <row r="61" spans="1:60" s="539" customFormat="1" ht="12">
      <c r="A61" s="454">
        <v>33</v>
      </c>
      <c r="B61" s="414"/>
      <c r="C61" s="414" t="s">
        <v>59</v>
      </c>
      <c r="D61" s="414"/>
      <c r="E61" s="457">
        <v>0</v>
      </c>
      <c r="F61" s="354"/>
      <c r="H61" s="540"/>
    </row>
    <row r="62" spans="1:60" s="539" customFormat="1" ht="12">
      <c r="A62" s="454">
        <v>34</v>
      </c>
      <c r="B62" s="414"/>
      <c r="C62" s="414" t="s">
        <v>60</v>
      </c>
      <c r="D62" s="414"/>
      <c r="E62" s="458">
        <v>0</v>
      </c>
      <c r="F62" s="354"/>
      <c r="H62" s="540"/>
    </row>
    <row r="63" spans="1:60" s="539" customFormat="1" ht="12">
      <c r="A63" s="454">
        <v>35</v>
      </c>
      <c r="B63" s="414" t="s">
        <v>61</v>
      </c>
      <c r="C63" s="414"/>
      <c r="D63" s="357"/>
      <c r="E63" s="405">
        <f>SUM(E60:E62)</f>
        <v>0</v>
      </c>
      <c r="F63" s="354"/>
      <c r="H63" s="541"/>
    </row>
    <row r="64" spans="1:60" s="539" customFormat="1" ht="18" customHeight="1">
      <c r="A64" s="454"/>
      <c r="B64" s="414"/>
      <c r="C64" s="414"/>
      <c r="D64" s="357"/>
      <c r="E64" s="405"/>
      <c r="F64" s="354"/>
      <c r="H64" s="540"/>
    </row>
    <row r="65" spans="1:8" s="539" customFormat="1" ht="12">
      <c r="A65" s="454"/>
      <c r="B65" s="414" t="s">
        <v>276</v>
      </c>
      <c r="C65" s="414"/>
      <c r="D65" s="414"/>
      <c r="E65" s="459"/>
      <c r="F65" s="354"/>
      <c r="H65" s="540"/>
    </row>
    <row r="66" spans="1:8" s="539" customFormat="1" ht="12">
      <c r="A66" s="454">
        <v>36</v>
      </c>
      <c r="B66" s="414"/>
      <c r="C66" s="414" t="s">
        <v>40</v>
      </c>
      <c r="D66" s="414"/>
      <c r="E66" s="457">
        <v>0</v>
      </c>
      <c r="F66" s="354"/>
      <c r="H66" s="540"/>
    </row>
    <row r="67" spans="1:8" s="539" customFormat="1" ht="12">
      <c r="A67" s="454">
        <v>37</v>
      </c>
      <c r="B67" s="414"/>
      <c r="C67" s="414" t="s">
        <v>59</v>
      </c>
      <c r="D67" s="414"/>
      <c r="E67" s="457">
        <v>0</v>
      </c>
      <c r="F67" s="354"/>
      <c r="H67" s="540"/>
    </row>
    <row r="68" spans="1:8" s="539" customFormat="1" ht="12">
      <c r="A68" s="454">
        <v>38</v>
      </c>
      <c r="B68" s="414"/>
      <c r="C68" s="414" t="s">
        <v>60</v>
      </c>
      <c r="D68" s="414"/>
      <c r="E68" s="457">
        <v>0</v>
      </c>
      <c r="F68" s="354"/>
      <c r="H68" s="540"/>
    </row>
    <row r="69" spans="1:8" s="539" customFormat="1" ht="12">
      <c r="A69" s="454">
        <v>39</v>
      </c>
      <c r="B69" s="414" t="s">
        <v>277</v>
      </c>
      <c r="C69" s="414"/>
      <c r="D69" s="357"/>
      <c r="E69" s="424">
        <f>SUM(E66:E68)</f>
        <v>0</v>
      </c>
      <c r="F69" s="354"/>
      <c r="H69" s="540"/>
    </row>
    <row r="70" spans="1:8" s="539" customFormat="1" ht="12">
      <c r="A70" s="454">
        <v>40</v>
      </c>
      <c r="B70" s="414" t="s">
        <v>264</v>
      </c>
      <c r="C70" s="414"/>
      <c r="D70" s="414"/>
      <c r="E70" s="425">
        <f t="shared" ref="E70" si="5">E63-E69</f>
        <v>0</v>
      </c>
      <c r="F70" s="354"/>
      <c r="H70" s="540"/>
    </row>
    <row r="71" spans="1:8" s="539" customFormat="1" ht="12">
      <c r="A71" s="462">
        <v>41</v>
      </c>
      <c r="B71" s="428" t="s">
        <v>278</v>
      </c>
      <c r="C71" s="428"/>
      <c r="D71" s="428"/>
      <c r="E71" s="458">
        <v>0</v>
      </c>
      <c r="F71" s="354"/>
      <c r="H71" s="540"/>
    </row>
    <row r="72" spans="1:8" s="539" customFormat="1" ht="6.75" customHeight="1">
      <c r="A72" s="462">
        <v>42</v>
      </c>
      <c r="B72" s="428" t="s">
        <v>266</v>
      </c>
      <c r="C72" s="428"/>
      <c r="D72" s="428"/>
      <c r="E72" s="425">
        <f t="shared" ref="E72" si="6">E70+E71</f>
        <v>0</v>
      </c>
      <c r="F72" s="354"/>
      <c r="H72" s="540"/>
    </row>
    <row r="73" spans="1:8" s="539" customFormat="1" ht="12">
      <c r="A73" s="454">
        <v>43</v>
      </c>
      <c r="B73" s="414" t="s">
        <v>267</v>
      </c>
      <c r="C73" s="414"/>
      <c r="D73" s="414"/>
      <c r="E73" s="457">
        <v>0</v>
      </c>
      <c r="F73" s="354"/>
      <c r="H73" s="540"/>
    </row>
    <row r="74" spans="1:8" s="539" customFormat="1" ht="12">
      <c r="A74" s="462">
        <v>44</v>
      </c>
      <c r="B74" s="428" t="s">
        <v>268</v>
      </c>
      <c r="C74" s="428"/>
      <c r="D74" s="428"/>
      <c r="E74" s="460">
        <v>0</v>
      </c>
      <c r="F74" s="354"/>
      <c r="H74" s="540"/>
    </row>
    <row r="75" spans="1:8" s="539" customFormat="1" ht="12">
      <c r="A75" s="462">
        <v>45</v>
      </c>
      <c r="B75" s="428" t="s">
        <v>269</v>
      </c>
      <c r="C75" s="428"/>
      <c r="D75" s="428"/>
      <c r="E75" s="460"/>
      <c r="F75" s="354"/>
      <c r="H75" s="540"/>
    </row>
    <row r="76" spans="1:8" s="539" customFormat="1" ht="12">
      <c r="A76" s="454">
        <v>46</v>
      </c>
      <c r="B76" s="414" t="s">
        <v>279</v>
      </c>
      <c r="C76" s="414"/>
      <c r="D76" s="414"/>
      <c r="E76" s="458">
        <v>0</v>
      </c>
      <c r="F76" s="354"/>
      <c r="H76" s="540"/>
    </row>
    <row r="77" spans="1:8" s="539" customFormat="1" ht="12">
      <c r="A77" s="454"/>
      <c r="B77" s="357"/>
      <c r="C77" s="357"/>
      <c r="D77" s="357"/>
      <c r="E77" s="359"/>
      <c r="F77" s="354"/>
      <c r="H77" s="541"/>
    </row>
    <row r="78" spans="1:8" s="537" customFormat="1" ht="12">
      <c r="A78" s="454"/>
      <c r="B78" s="357"/>
      <c r="C78" s="357"/>
      <c r="D78" s="357"/>
      <c r="E78" s="405"/>
      <c r="F78" s="354"/>
      <c r="H78" s="544"/>
    </row>
    <row r="79" spans="1:8" ht="13.5" thickBot="1">
      <c r="A79" s="439">
        <v>47</v>
      </c>
      <c r="B79" s="464" t="s">
        <v>63</v>
      </c>
      <c r="C79" s="464"/>
      <c r="D79" s="464"/>
      <c r="E79" s="430">
        <f t="shared" ref="E79" si="7">E72+E73+E74+E76+E75</f>
        <v>0</v>
      </c>
    </row>
    <row r="80" spans="1:8" ht="13.5" thickTop="1">
      <c r="A80" s="465"/>
      <c r="B80" s="466"/>
      <c r="C80" s="466"/>
      <c r="D80" s="466"/>
      <c r="E80" s="467"/>
    </row>
    <row r="81" spans="1:60" s="546" customFormat="1">
      <c r="A81" s="465"/>
      <c r="B81" s="466"/>
      <c r="C81" s="466"/>
      <c r="D81" s="468"/>
      <c r="E81" s="467"/>
      <c r="F81" s="354"/>
      <c r="G81" s="354"/>
      <c r="H81" s="524"/>
      <c r="I81" s="520"/>
      <c r="J81" s="520"/>
      <c r="K81" s="520"/>
      <c r="L81" s="520"/>
      <c r="M81" s="520"/>
      <c r="N81" s="520"/>
      <c r="O81" s="520"/>
      <c r="P81" s="354"/>
      <c r="Q81" s="354"/>
      <c r="R81" s="354"/>
      <c r="S81" s="354"/>
      <c r="T81" s="354"/>
      <c r="U81" s="354"/>
      <c r="V81" s="354"/>
      <c r="W81" s="354"/>
      <c r="X81" s="354"/>
      <c r="Y81" s="354"/>
      <c r="Z81" s="354"/>
      <c r="AA81" s="354"/>
      <c r="AB81" s="354"/>
      <c r="AC81" s="354"/>
      <c r="AD81" s="354"/>
      <c r="AE81" s="354"/>
      <c r="AF81" s="354"/>
      <c r="AG81" s="354"/>
      <c r="AH81" s="354"/>
      <c r="AI81" s="354"/>
      <c r="AJ81" s="354"/>
      <c r="AK81" s="354"/>
      <c r="AL81" s="354"/>
      <c r="AM81" s="354"/>
      <c r="AN81" s="354"/>
      <c r="AO81" s="354"/>
      <c r="AP81" s="354"/>
      <c r="AQ81" s="354"/>
      <c r="AR81" s="354"/>
      <c r="AS81" s="354"/>
      <c r="AT81" s="354"/>
      <c r="AU81" s="354"/>
      <c r="AV81" s="354"/>
      <c r="AW81" s="354"/>
      <c r="AX81" s="354"/>
      <c r="AY81" s="354"/>
      <c r="AZ81" s="354"/>
      <c r="BA81" s="354"/>
      <c r="BB81" s="354"/>
      <c r="BC81" s="354"/>
      <c r="BD81" s="354"/>
      <c r="BE81" s="354"/>
      <c r="BF81" s="354"/>
      <c r="BG81" s="354"/>
      <c r="BH81" s="354"/>
    </row>
    <row r="82" spans="1:60">
      <c r="A82" s="465"/>
      <c r="B82" s="466"/>
      <c r="C82" s="466"/>
      <c r="D82" s="468"/>
      <c r="E82" s="467"/>
    </row>
    <row r="83" spans="1:60">
      <c r="A83" s="465"/>
      <c r="B83" s="466"/>
      <c r="C83" s="466"/>
      <c r="D83" s="469"/>
      <c r="E83" s="467"/>
    </row>
    <row r="84" spans="1:60">
      <c r="A84" s="465"/>
      <c r="B84" s="466"/>
      <c r="C84" s="466"/>
      <c r="D84" s="466"/>
      <c r="E84" s="359"/>
    </row>
    <row r="85" spans="1:60">
      <c r="A85" s="465"/>
      <c r="B85" s="466"/>
      <c r="C85" s="466"/>
      <c r="D85" s="466"/>
      <c r="E85" s="359"/>
    </row>
    <row r="86" spans="1:60">
      <c r="A86" s="454"/>
      <c r="B86" s="357"/>
      <c r="C86" s="357"/>
      <c r="D86" s="357"/>
      <c r="E86" s="359"/>
    </row>
    <row r="87" spans="1:60">
      <c r="A87" s="454"/>
      <c r="B87" s="357"/>
      <c r="C87" s="357"/>
      <c r="D87" s="357"/>
      <c r="E87" s="359"/>
    </row>
    <row r="88" spans="1:60">
      <c r="A88" s="454"/>
      <c r="B88" s="357"/>
      <c r="C88" s="357"/>
      <c r="D88" s="357"/>
      <c r="E88" s="359"/>
    </row>
    <row r="89" spans="1:60">
      <c r="A89" s="454"/>
      <c r="B89" s="357"/>
      <c r="C89" s="357"/>
      <c r="D89" s="357"/>
      <c r="E89" s="359"/>
    </row>
    <row r="90" spans="1:60">
      <c r="A90" s="454"/>
      <c r="B90" s="357"/>
      <c r="C90" s="357"/>
      <c r="D90" s="357"/>
      <c r="E90" s="359"/>
    </row>
    <row r="91" spans="1:60">
      <c r="A91" s="454"/>
      <c r="B91" s="357"/>
      <c r="C91" s="357"/>
      <c r="D91" s="357"/>
      <c r="E91" s="359"/>
    </row>
    <row r="92" spans="1:60">
      <c r="A92" s="454"/>
      <c r="B92" s="357"/>
      <c r="C92" s="357"/>
      <c r="D92" s="357"/>
      <c r="E92" s="359"/>
    </row>
    <row r="93" spans="1:60">
      <c r="A93" s="454"/>
      <c r="B93" s="357"/>
      <c r="C93" s="357"/>
      <c r="D93" s="357"/>
      <c r="E93" s="359"/>
    </row>
    <row r="94" spans="1:60">
      <c r="A94" s="454"/>
      <c r="B94" s="357"/>
      <c r="C94" s="357"/>
      <c r="D94" s="357"/>
      <c r="E94" s="359"/>
    </row>
    <row r="95" spans="1:60">
      <c r="A95" s="454"/>
      <c r="B95" s="357"/>
      <c r="C95" s="357"/>
      <c r="D95" s="357"/>
      <c r="E95" s="359"/>
    </row>
    <row r="96" spans="1:60">
      <c r="A96" s="454"/>
      <c r="B96" s="357"/>
      <c r="C96" s="357"/>
      <c r="D96" s="357"/>
      <c r="E96" s="359"/>
    </row>
    <row r="97" spans="1:5">
      <c r="A97" s="454"/>
      <c r="B97" s="357"/>
      <c r="C97" s="357"/>
      <c r="D97" s="357"/>
      <c r="E97" s="359"/>
    </row>
    <row r="98" spans="1:5">
      <c r="A98" s="454"/>
      <c r="B98" s="357"/>
      <c r="C98" s="357"/>
      <c r="D98" s="357"/>
      <c r="E98" s="359"/>
    </row>
  </sheetData>
  <pageMargins left="0.7" right="0.51" top="0.75" bottom="0.5" header="0.5" footer="0.5"/>
  <pageSetup scale="62" firstPageNumber="4" fitToWidth="7" orientation="portrait" r:id="rId1"/>
  <headerFooter scaleWithDoc="0" alignWithMargins="0">
    <oddHeader xml:space="preserve">&amp;LExhibit No. _ (EJK-2)
</oddHeader>
    <oddFooter>&amp;L&amp;F&amp;D&amp;T&amp;RPage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opLeftCell="A14" zoomScaleNormal="100" workbookViewId="0">
      <selection activeCell="E61" sqref="E61"/>
    </sheetView>
  </sheetViews>
  <sheetFormatPr defaultRowHeight="12.75"/>
  <cols>
    <col min="1" max="1" width="6.5" style="557" customWidth="1"/>
    <col min="2" max="2" width="30.5" style="557" customWidth="1"/>
    <col min="3" max="3" width="14.5" style="557" customWidth="1"/>
    <col min="4" max="4" width="7.83203125" style="557" customWidth="1"/>
    <col min="5" max="5" width="14.5" style="557" customWidth="1"/>
    <col min="6" max="16384" width="9.33203125" style="557"/>
  </cols>
  <sheetData>
    <row r="1" spans="1:5">
      <c r="A1" s="553" t="str">
        <f>[9]Inputs!$D$6</f>
        <v>AVISTA UTILITIES</v>
      </c>
      <c r="B1" s="554"/>
      <c r="C1" s="553"/>
      <c r="D1" s="555"/>
      <c r="E1" s="556" t="s">
        <v>310</v>
      </c>
    </row>
    <row r="2" spans="1:5">
      <c r="A2" s="553" t="s">
        <v>311</v>
      </c>
      <c r="B2" s="554"/>
      <c r="C2" s="553"/>
      <c r="D2" s="555"/>
      <c r="E2" s="558" t="s">
        <v>270</v>
      </c>
    </row>
    <row r="3" spans="1:5">
      <c r="A3" s="554" t="s">
        <v>312</v>
      </c>
      <c r="B3" s="554"/>
      <c r="C3" s="553"/>
      <c r="D3" s="555"/>
      <c r="E3" s="558" t="s">
        <v>313</v>
      </c>
    </row>
    <row r="4" spans="1:5">
      <c r="A4" s="553" t="s">
        <v>314</v>
      </c>
      <c r="B4" s="554"/>
      <c r="C4" s="553"/>
      <c r="D4" s="555"/>
      <c r="E4" s="586">
        <v>1.05</v>
      </c>
    </row>
    <row r="5" spans="1:5">
      <c r="A5" s="558" t="s">
        <v>11</v>
      </c>
      <c r="B5" s="555"/>
      <c r="C5" s="555"/>
      <c r="D5" s="555"/>
      <c r="E5" s="555"/>
    </row>
    <row r="6" spans="1:5">
      <c r="A6" s="558" t="s">
        <v>315</v>
      </c>
      <c r="B6" s="559" t="s">
        <v>19</v>
      </c>
      <c r="C6" s="559"/>
      <c r="D6" s="558"/>
      <c r="E6" s="559" t="s">
        <v>316</v>
      </c>
    </row>
    <row r="7" spans="1:5">
      <c r="A7" s="558"/>
      <c r="B7" s="560" t="s">
        <v>28</v>
      </c>
      <c r="C7" s="555"/>
      <c r="D7" s="555"/>
      <c r="E7" s="555"/>
    </row>
    <row r="8" spans="1:5">
      <c r="A8" s="561">
        <v>1</v>
      </c>
      <c r="B8" s="562" t="s">
        <v>29</v>
      </c>
      <c r="C8" s="563"/>
      <c r="D8" s="563"/>
      <c r="E8" s="564">
        <v>0</v>
      </c>
    </row>
    <row r="9" spans="1:5">
      <c r="A9" s="558">
        <v>2</v>
      </c>
      <c r="B9" s="560" t="s">
        <v>317</v>
      </c>
      <c r="C9" s="555"/>
      <c r="D9" s="555"/>
      <c r="E9" s="565"/>
    </row>
    <row r="10" spans="1:5">
      <c r="A10" s="558">
        <v>3</v>
      </c>
      <c r="B10" s="560" t="s">
        <v>318</v>
      </c>
      <c r="C10" s="555"/>
      <c r="D10" s="555"/>
      <c r="E10" s="565"/>
    </row>
    <row r="11" spans="1:5">
      <c r="A11" s="558">
        <v>4</v>
      </c>
      <c r="B11" s="560" t="s">
        <v>319</v>
      </c>
      <c r="C11" s="555"/>
      <c r="D11" s="555"/>
      <c r="E11" s="566">
        <f>E8+E9+E10</f>
        <v>0</v>
      </c>
    </row>
    <row r="12" spans="1:5">
      <c r="A12" s="558">
        <v>5</v>
      </c>
      <c r="B12" s="560" t="s">
        <v>320</v>
      </c>
      <c r="C12" s="555"/>
      <c r="D12" s="555"/>
      <c r="E12" s="565"/>
    </row>
    <row r="13" spans="1:5">
      <c r="A13" s="558">
        <v>6</v>
      </c>
      <c r="B13" s="560" t="s">
        <v>321</v>
      </c>
      <c r="C13" s="555"/>
      <c r="D13" s="555"/>
      <c r="E13" s="566">
        <f>E11+E12</f>
        <v>0</v>
      </c>
    </row>
    <row r="14" spans="1:5">
      <c r="A14" s="558"/>
      <c r="B14" s="555"/>
      <c r="C14" s="555"/>
      <c r="D14" s="555"/>
      <c r="E14" s="567"/>
    </row>
    <row r="15" spans="1:5">
      <c r="A15" s="558"/>
      <c r="B15" s="560" t="s">
        <v>35</v>
      </c>
      <c r="C15" s="555"/>
      <c r="D15" s="555"/>
      <c r="E15" s="567"/>
    </row>
    <row r="16" spans="1:5">
      <c r="A16" s="558"/>
      <c r="B16" s="560" t="s">
        <v>322</v>
      </c>
      <c r="C16" s="555"/>
      <c r="D16" s="555"/>
      <c r="E16" s="567"/>
    </row>
    <row r="17" spans="1:5">
      <c r="A17" s="558">
        <v>7</v>
      </c>
      <c r="B17" s="560" t="s">
        <v>323</v>
      </c>
      <c r="C17" s="555"/>
      <c r="D17" s="555"/>
      <c r="E17" s="565">
        <v>0</v>
      </c>
    </row>
    <row r="18" spans="1:5">
      <c r="A18" s="558">
        <v>8</v>
      </c>
      <c r="B18" s="560" t="s">
        <v>324</v>
      </c>
      <c r="C18" s="555"/>
      <c r="D18" s="555"/>
      <c r="E18" s="565"/>
    </row>
    <row r="19" spans="1:5">
      <c r="A19" s="558">
        <v>9</v>
      </c>
      <c r="B19" s="560" t="s">
        <v>325</v>
      </c>
      <c r="C19" s="555"/>
      <c r="D19" s="555"/>
      <c r="E19" s="565">
        <v>0</v>
      </c>
    </row>
    <row r="20" spans="1:5">
      <c r="A20" s="558">
        <v>10</v>
      </c>
      <c r="B20" s="560" t="s">
        <v>326</v>
      </c>
      <c r="C20" s="555"/>
      <c r="D20" s="555"/>
      <c r="E20" s="565"/>
    </row>
    <row r="21" spans="1:5">
      <c r="A21" s="558">
        <v>11</v>
      </c>
      <c r="B21" s="560" t="s">
        <v>327</v>
      </c>
      <c r="C21" s="555"/>
      <c r="D21" s="555"/>
      <c r="E21" s="566">
        <f>E17+E18+E19+E20</f>
        <v>0</v>
      </c>
    </row>
    <row r="22" spans="1:5">
      <c r="A22" s="558"/>
      <c r="B22" s="555"/>
      <c r="C22" s="555"/>
      <c r="D22" s="555"/>
      <c r="E22" s="567"/>
    </row>
    <row r="23" spans="1:5">
      <c r="A23" s="558"/>
      <c r="B23" s="560" t="s">
        <v>45</v>
      </c>
      <c r="C23" s="555"/>
      <c r="D23" s="555"/>
      <c r="E23" s="567"/>
    </row>
    <row r="24" spans="1:5">
      <c r="A24" s="558">
        <v>12</v>
      </c>
      <c r="B24" s="560" t="s">
        <v>323</v>
      </c>
      <c r="C24" s="555"/>
      <c r="D24" s="555"/>
      <c r="E24" s="565">
        <f>H31</f>
        <v>0</v>
      </c>
    </row>
    <row r="25" spans="1:5">
      <c r="A25" s="558">
        <v>13</v>
      </c>
      <c r="B25" s="560" t="s">
        <v>328</v>
      </c>
      <c r="C25" s="555"/>
      <c r="D25" s="555"/>
      <c r="E25" s="565"/>
    </row>
    <row r="26" spans="1:5">
      <c r="A26" s="558">
        <v>14</v>
      </c>
      <c r="B26" s="560" t="s">
        <v>326</v>
      </c>
      <c r="C26" s="555"/>
      <c r="D26" s="555"/>
      <c r="E26" s="565">
        <v>0</v>
      </c>
    </row>
    <row r="27" spans="1:5">
      <c r="A27" s="558">
        <v>15</v>
      </c>
      <c r="B27" s="560" t="s">
        <v>329</v>
      </c>
      <c r="C27" s="555"/>
      <c r="D27" s="555"/>
      <c r="E27" s="566">
        <f>E24+E25+E26</f>
        <v>0</v>
      </c>
    </row>
    <row r="28" spans="1:5">
      <c r="A28" s="558"/>
      <c r="B28" s="555"/>
      <c r="C28" s="555"/>
      <c r="D28" s="555"/>
      <c r="E28" s="567"/>
    </row>
    <row r="29" spans="1:5">
      <c r="A29" s="558">
        <v>16</v>
      </c>
      <c r="B29" s="560" t="s">
        <v>47</v>
      </c>
      <c r="C29" s="555"/>
      <c r="D29" s="555"/>
      <c r="E29" s="565">
        <v>0</v>
      </c>
    </row>
    <row r="30" spans="1:5">
      <c r="A30" s="558">
        <v>17</v>
      </c>
      <c r="B30" s="560" t="s">
        <v>48</v>
      </c>
      <c r="C30" s="555"/>
      <c r="D30" s="555"/>
      <c r="E30" s="565">
        <v>0</v>
      </c>
    </row>
    <row r="31" spans="1:5">
      <c r="A31" s="558">
        <v>18</v>
      </c>
      <c r="B31" s="560" t="s">
        <v>330</v>
      </c>
      <c r="C31" s="555"/>
      <c r="D31" s="555"/>
      <c r="E31" s="565">
        <v>0</v>
      </c>
    </row>
    <row r="32" spans="1:5">
      <c r="A32" s="558"/>
      <c r="B32" s="555"/>
      <c r="C32" s="555"/>
      <c r="D32" s="555"/>
      <c r="E32" s="567"/>
    </row>
    <row r="33" spans="1:5">
      <c r="A33" s="558"/>
      <c r="B33" s="560" t="s">
        <v>50</v>
      </c>
      <c r="C33" s="555"/>
      <c r="D33" s="555"/>
      <c r="E33" s="567"/>
    </row>
    <row r="34" spans="1:5">
      <c r="A34" s="558">
        <v>19</v>
      </c>
      <c r="B34" s="560" t="s">
        <v>323</v>
      </c>
      <c r="C34" s="555"/>
      <c r="D34" s="555"/>
      <c r="E34" s="565">
        <v>0</v>
      </c>
    </row>
    <row r="35" spans="1:5">
      <c r="A35" s="558">
        <v>20</v>
      </c>
      <c r="B35" s="560" t="s">
        <v>328</v>
      </c>
      <c r="C35" s="555"/>
      <c r="D35" s="555"/>
      <c r="E35" s="565"/>
    </row>
    <row r="36" spans="1:5">
      <c r="A36" s="558">
        <v>21</v>
      </c>
      <c r="B36" s="560" t="s">
        <v>326</v>
      </c>
      <c r="C36" s="555"/>
      <c r="D36" s="555"/>
      <c r="E36" s="565"/>
    </row>
    <row r="37" spans="1:5">
      <c r="A37" s="558">
        <v>22</v>
      </c>
      <c r="B37" s="560" t="s">
        <v>331</v>
      </c>
      <c r="C37" s="555"/>
      <c r="D37" s="555"/>
      <c r="E37" s="568">
        <f>E34+E35+E36</f>
        <v>0</v>
      </c>
    </row>
    <row r="38" spans="1:5">
      <c r="A38" s="558">
        <v>23</v>
      </c>
      <c r="B38" s="560" t="s">
        <v>332</v>
      </c>
      <c r="C38" s="555"/>
      <c r="D38" s="555"/>
      <c r="E38" s="569">
        <f>E21+E27+E29+E30+E31+E37</f>
        <v>0</v>
      </c>
    </row>
    <row r="39" spans="1:5">
      <c r="A39" s="558"/>
      <c r="B39" s="555"/>
      <c r="C39" s="555"/>
      <c r="D39" s="555"/>
      <c r="E39" s="567"/>
    </row>
    <row r="40" spans="1:5">
      <c r="A40" s="558">
        <v>24</v>
      </c>
      <c r="B40" s="560" t="s">
        <v>333</v>
      </c>
      <c r="C40" s="555"/>
      <c r="D40" s="555"/>
      <c r="E40" s="567">
        <f>E13-E38</f>
        <v>0</v>
      </c>
    </row>
    <row r="41" spans="1:5">
      <c r="A41" s="558"/>
      <c r="B41" s="560"/>
      <c r="C41" s="555"/>
      <c r="D41" s="555"/>
      <c r="E41" s="567"/>
    </row>
    <row r="42" spans="1:5">
      <c r="A42" s="558"/>
      <c r="B42" s="560" t="s">
        <v>334</v>
      </c>
      <c r="C42" s="555"/>
      <c r="D42" s="555"/>
      <c r="E42" s="567"/>
    </row>
    <row r="43" spans="1:5">
      <c r="A43" s="558">
        <v>25</v>
      </c>
      <c r="B43" s="560" t="s">
        <v>335</v>
      </c>
      <c r="C43" s="555"/>
      <c r="D43" s="570">
        <v>0.35</v>
      </c>
      <c r="E43" s="565">
        <f>ROUND(E40*D43,0)</f>
        <v>0</v>
      </c>
    </row>
    <row r="44" spans="1:5">
      <c r="A44" s="558">
        <v>26</v>
      </c>
      <c r="B44" s="560" t="s">
        <v>336</v>
      </c>
      <c r="C44" s="555"/>
      <c r="D44" s="555"/>
      <c r="E44" s="565"/>
    </row>
    <row r="45" spans="1:5">
      <c r="A45" s="558">
        <v>27</v>
      </c>
      <c r="B45" s="571" t="s">
        <v>337</v>
      </c>
      <c r="E45" s="572"/>
    </row>
    <row r="46" spans="1:5">
      <c r="A46" s="573"/>
      <c r="B46" s="574"/>
      <c r="C46" s="575"/>
      <c r="D46" s="575"/>
      <c r="E46" s="576"/>
    </row>
    <row r="47" spans="1:5">
      <c r="A47" s="577">
        <v>28</v>
      </c>
      <c r="B47" s="578" t="s">
        <v>56</v>
      </c>
      <c r="C47" s="579"/>
      <c r="D47" s="579"/>
      <c r="E47" s="580">
        <f>E40-SUM(E43:E45)</f>
        <v>0</v>
      </c>
    </row>
    <row r="48" spans="1:5">
      <c r="A48" s="573"/>
      <c r="B48" s="555"/>
      <c r="C48" s="555"/>
      <c r="D48" s="555"/>
      <c r="E48" s="555"/>
    </row>
    <row r="49" spans="1:5">
      <c r="A49" s="573"/>
      <c r="B49" s="560" t="s">
        <v>57</v>
      </c>
      <c r="C49" s="555"/>
      <c r="D49" s="555"/>
      <c r="E49" s="555"/>
    </row>
    <row r="50" spans="1:5">
      <c r="A50" s="573"/>
      <c r="B50" s="560" t="s">
        <v>58</v>
      </c>
      <c r="C50" s="555"/>
      <c r="D50" s="555"/>
      <c r="E50" s="555"/>
    </row>
    <row r="51" spans="1:5">
      <c r="A51" s="573">
        <v>29</v>
      </c>
      <c r="B51" s="562" t="s">
        <v>338</v>
      </c>
      <c r="C51" s="563"/>
      <c r="D51" s="563"/>
      <c r="E51" s="564"/>
    </row>
    <row r="52" spans="1:5">
      <c r="A52" s="573">
        <v>30</v>
      </c>
      <c r="B52" s="560" t="s">
        <v>339</v>
      </c>
      <c r="C52" s="555"/>
      <c r="D52" s="555"/>
      <c r="E52" s="565">
        <f>H35</f>
        <v>0</v>
      </c>
    </row>
    <row r="53" spans="1:5">
      <c r="A53" s="573">
        <v>31</v>
      </c>
      <c r="B53" s="560" t="s">
        <v>340</v>
      </c>
      <c r="C53" s="555"/>
      <c r="D53" s="555"/>
      <c r="E53" s="565"/>
    </row>
    <row r="54" spans="1:5">
      <c r="A54" s="573">
        <v>32</v>
      </c>
      <c r="B54" s="560" t="s">
        <v>341</v>
      </c>
      <c r="C54" s="555"/>
      <c r="D54" s="555"/>
      <c r="E54" s="565"/>
    </row>
    <row r="55" spans="1:5">
      <c r="A55" s="573">
        <v>33</v>
      </c>
      <c r="B55" s="560" t="s">
        <v>342</v>
      </c>
      <c r="C55" s="555"/>
      <c r="D55" s="555"/>
      <c r="E55" s="581"/>
    </row>
    <row r="56" spans="1:5">
      <c r="A56" s="573">
        <v>34</v>
      </c>
      <c r="B56" s="560" t="s">
        <v>343</v>
      </c>
      <c r="C56" s="555"/>
      <c r="D56" s="555"/>
      <c r="E56" s="567">
        <f>E51+E52+E53+E54+E55</f>
        <v>0</v>
      </c>
    </row>
    <row r="57" spans="1:5">
      <c r="A57" s="573">
        <v>35</v>
      </c>
      <c r="B57" s="560" t="s">
        <v>62</v>
      </c>
      <c r="C57" s="555"/>
      <c r="D57" s="555"/>
      <c r="E57" s="565"/>
    </row>
    <row r="58" spans="1:5">
      <c r="A58" s="573">
        <v>36</v>
      </c>
      <c r="B58" s="560" t="s">
        <v>344</v>
      </c>
      <c r="C58" s="555"/>
      <c r="D58" s="555"/>
      <c r="E58" s="581"/>
    </row>
    <row r="59" spans="1:5">
      <c r="A59" s="573">
        <v>37</v>
      </c>
      <c r="B59" s="560" t="s">
        <v>345</v>
      </c>
      <c r="C59" s="555"/>
      <c r="D59" s="555"/>
      <c r="E59" s="567">
        <f>E57+E58</f>
        <v>0</v>
      </c>
    </row>
    <row r="60" spans="1:5">
      <c r="A60" s="573">
        <v>38</v>
      </c>
      <c r="B60" s="560" t="s">
        <v>268</v>
      </c>
      <c r="C60" s="555"/>
      <c r="D60" s="555"/>
      <c r="E60" s="565"/>
    </row>
    <row r="61" spans="1:5">
      <c r="A61" s="573">
        <v>39</v>
      </c>
      <c r="B61" s="574" t="s">
        <v>346</v>
      </c>
      <c r="C61" s="555"/>
      <c r="D61" s="555"/>
      <c r="E61" s="582">
        <v>3568</v>
      </c>
    </row>
    <row r="62" spans="1:5">
      <c r="A62" s="573">
        <v>40</v>
      </c>
      <c r="B62" s="560" t="s">
        <v>278</v>
      </c>
      <c r="C62" s="555"/>
      <c r="D62" s="555"/>
      <c r="E62" s="581"/>
    </row>
    <row r="63" spans="1:5">
      <c r="A63" s="573"/>
      <c r="B63" s="555"/>
      <c r="C63" s="555"/>
      <c r="D63" s="555"/>
      <c r="E63" s="555"/>
    </row>
    <row r="64" spans="1:5" ht="13.5" thickBot="1">
      <c r="A64" s="577">
        <v>41</v>
      </c>
      <c r="B64" s="562" t="s">
        <v>63</v>
      </c>
      <c r="C64" s="563"/>
      <c r="D64" s="563"/>
      <c r="E64" s="583">
        <f>E56-E59+E60+E62+E61</f>
        <v>3568</v>
      </c>
    </row>
    <row r="65" spans="2:2" ht="13.5" thickTop="1">
      <c r="B65" s="560" t="s">
        <v>347</v>
      </c>
    </row>
  </sheetData>
  <pageMargins left="0.7" right="0.7" top="0.75" bottom="0.75" header="0.3" footer="0.3"/>
  <pageSetup scale="85" orientation="portrait" r:id="rId1"/>
  <headerFooter>
    <oddHeader>&amp;RExhibit No. __ (EJK-2)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98"/>
  <sheetViews>
    <sheetView zoomScaleNormal="100" workbookViewId="0">
      <pane xSplit="5" ySplit="10" topLeftCell="F32" activePane="bottomRight" state="frozen"/>
      <selection pane="topRight" activeCell="F1" sqref="F1"/>
      <selection pane="bottomLeft" activeCell="A11" sqref="A11"/>
      <selection pane="bottomRight" activeCell="L51" sqref="L51"/>
    </sheetView>
  </sheetViews>
  <sheetFormatPr defaultRowHeight="12.75"/>
  <cols>
    <col min="1" max="1" width="4.6640625" style="355" customWidth="1"/>
    <col min="2" max="3" width="1.6640625" style="354" customWidth="1"/>
    <col min="4" max="4" width="2.6640625" style="354" customWidth="1"/>
    <col min="5" max="5" width="22.5" style="356" customWidth="1"/>
    <col min="6" max="6" width="18.5" style="360" customWidth="1"/>
    <col min="7" max="7" width="18.33203125" style="363" hidden="1" customWidth="1"/>
    <col min="8" max="8" width="18.6640625" style="359" customWidth="1"/>
    <col min="9" max="9" width="13.5" style="360" customWidth="1"/>
    <col min="10" max="10" width="13.5" style="359" customWidth="1"/>
    <col min="11" max="11" width="13.5" style="359" hidden="1" customWidth="1"/>
    <col min="12" max="12" width="13.83203125" style="359" customWidth="1"/>
    <col min="13" max="16384" width="9.33203125" style="361"/>
  </cols>
  <sheetData>
    <row r="2" spans="1:12">
      <c r="A2" s="353" t="str">
        <f>'[10]ROO INPUT'!A3:C3</f>
        <v>AVISTA UTILITIES</v>
      </c>
      <c r="D2" s="355"/>
      <c r="F2" s="357"/>
      <c r="G2" s="358"/>
    </row>
    <row r="3" spans="1:12">
      <c r="A3" s="353" t="str">
        <f>'[10]ROO INPUT'!A4:C4</f>
        <v xml:space="preserve">WASHINGTON NATURAL GAS RESULTS </v>
      </c>
      <c r="D3" s="355"/>
      <c r="F3" s="357"/>
      <c r="G3" s="358"/>
    </row>
    <row r="4" spans="1:12">
      <c r="A4" s="353" t="str">
        <f>'[10]ROO INPUT'!A5:C5</f>
        <v>TWELVE MONTHS ENDED DECEMBER 31, 2011</v>
      </c>
      <c r="D4" s="355"/>
      <c r="F4" s="357"/>
      <c r="G4" s="358"/>
    </row>
    <row r="5" spans="1:12">
      <c r="A5" s="353" t="str">
        <f>'[10]ROO INPUT'!A6:C6</f>
        <v xml:space="preserve">(000'S OF DOLLARS)   </v>
      </c>
      <c r="D5" s="355"/>
      <c r="F5" s="362"/>
    </row>
    <row r="6" spans="1:12">
      <c r="A6" s="353"/>
      <c r="D6" s="355"/>
      <c r="F6" s="357"/>
      <c r="I6" s="359"/>
      <c r="K6" s="364"/>
    </row>
    <row r="7" spans="1:12">
      <c r="A7" s="365"/>
      <c r="B7" s="365"/>
      <c r="C7" s="366"/>
      <c r="D7" s="366"/>
      <c r="E7" s="365"/>
      <c r="F7" s="367"/>
      <c r="G7" s="368" t="s">
        <v>248</v>
      </c>
      <c r="H7" s="364"/>
      <c r="I7" s="364"/>
      <c r="J7" s="364"/>
      <c r="K7" s="364"/>
      <c r="L7" s="364"/>
    </row>
    <row r="8" spans="1:12">
      <c r="A8" s="369"/>
      <c r="B8" s="370"/>
      <c r="C8" s="371"/>
      <c r="D8" s="372"/>
      <c r="E8" s="373"/>
      <c r="F8" s="374" t="s">
        <v>115</v>
      </c>
      <c r="G8" s="375" t="s">
        <v>76</v>
      </c>
      <c r="H8" s="374" t="s">
        <v>78</v>
      </c>
      <c r="I8" s="374" t="s">
        <v>15</v>
      </c>
      <c r="J8" s="374" t="s">
        <v>15</v>
      </c>
      <c r="K8" s="374" t="s">
        <v>15</v>
      </c>
      <c r="L8" s="374"/>
    </row>
    <row r="9" spans="1:12">
      <c r="A9" s="376" t="s">
        <v>11</v>
      </c>
      <c r="B9" s="377"/>
      <c r="C9" s="378"/>
      <c r="D9" s="379"/>
      <c r="E9" s="380"/>
      <c r="F9" s="381" t="s">
        <v>249</v>
      </c>
      <c r="G9" s="382" t="s">
        <v>87</v>
      </c>
      <c r="H9" s="381" t="s">
        <v>210</v>
      </c>
      <c r="I9" s="383" t="s">
        <v>101</v>
      </c>
      <c r="J9" s="383" t="s">
        <v>101</v>
      </c>
      <c r="K9" s="381" t="s">
        <v>102</v>
      </c>
      <c r="L9" s="381" t="s">
        <v>42</v>
      </c>
    </row>
    <row r="10" spans="1:12">
      <c r="A10" s="384" t="s">
        <v>18</v>
      </c>
      <c r="B10" s="385"/>
      <c r="C10" s="386"/>
      <c r="D10" s="387"/>
      <c r="E10" s="388" t="s">
        <v>19</v>
      </c>
      <c r="F10" s="389" t="s">
        <v>78</v>
      </c>
      <c r="G10" s="390" t="s">
        <v>98</v>
      </c>
      <c r="H10" s="389" t="s">
        <v>94</v>
      </c>
      <c r="I10" s="391" t="s">
        <v>104</v>
      </c>
      <c r="J10" s="391" t="s">
        <v>105</v>
      </c>
      <c r="K10" s="389" t="s">
        <v>106</v>
      </c>
      <c r="L10" s="389" t="s">
        <v>229</v>
      </c>
    </row>
    <row r="11" spans="1:12">
      <c r="A11" s="392"/>
      <c r="B11" s="392"/>
      <c r="C11" s="393"/>
      <c r="D11" s="393"/>
      <c r="E11" s="393" t="s">
        <v>250</v>
      </c>
      <c r="F11" s="394">
        <v>1.03</v>
      </c>
      <c r="G11" s="394">
        <v>2.09</v>
      </c>
      <c r="H11" s="394">
        <v>2.1199999999999974</v>
      </c>
      <c r="I11" s="395">
        <v>3</v>
      </c>
      <c r="J11" s="395">
        <f>I11+0.01</f>
        <v>3.01</v>
      </c>
      <c r="K11" s="395">
        <f>J11+0.01</f>
        <v>3.0199999999999996</v>
      </c>
      <c r="L11" s="395">
        <v>4.0199999999999996</v>
      </c>
    </row>
    <row r="12" spans="1:12">
      <c r="A12" s="392"/>
      <c r="B12" s="392"/>
      <c r="C12" s="393"/>
      <c r="D12" s="393"/>
      <c r="E12" s="393"/>
      <c r="F12" s="367" t="s">
        <v>251</v>
      </c>
      <c r="G12" s="367" t="s">
        <v>252</v>
      </c>
      <c r="H12" s="364" t="s">
        <v>253</v>
      </c>
      <c r="I12" s="364" t="s">
        <v>254</v>
      </c>
      <c r="J12" s="364" t="s">
        <v>255</v>
      </c>
      <c r="K12" s="364" t="s">
        <v>256</v>
      </c>
      <c r="L12" s="364" t="s">
        <v>257</v>
      </c>
    </row>
    <row r="13" spans="1:12">
      <c r="A13" s="392"/>
      <c r="B13" s="392"/>
      <c r="C13" s="393"/>
      <c r="D13" s="393"/>
      <c r="E13" s="393"/>
      <c r="G13" s="360"/>
    </row>
    <row r="14" spans="1:12">
      <c r="A14" s="396"/>
      <c r="B14" s="397" t="s">
        <v>28</v>
      </c>
      <c r="C14" s="397"/>
      <c r="D14" s="397"/>
      <c r="E14" s="397"/>
      <c r="G14" s="360"/>
    </row>
    <row r="15" spans="1:12">
      <c r="A15" s="396">
        <v>1</v>
      </c>
      <c r="B15" s="398"/>
      <c r="C15" s="398" t="s">
        <v>29</v>
      </c>
      <c r="D15" s="398"/>
      <c r="E15" s="398"/>
      <c r="F15" s="399">
        <v>0</v>
      </c>
      <c r="G15" s="399">
        <v>0</v>
      </c>
      <c r="H15" s="399">
        <v>0</v>
      </c>
      <c r="I15" s="399">
        <v>0</v>
      </c>
      <c r="J15" s="399">
        <v>0</v>
      </c>
      <c r="K15" s="399">
        <v>0</v>
      </c>
      <c r="L15" s="399">
        <v>0</v>
      </c>
    </row>
    <row r="16" spans="1:12">
      <c r="A16" s="396">
        <v>2</v>
      </c>
      <c r="B16" s="397"/>
      <c r="C16" s="400" t="s">
        <v>31</v>
      </c>
      <c r="D16" s="400"/>
      <c r="E16" s="400"/>
      <c r="F16" s="401">
        <v>0</v>
      </c>
      <c r="G16" s="401">
        <v>0</v>
      </c>
      <c r="H16" s="401">
        <v>0</v>
      </c>
      <c r="I16" s="401">
        <v>0</v>
      </c>
      <c r="J16" s="401">
        <v>0</v>
      </c>
      <c r="K16" s="401">
        <v>0</v>
      </c>
      <c r="L16" s="401">
        <v>0</v>
      </c>
    </row>
    <row r="17" spans="1:12">
      <c r="A17" s="396">
        <v>3</v>
      </c>
      <c r="B17" s="397"/>
      <c r="C17" s="400" t="s">
        <v>32</v>
      </c>
      <c r="D17" s="400"/>
      <c r="E17" s="400"/>
      <c r="F17" s="402">
        <v>0</v>
      </c>
      <c r="G17" s="402">
        <v>0</v>
      </c>
      <c r="H17" s="402">
        <v>0</v>
      </c>
      <c r="I17" s="402">
        <v>0</v>
      </c>
      <c r="J17" s="402">
        <v>0</v>
      </c>
      <c r="K17" s="402">
        <v>0</v>
      </c>
      <c r="L17" s="402">
        <v>0</v>
      </c>
    </row>
    <row r="18" spans="1:12">
      <c r="A18" s="396">
        <v>4</v>
      </c>
      <c r="B18" s="397" t="s">
        <v>34</v>
      </c>
      <c r="C18" s="400"/>
      <c r="D18" s="400"/>
      <c r="E18" s="400"/>
      <c r="F18" s="403">
        <v>0</v>
      </c>
      <c r="G18" s="403">
        <f t="shared" ref="G18" si="0">SUM(G15:G17)</f>
        <v>0</v>
      </c>
      <c r="H18" s="403">
        <v>0</v>
      </c>
      <c r="I18" s="403">
        <f>SUM(I15:I17)</f>
        <v>0</v>
      </c>
      <c r="J18" s="403">
        <f>SUM(J15:J17)</f>
        <v>0</v>
      </c>
      <c r="K18" s="403">
        <f>SUM(K15:K17)</f>
        <v>0</v>
      </c>
      <c r="L18" s="403">
        <v>0</v>
      </c>
    </row>
    <row r="19" spans="1:12">
      <c r="A19" s="396"/>
      <c r="B19" s="397"/>
      <c r="C19" s="400"/>
      <c r="D19" s="400"/>
      <c r="E19" s="400"/>
      <c r="F19" s="404"/>
      <c r="G19" s="404"/>
      <c r="H19" s="404"/>
      <c r="I19" s="404"/>
      <c r="J19" s="404"/>
      <c r="K19" s="404"/>
      <c r="L19" s="404"/>
    </row>
    <row r="20" spans="1:12">
      <c r="A20" s="396"/>
      <c r="B20" s="397" t="s">
        <v>35</v>
      </c>
      <c r="C20" s="400"/>
      <c r="D20" s="400"/>
      <c r="E20" s="400"/>
      <c r="F20" s="404"/>
      <c r="G20" s="404"/>
      <c r="H20" s="404"/>
      <c r="I20" s="404"/>
      <c r="J20" s="404"/>
      <c r="K20" s="404"/>
      <c r="L20" s="404"/>
    </row>
    <row r="21" spans="1:12">
      <c r="A21" s="396"/>
      <c r="B21" s="397"/>
      <c r="C21" s="400" t="s">
        <v>258</v>
      </c>
      <c r="D21" s="400"/>
      <c r="E21" s="400"/>
      <c r="F21" s="401"/>
      <c r="G21" s="404"/>
      <c r="H21" s="404"/>
      <c r="I21" s="401"/>
      <c r="J21" s="401"/>
      <c r="K21" s="401"/>
      <c r="L21" s="401"/>
    </row>
    <row r="22" spans="1:12">
      <c r="A22" s="396">
        <v>5</v>
      </c>
      <c r="B22" s="397"/>
      <c r="C22" s="400"/>
      <c r="D22" s="400" t="s">
        <v>36</v>
      </c>
      <c r="E22" s="400"/>
      <c r="F22" s="401">
        <v>0</v>
      </c>
      <c r="G22" s="401">
        <v>0</v>
      </c>
      <c r="H22" s="401">
        <v>0</v>
      </c>
      <c r="I22" s="401">
        <v>0</v>
      </c>
      <c r="J22" s="401">
        <v>0</v>
      </c>
      <c r="K22" s="401">
        <v>0</v>
      </c>
      <c r="L22" s="401">
        <v>0</v>
      </c>
    </row>
    <row r="23" spans="1:12">
      <c r="A23" s="396">
        <v>6</v>
      </c>
      <c r="B23" s="397"/>
      <c r="C23" s="400"/>
      <c r="D23" s="400" t="s">
        <v>37</v>
      </c>
      <c r="E23" s="400"/>
      <c r="F23" s="401">
        <v>0</v>
      </c>
      <c r="G23" s="401">
        <v>0</v>
      </c>
      <c r="H23" s="401">
        <v>0</v>
      </c>
      <c r="I23" s="401">
        <v>18</v>
      </c>
      <c r="J23" s="401">
        <v>-14</v>
      </c>
      <c r="K23" s="401">
        <v>44</v>
      </c>
      <c r="L23" s="401">
        <v>0</v>
      </c>
    </row>
    <row r="24" spans="1:12">
      <c r="A24" s="396">
        <v>7</v>
      </c>
      <c r="B24" s="397"/>
      <c r="C24" s="400"/>
      <c r="D24" s="400" t="s">
        <v>38</v>
      </c>
      <c r="E24" s="400"/>
      <c r="F24" s="402">
        <v>0</v>
      </c>
      <c r="G24" s="402">
        <v>0</v>
      </c>
      <c r="H24" s="402">
        <v>0</v>
      </c>
      <c r="I24" s="402">
        <v>0</v>
      </c>
      <c r="J24" s="402">
        <v>0</v>
      </c>
      <c r="K24" s="402">
        <v>0</v>
      </c>
      <c r="L24" s="402">
        <v>0</v>
      </c>
    </row>
    <row r="25" spans="1:12">
      <c r="A25" s="396">
        <v>8</v>
      </c>
      <c r="B25" s="397"/>
      <c r="C25" s="400"/>
      <c r="D25" s="400"/>
      <c r="E25" s="400" t="s">
        <v>39</v>
      </c>
      <c r="F25" s="405">
        <v>0</v>
      </c>
      <c r="G25" s="405">
        <f t="shared" ref="G25" si="1">SUM(G22:G24)</f>
        <v>0</v>
      </c>
      <c r="H25" s="405">
        <v>0</v>
      </c>
      <c r="I25" s="403">
        <f>SUM(I22:I24)</f>
        <v>18</v>
      </c>
      <c r="J25" s="403">
        <f>SUM(J22:J24)</f>
        <v>-14</v>
      </c>
      <c r="K25" s="403">
        <f>SUM(K22:K24)</f>
        <v>44</v>
      </c>
      <c r="L25" s="403">
        <v>0</v>
      </c>
    </row>
    <row r="26" spans="1:12">
      <c r="A26" s="396"/>
      <c r="B26" s="397"/>
      <c r="C26" s="400"/>
      <c r="D26" s="400"/>
      <c r="E26" s="400"/>
      <c r="F26" s="403"/>
      <c r="G26" s="403"/>
      <c r="H26" s="405"/>
      <c r="I26" s="403"/>
      <c r="J26" s="405"/>
      <c r="K26" s="405"/>
      <c r="L26" s="405"/>
    </row>
    <row r="27" spans="1:12">
      <c r="A27" s="396"/>
      <c r="B27" s="397"/>
      <c r="C27" s="400" t="s">
        <v>40</v>
      </c>
      <c r="D27" s="400"/>
      <c r="E27" s="400"/>
      <c r="F27" s="404"/>
      <c r="G27" s="404"/>
      <c r="H27" s="404"/>
      <c r="I27" s="404"/>
      <c r="J27" s="404"/>
      <c r="K27" s="404"/>
      <c r="L27" s="404"/>
    </row>
    <row r="28" spans="1:12">
      <c r="A28" s="396">
        <v>9</v>
      </c>
      <c r="B28" s="397"/>
      <c r="C28" s="400"/>
      <c r="D28" s="400" t="s">
        <v>41</v>
      </c>
      <c r="E28" s="400"/>
      <c r="F28" s="401">
        <v>88</v>
      </c>
      <c r="G28" s="401">
        <v>0</v>
      </c>
      <c r="H28" s="401">
        <v>0</v>
      </c>
      <c r="I28" s="401">
        <v>0</v>
      </c>
      <c r="J28" s="401">
        <v>0</v>
      </c>
      <c r="K28" s="401">
        <v>0</v>
      </c>
      <c r="L28" s="401">
        <v>0</v>
      </c>
    </row>
    <row r="29" spans="1:12">
      <c r="A29" s="396">
        <v>10</v>
      </c>
      <c r="B29" s="397"/>
      <c r="C29" s="400"/>
      <c r="D29" s="400" t="s">
        <v>42</v>
      </c>
      <c r="E29" s="400"/>
      <c r="F29" s="401">
        <v>0</v>
      </c>
      <c r="G29" s="401">
        <v>0</v>
      </c>
      <c r="H29" s="401">
        <v>0</v>
      </c>
      <c r="I29" s="401">
        <v>0</v>
      </c>
      <c r="J29" s="401">
        <v>0</v>
      </c>
      <c r="K29" s="401">
        <v>0</v>
      </c>
      <c r="L29" s="401">
        <v>-63</v>
      </c>
    </row>
    <row r="30" spans="1:12">
      <c r="A30" s="406">
        <v>11</v>
      </c>
      <c r="B30" s="397"/>
      <c r="C30" s="400"/>
      <c r="D30" s="400" t="s">
        <v>43</v>
      </c>
      <c r="E30" s="400"/>
      <c r="F30" s="402">
        <v>0</v>
      </c>
      <c r="G30" s="402">
        <v>0</v>
      </c>
      <c r="H30" s="402">
        <v>0</v>
      </c>
      <c r="I30" s="402">
        <v>0</v>
      </c>
      <c r="J30" s="402">
        <v>0</v>
      </c>
      <c r="K30" s="402">
        <v>0</v>
      </c>
      <c r="L30" s="402">
        <v>0</v>
      </c>
    </row>
    <row r="31" spans="1:12">
      <c r="A31" s="396">
        <v>12</v>
      </c>
      <c r="B31" s="397"/>
      <c r="C31" s="400"/>
      <c r="D31" s="400"/>
      <c r="E31" s="400" t="s">
        <v>44</v>
      </c>
      <c r="F31" s="403">
        <f t="shared" ref="F31:H31" si="2">SUM(F28:F30)</f>
        <v>88</v>
      </c>
      <c r="G31" s="403">
        <f t="shared" si="2"/>
        <v>0</v>
      </c>
      <c r="H31" s="403">
        <f t="shared" si="2"/>
        <v>0</v>
      </c>
      <c r="I31" s="403">
        <f>SUM(I28:I30)</f>
        <v>0</v>
      </c>
      <c r="J31" s="405">
        <f>SUM(J28:J30)</f>
        <v>0</v>
      </c>
      <c r="K31" s="405">
        <f t="shared" ref="K31:L31" si="3">SUM(K28:K30)</f>
        <v>0</v>
      </c>
      <c r="L31" s="405">
        <f t="shared" si="3"/>
        <v>-63</v>
      </c>
    </row>
    <row r="32" spans="1:12">
      <c r="A32" s="396"/>
      <c r="B32" s="397"/>
      <c r="C32" s="400"/>
      <c r="D32" s="400"/>
      <c r="E32" s="400"/>
      <c r="F32" s="403"/>
      <c r="G32" s="403"/>
      <c r="H32" s="405"/>
      <c r="I32" s="403"/>
      <c r="J32" s="405"/>
      <c r="K32" s="405"/>
      <c r="L32" s="405"/>
    </row>
    <row r="33" spans="1:12">
      <c r="A33" s="396"/>
      <c r="B33" s="397"/>
      <c r="C33" s="400" t="s">
        <v>45</v>
      </c>
      <c r="D33" s="400"/>
      <c r="E33" s="400"/>
      <c r="F33" s="404"/>
      <c r="G33" s="404"/>
      <c r="H33" s="404"/>
      <c r="I33" s="404"/>
      <c r="J33" s="404"/>
      <c r="K33" s="404"/>
      <c r="L33" s="404"/>
    </row>
    <row r="34" spans="1:12">
      <c r="A34" s="396">
        <v>13</v>
      </c>
      <c r="B34" s="397"/>
      <c r="C34" s="400"/>
      <c r="D34" s="400" t="s">
        <v>41</v>
      </c>
      <c r="E34" s="400"/>
      <c r="F34" s="401">
        <v>0</v>
      </c>
      <c r="G34" s="401">
        <v>0</v>
      </c>
      <c r="H34" s="401">
        <v>0</v>
      </c>
      <c r="I34" s="401">
        <v>185</v>
      </c>
      <c r="J34" s="401">
        <v>0</v>
      </c>
      <c r="K34" s="401">
        <f>'[11]Cover-Gas'!$H$34</f>
        <v>368</v>
      </c>
      <c r="L34" s="401">
        <v>0</v>
      </c>
    </row>
    <row r="35" spans="1:12">
      <c r="A35" s="396">
        <v>14</v>
      </c>
      <c r="B35" s="397"/>
      <c r="C35" s="400"/>
      <c r="D35" s="400" t="s">
        <v>42</v>
      </c>
      <c r="E35" s="400"/>
      <c r="F35" s="401">
        <v>0</v>
      </c>
      <c r="G35" s="401">
        <v>0</v>
      </c>
      <c r="H35" s="401">
        <v>0</v>
      </c>
      <c r="I35" s="401">
        <v>0</v>
      </c>
      <c r="J35" s="401">
        <v>0</v>
      </c>
      <c r="K35" s="401">
        <v>0</v>
      </c>
      <c r="L35" s="401">
        <v>325</v>
      </c>
    </row>
    <row r="36" spans="1:12">
      <c r="A36" s="396">
        <v>15</v>
      </c>
      <c r="B36" s="397"/>
      <c r="C36" s="400"/>
      <c r="D36" s="400" t="s">
        <v>43</v>
      </c>
      <c r="E36" s="400"/>
      <c r="F36" s="402">
        <v>0</v>
      </c>
      <c r="G36" s="402">
        <v>0</v>
      </c>
      <c r="H36" s="402">
        <v>0</v>
      </c>
      <c r="I36" s="402">
        <v>0</v>
      </c>
      <c r="J36" s="402">
        <v>0</v>
      </c>
      <c r="K36" s="402">
        <v>0</v>
      </c>
      <c r="L36" s="402">
        <v>0</v>
      </c>
    </row>
    <row r="37" spans="1:12">
      <c r="A37" s="396">
        <v>16</v>
      </c>
      <c r="B37" s="397"/>
      <c r="C37" s="400"/>
      <c r="D37" s="400"/>
      <c r="E37" s="400" t="s">
        <v>46</v>
      </c>
      <c r="F37" s="403">
        <v>0</v>
      </c>
      <c r="G37" s="403">
        <f t="shared" ref="G37" si="4">SUM(G34:G36)</f>
        <v>0</v>
      </c>
      <c r="H37" s="405">
        <v>0</v>
      </c>
      <c r="I37" s="403">
        <f>SUM(I34:I36)</f>
        <v>185</v>
      </c>
      <c r="J37" s="403">
        <f t="shared" ref="J37:L37" si="5">SUM(J34:J36)</f>
        <v>0</v>
      </c>
      <c r="K37" s="403">
        <f t="shared" si="5"/>
        <v>368</v>
      </c>
      <c r="L37" s="403">
        <f t="shared" si="5"/>
        <v>325</v>
      </c>
    </row>
    <row r="38" spans="1:12">
      <c r="A38" s="396"/>
      <c r="B38" s="397"/>
      <c r="C38" s="400"/>
      <c r="D38" s="400"/>
      <c r="E38" s="400"/>
      <c r="F38" s="403"/>
      <c r="G38" s="403"/>
      <c r="H38" s="405"/>
      <c r="I38" s="403"/>
      <c r="J38" s="405"/>
      <c r="K38" s="405"/>
      <c r="L38" s="405"/>
    </row>
    <row r="39" spans="1:12">
      <c r="A39" s="396">
        <v>17</v>
      </c>
      <c r="B39" s="397" t="s">
        <v>47</v>
      </c>
      <c r="C39" s="400"/>
      <c r="D39" s="400"/>
      <c r="E39" s="400"/>
      <c r="F39" s="407">
        <v>0</v>
      </c>
      <c r="G39" s="407">
        <v>0</v>
      </c>
      <c r="H39" s="408">
        <v>0</v>
      </c>
      <c r="I39" s="408">
        <v>105</v>
      </c>
      <c r="J39" s="408">
        <v>0</v>
      </c>
      <c r="K39" s="409">
        <f>'[11]Cover-Gas'!$H$39</f>
        <v>228</v>
      </c>
      <c r="L39" s="408">
        <v>0</v>
      </c>
    </row>
    <row r="40" spans="1:12">
      <c r="A40" s="396">
        <v>18</v>
      </c>
      <c r="B40" s="397" t="s">
        <v>48</v>
      </c>
      <c r="C40" s="400"/>
      <c r="D40" s="400"/>
      <c r="E40" s="400"/>
      <c r="F40" s="401">
        <v>0</v>
      </c>
      <c r="G40" s="401">
        <v>0</v>
      </c>
      <c r="H40" s="401">
        <v>0</v>
      </c>
      <c r="I40" s="401">
        <v>9</v>
      </c>
      <c r="J40" s="401">
        <v>0</v>
      </c>
      <c r="K40" s="401">
        <f>'[11]Cover-Gas'!$H$40</f>
        <v>20</v>
      </c>
      <c r="L40" s="401">
        <v>0</v>
      </c>
    </row>
    <row r="41" spans="1:12">
      <c r="A41" s="396">
        <v>19</v>
      </c>
      <c r="B41" s="397" t="s">
        <v>49</v>
      </c>
      <c r="C41" s="400"/>
      <c r="D41" s="400"/>
      <c r="E41" s="400"/>
      <c r="F41" s="401">
        <v>0</v>
      </c>
      <c r="G41" s="401">
        <v>0</v>
      </c>
      <c r="H41" s="401">
        <v>0</v>
      </c>
      <c r="I41" s="401">
        <v>0</v>
      </c>
      <c r="J41" s="401">
        <v>0</v>
      </c>
      <c r="K41" s="401">
        <v>0</v>
      </c>
      <c r="L41" s="401">
        <v>0</v>
      </c>
    </row>
    <row r="42" spans="1:12">
      <c r="A42" s="396"/>
      <c r="B42" s="397"/>
      <c r="C42" s="400"/>
      <c r="D42" s="400"/>
      <c r="E42" s="400"/>
      <c r="F42" s="401"/>
      <c r="G42" s="401"/>
      <c r="H42" s="401"/>
      <c r="I42" s="401"/>
      <c r="J42" s="401"/>
      <c r="K42" s="401"/>
      <c r="L42" s="401"/>
    </row>
    <row r="43" spans="1:12">
      <c r="A43" s="396"/>
      <c r="B43" s="397" t="s">
        <v>50</v>
      </c>
      <c r="C43" s="400"/>
      <c r="D43" s="400"/>
      <c r="E43" s="400"/>
      <c r="F43" s="401"/>
      <c r="G43" s="401"/>
      <c r="H43" s="401"/>
      <c r="I43" s="401"/>
      <c r="J43" s="401"/>
      <c r="K43" s="401"/>
      <c r="L43" s="401"/>
    </row>
    <row r="44" spans="1:12">
      <c r="A44" s="396">
        <v>20</v>
      </c>
      <c r="B44" s="397"/>
      <c r="C44" s="400" t="s">
        <v>41</v>
      </c>
      <c r="D44" s="400"/>
      <c r="E44" s="400"/>
      <c r="F44" s="401">
        <v>0</v>
      </c>
      <c r="G44" s="401">
        <v>-1</v>
      </c>
      <c r="H44" s="401">
        <v>66</v>
      </c>
      <c r="I44" s="401">
        <v>100</v>
      </c>
      <c r="J44" s="401">
        <v>-181</v>
      </c>
      <c r="K44" s="401">
        <f>'[11]Cover-Gas'!$H$44</f>
        <v>258</v>
      </c>
      <c r="L44" s="401">
        <v>0</v>
      </c>
    </row>
    <row r="45" spans="1:12">
      <c r="A45" s="396">
        <v>21</v>
      </c>
      <c r="B45" s="397"/>
      <c r="C45" s="400" t="s">
        <v>221</v>
      </c>
      <c r="D45" s="400"/>
      <c r="E45" s="400"/>
      <c r="F45" s="401">
        <v>0</v>
      </c>
      <c r="G45" s="401">
        <v>0</v>
      </c>
      <c r="H45" s="401">
        <v>0</v>
      </c>
      <c r="I45" s="401">
        <v>0</v>
      </c>
      <c r="J45" s="401">
        <v>0</v>
      </c>
      <c r="K45" s="401">
        <v>0</v>
      </c>
      <c r="L45" s="401">
        <v>581</v>
      </c>
    </row>
    <row r="46" spans="1:12">
      <c r="A46" s="396">
        <v>22</v>
      </c>
      <c r="B46" s="397"/>
      <c r="C46" s="410" t="s">
        <v>224</v>
      </c>
      <c r="D46" s="400"/>
      <c r="E46" s="400"/>
      <c r="F46" s="401"/>
      <c r="G46" s="401"/>
      <c r="H46" s="401"/>
      <c r="I46" s="401"/>
      <c r="J46" s="401"/>
      <c r="K46" s="401"/>
      <c r="L46" s="401"/>
    </row>
    <row r="47" spans="1:12">
      <c r="A47" s="396">
        <v>23</v>
      </c>
      <c r="B47" s="397"/>
      <c r="C47" s="400" t="s">
        <v>43</v>
      </c>
      <c r="D47" s="400"/>
      <c r="E47" s="400"/>
      <c r="F47" s="402">
        <v>0</v>
      </c>
      <c r="G47" s="402">
        <v>0</v>
      </c>
      <c r="H47" s="402">
        <v>0</v>
      </c>
      <c r="I47" s="402">
        <v>0</v>
      </c>
      <c r="J47" s="402">
        <v>0</v>
      </c>
      <c r="K47" s="402">
        <v>0</v>
      </c>
      <c r="L47" s="402">
        <v>0</v>
      </c>
    </row>
    <row r="48" spans="1:12">
      <c r="A48" s="396">
        <v>24</v>
      </c>
      <c r="B48" s="397"/>
      <c r="C48" s="400"/>
      <c r="D48" s="400" t="s">
        <v>51</v>
      </c>
      <c r="E48" s="411"/>
      <c r="F48" s="412">
        <v>0</v>
      </c>
      <c r="G48" s="412">
        <f t="shared" ref="G48:L48" si="6">SUM(G44:G47)</f>
        <v>-1</v>
      </c>
      <c r="H48" s="412">
        <f t="shared" si="6"/>
        <v>66</v>
      </c>
      <c r="I48" s="412">
        <f t="shared" si="6"/>
        <v>100</v>
      </c>
      <c r="J48" s="412">
        <f t="shared" si="6"/>
        <v>-181</v>
      </c>
      <c r="K48" s="412">
        <f t="shared" si="6"/>
        <v>258</v>
      </c>
      <c r="L48" s="412">
        <f t="shared" si="6"/>
        <v>581</v>
      </c>
    </row>
    <row r="49" spans="1:12">
      <c r="A49" s="396">
        <v>25</v>
      </c>
      <c r="B49" s="397" t="s">
        <v>52</v>
      </c>
      <c r="C49" s="400"/>
      <c r="D49" s="400"/>
      <c r="E49" s="400"/>
      <c r="F49" s="412">
        <v>88</v>
      </c>
      <c r="G49" s="412">
        <f t="shared" ref="G49:L49" si="7">G21+G25+G31+G37+G39+G40+G41+G48</f>
        <v>-1</v>
      </c>
      <c r="H49" s="412">
        <f t="shared" si="7"/>
        <v>66</v>
      </c>
      <c r="I49" s="412">
        <f t="shared" si="7"/>
        <v>417</v>
      </c>
      <c r="J49" s="412">
        <f t="shared" si="7"/>
        <v>-195</v>
      </c>
      <c r="K49" s="412">
        <f t="shared" si="7"/>
        <v>918</v>
      </c>
      <c r="L49" s="412">
        <f t="shared" si="7"/>
        <v>843</v>
      </c>
    </row>
    <row r="50" spans="1:12">
      <c r="A50" s="396"/>
      <c r="B50" s="397"/>
      <c r="C50" s="400"/>
      <c r="D50" s="400"/>
      <c r="E50" s="400"/>
      <c r="F50" s="403"/>
      <c r="G50" s="403"/>
      <c r="H50" s="405"/>
      <c r="I50" s="403"/>
      <c r="J50" s="405"/>
      <c r="K50" s="405"/>
      <c r="L50" s="405"/>
    </row>
    <row r="51" spans="1:12">
      <c r="A51" s="396">
        <v>26</v>
      </c>
      <c r="B51" s="397" t="s">
        <v>259</v>
      </c>
      <c r="C51" s="400"/>
      <c r="D51" s="400"/>
      <c r="E51" s="400"/>
      <c r="F51" s="403">
        <f t="shared" ref="F51:L51" si="8">F18-F49</f>
        <v>-88</v>
      </c>
      <c r="G51" s="403">
        <f t="shared" si="8"/>
        <v>1</v>
      </c>
      <c r="H51" s="403">
        <f t="shared" si="8"/>
        <v>-66</v>
      </c>
      <c r="I51" s="403">
        <f t="shared" si="8"/>
        <v>-417</v>
      </c>
      <c r="J51" s="403">
        <f t="shared" si="8"/>
        <v>195</v>
      </c>
      <c r="K51" s="403">
        <f t="shared" si="8"/>
        <v>-918</v>
      </c>
      <c r="L51" s="403">
        <f t="shared" si="8"/>
        <v>-843</v>
      </c>
    </row>
    <row r="52" spans="1:12">
      <c r="A52" s="396"/>
      <c r="B52" s="397"/>
      <c r="C52" s="400"/>
      <c r="D52" s="400"/>
      <c r="E52" s="400"/>
      <c r="F52" s="403"/>
      <c r="G52" s="403"/>
      <c r="H52" s="405"/>
      <c r="I52" s="403"/>
      <c r="J52" s="405"/>
      <c r="K52" s="405"/>
      <c r="L52" s="405"/>
    </row>
    <row r="53" spans="1:12">
      <c r="A53" s="396"/>
      <c r="B53" s="397" t="s">
        <v>260</v>
      </c>
      <c r="C53" s="400"/>
      <c r="D53" s="400"/>
      <c r="E53" s="400"/>
      <c r="F53" s="404"/>
      <c r="G53" s="404"/>
      <c r="H53" s="404"/>
      <c r="I53" s="404"/>
      <c r="J53" s="404"/>
      <c r="K53" s="404"/>
      <c r="L53" s="404"/>
    </row>
    <row r="54" spans="1:12">
      <c r="A54" s="396">
        <v>27</v>
      </c>
      <c r="B54" s="397"/>
      <c r="C54" s="400" t="s">
        <v>53</v>
      </c>
      <c r="D54" s="400"/>
      <c r="E54" s="400"/>
      <c r="F54" s="404">
        <v>-31</v>
      </c>
      <c r="G54" s="404">
        <f>G51*0.35</f>
        <v>0.35</v>
      </c>
      <c r="H54" s="404">
        <f t="shared" ref="H54:L54" si="9">H51*0.35</f>
        <v>-23.099999999999998</v>
      </c>
      <c r="I54" s="404">
        <f t="shared" si="9"/>
        <v>-145.94999999999999</v>
      </c>
      <c r="J54" s="404">
        <f t="shared" si="9"/>
        <v>68.25</v>
      </c>
      <c r="K54" s="404">
        <f t="shared" si="9"/>
        <v>-321.29999999999995</v>
      </c>
      <c r="L54" s="404">
        <f t="shared" si="9"/>
        <v>-295.04999999999995</v>
      </c>
    </row>
    <row r="55" spans="1:12">
      <c r="A55" s="396">
        <v>28</v>
      </c>
      <c r="B55" s="397"/>
      <c r="C55" s="414" t="s">
        <v>217</v>
      </c>
      <c r="D55" s="400"/>
      <c r="E55" s="400"/>
      <c r="F55" s="415">
        <v>143</v>
      </c>
      <c r="G55" s="404">
        <f>(G81*'[10]RR SUMMARY'!$M$14)*-0.35</f>
        <v>0</v>
      </c>
      <c r="H55" s="404">
        <v>0</v>
      </c>
      <c r="I55" s="404">
        <f>(I81*'[10]RR SUMMARY'!$M$14)*-0.35</f>
        <v>0</v>
      </c>
      <c r="J55" s="404">
        <f>(J81*'[10]RR SUMMARY'!$M$14)*-0.35</f>
        <v>0</v>
      </c>
      <c r="K55" s="404">
        <f>(K81*'[10]RR SUMMARY'!$M$14)*-0.35</f>
        <v>0</v>
      </c>
      <c r="L55" s="404">
        <v>0</v>
      </c>
    </row>
    <row r="56" spans="1:12">
      <c r="A56" s="396">
        <v>29</v>
      </c>
      <c r="B56" s="397"/>
      <c r="C56" s="400" t="s">
        <v>54</v>
      </c>
      <c r="D56" s="400"/>
      <c r="E56" s="400"/>
      <c r="F56" s="401">
        <v>0</v>
      </c>
      <c r="G56" s="401">
        <v>0</v>
      </c>
      <c r="H56" s="401">
        <v>0</v>
      </c>
      <c r="I56" s="401">
        <v>0</v>
      </c>
      <c r="J56" s="401">
        <v>0</v>
      </c>
      <c r="K56" s="401">
        <v>0</v>
      </c>
      <c r="L56" s="401">
        <v>0</v>
      </c>
    </row>
    <row r="57" spans="1:12">
      <c r="A57" s="396">
        <v>30</v>
      </c>
      <c r="B57" s="397"/>
      <c r="C57" s="400" t="s">
        <v>55</v>
      </c>
      <c r="D57" s="400"/>
      <c r="E57" s="400"/>
      <c r="F57" s="402"/>
      <c r="G57" s="402">
        <v>0</v>
      </c>
      <c r="H57" s="402">
        <v>0</v>
      </c>
      <c r="I57" s="402">
        <v>0</v>
      </c>
      <c r="J57" s="402">
        <v>0</v>
      </c>
      <c r="K57" s="402">
        <v>0</v>
      </c>
      <c r="L57" s="402">
        <v>0</v>
      </c>
    </row>
    <row r="58" spans="1:12">
      <c r="A58" s="396"/>
      <c r="B58" s="397"/>
      <c r="C58" s="397"/>
      <c r="D58" s="397"/>
      <c r="E58" s="397"/>
      <c r="F58" s="403"/>
      <c r="G58" s="403"/>
      <c r="H58" s="405"/>
      <c r="I58" s="403"/>
      <c r="J58" s="405"/>
      <c r="K58" s="405"/>
      <c r="L58" s="405"/>
    </row>
    <row r="59" spans="1:12" ht="13.5" thickBot="1">
      <c r="A59" s="396">
        <v>31</v>
      </c>
      <c r="B59" s="398" t="s">
        <v>56</v>
      </c>
      <c r="C59" s="398"/>
      <c r="D59" s="398"/>
      <c r="E59" s="398"/>
      <c r="F59" s="417">
        <f>F51-F54</f>
        <v>-57</v>
      </c>
      <c r="G59" s="416">
        <f t="shared" ref="G59" si="10">G51-SUM(G54:G57)</f>
        <v>0.65</v>
      </c>
      <c r="H59" s="417">
        <f>H51-H54</f>
        <v>-42.900000000000006</v>
      </c>
      <c r="I59" s="417">
        <f t="shared" ref="I59:L59" si="11">I51-I54</f>
        <v>-271.05</v>
      </c>
      <c r="J59" s="417">
        <f t="shared" si="11"/>
        <v>126.75</v>
      </c>
      <c r="K59" s="417">
        <f t="shared" si="11"/>
        <v>-596.70000000000005</v>
      </c>
      <c r="L59" s="417">
        <f t="shared" si="11"/>
        <v>-547.95000000000005</v>
      </c>
    </row>
    <row r="60" spans="1:12" ht="13.5" thickTop="1">
      <c r="A60" s="396"/>
      <c r="B60" s="397"/>
      <c r="C60" s="397"/>
      <c r="D60" s="397"/>
      <c r="E60" s="397"/>
      <c r="F60" s="403"/>
      <c r="G60" s="418"/>
      <c r="H60" s="405"/>
      <c r="I60" s="403"/>
      <c r="J60" s="405"/>
      <c r="K60" s="405"/>
      <c r="L60" s="405"/>
    </row>
    <row r="61" spans="1:12">
      <c r="A61" s="396"/>
      <c r="B61" s="397"/>
      <c r="C61" s="397"/>
      <c r="D61" s="397"/>
      <c r="E61" s="397"/>
      <c r="F61" s="403"/>
      <c r="G61" s="418"/>
      <c r="H61" s="405"/>
      <c r="I61" s="403"/>
      <c r="J61" s="405"/>
      <c r="K61" s="405"/>
      <c r="L61" s="405"/>
    </row>
    <row r="62" spans="1:12">
      <c r="A62" s="396"/>
      <c r="B62" s="397" t="s">
        <v>261</v>
      </c>
      <c r="C62" s="397"/>
      <c r="D62" s="397"/>
      <c r="E62" s="397"/>
      <c r="F62" s="404"/>
      <c r="G62" s="419"/>
      <c r="H62" s="404"/>
      <c r="I62" s="404"/>
      <c r="J62" s="404"/>
      <c r="K62" s="404"/>
      <c r="L62" s="404"/>
    </row>
    <row r="63" spans="1:12">
      <c r="A63" s="396">
        <v>32</v>
      </c>
      <c r="B63" s="400"/>
      <c r="C63" s="400" t="s">
        <v>40</v>
      </c>
      <c r="D63" s="400"/>
      <c r="E63" s="400"/>
      <c r="F63" s="399">
        <v>0</v>
      </c>
      <c r="G63" s="420">
        <v>0</v>
      </c>
      <c r="H63" s="399">
        <v>0</v>
      </c>
      <c r="I63" s="399">
        <v>0</v>
      </c>
      <c r="J63" s="399">
        <v>0</v>
      </c>
      <c r="K63" s="399">
        <v>0</v>
      </c>
      <c r="L63" s="399">
        <v>0</v>
      </c>
    </row>
    <row r="64" spans="1:12">
      <c r="A64" s="396">
        <v>33</v>
      </c>
      <c r="B64" s="400"/>
      <c r="C64" s="400" t="s">
        <v>59</v>
      </c>
      <c r="D64" s="400"/>
      <c r="E64" s="400"/>
      <c r="F64" s="401">
        <v>0</v>
      </c>
      <c r="G64" s="421">
        <v>0</v>
      </c>
      <c r="H64" s="401">
        <v>0</v>
      </c>
      <c r="I64" s="401">
        <v>0</v>
      </c>
      <c r="J64" s="401">
        <v>0</v>
      </c>
      <c r="K64" s="401">
        <v>0</v>
      </c>
      <c r="L64" s="401">
        <v>0</v>
      </c>
    </row>
    <row r="65" spans="1:12">
      <c r="A65" s="396">
        <v>34</v>
      </c>
      <c r="B65" s="400"/>
      <c r="C65" s="400" t="s">
        <v>60</v>
      </c>
      <c r="D65" s="400"/>
      <c r="E65" s="400"/>
      <c r="F65" s="402">
        <v>0</v>
      </c>
      <c r="G65" s="422">
        <v>0</v>
      </c>
      <c r="H65" s="402">
        <v>0</v>
      </c>
      <c r="I65" s="402">
        <v>0</v>
      </c>
      <c r="J65" s="402">
        <v>0</v>
      </c>
      <c r="K65" s="402">
        <v>0</v>
      </c>
      <c r="L65" s="402">
        <v>0</v>
      </c>
    </row>
    <row r="66" spans="1:12">
      <c r="A66" s="396">
        <v>35</v>
      </c>
      <c r="B66" s="400"/>
      <c r="C66" s="400"/>
      <c r="D66" s="400"/>
      <c r="E66" s="400" t="s">
        <v>61</v>
      </c>
      <c r="F66" s="403">
        <v>0</v>
      </c>
      <c r="G66" s="403">
        <f t="shared" ref="G66" si="12">SUM(G63:G65)</f>
        <v>0</v>
      </c>
      <c r="H66" s="405">
        <v>0</v>
      </c>
      <c r="I66" s="403">
        <f>SUM(I63:I65)</f>
        <v>0</v>
      </c>
      <c r="J66" s="405">
        <f>SUM(J63:J65)</f>
        <v>0</v>
      </c>
      <c r="K66" s="405">
        <f>SUM(K63:K65)</f>
        <v>0</v>
      </c>
      <c r="L66" s="405">
        <v>0</v>
      </c>
    </row>
    <row r="67" spans="1:12">
      <c r="A67" s="396"/>
      <c r="B67" s="400"/>
      <c r="C67" s="400"/>
      <c r="D67" s="400"/>
      <c r="E67" s="400"/>
      <c r="F67" s="403"/>
      <c r="G67" s="403"/>
      <c r="H67" s="405"/>
      <c r="I67" s="403"/>
      <c r="J67" s="405"/>
      <c r="K67" s="405"/>
      <c r="L67" s="405"/>
    </row>
    <row r="68" spans="1:12">
      <c r="A68" s="396"/>
      <c r="B68" s="400" t="s">
        <v>262</v>
      </c>
      <c r="C68" s="400"/>
      <c r="D68" s="400"/>
      <c r="E68" s="400"/>
      <c r="F68" s="404"/>
      <c r="G68" s="404"/>
      <c r="H68" s="404"/>
      <c r="I68" s="404"/>
      <c r="J68" s="404"/>
      <c r="K68" s="404"/>
      <c r="L68" s="404"/>
    </row>
    <row r="69" spans="1:12">
      <c r="A69" s="396">
        <v>36</v>
      </c>
      <c r="B69" s="400"/>
      <c r="C69" s="400" t="s">
        <v>40</v>
      </c>
      <c r="D69" s="400"/>
      <c r="E69" s="400"/>
      <c r="F69" s="401">
        <v>0</v>
      </c>
      <c r="G69" s="401">
        <v>0</v>
      </c>
      <c r="H69" s="401">
        <v>0</v>
      </c>
      <c r="I69" s="404">
        <v>0</v>
      </c>
      <c r="J69" s="404">
        <v>0</v>
      </c>
      <c r="K69" s="404">
        <v>0</v>
      </c>
      <c r="L69" s="404">
        <v>0</v>
      </c>
    </row>
    <row r="70" spans="1:12">
      <c r="A70" s="396">
        <v>37</v>
      </c>
      <c r="B70" s="400"/>
      <c r="C70" s="400" t="s">
        <v>59</v>
      </c>
      <c r="D70" s="400"/>
      <c r="E70" s="400"/>
      <c r="F70" s="401">
        <v>0</v>
      </c>
      <c r="G70" s="401">
        <v>0</v>
      </c>
      <c r="H70" s="401">
        <v>0</v>
      </c>
      <c r="I70" s="404">
        <v>0</v>
      </c>
      <c r="J70" s="404">
        <v>0</v>
      </c>
      <c r="K70" s="404">
        <v>0</v>
      </c>
      <c r="L70" s="404">
        <v>0</v>
      </c>
    </row>
    <row r="71" spans="1:12">
      <c r="A71" s="396">
        <v>38</v>
      </c>
      <c r="B71" s="400"/>
      <c r="C71" s="400" t="s">
        <v>60</v>
      </c>
      <c r="D71" s="400"/>
      <c r="E71" s="400"/>
      <c r="F71" s="401">
        <v>0</v>
      </c>
      <c r="G71" s="401">
        <v>0</v>
      </c>
      <c r="H71" s="401">
        <v>0</v>
      </c>
      <c r="I71" s="404">
        <v>0</v>
      </c>
      <c r="J71" s="404">
        <v>0</v>
      </c>
      <c r="K71" s="404">
        <v>0</v>
      </c>
      <c r="L71" s="404">
        <v>0</v>
      </c>
    </row>
    <row r="72" spans="1:12">
      <c r="A72" s="396">
        <v>39</v>
      </c>
      <c r="B72" s="400" t="s">
        <v>263</v>
      </c>
      <c r="C72" s="400"/>
      <c r="D72" s="400"/>
      <c r="E72" s="411"/>
      <c r="F72" s="423">
        <v>0</v>
      </c>
      <c r="G72" s="423">
        <f t="shared" ref="G72" si="13">SUM(G69:G71)</f>
        <v>0</v>
      </c>
      <c r="H72" s="424">
        <v>0</v>
      </c>
      <c r="I72" s="423">
        <f>SUM(I69:I71)</f>
        <v>0</v>
      </c>
      <c r="J72" s="424">
        <f>SUM(J69:J71)</f>
        <v>0</v>
      </c>
      <c r="K72" s="424">
        <f>SUM(K69:K71)</f>
        <v>0</v>
      </c>
      <c r="L72" s="424">
        <v>0</v>
      </c>
    </row>
    <row r="73" spans="1:12">
      <c r="A73" s="396">
        <v>40</v>
      </c>
      <c r="B73" s="414" t="s">
        <v>264</v>
      </c>
      <c r="C73" s="400"/>
      <c r="D73" s="400"/>
      <c r="E73" s="400"/>
      <c r="F73" s="425">
        <v>0</v>
      </c>
      <c r="G73" s="425">
        <f t="shared" ref="G73" si="14">G66-G72</f>
        <v>0</v>
      </c>
      <c r="H73" s="425">
        <v>0</v>
      </c>
      <c r="I73" s="425">
        <f>I66-I72</f>
        <v>0</v>
      </c>
      <c r="J73" s="425">
        <f>J66-J72</f>
        <v>0</v>
      </c>
      <c r="K73" s="425">
        <f>K66-K72</f>
        <v>0</v>
      </c>
      <c r="L73" s="425">
        <v>0</v>
      </c>
    </row>
    <row r="74" spans="1:12">
      <c r="A74" s="426">
        <v>41</v>
      </c>
      <c r="B74" s="427" t="s">
        <v>265</v>
      </c>
      <c r="C74" s="427"/>
      <c r="D74" s="427"/>
      <c r="E74" s="427"/>
      <c r="F74" s="402">
        <v>0</v>
      </c>
      <c r="G74" s="402">
        <v>0</v>
      </c>
      <c r="H74" s="402">
        <v>0</v>
      </c>
      <c r="I74" s="402"/>
      <c r="J74" s="402"/>
      <c r="K74" s="402"/>
      <c r="L74" s="402"/>
    </row>
    <row r="75" spans="1:12">
      <c r="A75" s="426">
        <v>42</v>
      </c>
      <c r="B75" s="427"/>
      <c r="C75" s="428" t="s">
        <v>266</v>
      </c>
      <c r="D75" s="427"/>
      <c r="E75" s="427"/>
      <c r="F75" s="425">
        <v>0</v>
      </c>
      <c r="G75" s="425">
        <f t="shared" ref="G75" si="15">G73+G74</f>
        <v>0</v>
      </c>
      <c r="H75" s="425">
        <v>0</v>
      </c>
      <c r="I75" s="425">
        <f>I73+I74</f>
        <v>0</v>
      </c>
      <c r="J75" s="425">
        <f>J73+J74</f>
        <v>0</v>
      </c>
      <c r="K75" s="425">
        <f>K73+K74</f>
        <v>0</v>
      </c>
      <c r="L75" s="425">
        <v>0</v>
      </c>
    </row>
    <row r="76" spans="1:12">
      <c r="A76" s="396">
        <v>43</v>
      </c>
      <c r="B76" s="429" t="s">
        <v>267</v>
      </c>
      <c r="C76" s="429"/>
      <c r="D76" s="429"/>
      <c r="E76" s="429"/>
      <c r="F76" s="401">
        <v>-10773</v>
      </c>
      <c r="G76" s="401">
        <v>0</v>
      </c>
      <c r="H76" s="401">
        <v>0</v>
      </c>
      <c r="I76" s="401"/>
      <c r="J76" s="401"/>
      <c r="K76" s="401"/>
      <c r="L76" s="401"/>
    </row>
    <row r="77" spans="1:12">
      <c r="A77" s="396">
        <v>44</v>
      </c>
      <c r="B77" s="429" t="s">
        <v>268</v>
      </c>
      <c r="C77" s="429"/>
      <c r="D77" s="429"/>
      <c r="E77" s="429"/>
      <c r="F77" s="408">
        <v>0</v>
      </c>
      <c r="G77" s="408">
        <v>0</v>
      </c>
      <c r="H77" s="408">
        <v>0</v>
      </c>
      <c r="I77" s="408"/>
      <c r="J77" s="408"/>
      <c r="K77" s="408"/>
      <c r="L77" s="408"/>
    </row>
    <row r="78" spans="1:12">
      <c r="A78" s="396">
        <v>45</v>
      </c>
      <c r="B78" s="429" t="s">
        <v>269</v>
      </c>
      <c r="C78" s="429"/>
      <c r="D78" s="429"/>
      <c r="E78" s="429"/>
      <c r="F78" s="408"/>
      <c r="G78" s="408"/>
      <c r="H78" s="408"/>
      <c r="I78" s="408"/>
      <c r="J78" s="408"/>
      <c r="K78" s="408"/>
      <c r="L78" s="408"/>
    </row>
    <row r="79" spans="1:12">
      <c r="A79" s="396">
        <v>46</v>
      </c>
      <c r="B79" s="429" t="s">
        <v>270</v>
      </c>
      <c r="C79" s="429"/>
      <c r="D79" s="429"/>
      <c r="E79" s="429"/>
      <c r="F79" s="402">
        <v>0</v>
      </c>
      <c r="G79" s="402">
        <v>0</v>
      </c>
      <c r="H79" s="402">
        <v>0</v>
      </c>
      <c r="I79" s="402"/>
      <c r="J79" s="402"/>
      <c r="K79" s="402"/>
      <c r="L79" s="402"/>
    </row>
    <row r="80" spans="1:12">
      <c r="A80" s="396"/>
      <c r="B80" s="397"/>
      <c r="C80" s="397"/>
      <c r="D80" s="397"/>
      <c r="E80" s="397"/>
    </row>
    <row r="81" spans="1:12" ht="13.5" thickBot="1">
      <c r="A81" s="396">
        <v>47</v>
      </c>
      <c r="B81" s="398" t="s">
        <v>63</v>
      </c>
      <c r="C81" s="398"/>
      <c r="D81" s="398"/>
      <c r="E81" s="398"/>
      <c r="F81" s="430">
        <v>-13753</v>
      </c>
      <c r="G81" s="430">
        <f>G75+G76+G77+G79+G78</f>
        <v>0</v>
      </c>
      <c r="H81" s="430">
        <v>0</v>
      </c>
      <c r="I81" s="430"/>
      <c r="J81" s="430"/>
      <c r="K81" s="430"/>
      <c r="L81" s="430">
        <v>0</v>
      </c>
    </row>
    <row r="82" spans="1:12" ht="13.5" thickTop="1">
      <c r="A82" s="396"/>
      <c r="B82" s="397"/>
      <c r="C82" s="397"/>
      <c r="D82" s="397"/>
      <c r="E82" s="397"/>
    </row>
    <row r="83" spans="1:12">
      <c r="A83" s="431"/>
      <c r="B83" s="432"/>
      <c r="C83" s="432"/>
      <c r="D83" s="432"/>
      <c r="E83" s="433"/>
      <c r="F83" s="403"/>
      <c r="G83" s="418"/>
      <c r="H83" s="405"/>
      <c r="I83" s="403"/>
      <c r="J83" s="405"/>
      <c r="K83" s="405"/>
      <c r="L83" s="405"/>
    </row>
    <row r="84" spans="1:12">
      <c r="A84" s="431"/>
      <c r="B84" s="432"/>
      <c r="C84" s="432"/>
      <c r="D84" s="432"/>
      <c r="E84" s="433"/>
      <c r="F84" s="360" t="e">
        <v>#DIV/0!</v>
      </c>
      <c r="G84" s="360" t="e">
        <f t="shared" ref="G84" si="16">G90</f>
        <v>#DIV/0!</v>
      </c>
      <c r="H84" s="360">
        <v>212.49698043320717</v>
      </c>
      <c r="I84" s="360" t="e">
        <f>I90</f>
        <v>#DIV/0!</v>
      </c>
      <c r="J84" s="360" t="e">
        <f>J90</f>
        <v>#DIV/0!</v>
      </c>
      <c r="K84" s="360" t="e">
        <f>K90</f>
        <v>#DIV/0!</v>
      </c>
      <c r="L84" s="360">
        <v>525.48514373137937</v>
      </c>
    </row>
    <row r="85" spans="1:12">
      <c r="F85" s="403"/>
      <c r="G85" s="418"/>
      <c r="H85" s="405"/>
      <c r="I85" s="403"/>
      <c r="J85" s="405"/>
      <c r="K85" s="405"/>
      <c r="L85" s="405"/>
    </row>
    <row r="86" spans="1:12">
      <c r="F86" s="405"/>
      <c r="G86" s="434"/>
      <c r="H86" s="405"/>
      <c r="I86" s="405"/>
      <c r="J86" s="405"/>
      <c r="K86" s="405"/>
      <c r="L86" s="405"/>
    </row>
    <row r="87" spans="1:12">
      <c r="F87" s="405"/>
      <c r="G87" s="434"/>
      <c r="H87" s="405"/>
      <c r="I87" s="405"/>
      <c r="J87" s="405"/>
      <c r="K87" s="405"/>
      <c r="L87" s="405"/>
    </row>
    <row r="88" spans="1:12">
      <c r="F88" s="405"/>
      <c r="G88" s="434"/>
      <c r="H88" s="405"/>
      <c r="I88" s="405"/>
      <c r="J88" s="405"/>
      <c r="K88" s="405"/>
      <c r="L88" s="405"/>
    </row>
    <row r="89" spans="1:12">
      <c r="F89" s="435">
        <v>200.45701971026318</v>
      </c>
      <c r="G89" s="435">
        <f>G81*$E$86-G59</f>
        <v>-0.65</v>
      </c>
      <c r="H89" s="435">
        <v>131.94999999999999</v>
      </c>
      <c r="I89" s="435">
        <f>I81*$E$86-I59</f>
        <v>271.05</v>
      </c>
      <c r="J89" s="435">
        <f>J81*$E$86-J59</f>
        <v>-126.75</v>
      </c>
      <c r="K89" s="435">
        <f>K81*$E$86-K59</f>
        <v>596.70000000000005</v>
      </c>
      <c r="L89" s="435">
        <v>326.3</v>
      </c>
    </row>
    <row r="90" spans="1:12">
      <c r="F90" s="435" t="e">
        <v>#DIV/0!</v>
      </c>
      <c r="G90" s="435" t="e">
        <f t="shared" ref="G90" si="17">G89/$E$87</f>
        <v>#DIV/0!</v>
      </c>
      <c r="H90" s="435">
        <v>212.49698043320717</v>
      </c>
      <c r="I90" s="435" t="e">
        <f>I89/$E$87</f>
        <v>#DIV/0!</v>
      </c>
      <c r="J90" s="435" t="e">
        <f>J89/$E$87</f>
        <v>#DIV/0!</v>
      </c>
      <c r="K90" s="435" t="e">
        <f>K89/$E$87</f>
        <v>#DIV/0!</v>
      </c>
      <c r="L90" s="435">
        <v>525.48514373137937</v>
      </c>
    </row>
    <row r="91" spans="1:12">
      <c r="F91" s="436"/>
      <c r="G91" s="436"/>
      <c r="H91" s="436"/>
      <c r="I91" s="436"/>
      <c r="J91" s="436"/>
      <c r="K91" s="436"/>
      <c r="L91" s="436"/>
    </row>
    <row r="92" spans="1:12">
      <c r="F92" s="436"/>
      <c r="G92" s="436"/>
      <c r="H92" s="436"/>
      <c r="I92" s="436"/>
      <c r="J92" s="436"/>
      <c r="K92" s="436"/>
      <c r="L92" s="436"/>
    </row>
    <row r="93" spans="1:12">
      <c r="F93" s="436"/>
      <c r="G93" s="436"/>
      <c r="H93" s="436"/>
      <c r="I93" s="436"/>
      <c r="J93" s="436"/>
      <c r="K93" s="436"/>
      <c r="L93" s="436"/>
    </row>
    <row r="94" spans="1:12">
      <c r="F94" s="436"/>
      <c r="G94" s="436"/>
      <c r="H94" s="436"/>
      <c r="I94" s="436"/>
      <c r="J94" s="436"/>
      <c r="K94" s="436"/>
      <c r="L94" s="436"/>
    </row>
    <row r="95" spans="1:12">
      <c r="F95" s="436"/>
      <c r="G95" s="436"/>
      <c r="H95" s="436"/>
      <c r="I95" s="436"/>
      <c r="J95" s="436"/>
      <c r="K95" s="436"/>
      <c r="L95" s="436"/>
    </row>
    <row r="96" spans="1:12">
      <c r="F96" s="436"/>
      <c r="G96" s="436"/>
      <c r="H96" s="436"/>
      <c r="I96" s="436"/>
      <c r="J96" s="436"/>
      <c r="K96" s="436"/>
      <c r="L96" s="436"/>
    </row>
    <row r="97" spans="6:9">
      <c r="F97" s="359"/>
      <c r="G97" s="437"/>
      <c r="I97" s="359"/>
    </row>
    <row r="98" spans="6:9">
      <c r="F98" s="359"/>
      <c r="G98" s="437"/>
      <c r="I98" s="359"/>
    </row>
  </sheetData>
  <pageMargins left="0.7" right="0.7" top="0.75" bottom="0.75" header="0.3" footer="0.3"/>
  <pageSetup scale="62" fitToWidth="0" orientation="portrait" r:id="rId1"/>
  <headerFooter>
    <oddHeader>&amp;RExhibit No. __ (EJK-2)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topLeftCell="A22" zoomScaleNormal="100" workbookViewId="0">
      <selection activeCell="F55" sqref="F55"/>
    </sheetView>
  </sheetViews>
  <sheetFormatPr defaultRowHeight="12"/>
  <cols>
    <col min="1" max="1" width="9.33203125" style="461"/>
    <col min="2" max="2" width="3.5" style="461" customWidth="1"/>
    <col min="3" max="3" width="9.33203125" style="461"/>
    <col min="4" max="4" width="22.1640625" style="461" customWidth="1"/>
    <col min="5" max="5" width="10" style="461" customWidth="1"/>
    <col min="6" max="6" width="19.5" style="461" customWidth="1"/>
    <col min="7" max="16384" width="9.33203125" style="461"/>
  </cols>
  <sheetData>
    <row r="1" spans="1:6">
      <c r="A1" s="438" t="str">
        <f>'[8]ROO INPUT'!A3:C3</f>
        <v>AVISTA UTILITIES</v>
      </c>
      <c r="B1" s="357"/>
      <c r="C1" s="357"/>
      <c r="D1" s="357"/>
    </row>
    <row r="2" spans="1:6">
      <c r="A2" s="438" t="str">
        <f>'[8]ROO INPUT'!A4:C4</f>
        <v xml:space="preserve">WASHINGTON NATURAL GAS RESULTS </v>
      </c>
      <c r="B2" s="357"/>
      <c r="C2" s="357"/>
      <c r="D2" s="357"/>
    </row>
    <row r="3" spans="1:6">
      <c r="A3" s="438" t="str">
        <f>'[8]ROO INPUT'!A5:C5</f>
        <v>TWELVE MONTHS ENDED DECEMBER 31, 2011</v>
      </c>
      <c r="B3" s="357"/>
      <c r="C3" s="357"/>
      <c r="D3" s="357"/>
    </row>
    <row r="4" spans="1:6">
      <c r="A4" s="438" t="str">
        <f>'[8]ROO INPUT'!A6:C6</f>
        <v xml:space="preserve">(000'S OF DOLLARS)   </v>
      </c>
      <c r="B4" s="438"/>
      <c r="C4" s="438"/>
      <c r="D4" s="438"/>
    </row>
    <row r="5" spans="1:6">
      <c r="A5" s="441"/>
      <c r="B5" s="442"/>
      <c r="C5" s="443"/>
      <c r="D5" s="444"/>
      <c r="F5" s="374" t="s">
        <v>292</v>
      </c>
    </row>
    <row r="6" spans="1:6">
      <c r="A6" s="445" t="s">
        <v>11</v>
      </c>
      <c r="B6" s="446"/>
      <c r="C6" s="447"/>
      <c r="D6" s="448"/>
      <c r="F6" s="381" t="s">
        <v>78</v>
      </c>
    </row>
    <row r="7" spans="1:6">
      <c r="A7" s="449" t="s">
        <v>18</v>
      </c>
      <c r="B7" s="450"/>
      <c r="C7" s="451"/>
      <c r="D7" s="452" t="s">
        <v>19</v>
      </c>
      <c r="F7" s="389" t="s">
        <v>20</v>
      </c>
    </row>
    <row r="8" spans="1:6">
      <c r="A8" s="439"/>
      <c r="B8" s="453" t="s">
        <v>274</v>
      </c>
      <c r="C8" s="440"/>
      <c r="D8" s="440"/>
      <c r="F8" s="394">
        <v>2.11</v>
      </c>
    </row>
    <row r="9" spans="1:6">
      <c r="A9" s="439"/>
      <c r="B9" s="453"/>
      <c r="C9" s="440"/>
      <c r="D9" s="440"/>
      <c r="F9" s="364"/>
    </row>
    <row r="10" spans="1:6">
      <c r="A10" s="454"/>
      <c r="B10" s="357" t="s">
        <v>28</v>
      </c>
      <c r="C10" s="357"/>
      <c r="D10" s="357"/>
      <c r="F10" s="359"/>
    </row>
    <row r="11" spans="1:6">
      <c r="A11" s="454">
        <v>1</v>
      </c>
      <c r="B11" s="455" t="s">
        <v>29</v>
      </c>
      <c r="C11" s="455"/>
      <c r="D11" s="455"/>
      <c r="F11" s="456">
        <v>0</v>
      </c>
    </row>
    <row r="12" spans="1:6">
      <c r="A12" s="454">
        <v>2</v>
      </c>
      <c r="B12" s="414" t="s">
        <v>31</v>
      </c>
      <c r="C12" s="357"/>
      <c r="D12" s="414"/>
      <c r="F12" s="457">
        <v>0</v>
      </c>
    </row>
    <row r="13" spans="1:6">
      <c r="A13" s="454">
        <v>3</v>
      </c>
      <c r="B13" s="414" t="s">
        <v>32</v>
      </c>
      <c r="C13" s="357"/>
      <c r="D13" s="414"/>
      <c r="F13" s="458">
        <v>0</v>
      </c>
    </row>
    <row r="14" spans="1:6">
      <c r="A14" s="454">
        <v>4</v>
      </c>
      <c r="B14" s="357" t="s">
        <v>34</v>
      </c>
      <c r="C14" s="414"/>
      <c r="D14" s="414"/>
      <c r="F14" s="403">
        <f>SUM(F11:F13)</f>
        <v>0</v>
      </c>
    </row>
    <row r="15" spans="1:6">
      <c r="A15" s="454"/>
      <c r="B15" s="357"/>
      <c r="C15" s="414"/>
      <c r="D15" s="414"/>
      <c r="F15" s="459"/>
    </row>
    <row r="16" spans="1:6">
      <c r="A16" s="454"/>
      <c r="B16" s="357" t="s">
        <v>35</v>
      </c>
      <c r="C16" s="414"/>
      <c r="D16" s="414"/>
      <c r="F16" s="459"/>
    </row>
    <row r="17" spans="1:6">
      <c r="A17" s="454"/>
      <c r="B17" s="414" t="s">
        <v>275</v>
      </c>
      <c r="C17" s="357"/>
      <c r="D17" s="414"/>
      <c r="F17" s="459"/>
    </row>
    <row r="18" spans="1:6">
      <c r="A18" s="454">
        <v>5</v>
      </c>
      <c r="B18" s="357"/>
      <c r="C18" s="414" t="s">
        <v>36</v>
      </c>
      <c r="D18" s="414"/>
      <c r="F18" s="457">
        <v>0</v>
      </c>
    </row>
    <row r="19" spans="1:6">
      <c r="A19" s="454">
        <v>6</v>
      </c>
      <c r="B19" s="357"/>
      <c r="C19" s="414" t="s">
        <v>37</v>
      </c>
      <c r="D19" s="414"/>
      <c r="F19" s="457">
        <v>0</v>
      </c>
    </row>
    <row r="20" spans="1:6">
      <c r="A20" s="454">
        <v>7</v>
      </c>
      <c r="B20" s="357"/>
      <c r="C20" s="414" t="s">
        <v>38</v>
      </c>
      <c r="D20" s="414"/>
      <c r="F20" s="458">
        <v>0</v>
      </c>
    </row>
    <row r="21" spans="1:6">
      <c r="A21" s="454">
        <v>8</v>
      </c>
      <c r="B21" s="414" t="s">
        <v>39</v>
      </c>
      <c r="C21" s="414"/>
      <c r="D21" s="357"/>
      <c r="F21" s="405">
        <f>SUM(F18:F20)</f>
        <v>0</v>
      </c>
    </row>
    <row r="22" spans="1:6">
      <c r="A22" s="454"/>
      <c r="B22" s="414"/>
      <c r="C22" s="414"/>
      <c r="D22" s="357"/>
      <c r="F22" s="405"/>
    </row>
    <row r="23" spans="1:6">
      <c r="A23" s="454"/>
      <c r="B23" s="414" t="s">
        <v>40</v>
      </c>
      <c r="C23" s="357"/>
      <c r="D23" s="414"/>
      <c r="F23" s="459"/>
    </row>
    <row r="24" spans="1:6">
      <c r="A24" s="454">
        <v>9</v>
      </c>
      <c r="B24" s="357"/>
      <c r="C24" s="414" t="s">
        <v>41</v>
      </c>
      <c r="D24" s="414"/>
      <c r="F24" s="457">
        <v>0</v>
      </c>
    </row>
    <row r="25" spans="1:6">
      <c r="A25" s="454">
        <v>10</v>
      </c>
      <c r="B25" s="357"/>
      <c r="C25" s="414" t="s">
        <v>221</v>
      </c>
      <c r="D25" s="414"/>
      <c r="F25" s="457">
        <v>0</v>
      </c>
    </row>
    <row r="26" spans="1:6">
      <c r="A26" s="454">
        <v>11</v>
      </c>
      <c r="B26" s="357"/>
      <c r="C26" s="414" t="s">
        <v>43</v>
      </c>
      <c r="D26" s="414"/>
      <c r="F26" s="458">
        <v>0</v>
      </c>
    </row>
    <row r="27" spans="1:6">
      <c r="A27" s="454">
        <v>12</v>
      </c>
      <c r="B27" s="414" t="s">
        <v>44</v>
      </c>
      <c r="C27" s="414"/>
      <c r="D27" s="357"/>
      <c r="F27" s="405">
        <f>SUM(F24:F26)</f>
        <v>0</v>
      </c>
    </row>
    <row r="28" spans="1:6">
      <c r="A28" s="454"/>
      <c r="B28" s="414"/>
      <c r="C28" s="414"/>
      <c r="D28" s="357"/>
      <c r="F28" s="405"/>
    </row>
    <row r="29" spans="1:6">
      <c r="A29" s="454"/>
      <c r="B29" s="414" t="s">
        <v>45</v>
      </c>
      <c r="C29" s="357"/>
      <c r="D29" s="414"/>
      <c r="F29" s="459"/>
    </row>
    <row r="30" spans="1:6">
      <c r="A30" s="454">
        <v>13</v>
      </c>
      <c r="B30" s="357"/>
      <c r="C30" s="414" t="s">
        <v>41</v>
      </c>
      <c r="D30" s="414"/>
      <c r="F30" s="457">
        <v>0</v>
      </c>
    </row>
    <row r="31" spans="1:6">
      <c r="A31" s="454">
        <v>14</v>
      </c>
      <c r="B31" s="357"/>
      <c r="C31" s="414" t="s">
        <v>221</v>
      </c>
      <c r="D31" s="414"/>
      <c r="F31" s="457">
        <v>0</v>
      </c>
    </row>
    <row r="32" spans="1:6">
      <c r="A32" s="454">
        <v>15</v>
      </c>
      <c r="B32" s="357"/>
      <c r="C32" s="414" t="s">
        <v>43</v>
      </c>
      <c r="D32" s="414"/>
      <c r="F32" s="458">
        <v>0</v>
      </c>
    </row>
    <row r="33" spans="1:6">
      <c r="A33" s="454">
        <v>16</v>
      </c>
      <c r="B33" s="414" t="s">
        <v>46</v>
      </c>
      <c r="C33" s="414"/>
      <c r="D33" s="357"/>
      <c r="F33" s="405">
        <f>SUM(F30:F32)</f>
        <v>0</v>
      </c>
    </row>
    <row r="34" spans="1:6">
      <c r="A34" s="454"/>
      <c r="B34" s="357"/>
      <c r="C34" s="414"/>
      <c r="D34" s="414"/>
      <c r="F34" s="405"/>
    </row>
    <row r="35" spans="1:6">
      <c r="A35" s="454">
        <v>17</v>
      </c>
      <c r="B35" s="357" t="s">
        <v>47</v>
      </c>
      <c r="C35" s="414"/>
      <c r="D35" s="414"/>
      <c r="F35" s="460">
        <v>0</v>
      </c>
    </row>
    <row r="36" spans="1:6">
      <c r="A36" s="454">
        <v>18</v>
      </c>
      <c r="B36" s="357" t="s">
        <v>48</v>
      </c>
      <c r="C36" s="414"/>
      <c r="D36" s="414"/>
      <c r="F36" s="457">
        <v>-7</v>
      </c>
    </row>
    <row r="37" spans="1:6">
      <c r="A37" s="454">
        <v>19</v>
      </c>
      <c r="B37" s="357" t="s">
        <v>49</v>
      </c>
      <c r="C37" s="414"/>
      <c r="D37" s="414"/>
      <c r="F37" s="457">
        <v>0</v>
      </c>
    </row>
    <row r="38" spans="1:6">
      <c r="A38" s="454"/>
      <c r="B38" s="357"/>
      <c r="C38" s="414"/>
      <c r="D38" s="414"/>
      <c r="F38" s="457"/>
    </row>
    <row r="39" spans="1:6">
      <c r="A39" s="454"/>
      <c r="B39" s="357" t="s">
        <v>50</v>
      </c>
      <c r="C39" s="414"/>
      <c r="D39" s="414"/>
      <c r="F39" s="457"/>
    </row>
    <row r="40" spans="1:6">
      <c r="A40" s="454">
        <v>20</v>
      </c>
      <c r="B40" s="357"/>
      <c r="C40" s="414" t="s">
        <v>41</v>
      </c>
      <c r="D40" s="414"/>
      <c r="F40" s="457">
        <v>-82</v>
      </c>
    </row>
    <row r="41" spans="1:6">
      <c r="A41" s="454">
        <v>21</v>
      </c>
      <c r="B41" s="357"/>
      <c r="C41" s="414" t="s">
        <v>221</v>
      </c>
      <c r="D41" s="414"/>
      <c r="F41" s="457">
        <v>0</v>
      </c>
    </row>
    <row r="42" spans="1:6">
      <c r="A42" s="454">
        <v>22</v>
      </c>
      <c r="B42" s="357"/>
      <c r="C42" s="461" t="s">
        <v>224</v>
      </c>
      <c r="D42" s="414"/>
      <c r="F42" s="457"/>
    </row>
    <row r="43" spans="1:6">
      <c r="A43" s="454">
        <v>23</v>
      </c>
      <c r="B43" s="357"/>
      <c r="C43" s="414" t="s">
        <v>43</v>
      </c>
      <c r="D43" s="414"/>
      <c r="F43" s="458">
        <v>0</v>
      </c>
    </row>
    <row r="44" spans="1:6">
      <c r="A44" s="454">
        <v>24</v>
      </c>
      <c r="B44" s="414" t="s">
        <v>51</v>
      </c>
      <c r="C44" s="414"/>
      <c r="D44" s="357"/>
      <c r="F44" s="413">
        <f>SUM(F40:F43)</f>
        <v>-82</v>
      </c>
    </row>
    <row r="45" spans="1:6">
      <c r="A45" s="454">
        <v>25</v>
      </c>
      <c r="B45" s="357" t="s">
        <v>52</v>
      </c>
      <c r="C45" s="414"/>
      <c r="D45" s="414"/>
      <c r="F45" s="412">
        <f>F17+F21+F27+F33+F35+F36+F37+F44</f>
        <v>-89</v>
      </c>
    </row>
    <row r="46" spans="1:6">
      <c r="A46" s="454"/>
      <c r="B46" s="357"/>
      <c r="C46" s="414"/>
      <c r="D46" s="414"/>
      <c r="F46" s="405"/>
    </row>
    <row r="47" spans="1:6">
      <c r="A47" s="454">
        <v>26</v>
      </c>
      <c r="B47" s="357" t="s">
        <v>259</v>
      </c>
      <c r="C47" s="414"/>
      <c r="D47" s="414"/>
      <c r="F47" s="405">
        <f>F14-F45</f>
        <v>89</v>
      </c>
    </row>
    <row r="48" spans="1:6">
      <c r="A48" s="454"/>
      <c r="B48" s="357"/>
      <c r="C48" s="414"/>
      <c r="D48" s="414"/>
      <c r="F48" s="405"/>
    </row>
    <row r="49" spans="1:6">
      <c r="A49" s="454"/>
      <c r="B49" s="357" t="s">
        <v>260</v>
      </c>
      <c r="C49" s="414"/>
      <c r="D49" s="414"/>
      <c r="F49" s="459"/>
    </row>
    <row r="50" spans="1:6">
      <c r="A50" s="454">
        <v>27</v>
      </c>
      <c r="B50" s="414" t="s">
        <v>53</v>
      </c>
      <c r="C50" s="357"/>
      <c r="D50" s="414"/>
      <c r="F50" s="459">
        <f>F47*0.35</f>
        <v>31.15</v>
      </c>
    </row>
    <row r="51" spans="1:6">
      <c r="A51" s="454">
        <v>28</v>
      </c>
      <c r="B51" s="414" t="s">
        <v>217</v>
      </c>
      <c r="C51" s="357"/>
      <c r="D51" s="414"/>
      <c r="F51" s="459">
        <f>(F78*'[12]RR SUMMARY'!$M$14)*-0.35</f>
        <v>0</v>
      </c>
    </row>
    <row r="52" spans="1:6">
      <c r="A52" s="454">
        <v>29</v>
      </c>
      <c r="B52" s="414" t="s">
        <v>54</v>
      </c>
      <c r="C52" s="357"/>
      <c r="D52" s="414"/>
      <c r="F52" s="457">
        <v>0</v>
      </c>
    </row>
    <row r="53" spans="1:6">
      <c r="A53" s="454">
        <v>30</v>
      </c>
      <c r="B53" s="414" t="s">
        <v>55</v>
      </c>
      <c r="C53" s="357"/>
      <c r="D53" s="414"/>
      <c r="F53" s="458">
        <v>0</v>
      </c>
    </row>
    <row r="54" spans="1:6">
      <c r="A54" s="454"/>
      <c r="B54" s="357"/>
      <c r="C54" s="357"/>
      <c r="D54" s="357"/>
      <c r="F54" s="405"/>
    </row>
    <row r="55" spans="1:6" ht="12.75" thickBot="1">
      <c r="A55" s="454">
        <v>31</v>
      </c>
      <c r="B55" s="455" t="s">
        <v>56</v>
      </c>
      <c r="C55" s="455"/>
      <c r="D55" s="455"/>
      <c r="F55" s="417">
        <f>F47-SUM(F50:F53)</f>
        <v>57.85</v>
      </c>
    </row>
    <row r="56" spans="1:6" ht="12.75" thickTop="1">
      <c r="A56" s="454"/>
      <c r="B56" s="357"/>
      <c r="C56" s="357"/>
      <c r="D56" s="357"/>
      <c r="F56" s="405"/>
    </row>
    <row r="57" spans="1:6">
      <c r="A57" s="454"/>
      <c r="B57" s="357" t="s">
        <v>57</v>
      </c>
      <c r="C57" s="357"/>
      <c r="D57" s="357"/>
      <c r="F57" s="405"/>
    </row>
    <row r="58" spans="1:6">
      <c r="A58" s="454"/>
      <c r="B58" s="357" t="s">
        <v>58</v>
      </c>
      <c r="C58" s="357"/>
      <c r="D58" s="357"/>
      <c r="F58" s="459"/>
    </row>
    <row r="59" spans="1:6">
      <c r="A59" s="454">
        <v>32</v>
      </c>
      <c r="B59" s="414"/>
      <c r="C59" s="414" t="s">
        <v>40</v>
      </c>
      <c r="D59" s="414"/>
      <c r="F59" s="456">
        <v>0</v>
      </c>
    </row>
    <row r="60" spans="1:6">
      <c r="A60" s="454">
        <v>33</v>
      </c>
      <c r="B60" s="414"/>
      <c r="C60" s="414" t="s">
        <v>59</v>
      </c>
      <c r="D60" s="414"/>
      <c r="F60" s="457">
        <v>0</v>
      </c>
    </row>
    <row r="61" spans="1:6">
      <c r="A61" s="454">
        <v>34</v>
      </c>
      <c r="B61" s="414"/>
      <c r="C61" s="414" t="s">
        <v>60</v>
      </c>
      <c r="D61" s="414"/>
      <c r="F61" s="458">
        <v>0</v>
      </c>
    </row>
    <row r="62" spans="1:6">
      <c r="A62" s="454">
        <v>35</v>
      </c>
      <c r="B62" s="414" t="s">
        <v>61</v>
      </c>
      <c r="C62" s="414"/>
      <c r="D62" s="357"/>
      <c r="F62" s="405">
        <f>SUM(F59:F61)</f>
        <v>0</v>
      </c>
    </row>
    <row r="63" spans="1:6">
      <c r="A63" s="454"/>
      <c r="B63" s="414"/>
      <c r="C63" s="414"/>
      <c r="D63" s="357"/>
      <c r="F63" s="405"/>
    </row>
    <row r="64" spans="1:6">
      <c r="A64" s="454"/>
      <c r="B64" s="414" t="s">
        <v>276</v>
      </c>
      <c r="C64" s="414"/>
      <c r="D64" s="414"/>
      <c r="F64" s="459"/>
    </row>
    <row r="65" spans="1:6">
      <c r="A65" s="454">
        <v>36</v>
      </c>
      <c r="B65" s="414"/>
      <c r="C65" s="414" t="s">
        <v>40</v>
      </c>
      <c r="D65" s="414"/>
      <c r="F65" s="457">
        <v>0</v>
      </c>
    </row>
    <row r="66" spans="1:6">
      <c r="A66" s="454">
        <v>37</v>
      </c>
      <c r="B66" s="414"/>
      <c r="C66" s="414" t="s">
        <v>59</v>
      </c>
      <c r="D66" s="414"/>
      <c r="F66" s="457">
        <v>0</v>
      </c>
    </row>
    <row r="67" spans="1:6">
      <c r="A67" s="454">
        <v>38</v>
      </c>
      <c r="B67" s="414"/>
      <c r="C67" s="414" t="s">
        <v>60</v>
      </c>
      <c r="D67" s="414"/>
      <c r="F67" s="457">
        <v>0</v>
      </c>
    </row>
    <row r="68" spans="1:6">
      <c r="A68" s="454">
        <v>39</v>
      </c>
      <c r="B68" s="414" t="s">
        <v>277</v>
      </c>
      <c r="C68" s="414"/>
      <c r="D68" s="357"/>
      <c r="F68" s="424">
        <f>SUM(F65:F67)</f>
        <v>0</v>
      </c>
    </row>
    <row r="69" spans="1:6">
      <c r="A69" s="454">
        <v>40</v>
      </c>
      <c r="B69" s="414" t="s">
        <v>264</v>
      </c>
      <c r="C69" s="414"/>
      <c r="D69" s="414"/>
      <c r="F69" s="425">
        <f>F62-F68</f>
        <v>0</v>
      </c>
    </row>
    <row r="70" spans="1:6">
      <c r="A70" s="462">
        <v>41</v>
      </c>
      <c r="B70" s="428" t="s">
        <v>278</v>
      </c>
      <c r="C70" s="428"/>
      <c r="D70" s="428"/>
      <c r="F70" s="458">
        <v>0</v>
      </c>
    </row>
    <row r="71" spans="1:6">
      <c r="A71" s="462">
        <v>42</v>
      </c>
      <c r="B71" s="428" t="s">
        <v>266</v>
      </c>
      <c r="C71" s="428"/>
      <c r="D71" s="428"/>
      <c r="F71" s="425">
        <f>F69+F70</f>
        <v>0</v>
      </c>
    </row>
    <row r="72" spans="1:6">
      <c r="A72" s="454">
        <v>43</v>
      </c>
      <c r="B72" s="414" t="s">
        <v>267</v>
      </c>
      <c r="C72" s="414"/>
      <c r="D72" s="414"/>
      <c r="F72" s="457">
        <v>0</v>
      </c>
    </row>
    <row r="73" spans="1:6">
      <c r="A73" s="462">
        <v>44</v>
      </c>
      <c r="B73" s="428" t="s">
        <v>268</v>
      </c>
      <c r="C73" s="428"/>
      <c r="D73" s="428"/>
      <c r="F73" s="460">
        <v>0</v>
      </c>
    </row>
    <row r="74" spans="1:6">
      <c r="A74" s="462">
        <v>45</v>
      </c>
      <c r="B74" s="428" t="s">
        <v>269</v>
      </c>
      <c r="C74" s="428"/>
      <c r="D74" s="428"/>
      <c r="F74" s="460"/>
    </row>
    <row r="75" spans="1:6">
      <c r="A75" s="454">
        <v>46</v>
      </c>
      <c r="B75" s="414" t="s">
        <v>279</v>
      </c>
      <c r="C75" s="414"/>
      <c r="D75" s="414"/>
      <c r="F75" s="458">
        <v>0</v>
      </c>
    </row>
    <row r="76" spans="1:6">
      <c r="A76" s="454"/>
      <c r="B76" s="357"/>
      <c r="C76" s="357"/>
      <c r="D76" s="357"/>
      <c r="F76" s="359"/>
    </row>
    <row r="77" spans="1:6">
      <c r="A77" s="454"/>
      <c r="B77" s="357"/>
      <c r="C77" s="357"/>
      <c r="D77" s="357"/>
      <c r="F77" s="405"/>
    </row>
    <row r="78" spans="1:6" ht="12.75" thickBot="1">
      <c r="A78" s="439">
        <v>47</v>
      </c>
      <c r="B78" s="464" t="s">
        <v>63</v>
      </c>
      <c r="C78" s="464"/>
      <c r="D78" s="464"/>
      <c r="F78" s="430">
        <f>F71+F72+F73+F75+F74</f>
        <v>0</v>
      </c>
    </row>
    <row r="79" spans="1:6" ht="12.75" thickTop="1">
      <c r="A79" s="454">
        <v>48</v>
      </c>
      <c r="B79" s="357" t="s">
        <v>64</v>
      </c>
      <c r="C79" s="357"/>
      <c r="D79" s="357"/>
      <c r="F79" s="405"/>
    </row>
    <row r="80" spans="1:6">
      <c r="A80" s="454">
        <v>49</v>
      </c>
      <c r="B80" s="357" t="s">
        <v>293</v>
      </c>
      <c r="C80" s="357"/>
      <c r="D80" s="357"/>
      <c r="F80" s="414"/>
    </row>
    <row r="81" spans="1:10">
      <c r="A81" s="454"/>
      <c r="B81" s="357"/>
      <c r="C81" s="357"/>
      <c r="D81" s="357"/>
      <c r="F81" s="405"/>
    </row>
    <row r="82" spans="1:10">
      <c r="A82" s="518"/>
      <c r="B82" s="466"/>
      <c r="C82" s="468" t="s">
        <v>294</v>
      </c>
      <c r="E82" s="590"/>
      <c r="F82" s="405"/>
    </row>
    <row r="83" spans="1:10">
      <c r="A83" s="465"/>
      <c r="B83" s="466"/>
      <c r="C83" s="468" t="s">
        <v>144</v>
      </c>
      <c r="F83" s="405"/>
    </row>
    <row r="84" spans="1:10">
      <c r="A84" s="465"/>
      <c r="B84" s="466"/>
      <c r="C84" s="466"/>
      <c r="D84" s="468"/>
      <c r="F84" s="405"/>
    </row>
    <row r="85" spans="1:10">
      <c r="A85" s="465"/>
      <c r="B85" s="466"/>
      <c r="C85" s="466"/>
      <c r="D85" s="468"/>
      <c r="F85" s="519"/>
      <c r="J85" s="461" t="s">
        <v>295</v>
      </c>
    </row>
    <row r="86" spans="1:10">
      <c r="A86" s="465"/>
      <c r="B86" s="466"/>
      <c r="C86" s="466"/>
      <c r="D86" s="468"/>
      <c r="F86" s="591"/>
    </row>
  </sheetData>
  <pageMargins left="0.7" right="0.7" top="0.75" bottom="0.75" header="0.3" footer="0.3"/>
  <pageSetup paperSize="0" scale="70" orientation="portrait" r:id="rId1"/>
  <headerFooter>
    <oddHeader>&amp;RExhibit No. __ (EJK-2)</oddHeader>
  </headerFooter>
  <rowBreaks count="1" manualBreakCount="1">
    <brk id="84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"/>
  <sheetViews>
    <sheetView zoomScaleNormal="100" zoomScaleSheetLayoutView="100" workbookViewId="0">
      <pane xSplit="4" ySplit="10" topLeftCell="E29" activePane="bottomRight" state="frozen"/>
      <selection activeCell="N20" sqref="N20"/>
      <selection pane="topRight" activeCell="N20" sqref="N20"/>
      <selection pane="bottomLeft" activeCell="N20" sqref="N20"/>
      <selection pane="bottomRight" activeCell="E57" sqref="E57"/>
    </sheetView>
  </sheetViews>
  <sheetFormatPr defaultColWidth="12.5" defaultRowHeight="12"/>
  <cols>
    <col min="1" max="1" width="6.6640625" style="454" customWidth="1"/>
    <col min="2" max="3" width="2" style="357" customWidth="1"/>
    <col min="4" max="4" width="33.5" style="357" customWidth="1"/>
    <col min="5" max="5" width="21.83203125" style="359" customWidth="1"/>
    <col min="6" max="7" width="12.5" style="357" customWidth="1"/>
    <col min="8" max="16384" width="12.5" style="357"/>
  </cols>
  <sheetData>
    <row r="1" spans="1:5" ht="12.75" customHeight="1">
      <c r="A1" s="438" t="str">
        <f>'[8]ROO INPUT'!A3:C3</f>
        <v>AVISTA UTILITIES</v>
      </c>
    </row>
    <row r="2" spans="1:5" ht="12.75" customHeight="1">
      <c r="A2" s="438" t="str">
        <f>'[8]ROO INPUT'!A4:C4</f>
        <v xml:space="preserve">WASHINGTON NATURAL GAS RESULTS </v>
      </c>
    </row>
    <row r="3" spans="1:5" ht="12.75" customHeight="1">
      <c r="A3" s="438" t="str">
        <f>'[8]ROO INPUT'!A5:C5</f>
        <v>TWELVE MONTHS ENDED DECEMBER 31, 2011</v>
      </c>
    </row>
    <row r="4" spans="1:5">
      <c r="A4" s="438" t="str">
        <f>'[8]ROO INPUT'!A6:C6</f>
        <v xml:space="preserve">(000'S OF DOLLARS)   </v>
      </c>
      <c r="B4" s="438"/>
      <c r="C4" s="438"/>
      <c r="D4" s="438"/>
    </row>
    <row r="5" spans="1:5" ht="12.75" customHeight="1">
      <c r="A5" s="438"/>
    </row>
    <row r="6" spans="1:5" s="440" customFormat="1">
      <c r="A6" s="439"/>
      <c r="E6" s="364"/>
    </row>
    <row r="7" spans="1:5" s="440" customFormat="1" ht="12" customHeight="1">
      <c r="A7" s="441"/>
      <c r="B7" s="442"/>
      <c r="C7" s="443"/>
      <c r="D7" s="444"/>
      <c r="E7" s="374" t="s">
        <v>273</v>
      </c>
    </row>
    <row r="8" spans="1:5" s="440" customFormat="1">
      <c r="A8" s="445" t="s">
        <v>11</v>
      </c>
      <c r="B8" s="446"/>
      <c r="C8" s="447"/>
      <c r="D8" s="448"/>
      <c r="E8" s="381" t="s">
        <v>84</v>
      </c>
    </row>
    <row r="9" spans="1:5" s="440" customFormat="1">
      <c r="A9" s="449" t="s">
        <v>18</v>
      </c>
      <c r="B9" s="450"/>
      <c r="C9" s="451"/>
      <c r="D9" s="452" t="s">
        <v>19</v>
      </c>
      <c r="E9" s="389" t="s">
        <v>94</v>
      </c>
    </row>
    <row r="10" spans="1:5" s="440" customFormat="1">
      <c r="A10" s="439"/>
      <c r="B10" s="453" t="s">
        <v>274</v>
      </c>
      <c r="E10" s="394">
        <v>2.14</v>
      </c>
    </row>
    <row r="12" spans="1:5">
      <c r="B12" s="357" t="s">
        <v>28</v>
      </c>
    </row>
    <row r="13" spans="1:5" s="455" customFormat="1">
      <c r="A13" s="454">
        <v>1</v>
      </c>
      <c r="B13" s="455" t="s">
        <v>29</v>
      </c>
      <c r="E13" s="456">
        <v>0</v>
      </c>
    </row>
    <row r="14" spans="1:5">
      <c r="A14" s="454">
        <v>2</v>
      </c>
      <c r="B14" s="414" t="s">
        <v>31</v>
      </c>
      <c r="D14" s="414"/>
      <c r="E14" s="457">
        <v>0</v>
      </c>
    </row>
    <row r="15" spans="1:5">
      <c r="A15" s="454">
        <v>3</v>
      </c>
      <c r="B15" s="414" t="s">
        <v>32</v>
      </c>
      <c r="D15" s="414"/>
      <c r="E15" s="458">
        <v>0</v>
      </c>
    </row>
    <row r="16" spans="1:5">
      <c r="A16" s="454">
        <v>4</v>
      </c>
      <c r="B16" s="357" t="s">
        <v>34</v>
      </c>
      <c r="C16" s="414"/>
      <c r="D16" s="414"/>
      <c r="E16" s="403">
        <f t="shared" ref="E16" si="0">SUM(E13:E15)</f>
        <v>0</v>
      </c>
    </row>
    <row r="17" spans="1:5">
      <c r="C17" s="414"/>
      <c r="D17" s="414"/>
      <c r="E17" s="459"/>
    </row>
    <row r="18" spans="1:5">
      <c r="B18" s="357" t="s">
        <v>35</v>
      </c>
      <c r="C18" s="414"/>
      <c r="D18" s="414"/>
      <c r="E18" s="459"/>
    </row>
    <row r="19" spans="1:5">
      <c r="B19" s="414" t="s">
        <v>275</v>
      </c>
      <c r="D19" s="414"/>
      <c r="E19" s="459"/>
    </row>
    <row r="20" spans="1:5">
      <c r="A20" s="454">
        <v>5</v>
      </c>
      <c r="C20" s="414" t="s">
        <v>36</v>
      </c>
      <c r="D20" s="414"/>
      <c r="E20" s="457">
        <v>0</v>
      </c>
    </row>
    <row r="21" spans="1:5">
      <c r="A21" s="454">
        <v>6</v>
      </c>
      <c r="C21" s="414" t="s">
        <v>37</v>
      </c>
      <c r="D21" s="414"/>
      <c r="E21" s="457">
        <v>0</v>
      </c>
    </row>
    <row r="22" spans="1:5">
      <c r="A22" s="454">
        <v>7</v>
      </c>
      <c r="C22" s="414" t="s">
        <v>38</v>
      </c>
      <c r="D22" s="414"/>
      <c r="E22" s="458">
        <v>0</v>
      </c>
    </row>
    <row r="23" spans="1:5">
      <c r="A23" s="454">
        <v>8</v>
      </c>
      <c r="B23" s="414" t="s">
        <v>39</v>
      </c>
      <c r="C23" s="414"/>
      <c r="E23" s="405">
        <f t="shared" ref="E23" si="1">SUM(E20:E22)</f>
        <v>0</v>
      </c>
    </row>
    <row r="24" spans="1:5">
      <c r="B24" s="414"/>
      <c r="C24" s="414"/>
      <c r="E24" s="405"/>
    </row>
    <row r="25" spans="1:5">
      <c r="B25" s="414" t="s">
        <v>40</v>
      </c>
      <c r="D25" s="414"/>
      <c r="E25" s="459"/>
    </row>
    <row r="26" spans="1:5">
      <c r="A26" s="454">
        <v>9</v>
      </c>
      <c r="C26" s="414" t="s">
        <v>41</v>
      </c>
      <c r="D26" s="414"/>
      <c r="E26" s="457">
        <v>0</v>
      </c>
    </row>
    <row r="27" spans="1:5">
      <c r="A27" s="454">
        <v>10</v>
      </c>
      <c r="C27" s="414" t="s">
        <v>221</v>
      </c>
      <c r="D27" s="414"/>
      <c r="E27" s="457">
        <v>0</v>
      </c>
    </row>
    <row r="28" spans="1:5">
      <c r="A28" s="454">
        <v>11</v>
      </c>
      <c r="C28" s="414" t="s">
        <v>43</v>
      </c>
      <c r="D28" s="414"/>
      <c r="E28" s="458">
        <v>0</v>
      </c>
    </row>
    <row r="29" spans="1:5">
      <c r="A29" s="454">
        <v>12</v>
      </c>
      <c r="B29" s="414" t="s">
        <v>44</v>
      </c>
      <c r="C29" s="414"/>
      <c r="E29" s="405">
        <f t="shared" ref="E29" si="2">SUM(E26:E28)</f>
        <v>0</v>
      </c>
    </row>
    <row r="30" spans="1:5" ht="11.25" customHeight="1">
      <c r="B30" s="414"/>
      <c r="C30" s="414"/>
      <c r="E30" s="405"/>
    </row>
    <row r="31" spans="1:5">
      <c r="B31" s="414" t="s">
        <v>45</v>
      </c>
      <c r="D31" s="414"/>
      <c r="E31" s="459"/>
    </row>
    <row r="32" spans="1:5">
      <c r="A32" s="454">
        <v>13</v>
      </c>
      <c r="C32" s="414" t="s">
        <v>41</v>
      </c>
      <c r="D32" s="414"/>
      <c r="E32" s="457">
        <v>0</v>
      </c>
    </row>
    <row r="33" spans="1:5">
      <c r="A33" s="454">
        <v>14</v>
      </c>
      <c r="C33" s="414" t="s">
        <v>221</v>
      </c>
      <c r="D33" s="414"/>
      <c r="E33" s="457">
        <v>0</v>
      </c>
    </row>
    <row r="34" spans="1:5">
      <c r="A34" s="454">
        <v>15</v>
      </c>
      <c r="C34" s="414" t="s">
        <v>43</v>
      </c>
      <c r="D34" s="414"/>
      <c r="E34" s="458">
        <v>0</v>
      </c>
    </row>
    <row r="35" spans="1:5" ht="12.95" customHeight="1">
      <c r="A35" s="454">
        <v>16</v>
      </c>
      <c r="B35" s="414" t="s">
        <v>46</v>
      </c>
      <c r="C35" s="414"/>
      <c r="E35" s="405">
        <f>SUM(E32:E34)</f>
        <v>0</v>
      </c>
    </row>
    <row r="36" spans="1:5" ht="12.95" customHeight="1">
      <c r="C36" s="414"/>
      <c r="D36" s="414"/>
      <c r="E36" s="405"/>
    </row>
    <row r="37" spans="1:5" ht="12.95" customHeight="1">
      <c r="A37" s="454">
        <v>17</v>
      </c>
      <c r="B37" s="357" t="s">
        <v>47</v>
      </c>
      <c r="C37" s="414"/>
      <c r="D37" s="414"/>
      <c r="E37" s="460">
        <v>0</v>
      </c>
    </row>
    <row r="38" spans="1:5">
      <c r="A38" s="454">
        <v>18</v>
      </c>
      <c r="B38" s="357" t="s">
        <v>48</v>
      </c>
      <c r="C38" s="414"/>
      <c r="D38" s="414"/>
      <c r="E38" s="457">
        <v>0</v>
      </c>
    </row>
    <row r="39" spans="1:5">
      <c r="A39" s="454">
        <v>19</v>
      </c>
      <c r="B39" s="357" t="s">
        <v>49</v>
      </c>
      <c r="C39" s="414"/>
      <c r="D39" s="414"/>
      <c r="E39" s="457">
        <v>0</v>
      </c>
    </row>
    <row r="40" spans="1:5">
      <c r="C40" s="414"/>
      <c r="D40" s="414"/>
      <c r="E40" s="457"/>
    </row>
    <row r="41" spans="1:5">
      <c r="B41" s="357" t="s">
        <v>50</v>
      </c>
      <c r="C41" s="414"/>
      <c r="D41" s="414"/>
      <c r="E41" s="457"/>
    </row>
    <row r="42" spans="1:5">
      <c r="A42" s="454">
        <v>20</v>
      </c>
      <c r="C42" s="414" t="s">
        <v>41</v>
      </c>
      <c r="D42" s="414"/>
      <c r="E42" s="457">
        <v>-307</v>
      </c>
    </row>
    <row r="43" spans="1:5">
      <c r="A43" s="454">
        <v>21</v>
      </c>
      <c r="C43" s="414" t="s">
        <v>221</v>
      </c>
      <c r="D43" s="414"/>
      <c r="E43" s="457">
        <v>0</v>
      </c>
    </row>
    <row r="44" spans="1:5">
      <c r="A44" s="454">
        <v>22</v>
      </c>
      <c r="C44" s="461" t="s">
        <v>224</v>
      </c>
      <c r="D44" s="414"/>
      <c r="E44" s="457"/>
    </row>
    <row r="45" spans="1:5">
      <c r="A45" s="454">
        <v>23</v>
      </c>
      <c r="C45" s="414" t="s">
        <v>43</v>
      </c>
      <c r="D45" s="414"/>
      <c r="E45" s="458">
        <v>0</v>
      </c>
    </row>
    <row r="46" spans="1:5">
      <c r="A46" s="454">
        <v>24</v>
      </c>
      <c r="B46" s="414" t="s">
        <v>51</v>
      </c>
      <c r="C46" s="414"/>
      <c r="E46" s="413">
        <f>SUM(E42:E45)</f>
        <v>-307</v>
      </c>
    </row>
    <row r="47" spans="1:5" ht="19.5" customHeight="1">
      <c r="A47" s="454">
        <v>25</v>
      </c>
      <c r="B47" s="357" t="s">
        <v>52</v>
      </c>
      <c r="C47" s="414"/>
      <c r="D47" s="414"/>
      <c r="E47" s="412">
        <f t="shared" ref="E47" si="3">E19+E23+E29+E35+E37+E38+E39+E46</f>
        <v>-307</v>
      </c>
    </row>
    <row r="48" spans="1:5">
      <c r="C48" s="414"/>
      <c r="D48" s="414"/>
      <c r="E48" s="405"/>
    </row>
    <row r="49" spans="1:5" ht="12.95" customHeight="1">
      <c r="A49" s="454">
        <v>26</v>
      </c>
      <c r="B49" s="357" t="s">
        <v>259</v>
      </c>
      <c r="C49" s="414"/>
      <c r="D49" s="414"/>
      <c r="E49" s="405">
        <f t="shared" ref="E49" si="4">E16-E47</f>
        <v>307</v>
      </c>
    </row>
    <row r="50" spans="1:5" ht="12.95" customHeight="1">
      <c r="C50" s="414"/>
      <c r="D50" s="414"/>
      <c r="E50" s="405"/>
    </row>
    <row r="51" spans="1:5" ht="12.95" customHeight="1">
      <c r="B51" s="357" t="s">
        <v>260</v>
      </c>
      <c r="C51" s="414"/>
      <c r="D51" s="414"/>
      <c r="E51" s="459"/>
    </row>
    <row r="52" spans="1:5">
      <c r="A52" s="454">
        <v>27</v>
      </c>
      <c r="B52" s="414" t="s">
        <v>53</v>
      </c>
      <c r="D52" s="414"/>
      <c r="E52" s="459">
        <f t="shared" ref="E52" si="5">E49*0.35</f>
        <v>107.44999999999999</v>
      </c>
    </row>
    <row r="53" spans="1:5">
      <c r="A53" s="454">
        <v>28</v>
      </c>
      <c r="B53" s="414" t="s">
        <v>217</v>
      </c>
      <c r="D53" s="414"/>
      <c r="E53" s="459">
        <f>(E80*'[8]RR SUMMARY'!$M$14)*-0.35</f>
        <v>0</v>
      </c>
    </row>
    <row r="54" spans="1:5">
      <c r="A54" s="454">
        <v>29</v>
      </c>
      <c r="B54" s="414" t="s">
        <v>54</v>
      </c>
      <c r="D54" s="414"/>
      <c r="E54" s="457">
        <v>0</v>
      </c>
    </row>
    <row r="55" spans="1:5">
      <c r="A55" s="454">
        <v>30</v>
      </c>
      <c r="B55" s="414" t="s">
        <v>55</v>
      </c>
      <c r="D55" s="414"/>
      <c r="E55" s="458">
        <v>0</v>
      </c>
    </row>
    <row r="56" spans="1:5">
      <c r="E56" s="405"/>
    </row>
    <row r="57" spans="1:5" s="455" customFormat="1" ht="12.75" thickBot="1">
      <c r="A57" s="454">
        <v>31</v>
      </c>
      <c r="B57" s="455" t="s">
        <v>56</v>
      </c>
      <c r="E57" s="417">
        <f>E49-SUM(E52:E55)</f>
        <v>199.55</v>
      </c>
    </row>
    <row r="58" spans="1:5" ht="12.75" thickTop="1">
      <c r="E58" s="405"/>
    </row>
    <row r="59" spans="1:5">
      <c r="B59" s="357" t="s">
        <v>57</v>
      </c>
      <c r="E59" s="405"/>
    </row>
    <row r="60" spans="1:5">
      <c r="B60" s="357" t="s">
        <v>58</v>
      </c>
      <c r="E60" s="459"/>
    </row>
    <row r="61" spans="1:5">
      <c r="A61" s="454">
        <v>32</v>
      </c>
      <c r="B61" s="414"/>
      <c r="C61" s="414" t="s">
        <v>40</v>
      </c>
      <c r="D61" s="414"/>
      <c r="E61" s="456">
        <v>0</v>
      </c>
    </row>
    <row r="62" spans="1:5">
      <c r="A62" s="454">
        <v>33</v>
      </c>
      <c r="B62" s="414"/>
      <c r="C62" s="414" t="s">
        <v>59</v>
      </c>
      <c r="D62" s="414"/>
      <c r="E62" s="457">
        <v>0</v>
      </c>
    </row>
    <row r="63" spans="1:5">
      <c r="A63" s="454">
        <v>34</v>
      </c>
      <c r="B63" s="414"/>
      <c r="C63" s="414" t="s">
        <v>60</v>
      </c>
      <c r="D63" s="414"/>
      <c r="E63" s="458">
        <v>0</v>
      </c>
    </row>
    <row r="64" spans="1:5" ht="18" customHeight="1">
      <c r="A64" s="454">
        <v>35</v>
      </c>
      <c r="B64" s="414" t="s">
        <v>61</v>
      </c>
      <c r="C64" s="414"/>
      <c r="E64" s="405">
        <f>SUM(E61:E63)</f>
        <v>0</v>
      </c>
    </row>
    <row r="65" spans="1:5" ht="12.75" customHeight="1">
      <c r="B65" s="414"/>
      <c r="C65" s="414"/>
      <c r="E65" s="405"/>
    </row>
    <row r="66" spans="1:5">
      <c r="B66" s="414" t="s">
        <v>276</v>
      </c>
      <c r="C66" s="414"/>
      <c r="D66" s="414"/>
      <c r="E66" s="459"/>
    </row>
    <row r="67" spans="1:5">
      <c r="A67" s="454">
        <v>36</v>
      </c>
      <c r="B67" s="414"/>
      <c r="C67" s="414" t="s">
        <v>40</v>
      </c>
      <c r="D67" s="414"/>
      <c r="E67" s="457">
        <v>0</v>
      </c>
    </row>
    <row r="68" spans="1:5">
      <c r="A68" s="454">
        <v>37</v>
      </c>
      <c r="B68" s="414"/>
      <c r="C68" s="414" t="s">
        <v>59</v>
      </c>
      <c r="D68" s="414"/>
      <c r="E68" s="457">
        <v>0</v>
      </c>
    </row>
    <row r="69" spans="1:5">
      <c r="A69" s="454">
        <v>38</v>
      </c>
      <c r="B69" s="414"/>
      <c r="C69" s="414" t="s">
        <v>60</v>
      </c>
      <c r="D69" s="414"/>
      <c r="E69" s="457">
        <v>0</v>
      </c>
    </row>
    <row r="70" spans="1:5">
      <c r="A70" s="454">
        <v>39</v>
      </c>
      <c r="B70" s="414" t="s">
        <v>277</v>
      </c>
      <c r="C70" s="414"/>
      <c r="E70" s="424">
        <f>SUM(E67:E69)</f>
        <v>0</v>
      </c>
    </row>
    <row r="71" spans="1:5">
      <c r="A71" s="454">
        <v>40</v>
      </c>
      <c r="B71" s="414" t="s">
        <v>264</v>
      </c>
      <c r="C71" s="414"/>
      <c r="D71" s="414"/>
      <c r="E71" s="425">
        <f t="shared" ref="E71" si="6">E64-E70</f>
        <v>0</v>
      </c>
    </row>
    <row r="72" spans="1:5" s="463" customFormat="1" ht="18.95" customHeight="1">
      <c r="A72" s="462">
        <v>41</v>
      </c>
      <c r="B72" s="428" t="s">
        <v>278</v>
      </c>
      <c r="C72" s="428"/>
      <c r="D72" s="428"/>
      <c r="E72" s="458">
        <v>0</v>
      </c>
    </row>
    <row r="73" spans="1:5" s="463" customFormat="1" ht="18.95" customHeight="1">
      <c r="A73" s="462">
        <v>42</v>
      </c>
      <c r="B73" s="428" t="s">
        <v>266</v>
      </c>
      <c r="C73" s="428"/>
      <c r="D73" s="428"/>
      <c r="E73" s="425">
        <f t="shared" ref="E73" si="7">E71+E72</f>
        <v>0</v>
      </c>
    </row>
    <row r="74" spans="1:5">
      <c r="A74" s="454">
        <v>43</v>
      </c>
      <c r="B74" s="414" t="s">
        <v>267</v>
      </c>
      <c r="C74" s="414"/>
      <c r="D74" s="414"/>
      <c r="E74" s="457">
        <v>0</v>
      </c>
    </row>
    <row r="75" spans="1:5" s="463" customFormat="1">
      <c r="A75" s="462">
        <v>44</v>
      </c>
      <c r="B75" s="428" t="s">
        <v>268</v>
      </c>
      <c r="C75" s="428"/>
      <c r="D75" s="428"/>
      <c r="E75" s="460">
        <v>0</v>
      </c>
    </row>
    <row r="76" spans="1:5" s="463" customFormat="1">
      <c r="A76" s="462">
        <v>45</v>
      </c>
      <c r="B76" s="428" t="s">
        <v>269</v>
      </c>
      <c r="C76" s="428"/>
      <c r="D76" s="428"/>
      <c r="E76" s="460"/>
    </row>
    <row r="77" spans="1:5">
      <c r="A77" s="454">
        <v>46</v>
      </c>
      <c r="B77" s="414" t="s">
        <v>279</v>
      </c>
      <c r="C77" s="414"/>
      <c r="D77" s="414"/>
      <c r="E77" s="458">
        <v>0</v>
      </c>
    </row>
    <row r="79" spans="1:5">
      <c r="E79" s="405"/>
    </row>
    <row r="80" spans="1:5" s="464" customFormat="1" ht="12.75" thickBot="1">
      <c r="A80" s="439">
        <v>47</v>
      </c>
      <c r="B80" s="464" t="s">
        <v>63</v>
      </c>
      <c r="E80" s="430">
        <f t="shared" ref="E80" si="8">E73+E74+E75+E77+E76</f>
        <v>0</v>
      </c>
    </row>
    <row r="81" spans="1:5" s="466" customFormat="1" ht="12.75" thickTop="1">
      <c r="A81" s="465"/>
      <c r="E81" s="467"/>
    </row>
    <row r="82" spans="1:5" s="466" customFormat="1">
      <c r="A82" s="465"/>
      <c r="D82" s="468"/>
      <c r="E82" s="467"/>
    </row>
    <row r="83" spans="1:5" s="466" customFormat="1">
      <c r="A83" s="465"/>
      <c r="D83" s="468"/>
      <c r="E83" s="467"/>
    </row>
    <row r="84" spans="1:5" s="466" customFormat="1">
      <c r="A84" s="465"/>
      <c r="D84" s="469"/>
      <c r="E84" s="467"/>
    </row>
    <row r="85" spans="1:5" s="466" customFormat="1">
      <c r="A85" s="465"/>
      <c r="E85" s="359"/>
    </row>
    <row r="86" spans="1:5" s="466" customFormat="1">
      <c r="A86" s="465"/>
      <c r="E86" s="359"/>
    </row>
    <row r="114" spans="1:5" s="360" customFormat="1">
      <c r="A114" s="454"/>
      <c r="B114" s="357"/>
      <c r="C114" s="357"/>
      <c r="D114" s="357"/>
      <c r="E114" s="359"/>
    </row>
    <row r="115" spans="1:5" s="360" customFormat="1">
      <c r="A115" s="454"/>
      <c r="B115" s="357"/>
      <c r="C115" s="357"/>
      <c r="D115" s="357"/>
      <c r="E115" s="359"/>
    </row>
    <row r="116" spans="1:5" s="360" customFormat="1">
      <c r="A116" s="454"/>
      <c r="B116" s="357"/>
      <c r="C116" s="357"/>
      <c r="D116" s="357"/>
      <c r="E116" s="359"/>
    </row>
  </sheetData>
  <pageMargins left="0.75" right="0.5" top="0.72" bottom="0.84" header="0.5" footer="0.5"/>
  <pageSetup scale="61" firstPageNumber="4" fitToWidth="5" orientation="portrait" r:id="rId1"/>
  <headerFooter scaleWithDoc="0" alignWithMargins="0">
    <oddHeader>&amp;RExhibit No. ___(EJK-2)</oddHeader>
    <oddFooter>&amp;RPage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"/>
  <sheetViews>
    <sheetView zoomScaleNormal="100" workbookViewId="0">
      <selection activeCell="E52" sqref="E52"/>
    </sheetView>
  </sheetViews>
  <sheetFormatPr defaultRowHeight="12"/>
  <cols>
    <col min="1" max="3" width="9.33203125" style="656"/>
    <col min="4" max="4" width="15.33203125" style="656" customWidth="1"/>
    <col min="5" max="5" width="12.5" style="656" customWidth="1"/>
    <col min="6" max="16384" width="9.33203125" style="656"/>
  </cols>
  <sheetData>
    <row r="1" spans="1:5" ht="12" customHeight="1">
      <c r="A1" s="438" t="s">
        <v>284</v>
      </c>
      <c r="B1" s="654"/>
      <c r="C1" s="654"/>
      <c r="D1" s="654"/>
      <c r="E1" s="655"/>
    </row>
    <row r="2" spans="1:5" ht="12" customHeight="1">
      <c r="A2" s="438" t="s">
        <v>285</v>
      </c>
      <c r="B2" s="654"/>
      <c r="C2" s="654"/>
      <c r="D2" s="654"/>
      <c r="E2" s="655"/>
    </row>
    <row r="3" spans="1:5" ht="12" customHeight="1">
      <c r="A3" s="438" t="s">
        <v>286</v>
      </c>
      <c r="B3" s="654"/>
      <c r="C3" s="654"/>
      <c r="D3" s="654"/>
      <c r="E3" s="655"/>
    </row>
    <row r="4" spans="1:5" ht="12" customHeight="1">
      <c r="A4" s="438" t="s">
        <v>287</v>
      </c>
      <c r="B4" s="438"/>
      <c r="C4" s="438"/>
      <c r="D4" s="438"/>
      <c r="E4" s="655"/>
    </row>
    <row r="5" spans="1:5" ht="12" customHeight="1">
      <c r="A5" s="439"/>
      <c r="B5" s="440"/>
      <c r="C5" s="440"/>
      <c r="D5" s="440"/>
      <c r="E5" s="364"/>
    </row>
    <row r="6" spans="1:5" ht="12" customHeight="1">
      <c r="A6" s="441"/>
      <c r="B6" s="442"/>
      <c r="C6" s="443"/>
      <c r="D6" s="444"/>
      <c r="E6" s="375" t="s">
        <v>15</v>
      </c>
    </row>
    <row r="7" spans="1:5" ht="12" customHeight="1">
      <c r="A7" s="445" t="s">
        <v>11</v>
      </c>
      <c r="B7" s="446"/>
      <c r="C7" s="447"/>
      <c r="D7" s="448"/>
      <c r="E7" s="515" t="s">
        <v>82</v>
      </c>
    </row>
    <row r="8" spans="1:5" ht="12" customHeight="1">
      <c r="A8" s="449" t="s">
        <v>18</v>
      </c>
      <c r="B8" s="450"/>
      <c r="C8" s="451"/>
      <c r="D8" s="452" t="s">
        <v>19</v>
      </c>
      <c r="E8" s="516" t="s">
        <v>93</v>
      </c>
    </row>
    <row r="9" spans="1:5" ht="12" customHeight="1">
      <c r="A9" s="439"/>
      <c r="B9" s="453" t="s">
        <v>274</v>
      </c>
      <c r="C9" s="440"/>
      <c r="D9" s="440"/>
      <c r="E9" s="394">
        <v>3.0399999999999991</v>
      </c>
    </row>
    <row r="10" spans="1:5" ht="12" customHeight="1">
      <c r="A10" s="439"/>
      <c r="B10" s="453" t="s">
        <v>288</v>
      </c>
      <c r="C10" s="440"/>
      <c r="D10" s="440"/>
      <c r="E10" s="367" t="s">
        <v>289</v>
      </c>
    </row>
    <row r="11" spans="1:5" ht="12" customHeight="1">
      <c r="E11" s="655"/>
    </row>
    <row r="12" spans="1:5" ht="12" customHeight="1">
      <c r="A12" s="654"/>
      <c r="B12" s="357" t="s">
        <v>28</v>
      </c>
      <c r="C12" s="654"/>
      <c r="D12" s="654"/>
      <c r="E12" s="655"/>
    </row>
    <row r="13" spans="1:5" ht="12" customHeight="1">
      <c r="A13" s="454">
        <v>1</v>
      </c>
      <c r="B13" s="455" t="s">
        <v>29</v>
      </c>
      <c r="C13" s="455"/>
      <c r="D13" s="455"/>
      <c r="E13" s="517">
        <v>0</v>
      </c>
    </row>
    <row r="14" spans="1:5" ht="12" customHeight="1">
      <c r="A14" s="454">
        <v>2</v>
      </c>
      <c r="B14" s="414" t="s">
        <v>31</v>
      </c>
      <c r="C14" s="654"/>
      <c r="D14" s="414"/>
      <c r="E14" s="403">
        <v>0</v>
      </c>
    </row>
    <row r="15" spans="1:5" ht="12" customHeight="1">
      <c r="A15" s="454">
        <v>3</v>
      </c>
      <c r="B15" s="414" t="s">
        <v>32</v>
      </c>
      <c r="C15" s="654"/>
      <c r="D15" s="414"/>
      <c r="E15" s="412">
        <v>0</v>
      </c>
    </row>
    <row r="16" spans="1:5" ht="12" customHeight="1">
      <c r="A16" s="454">
        <v>4</v>
      </c>
      <c r="B16" s="357" t="s">
        <v>34</v>
      </c>
      <c r="C16" s="414"/>
      <c r="D16" s="414"/>
      <c r="E16" s="403">
        <v>0</v>
      </c>
    </row>
    <row r="17" spans="1:5" ht="12" customHeight="1">
      <c r="A17" s="654"/>
      <c r="B17" s="654"/>
      <c r="C17" s="414"/>
      <c r="D17" s="414"/>
      <c r="E17" s="403"/>
    </row>
    <row r="18" spans="1:5" ht="12" customHeight="1">
      <c r="A18" s="654"/>
      <c r="B18" s="357" t="s">
        <v>35</v>
      </c>
      <c r="C18" s="414"/>
      <c r="D18" s="414"/>
      <c r="E18" s="403"/>
    </row>
    <row r="19" spans="1:5" ht="12" customHeight="1">
      <c r="A19" s="654"/>
      <c r="B19" s="414" t="s">
        <v>275</v>
      </c>
      <c r="C19" s="654"/>
      <c r="D19" s="414"/>
      <c r="E19" s="403"/>
    </row>
    <row r="20" spans="1:5" ht="12" customHeight="1">
      <c r="A20" s="454">
        <v>5</v>
      </c>
      <c r="B20" s="654"/>
      <c r="C20" s="414" t="s">
        <v>36</v>
      </c>
      <c r="D20" s="414"/>
      <c r="E20" s="403">
        <v>0</v>
      </c>
    </row>
    <row r="21" spans="1:5" ht="12" customHeight="1">
      <c r="A21" s="454">
        <v>6</v>
      </c>
      <c r="B21" s="654"/>
      <c r="C21" s="414" t="s">
        <v>37</v>
      </c>
      <c r="D21" s="414"/>
      <c r="E21" s="403">
        <v>0</v>
      </c>
    </row>
    <row r="22" spans="1:5" ht="12" customHeight="1">
      <c r="A22" s="454">
        <v>7</v>
      </c>
      <c r="B22" s="654"/>
      <c r="C22" s="414" t="s">
        <v>38</v>
      </c>
      <c r="D22" s="414"/>
      <c r="E22" s="412">
        <v>0</v>
      </c>
    </row>
    <row r="23" spans="1:5" ht="12" customHeight="1">
      <c r="A23" s="454">
        <v>8</v>
      </c>
      <c r="B23" s="414" t="s">
        <v>39</v>
      </c>
      <c r="C23" s="414"/>
      <c r="D23" s="654"/>
      <c r="E23" s="405">
        <v>0</v>
      </c>
    </row>
    <row r="24" spans="1:5" ht="12" customHeight="1">
      <c r="A24" s="654"/>
      <c r="B24" s="414"/>
      <c r="C24" s="414"/>
      <c r="D24" s="654"/>
      <c r="E24" s="403"/>
    </row>
    <row r="25" spans="1:5" ht="12" customHeight="1">
      <c r="A25" s="654"/>
      <c r="B25" s="414" t="s">
        <v>40</v>
      </c>
      <c r="C25" s="654"/>
      <c r="D25" s="414"/>
      <c r="E25" s="403"/>
    </row>
    <row r="26" spans="1:5" ht="12" customHeight="1">
      <c r="A26" s="454">
        <v>9</v>
      </c>
      <c r="B26" s="654"/>
      <c r="C26" s="414" t="s">
        <v>41</v>
      </c>
      <c r="D26" s="414"/>
      <c r="E26" s="403">
        <v>0</v>
      </c>
    </row>
    <row r="27" spans="1:5" ht="12" customHeight="1">
      <c r="A27" s="454">
        <v>10</v>
      </c>
      <c r="B27" s="654"/>
      <c r="C27" s="414" t="s">
        <v>221</v>
      </c>
      <c r="D27" s="414"/>
      <c r="E27" s="403">
        <v>0</v>
      </c>
    </row>
    <row r="28" spans="1:5" ht="12" customHeight="1">
      <c r="A28" s="454">
        <v>11</v>
      </c>
      <c r="B28" s="654"/>
      <c r="C28" s="414" t="s">
        <v>43</v>
      </c>
      <c r="D28" s="414"/>
      <c r="E28" s="412">
        <v>3</v>
      </c>
    </row>
    <row r="29" spans="1:5" ht="12" customHeight="1">
      <c r="A29" s="454">
        <v>12</v>
      </c>
      <c r="B29" s="414" t="s">
        <v>44</v>
      </c>
      <c r="C29" s="414"/>
      <c r="D29" s="654"/>
      <c r="E29" s="403">
        <f>SUM(E26:E28)</f>
        <v>3</v>
      </c>
    </row>
    <row r="30" spans="1:5" ht="12" customHeight="1">
      <c r="A30" s="654"/>
      <c r="B30" s="414"/>
      <c r="C30" s="414"/>
      <c r="D30" s="654"/>
      <c r="E30" s="403"/>
    </row>
    <row r="31" spans="1:5" ht="12" customHeight="1">
      <c r="A31" s="654"/>
      <c r="B31" s="414" t="s">
        <v>45</v>
      </c>
      <c r="C31" s="654"/>
      <c r="D31" s="414"/>
      <c r="E31" s="403"/>
    </row>
    <row r="32" spans="1:5" ht="12" customHeight="1">
      <c r="A32" s="454">
        <v>13</v>
      </c>
      <c r="B32" s="654"/>
      <c r="C32" s="414" t="s">
        <v>41</v>
      </c>
      <c r="D32" s="414"/>
      <c r="E32" s="403">
        <v>0</v>
      </c>
    </row>
    <row r="33" spans="1:5" ht="12" customHeight="1">
      <c r="A33" s="454">
        <v>14</v>
      </c>
      <c r="B33" s="654"/>
      <c r="C33" s="414" t="s">
        <v>221</v>
      </c>
      <c r="D33" s="414"/>
      <c r="E33" s="405">
        <v>0</v>
      </c>
    </row>
    <row r="34" spans="1:5" ht="12" customHeight="1">
      <c r="A34" s="454">
        <v>15</v>
      </c>
      <c r="B34" s="654"/>
      <c r="C34" s="414" t="s">
        <v>43</v>
      </c>
      <c r="D34" s="414"/>
      <c r="E34" s="412">
        <v>57</v>
      </c>
    </row>
    <row r="35" spans="1:5" ht="12" customHeight="1">
      <c r="A35" s="454">
        <v>16</v>
      </c>
      <c r="B35" s="414" t="s">
        <v>46</v>
      </c>
      <c r="C35" s="414"/>
      <c r="D35" s="654"/>
      <c r="E35" s="403">
        <f>SUM(E32:E34)</f>
        <v>57</v>
      </c>
    </row>
    <row r="36" spans="1:5" ht="12" customHeight="1">
      <c r="A36" s="654"/>
      <c r="B36" s="654"/>
      <c r="C36" s="414"/>
      <c r="D36" s="414"/>
      <c r="E36" s="403"/>
    </row>
    <row r="37" spans="1:5" ht="12" customHeight="1">
      <c r="A37" s="454">
        <v>17</v>
      </c>
      <c r="B37" s="357" t="s">
        <v>47</v>
      </c>
      <c r="C37" s="414"/>
      <c r="D37" s="414"/>
      <c r="E37" s="403">
        <v>0</v>
      </c>
    </row>
    <row r="38" spans="1:5" ht="12" customHeight="1">
      <c r="A38" s="454">
        <v>18</v>
      </c>
      <c r="B38" s="357" t="s">
        <v>48</v>
      </c>
      <c r="C38" s="414"/>
      <c r="D38" s="414"/>
      <c r="E38" s="403">
        <v>0</v>
      </c>
    </row>
    <row r="39" spans="1:5" ht="12" customHeight="1">
      <c r="A39" s="454">
        <v>19</v>
      </c>
      <c r="B39" s="357" t="s">
        <v>49</v>
      </c>
      <c r="C39" s="414"/>
      <c r="D39" s="414"/>
      <c r="E39" s="403">
        <v>0</v>
      </c>
    </row>
    <row r="40" spans="1:5" ht="12" customHeight="1">
      <c r="A40" s="654"/>
      <c r="B40" s="654"/>
      <c r="C40" s="414"/>
      <c r="D40" s="414"/>
      <c r="E40" s="403"/>
    </row>
    <row r="41" spans="1:5" ht="12" customHeight="1">
      <c r="A41" s="654"/>
      <c r="B41" s="357" t="s">
        <v>50</v>
      </c>
      <c r="C41" s="414"/>
      <c r="D41" s="414"/>
      <c r="E41" s="403"/>
    </row>
    <row r="42" spans="1:5" ht="12" customHeight="1">
      <c r="A42" s="454">
        <v>20</v>
      </c>
      <c r="B42" s="654"/>
      <c r="C42" s="414" t="s">
        <v>41</v>
      </c>
      <c r="D42" s="414"/>
      <c r="E42" s="403">
        <v>0</v>
      </c>
    </row>
    <row r="43" spans="1:5" ht="12" customHeight="1">
      <c r="A43" s="454">
        <v>21</v>
      </c>
      <c r="B43" s="654"/>
      <c r="C43" s="414" t="s">
        <v>221</v>
      </c>
      <c r="D43" s="414"/>
      <c r="E43" s="403">
        <v>0</v>
      </c>
    </row>
    <row r="44" spans="1:5" ht="12" customHeight="1">
      <c r="A44" s="454">
        <v>22</v>
      </c>
      <c r="B44" s="654"/>
      <c r="C44" s="522" t="s">
        <v>224</v>
      </c>
      <c r="D44" s="414"/>
      <c r="E44" s="403">
        <v>0</v>
      </c>
    </row>
    <row r="45" spans="1:5" ht="12" customHeight="1">
      <c r="A45" s="454">
        <v>23</v>
      </c>
      <c r="B45" s="654"/>
      <c r="C45" s="414" t="s">
        <v>43</v>
      </c>
      <c r="D45" s="414"/>
      <c r="E45" s="412">
        <v>1</v>
      </c>
    </row>
    <row r="46" spans="1:5" ht="12" customHeight="1">
      <c r="A46" s="454">
        <v>24</v>
      </c>
      <c r="B46" s="414" t="s">
        <v>51</v>
      </c>
      <c r="C46" s="414"/>
      <c r="D46" s="654"/>
      <c r="E46" s="412">
        <f>SUM(E42:E45)</f>
        <v>1</v>
      </c>
    </row>
    <row r="47" spans="1:5" ht="12" customHeight="1">
      <c r="A47" s="454">
        <v>25</v>
      </c>
      <c r="B47" s="357" t="s">
        <v>52</v>
      </c>
      <c r="C47" s="414"/>
      <c r="D47" s="414"/>
      <c r="E47" s="412">
        <f>E16+E23+E29+E35+E37+E38+E39+E46</f>
        <v>61</v>
      </c>
    </row>
    <row r="48" spans="1:5" ht="12" customHeight="1">
      <c r="A48" s="654"/>
      <c r="B48" s="654"/>
      <c r="C48" s="414"/>
      <c r="D48" s="414"/>
      <c r="E48" s="403"/>
    </row>
    <row r="49" spans="1:5" ht="12" customHeight="1">
      <c r="A49" s="454">
        <v>26</v>
      </c>
      <c r="B49" s="357" t="s">
        <v>259</v>
      </c>
      <c r="C49" s="414"/>
      <c r="D49" s="414"/>
      <c r="E49" s="403">
        <f>E16-E47</f>
        <v>-61</v>
      </c>
    </row>
    <row r="50" spans="1:5" ht="12" customHeight="1">
      <c r="A50" s="654"/>
      <c r="B50" s="654"/>
      <c r="C50" s="414"/>
      <c r="D50" s="414"/>
      <c r="E50" s="403"/>
    </row>
    <row r="51" spans="1:5" ht="12" customHeight="1">
      <c r="A51" s="654"/>
      <c r="B51" s="357" t="s">
        <v>260</v>
      </c>
      <c r="C51" s="414"/>
      <c r="D51" s="414"/>
      <c r="E51" s="403"/>
    </row>
    <row r="52" spans="1:5" ht="12" customHeight="1">
      <c r="A52" s="454">
        <v>27</v>
      </c>
      <c r="B52" s="414" t="s">
        <v>53</v>
      </c>
      <c r="C52" s="654"/>
      <c r="D52" s="414"/>
      <c r="E52" s="403">
        <v>-22</v>
      </c>
    </row>
    <row r="53" spans="1:5" ht="12" customHeight="1">
      <c r="A53" s="454">
        <v>28</v>
      </c>
      <c r="B53" s="414" t="s">
        <v>217</v>
      </c>
      <c r="C53" s="654"/>
      <c r="D53" s="414"/>
      <c r="E53" s="403">
        <v>0</v>
      </c>
    </row>
    <row r="54" spans="1:5" ht="12" customHeight="1">
      <c r="A54" s="454">
        <v>29</v>
      </c>
      <c r="B54" s="414" t="s">
        <v>54</v>
      </c>
      <c r="C54" s="654"/>
      <c r="D54" s="414"/>
      <c r="E54" s="403">
        <v>0</v>
      </c>
    </row>
    <row r="55" spans="1:5" ht="12" customHeight="1">
      <c r="A55" s="454">
        <v>30</v>
      </c>
      <c r="B55" s="414" t="s">
        <v>55</v>
      </c>
      <c r="C55" s="654"/>
      <c r="D55" s="414"/>
      <c r="E55" s="412">
        <v>0</v>
      </c>
    </row>
    <row r="56" spans="1:5" ht="12" customHeight="1">
      <c r="A56" s="654"/>
      <c r="B56" s="654"/>
      <c r="C56" s="654"/>
      <c r="D56" s="654"/>
      <c r="E56" s="403"/>
    </row>
    <row r="57" spans="1:5" ht="12" customHeight="1" thickBot="1">
      <c r="A57" s="454">
        <v>31</v>
      </c>
      <c r="B57" s="455" t="s">
        <v>56</v>
      </c>
      <c r="C57" s="455"/>
      <c r="D57" s="455"/>
      <c r="E57" s="416">
        <f>E49-E52</f>
        <v>-39</v>
      </c>
    </row>
    <row r="58" spans="1:5" ht="12" customHeight="1" thickTop="1">
      <c r="A58" s="654"/>
      <c r="B58" s="654"/>
      <c r="C58" s="654"/>
      <c r="D58" s="654"/>
      <c r="E58" s="403"/>
    </row>
    <row r="59" spans="1:5" ht="12" customHeight="1">
      <c r="A59" s="654"/>
      <c r="B59" s="357" t="s">
        <v>57</v>
      </c>
      <c r="C59" s="654"/>
      <c r="D59" s="654"/>
      <c r="E59" s="403"/>
    </row>
    <row r="60" spans="1:5" ht="12" customHeight="1">
      <c r="A60" s="654"/>
      <c r="B60" s="357" t="s">
        <v>58</v>
      </c>
      <c r="C60" s="654"/>
      <c r="D60" s="654"/>
      <c r="E60" s="403"/>
    </row>
    <row r="61" spans="1:5" ht="12" customHeight="1">
      <c r="A61" s="454">
        <v>32</v>
      </c>
      <c r="B61" s="414"/>
      <c r="C61" s="414" t="s">
        <v>40</v>
      </c>
      <c r="D61" s="414"/>
      <c r="E61" s="517">
        <v>0</v>
      </c>
    </row>
    <row r="62" spans="1:5" ht="12" customHeight="1">
      <c r="A62" s="454">
        <v>33</v>
      </c>
      <c r="B62" s="414"/>
      <c r="C62" s="414" t="s">
        <v>59</v>
      </c>
      <c r="D62" s="414"/>
      <c r="E62" s="403">
        <v>0</v>
      </c>
    </row>
    <row r="63" spans="1:5" ht="12" customHeight="1">
      <c r="A63" s="454">
        <v>34</v>
      </c>
      <c r="B63" s="414"/>
      <c r="C63" s="414" t="s">
        <v>60</v>
      </c>
      <c r="D63" s="414"/>
      <c r="E63" s="412">
        <v>0</v>
      </c>
    </row>
    <row r="64" spans="1:5" ht="12" customHeight="1">
      <c r="A64" s="454">
        <v>35</v>
      </c>
      <c r="B64" s="414" t="s">
        <v>61</v>
      </c>
      <c r="C64" s="414"/>
      <c r="D64" s="654"/>
      <c r="E64" s="403">
        <v>0</v>
      </c>
    </row>
    <row r="65" spans="1:5" ht="12" customHeight="1">
      <c r="A65" s="654"/>
      <c r="B65" s="414"/>
      <c r="C65" s="414"/>
      <c r="D65" s="654"/>
      <c r="E65" s="403"/>
    </row>
    <row r="66" spans="1:5" ht="12" customHeight="1">
      <c r="A66" s="654"/>
      <c r="B66" s="414" t="s">
        <v>276</v>
      </c>
      <c r="C66" s="414"/>
      <c r="D66" s="414"/>
      <c r="E66" s="403"/>
    </row>
    <row r="67" spans="1:5" ht="12" customHeight="1">
      <c r="A67" s="454">
        <v>36</v>
      </c>
      <c r="B67" s="414"/>
      <c r="C67" s="414" t="s">
        <v>40</v>
      </c>
      <c r="D67" s="414"/>
      <c r="E67" s="403">
        <v>0</v>
      </c>
    </row>
    <row r="68" spans="1:5" ht="12" customHeight="1">
      <c r="A68" s="454">
        <v>37</v>
      </c>
      <c r="B68" s="414"/>
      <c r="C68" s="414" t="s">
        <v>59</v>
      </c>
      <c r="D68" s="414"/>
      <c r="E68" s="403">
        <v>0</v>
      </c>
    </row>
    <row r="69" spans="1:5" ht="12" customHeight="1">
      <c r="A69" s="454">
        <v>38</v>
      </c>
      <c r="B69" s="414"/>
      <c r="C69" s="414" t="s">
        <v>60</v>
      </c>
      <c r="D69" s="414"/>
      <c r="E69" s="412">
        <v>0</v>
      </c>
    </row>
    <row r="70" spans="1:5" ht="12" customHeight="1">
      <c r="A70" s="454">
        <v>39</v>
      </c>
      <c r="B70" s="414" t="s">
        <v>277</v>
      </c>
      <c r="C70" s="414"/>
      <c r="D70" s="654"/>
      <c r="E70" s="423">
        <v>0</v>
      </c>
    </row>
    <row r="71" spans="1:5" ht="12" customHeight="1">
      <c r="A71" s="454">
        <v>40</v>
      </c>
      <c r="B71" s="414" t="s">
        <v>264</v>
      </c>
      <c r="C71" s="414"/>
      <c r="D71" s="414"/>
      <c r="E71" s="425">
        <v>0</v>
      </c>
    </row>
    <row r="72" spans="1:5" ht="12" customHeight="1">
      <c r="A72" s="462">
        <v>41</v>
      </c>
      <c r="B72" s="428" t="s">
        <v>290</v>
      </c>
      <c r="C72" s="428"/>
      <c r="D72" s="428"/>
      <c r="E72" s="412">
        <v>0</v>
      </c>
    </row>
    <row r="73" spans="1:5" ht="12" customHeight="1">
      <c r="A73" s="462">
        <v>42</v>
      </c>
      <c r="B73" s="428" t="s">
        <v>266</v>
      </c>
      <c r="C73" s="428"/>
      <c r="D73" s="428"/>
      <c r="E73" s="425">
        <v>0</v>
      </c>
    </row>
    <row r="74" spans="1:5" ht="12" customHeight="1">
      <c r="A74" s="454">
        <v>43</v>
      </c>
      <c r="B74" s="414" t="s">
        <v>267</v>
      </c>
      <c r="C74" s="414"/>
      <c r="D74" s="414"/>
      <c r="E74" s="403">
        <v>0</v>
      </c>
    </row>
    <row r="75" spans="1:5" ht="12" customHeight="1">
      <c r="A75" s="462">
        <v>44</v>
      </c>
      <c r="B75" s="428" t="s">
        <v>268</v>
      </c>
      <c r="C75" s="428"/>
      <c r="D75" s="428"/>
      <c r="E75" s="403">
        <v>0</v>
      </c>
    </row>
    <row r="76" spans="1:5" ht="12" customHeight="1">
      <c r="A76" s="462">
        <v>45</v>
      </c>
      <c r="B76" s="428" t="s">
        <v>269</v>
      </c>
      <c r="C76" s="428"/>
      <c r="D76" s="428"/>
      <c r="E76" s="403">
        <v>0</v>
      </c>
    </row>
    <row r="77" spans="1:5" ht="12" customHeight="1">
      <c r="A77" s="454">
        <v>46</v>
      </c>
      <c r="B77" s="414" t="s">
        <v>279</v>
      </c>
      <c r="C77" s="414"/>
      <c r="D77" s="414"/>
      <c r="E77" s="412">
        <v>0</v>
      </c>
    </row>
    <row r="78" spans="1:5" ht="12" customHeight="1">
      <c r="A78" s="654"/>
      <c r="B78" s="654"/>
      <c r="C78" s="654"/>
      <c r="D78" s="654"/>
      <c r="E78" s="403"/>
    </row>
    <row r="79" spans="1:5" ht="15" customHeight="1" thickBot="1">
      <c r="A79" s="439">
        <v>47</v>
      </c>
      <c r="B79" s="464" t="s">
        <v>63</v>
      </c>
      <c r="C79" s="464"/>
      <c r="D79" s="464"/>
      <c r="E79" s="430">
        <v>0</v>
      </c>
    </row>
    <row r="80" spans="1:5" ht="12.75" thickTop="1">
      <c r="A80" s="654"/>
      <c r="B80" s="654"/>
      <c r="C80" s="654"/>
      <c r="D80" s="654"/>
      <c r="E80" s="403"/>
    </row>
    <row r="81" spans="1:5">
      <c r="A81" s="654"/>
      <c r="B81" s="654"/>
      <c r="C81" s="654"/>
      <c r="D81" s="654"/>
      <c r="E81" s="403"/>
    </row>
    <row r="82" spans="1:5">
      <c r="A82" s="654"/>
      <c r="B82" s="654"/>
      <c r="C82" s="654"/>
      <c r="D82" s="654"/>
      <c r="E82" s="403"/>
    </row>
    <row r="83" spans="1:5">
      <c r="A83" s="518"/>
      <c r="B83" s="466"/>
      <c r="C83" s="466"/>
      <c r="D83" s="468"/>
      <c r="E83" s="405"/>
    </row>
    <row r="84" spans="1:5">
      <c r="A84" s="465"/>
      <c r="B84" s="466"/>
      <c r="C84" s="466"/>
      <c r="D84" s="468"/>
      <c r="E84" s="405"/>
    </row>
    <row r="85" spans="1:5">
      <c r="A85" s="465"/>
      <c r="B85" s="466"/>
      <c r="C85" s="466"/>
      <c r="D85" s="468"/>
      <c r="E85" s="405"/>
    </row>
    <row r="86" spans="1:5">
      <c r="A86" s="465"/>
      <c r="B86" s="466"/>
      <c r="C86" s="466"/>
      <c r="D86" s="468"/>
      <c r="E86" s="519"/>
    </row>
    <row r="87" spans="1:5">
      <c r="A87" s="465"/>
      <c r="B87" s="466"/>
      <c r="C87" s="466"/>
      <c r="D87" s="468"/>
      <c r="E87" s="519"/>
    </row>
    <row r="88" spans="1:5">
      <c r="A88" s="465"/>
      <c r="B88" s="466"/>
      <c r="C88" s="466"/>
      <c r="D88" s="468"/>
      <c r="E88" s="467"/>
    </row>
    <row r="89" spans="1:5">
      <c r="A89" s="518"/>
      <c r="B89" s="466"/>
      <c r="C89" s="466"/>
      <c r="D89" s="468"/>
      <c r="E89" s="467"/>
    </row>
    <row r="90" spans="1:5">
      <c r="A90" s="465"/>
      <c r="B90" s="466"/>
      <c r="C90" s="466"/>
      <c r="D90" s="466"/>
      <c r="E90" s="467"/>
    </row>
    <row r="91" spans="1:5">
      <c r="A91" s="465"/>
      <c r="B91" s="466"/>
      <c r="C91" s="466"/>
      <c r="D91" s="468"/>
      <c r="E91" s="467"/>
    </row>
    <row r="92" spans="1:5">
      <c r="A92" s="465"/>
      <c r="B92" s="466"/>
      <c r="C92" s="466"/>
      <c r="D92" s="468"/>
      <c r="E92" s="467"/>
    </row>
    <row r="93" spans="1:5">
      <c r="A93" s="465"/>
      <c r="B93" s="466"/>
      <c r="C93" s="466"/>
      <c r="D93" s="469"/>
      <c r="E93" s="467"/>
    </row>
    <row r="94" spans="1:5">
      <c r="A94" s="465"/>
      <c r="B94" s="466"/>
      <c r="C94" s="466"/>
      <c r="D94" s="466"/>
      <c r="E94" s="359"/>
    </row>
    <row r="95" spans="1:5">
      <c r="A95" s="465"/>
      <c r="B95" s="466"/>
      <c r="C95" s="466"/>
      <c r="D95" s="466"/>
      <c r="E95" s="359"/>
    </row>
  </sheetData>
  <pageMargins left="0.7" right="0.7" top="0.75" bottom="0.75" header="0.3" footer="0.3"/>
  <pageSetup paperSize="0" scale="74" orientation="portrait" r:id="rId1"/>
  <headerFooter>
    <oddHeader>&amp;RExhibit No. __(EJK-2)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zoomScaleNormal="100" zoomScaleSheetLayoutView="100" workbookViewId="0">
      <pane xSplit="4" ySplit="10" topLeftCell="E62" activePane="bottomRight" state="frozen"/>
      <selection activeCell="N20" sqref="N20"/>
      <selection pane="topRight" activeCell="N20" sqref="N20"/>
      <selection pane="bottomLeft" activeCell="N20" sqref="N20"/>
      <selection pane="bottomRight" activeCell="D84" sqref="D84"/>
    </sheetView>
  </sheetViews>
  <sheetFormatPr defaultColWidth="12.5" defaultRowHeight="12.75"/>
  <cols>
    <col min="1" max="1" width="6.6640625" style="454" customWidth="1"/>
    <col min="2" max="3" width="2" style="357" customWidth="1"/>
    <col min="4" max="4" width="33.5" style="357" customWidth="1"/>
    <col min="5" max="5" width="17" style="359" customWidth="1"/>
    <col min="6" max="6" width="10.6640625" style="470" customWidth="1"/>
    <col min="7" max="7" width="12.83203125" style="471" customWidth="1"/>
    <col min="8" max="12" width="12.5" style="357" customWidth="1"/>
    <col min="13" max="16384" width="12.5" style="357"/>
  </cols>
  <sheetData>
    <row r="1" spans="1:7" ht="12.75" customHeight="1">
      <c r="A1" s="438" t="str">
        <f>'[8]ROO INPUT'!A3:C3</f>
        <v>AVISTA UTILITIES</v>
      </c>
    </row>
    <row r="2" spans="1:7" ht="12.75" customHeight="1">
      <c r="A2" s="438" t="str">
        <f>'[8]ROO INPUT'!A4:C4</f>
        <v xml:space="preserve">WASHINGTON NATURAL GAS RESULTS </v>
      </c>
    </row>
    <row r="3" spans="1:7" ht="12.75" customHeight="1">
      <c r="A3" s="438" t="str">
        <f>'[8]ROO INPUT'!A5:C5</f>
        <v>TWELVE MONTHS ENDED DECEMBER 31, 2011</v>
      </c>
    </row>
    <row r="4" spans="1:7">
      <c r="A4" s="438" t="str">
        <f>'[8]ROO INPUT'!A6:C6</f>
        <v xml:space="preserve">(000'S OF DOLLARS)   </v>
      </c>
      <c r="B4" s="438"/>
      <c r="C4" s="438"/>
      <c r="D4" s="438"/>
    </row>
    <row r="5" spans="1:7" ht="12.75" customHeight="1">
      <c r="A5" s="438"/>
      <c r="E5" s="364"/>
    </row>
    <row r="6" spans="1:7" s="440" customFormat="1" ht="12">
      <c r="A6" s="439"/>
      <c r="E6" s="364"/>
      <c r="G6" s="472"/>
    </row>
    <row r="7" spans="1:7" s="440" customFormat="1" ht="12" customHeight="1">
      <c r="A7" s="441"/>
      <c r="B7" s="442"/>
      <c r="C7" s="443"/>
      <c r="D7" s="444"/>
      <c r="E7" s="473" t="s">
        <v>78</v>
      </c>
      <c r="G7" s="472"/>
    </row>
    <row r="8" spans="1:7" s="440" customFormat="1" ht="12">
      <c r="A8" s="445" t="s">
        <v>11</v>
      </c>
      <c r="B8" s="446"/>
      <c r="C8" s="447"/>
      <c r="D8" s="448"/>
      <c r="E8" s="474" t="s">
        <v>280</v>
      </c>
      <c r="G8" s="472"/>
    </row>
    <row r="9" spans="1:7" s="440" customFormat="1" ht="12">
      <c r="A9" s="449" t="s">
        <v>18</v>
      </c>
      <c r="B9" s="450"/>
      <c r="C9" s="451"/>
      <c r="D9" s="452" t="s">
        <v>19</v>
      </c>
      <c r="E9" s="475" t="s">
        <v>166</v>
      </c>
      <c r="G9" s="472"/>
    </row>
    <row r="10" spans="1:7" s="440" customFormat="1" ht="12">
      <c r="A10" s="439"/>
      <c r="B10" s="453" t="s">
        <v>274</v>
      </c>
      <c r="E10" s="395">
        <v>3.06</v>
      </c>
      <c r="G10" s="476"/>
    </row>
    <row r="12" spans="1:7">
      <c r="B12" s="357" t="s">
        <v>28</v>
      </c>
    </row>
    <row r="13" spans="1:7" s="455" customFormat="1" ht="12">
      <c r="A13" s="454">
        <v>1</v>
      </c>
      <c r="B13" s="455" t="s">
        <v>29</v>
      </c>
      <c r="E13" s="456">
        <v>0</v>
      </c>
      <c r="G13" s="477"/>
    </row>
    <row r="14" spans="1:7">
      <c r="A14" s="454">
        <v>2</v>
      </c>
      <c r="B14" s="414" t="s">
        <v>31</v>
      </c>
      <c r="D14" s="414"/>
      <c r="E14" s="457">
        <v>0</v>
      </c>
      <c r="G14" s="478"/>
    </row>
    <row r="15" spans="1:7">
      <c r="A15" s="454">
        <v>3</v>
      </c>
      <c r="B15" s="414" t="s">
        <v>32</v>
      </c>
      <c r="D15" s="414"/>
      <c r="E15" s="458">
        <v>0</v>
      </c>
      <c r="G15" s="478"/>
    </row>
    <row r="16" spans="1:7">
      <c r="A16" s="454">
        <v>4</v>
      </c>
      <c r="B16" s="357" t="s">
        <v>34</v>
      </c>
      <c r="C16" s="414"/>
      <c r="D16" s="414"/>
      <c r="E16" s="405">
        <f>SUM(E13:E15)</f>
        <v>0</v>
      </c>
      <c r="G16" s="479"/>
    </row>
    <row r="17" spans="1:7">
      <c r="C17" s="414"/>
      <c r="D17" s="414"/>
      <c r="E17" s="459"/>
      <c r="G17" s="478"/>
    </row>
    <row r="18" spans="1:7">
      <c r="B18" s="357" t="s">
        <v>35</v>
      </c>
      <c r="C18" s="414"/>
      <c r="D18" s="414"/>
      <c r="E18" s="459"/>
      <c r="G18" s="478"/>
    </row>
    <row r="19" spans="1:7">
      <c r="B19" s="414" t="s">
        <v>275</v>
      </c>
      <c r="D19" s="414"/>
      <c r="E19" s="457"/>
      <c r="G19" s="478"/>
    </row>
    <row r="20" spans="1:7">
      <c r="A20" s="454">
        <v>5</v>
      </c>
      <c r="C20" s="414" t="s">
        <v>36</v>
      </c>
      <c r="D20" s="414"/>
      <c r="E20" s="457">
        <v>0</v>
      </c>
      <c r="G20" s="478"/>
    </row>
    <row r="21" spans="1:7">
      <c r="A21" s="454">
        <v>6</v>
      </c>
      <c r="C21" s="414" t="s">
        <v>37</v>
      </c>
      <c r="D21" s="414"/>
      <c r="E21" s="457">
        <v>0</v>
      </c>
      <c r="G21" s="478"/>
    </row>
    <row r="22" spans="1:7">
      <c r="A22" s="454">
        <v>7</v>
      </c>
      <c r="C22" s="414" t="s">
        <v>38</v>
      </c>
      <c r="D22" s="414"/>
      <c r="E22" s="458">
        <v>0</v>
      </c>
      <c r="G22" s="478"/>
    </row>
    <row r="23" spans="1:7">
      <c r="A23" s="454">
        <v>8</v>
      </c>
      <c r="B23" s="414" t="s">
        <v>39</v>
      </c>
      <c r="C23" s="414"/>
      <c r="E23" s="405">
        <f>SUM(E20:E22)</f>
        <v>0</v>
      </c>
      <c r="G23" s="479"/>
    </row>
    <row r="24" spans="1:7">
      <c r="B24" s="414"/>
      <c r="C24" s="414"/>
      <c r="E24" s="405"/>
      <c r="G24" s="479"/>
    </row>
    <row r="25" spans="1:7">
      <c r="B25" s="414" t="s">
        <v>40</v>
      </c>
      <c r="D25" s="414"/>
      <c r="E25" s="459"/>
      <c r="G25" s="478"/>
    </row>
    <row r="26" spans="1:7">
      <c r="A26" s="454">
        <v>9</v>
      </c>
      <c r="C26" s="414" t="s">
        <v>41</v>
      </c>
      <c r="D26" s="414"/>
      <c r="E26" s="457">
        <v>0</v>
      </c>
      <c r="G26" s="478"/>
    </row>
    <row r="27" spans="1:7">
      <c r="A27" s="454">
        <v>10</v>
      </c>
      <c r="C27" s="414" t="s">
        <v>221</v>
      </c>
      <c r="D27" s="414"/>
      <c r="E27" s="457">
        <v>0</v>
      </c>
      <c r="G27" s="478"/>
    </row>
    <row r="28" spans="1:7">
      <c r="A28" s="454">
        <v>11</v>
      </c>
      <c r="C28" s="414" t="s">
        <v>43</v>
      </c>
      <c r="D28" s="414"/>
      <c r="E28" s="458">
        <v>0</v>
      </c>
      <c r="G28" s="478"/>
    </row>
    <row r="29" spans="1:7">
      <c r="A29" s="454">
        <v>12</v>
      </c>
      <c r="B29" s="414" t="s">
        <v>44</v>
      </c>
      <c r="C29" s="414"/>
      <c r="E29" s="405">
        <f>SUM(E26:E28)</f>
        <v>0</v>
      </c>
      <c r="G29" s="479"/>
    </row>
    <row r="30" spans="1:7">
      <c r="B30" s="414"/>
      <c r="C30" s="414"/>
      <c r="E30" s="405"/>
      <c r="G30" s="479"/>
    </row>
    <row r="31" spans="1:7">
      <c r="B31" s="414" t="s">
        <v>45</v>
      </c>
      <c r="D31" s="414"/>
      <c r="E31" s="459"/>
      <c r="G31" s="478"/>
    </row>
    <row r="32" spans="1:7">
      <c r="A32" s="454">
        <v>13</v>
      </c>
      <c r="C32" s="414" t="s">
        <v>41</v>
      </c>
      <c r="D32" s="414"/>
      <c r="E32" s="457">
        <v>0</v>
      </c>
      <c r="G32" s="478"/>
    </row>
    <row r="33" spans="1:7">
      <c r="A33" s="454">
        <v>14</v>
      </c>
      <c r="C33" s="414" t="s">
        <v>221</v>
      </c>
      <c r="D33" s="414"/>
      <c r="E33" s="457">
        <v>0</v>
      </c>
      <c r="G33" s="478"/>
    </row>
    <row r="34" spans="1:7">
      <c r="A34" s="454">
        <v>15</v>
      </c>
      <c r="C34" s="414" t="s">
        <v>43</v>
      </c>
      <c r="D34" s="414"/>
      <c r="E34" s="458">
        <v>0</v>
      </c>
      <c r="G34" s="478"/>
    </row>
    <row r="35" spans="1:7" ht="12.95" customHeight="1">
      <c r="A35" s="454">
        <v>16</v>
      </c>
      <c r="B35" s="414" t="s">
        <v>46</v>
      </c>
      <c r="C35" s="414"/>
      <c r="E35" s="405">
        <f t="shared" ref="E35" si="0">SUM(E32:E34)</f>
        <v>0</v>
      </c>
      <c r="G35" s="479"/>
    </row>
    <row r="36" spans="1:7" ht="12.95" customHeight="1">
      <c r="C36" s="414"/>
      <c r="D36" s="414"/>
      <c r="E36" s="405"/>
      <c r="G36" s="479"/>
    </row>
    <row r="37" spans="1:7" ht="12.95" customHeight="1">
      <c r="A37" s="454">
        <v>17</v>
      </c>
      <c r="B37" s="357" t="s">
        <v>47</v>
      </c>
      <c r="C37" s="414"/>
      <c r="D37" s="414"/>
      <c r="E37" s="409">
        <v>0</v>
      </c>
      <c r="G37" s="478"/>
    </row>
    <row r="38" spans="1:7">
      <c r="A38" s="454">
        <v>18</v>
      </c>
      <c r="B38" s="357" t="s">
        <v>48</v>
      </c>
      <c r="C38" s="414"/>
      <c r="D38" s="414"/>
      <c r="E38" s="457">
        <v>0</v>
      </c>
      <c r="G38" s="478"/>
    </row>
    <row r="39" spans="1:7">
      <c r="A39" s="454">
        <v>19</v>
      </c>
      <c r="B39" s="357" t="s">
        <v>49</v>
      </c>
      <c r="C39" s="414"/>
      <c r="D39" s="414"/>
      <c r="E39" s="457">
        <v>0</v>
      </c>
      <c r="G39" s="478"/>
    </row>
    <row r="40" spans="1:7">
      <c r="C40" s="414"/>
      <c r="D40" s="414"/>
      <c r="E40" s="457"/>
      <c r="G40" s="478"/>
    </row>
    <row r="41" spans="1:7">
      <c r="B41" s="357" t="s">
        <v>50</v>
      </c>
      <c r="C41" s="414"/>
      <c r="D41" s="414"/>
      <c r="E41" s="457"/>
      <c r="G41" s="478"/>
    </row>
    <row r="42" spans="1:7">
      <c r="A42" s="454">
        <v>20</v>
      </c>
      <c r="C42" s="414" t="s">
        <v>41</v>
      </c>
      <c r="D42" s="414"/>
      <c r="E42" s="457">
        <v>0</v>
      </c>
      <c r="G42" s="478"/>
    </row>
    <row r="43" spans="1:7">
      <c r="A43" s="454">
        <v>21</v>
      </c>
      <c r="C43" s="414" t="s">
        <v>221</v>
      </c>
      <c r="D43" s="414"/>
      <c r="E43" s="457">
        <v>0</v>
      </c>
      <c r="G43" s="478"/>
    </row>
    <row r="44" spans="1:7">
      <c r="A44" s="454">
        <v>22</v>
      </c>
      <c r="C44" s="461" t="s">
        <v>224</v>
      </c>
      <c r="D44" s="414"/>
      <c r="E44" s="457"/>
      <c r="G44" s="478"/>
    </row>
    <row r="45" spans="1:7">
      <c r="A45" s="454">
        <v>23</v>
      </c>
      <c r="C45" s="414" t="s">
        <v>43</v>
      </c>
      <c r="D45" s="414"/>
      <c r="E45" s="458">
        <v>0</v>
      </c>
      <c r="G45" s="478"/>
    </row>
    <row r="46" spans="1:7">
      <c r="A46" s="454">
        <v>24</v>
      </c>
      <c r="B46" s="414" t="s">
        <v>51</v>
      </c>
      <c r="C46" s="414"/>
      <c r="E46" s="413">
        <f t="shared" ref="E46" si="1">SUM(E42:E45)</f>
        <v>0</v>
      </c>
      <c r="G46" s="479"/>
    </row>
    <row r="47" spans="1:7" ht="19.5" customHeight="1">
      <c r="A47" s="454">
        <v>25</v>
      </c>
      <c r="B47" s="357" t="s">
        <v>52</v>
      </c>
      <c r="C47" s="414"/>
      <c r="D47" s="414"/>
      <c r="E47" s="413">
        <f>E19+E23+E29+E35+E37+E38+E39+E46</f>
        <v>0</v>
      </c>
      <c r="G47" s="479"/>
    </row>
    <row r="48" spans="1:7">
      <c r="C48" s="414"/>
      <c r="D48" s="414"/>
      <c r="E48" s="405"/>
      <c r="G48" s="479"/>
    </row>
    <row r="49" spans="1:7" ht="12.95" customHeight="1">
      <c r="A49" s="454">
        <v>26</v>
      </c>
      <c r="B49" s="357" t="s">
        <v>259</v>
      </c>
      <c r="C49" s="414"/>
      <c r="D49" s="414"/>
      <c r="E49" s="405">
        <f>E16-E47</f>
        <v>0</v>
      </c>
      <c r="G49" s="479"/>
    </row>
    <row r="50" spans="1:7" ht="12.95" customHeight="1">
      <c r="C50" s="414"/>
      <c r="D50" s="414"/>
      <c r="E50" s="405"/>
      <c r="G50" s="479"/>
    </row>
    <row r="51" spans="1:7" ht="12.95" customHeight="1">
      <c r="B51" s="357" t="s">
        <v>260</v>
      </c>
      <c r="C51" s="414"/>
      <c r="D51" s="414"/>
      <c r="E51" s="459"/>
      <c r="G51" s="478"/>
    </row>
    <row r="52" spans="1:7">
      <c r="A52" s="454">
        <v>27</v>
      </c>
      <c r="B52" s="414" t="s">
        <v>53</v>
      </c>
      <c r="D52" s="414"/>
      <c r="E52" s="459">
        <f>E49*0.35</f>
        <v>0</v>
      </c>
      <c r="G52" s="478"/>
    </row>
    <row r="53" spans="1:7">
      <c r="A53" s="454">
        <v>28</v>
      </c>
      <c r="B53" s="414" t="s">
        <v>217</v>
      </c>
      <c r="D53" s="414"/>
      <c r="E53" s="459">
        <v>0</v>
      </c>
      <c r="G53" s="478"/>
    </row>
    <row r="54" spans="1:7">
      <c r="A54" s="454">
        <v>29</v>
      </c>
      <c r="B54" s="414" t="s">
        <v>54</v>
      </c>
      <c r="D54" s="414"/>
      <c r="E54" s="457">
        <v>0</v>
      </c>
      <c r="G54" s="478"/>
    </row>
    <row r="55" spans="1:7">
      <c r="A55" s="454">
        <v>30</v>
      </c>
      <c r="B55" s="414" t="s">
        <v>55</v>
      </c>
      <c r="D55" s="414"/>
      <c r="E55" s="458">
        <v>0</v>
      </c>
      <c r="G55" s="478"/>
    </row>
    <row r="56" spans="1:7">
      <c r="E56" s="405"/>
    </row>
    <row r="57" spans="1:7" s="455" customFormat="1" thickBot="1">
      <c r="A57" s="454">
        <v>31</v>
      </c>
      <c r="B57" s="455" t="s">
        <v>56</v>
      </c>
      <c r="E57" s="417">
        <f>E49-SUM(E52:E55)</f>
        <v>0</v>
      </c>
      <c r="G57" s="480"/>
    </row>
    <row r="58" spans="1:7" ht="13.5" thickTop="1">
      <c r="E58" s="405"/>
    </row>
    <row r="59" spans="1:7">
      <c r="B59" s="357" t="s">
        <v>57</v>
      </c>
      <c r="E59" s="405"/>
    </row>
    <row r="60" spans="1:7">
      <c r="B60" s="357" t="s">
        <v>58</v>
      </c>
      <c r="E60" s="459"/>
      <c r="G60" s="478"/>
    </row>
    <row r="61" spans="1:7">
      <c r="A61" s="454">
        <v>32</v>
      </c>
      <c r="B61" s="414"/>
      <c r="C61" s="414" t="s">
        <v>40</v>
      </c>
      <c r="D61" s="414"/>
      <c r="E61" s="456">
        <v>0</v>
      </c>
      <c r="G61" s="477"/>
    </row>
    <row r="62" spans="1:7">
      <c r="A62" s="454">
        <v>33</v>
      </c>
      <c r="B62" s="414"/>
      <c r="C62" s="414" t="s">
        <v>59</v>
      </c>
      <c r="D62" s="414"/>
      <c r="E62" s="457">
        <v>0</v>
      </c>
      <c r="G62" s="478"/>
    </row>
    <row r="63" spans="1:7">
      <c r="A63" s="454">
        <v>34</v>
      </c>
      <c r="B63" s="414"/>
      <c r="C63" s="414" t="s">
        <v>60</v>
      </c>
      <c r="D63" s="414"/>
      <c r="E63" s="458">
        <v>0</v>
      </c>
      <c r="G63" s="478"/>
    </row>
    <row r="64" spans="1:7" ht="18" customHeight="1">
      <c r="A64" s="454">
        <v>35</v>
      </c>
      <c r="B64" s="414" t="s">
        <v>61</v>
      </c>
      <c r="C64" s="414"/>
      <c r="E64" s="405">
        <f t="shared" ref="E64" si="2">SUM(E61:E63)</f>
        <v>0</v>
      </c>
      <c r="G64" s="479"/>
    </row>
    <row r="65" spans="1:7" ht="12.75" customHeight="1">
      <c r="B65" s="414"/>
      <c r="C65" s="414"/>
      <c r="E65" s="405"/>
      <c r="G65" s="479"/>
    </row>
    <row r="66" spans="1:7">
      <c r="B66" s="414" t="s">
        <v>276</v>
      </c>
      <c r="C66" s="414"/>
      <c r="D66" s="414"/>
      <c r="E66" s="459"/>
      <c r="G66" s="478"/>
    </row>
    <row r="67" spans="1:7">
      <c r="A67" s="454">
        <v>36</v>
      </c>
      <c r="B67" s="414"/>
      <c r="C67" s="414" t="s">
        <v>40</v>
      </c>
      <c r="D67" s="414"/>
      <c r="E67" s="457">
        <v>0</v>
      </c>
      <c r="G67" s="478"/>
    </row>
    <row r="68" spans="1:7">
      <c r="A68" s="454">
        <v>37</v>
      </c>
      <c r="B68" s="414"/>
      <c r="C68" s="414" t="s">
        <v>59</v>
      </c>
      <c r="D68" s="414"/>
      <c r="E68" s="457">
        <v>0</v>
      </c>
      <c r="G68" s="478"/>
    </row>
    <row r="69" spans="1:7">
      <c r="A69" s="454">
        <v>38</v>
      </c>
      <c r="B69" s="414"/>
      <c r="C69" s="414" t="s">
        <v>60</v>
      </c>
      <c r="D69" s="414"/>
      <c r="E69" s="457">
        <v>0</v>
      </c>
      <c r="G69" s="478"/>
    </row>
    <row r="70" spans="1:7">
      <c r="A70" s="454">
        <v>39</v>
      </c>
      <c r="B70" s="414" t="s">
        <v>277</v>
      </c>
      <c r="C70" s="414"/>
      <c r="E70" s="424">
        <f t="shared" ref="E70" si="3">SUM(E67:E69)</f>
        <v>0</v>
      </c>
      <c r="G70" s="479"/>
    </row>
    <row r="71" spans="1:7">
      <c r="A71" s="454">
        <v>40</v>
      </c>
      <c r="B71" s="414" t="s">
        <v>264</v>
      </c>
      <c r="C71" s="414"/>
      <c r="D71" s="414"/>
      <c r="E71" s="481">
        <f>E64-E70</f>
        <v>0</v>
      </c>
      <c r="G71" s="479"/>
    </row>
    <row r="72" spans="1:7" s="463" customFormat="1" ht="18.95" customHeight="1">
      <c r="A72" s="462">
        <v>41</v>
      </c>
      <c r="B72" s="428" t="s">
        <v>278</v>
      </c>
      <c r="C72" s="428"/>
      <c r="D72" s="428"/>
      <c r="E72" s="458">
        <v>0</v>
      </c>
      <c r="G72" s="478"/>
    </row>
    <row r="73" spans="1:7" s="463" customFormat="1" ht="18.95" customHeight="1">
      <c r="A73" s="462">
        <v>42</v>
      </c>
      <c r="B73" s="428" t="s">
        <v>266</v>
      </c>
      <c r="C73" s="428"/>
      <c r="D73" s="428"/>
      <c r="E73" s="481">
        <f>E71+E72</f>
        <v>0</v>
      </c>
      <c r="G73" s="478"/>
    </row>
    <row r="74" spans="1:7">
      <c r="A74" s="454">
        <v>43</v>
      </c>
      <c r="B74" s="414" t="s">
        <v>267</v>
      </c>
      <c r="C74" s="414"/>
      <c r="D74" s="414"/>
      <c r="E74" s="457">
        <v>0</v>
      </c>
      <c r="G74" s="478"/>
    </row>
    <row r="75" spans="1:7" s="463" customFormat="1">
      <c r="A75" s="462">
        <v>44</v>
      </c>
      <c r="B75" s="428" t="s">
        <v>268</v>
      </c>
      <c r="C75" s="428"/>
      <c r="D75" s="428"/>
      <c r="E75" s="460">
        <v>0</v>
      </c>
      <c r="F75" s="482"/>
      <c r="G75" s="478"/>
    </row>
    <row r="76" spans="1:7" s="463" customFormat="1">
      <c r="A76" s="462">
        <v>45</v>
      </c>
      <c r="B76" s="428" t="s">
        <v>269</v>
      </c>
      <c r="C76" s="428"/>
      <c r="D76" s="428"/>
      <c r="E76" s="460"/>
      <c r="F76" s="482"/>
      <c r="G76" s="478"/>
    </row>
    <row r="77" spans="1:7">
      <c r="A77" s="454">
        <v>46</v>
      </c>
      <c r="B77" s="414" t="s">
        <v>279</v>
      </c>
      <c r="C77" s="414"/>
      <c r="D77" s="414"/>
      <c r="E77" s="458">
        <v>0</v>
      </c>
      <c r="G77" s="478"/>
    </row>
    <row r="79" spans="1:7">
      <c r="E79" s="405"/>
    </row>
    <row r="80" spans="1:7" s="464" customFormat="1" thickBot="1">
      <c r="A80" s="439">
        <v>47</v>
      </c>
      <c r="B80" s="464" t="s">
        <v>63</v>
      </c>
      <c r="E80" s="483">
        <f>E73+E74+E75+E77+E76</f>
        <v>0</v>
      </c>
      <c r="G80" s="484"/>
    </row>
    <row r="81" ht="13.5" thickTop="1"/>
    <row r="103" spans="1:7" s="360" customFormat="1">
      <c r="A103" s="454"/>
      <c r="B103" s="357"/>
      <c r="C103" s="357"/>
      <c r="D103" s="357"/>
      <c r="E103" s="359"/>
      <c r="F103" s="470"/>
      <c r="G103" s="471"/>
    </row>
    <row r="104" spans="1:7" s="360" customFormat="1">
      <c r="A104" s="454"/>
      <c r="B104" s="357"/>
      <c r="C104" s="357"/>
      <c r="D104" s="357"/>
      <c r="E104" s="359"/>
      <c r="F104" s="470"/>
      <c r="G104" s="471"/>
    </row>
    <row r="105" spans="1:7" s="360" customFormat="1">
      <c r="A105" s="454"/>
      <c r="B105" s="357"/>
      <c r="C105" s="357"/>
      <c r="D105" s="357"/>
      <c r="E105" s="359"/>
      <c r="F105" s="470"/>
      <c r="G105" s="471"/>
    </row>
  </sheetData>
  <pageMargins left="0.75" right="0.5" top="0.72" bottom="0.84" header="0.5" footer="0.5"/>
  <pageSetup scale="61" firstPageNumber="4" fitToWidth="5" orientation="portrait" r:id="rId1"/>
  <headerFooter scaleWithDoc="0" alignWithMargins="0">
    <oddHeader>&amp;RExhibit No. ___(EJK-2)</oddHeader>
    <oddFooter>&amp;RPage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zoomScaleNormal="100" zoomScaleSheetLayoutView="100" workbookViewId="0">
      <pane xSplit="4" ySplit="10" topLeftCell="E65" activePane="bottomRight" state="frozen"/>
      <selection activeCell="N20" sqref="N20"/>
      <selection pane="topRight" activeCell="N20" sqref="N20"/>
      <selection pane="bottomLeft" activeCell="N20" sqref="N20"/>
      <selection pane="bottomRight" activeCell="D83" sqref="D83"/>
    </sheetView>
  </sheetViews>
  <sheetFormatPr defaultColWidth="12.5" defaultRowHeight="12.75"/>
  <cols>
    <col min="1" max="1" width="6.6640625" style="454" customWidth="1"/>
    <col min="2" max="3" width="2" style="357" customWidth="1"/>
    <col min="4" max="4" width="33.5" style="357" customWidth="1"/>
    <col min="5" max="5" width="23.33203125" style="359" customWidth="1"/>
    <col min="6" max="6" width="10.6640625" style="470" customWidth="1"/>
    <col min="7" max="7" width="12.83203125" style="471" customWidth="1"/>
    <col min="8" max="12" width="12.5" style="357" customWidth="1"/>
    <col min="13" max="16384" width="12.5" style="357"/>
  </cols>
  <sheetData>
    <row r="1" spans="1:7" ht="12.75" customHeight="1">
      <c r="A1" s="438" t="str">
        <f>'[8]ROO INPUT'!A3:C3</f>
        <v>AVISTA UTILITIES</v>
      </c>
    </row>
    <row r="2" spans="1:7" ht="12.75" customHeight="1">
      <c r="A2" s="438" t="str">
        <f>'[8]ROO INPUT'!A4:C4</f>
        <v xml:space="preserve">WASHINGTON NATURAL GAS RESULTS </v>
      </c>
    </row>
    <row r="3" spans="1:7" ht="12.75" customHeight="1">
      <c r="A3" s="438" t="str">
        <f>'[8]ROO INPUT'!A5:C5</f>
        <v>TWELVE MONTHS ENDED DECEMBER 31, 2011</v>
      </c>
    </row>
    <row r="4" spans="1:7" ht="13.5" thickBot="1">
      <c r="A4" s="438" t="str">
        <f>'[8]ROO INPUT'!A6:C6</f>
        <v xml:space="preserve">(000'S OF DOLLARS)   </v>
      </c>
      <c r="B4" s="438"/>
      <c r="C4" s="438"/>
      <c r="D4" s="438"/>
    </row>
    <row r="5" spans="1:7" ht="12.75" customHeight="1">
      <c r="A5" s="438"/>
      <c r="E5" s="485" t="s">
        <v>281</v>
      </c>
    </row>
    <row r="6" spans="1:7" s="440" customFormat="1" thickBot="1">
      <c r="A6" s="439"/>
      <c r="E6" s="486" t="s">
        <v>282</v>
      </c>
      <c r="G6" s="472"/>
    </row>
    <row r="7" spans="1:7" s="440" customFormat="1" ht="12" customHeight="1">
      <c r="A7" s="441"/>
      <c r="B7" s="442"/>
      <c r="C7" s="443"/>
      <c r="D7" s="444"/>
      <c r="E7" s="487" t="s">
        <v>225</v>
      </c>
      <c r="G7" s="472"/>
    </row>
    <row r="8" spans="1:7" s="440" customFormat="1" ht="12">
      <c r="A8" s="445" t="s">
        <v>11</v>
      </c>
      <c r="B8" s="446"/>
      <c r="C8" s="447"/>
      <c r="D8" s="448"/>
      <c r="E8" s="487" t="s">
        <v>226</v>
      </c>
      <c r="G8" s="472"/>
    </row>
    <row r="9" spans="1:7" s="440" customFormat="1" thickBot="1">
      <c r="A9" s="449" t="s">
        <v>18</v>
      </c>
      <c r="B9" s="450"/>
      <c r="C9" s="451"/>
      <c r="D9" s="452" t="s">
        <v>19</v>
      </c>
      <c r="E9" s="488" t="s">
        <v>283</v>
      </c>
      <c r="G9" s="472"/>
    </row>
    <row r="10" spans="1:7" s="440" customFormat="1" ht="12">
      <c r="A10" s="439"/>
      <c r="B10" s="453" t="s">
        <v>274</v>
      </c>
      <c r="E10" s="489">
        <v>4</v>
      </c>
      <c r="G10" s="476"/>
    </row>
    <row r="11" spans="1:7">
      <c r="E11" s="490"/>
    </row>
    <row r="12" spans="1:7">
      <c r="B12" s="357" t="s">
        <v>28</v>
      </c>
      <c r="E12" s="490"/>
    </row>
    <row r="13" spans="1:7" s="455" customFormat="1" ht="12">
      <c r="A13" s="454">
        <v>1</v>
      </c>
      <c r="B13" s="455" t="s">
        <v>29</v>
      </c>
      <c r="E13" s="491">
        <v>0</v>
      </c>
      <c r="G13" s="477"/>
    </row>
    <row r="14" spans="1:7">
      <c r="A14" s="454">
        <v>2</v>
      </c>
      <c r="B14" s="414" t="s">
        <v>31</v>
      </c>
      <c r="D14" s="414"/>
      <c r="E14" s="492">
        <v>0</v>
      </c>
      <c r="G14" s="478"/>
    </row>
    <row r="15" spans="1:7">
      <c r="A15" s="454">
        <v>3</v>
      </c>
      <c r="B15" s="414" t="s">
        <v>32</v>
      </c>
      <c r="D15" s="414"/>
      <c r="E15" s="493">
        <v>0</v>
      </c>
      <c r="G15" s="478"/>
    </row>
    <row r="16" spans="1:7">
      <c r="A16" s="454">
        <v>4</v>
      </c>
      <c r="B16" s="357" t="s">
        <v>34</v>
      </c>
      <c r="C16" s="414"/>
      <c r="D16" s="414"/>
      <c r="E16" s="494">
        <f>SUM(E13:E15)</f>
        <v>0</v>
      </c>
      <c r="G16" s="479"/>
    </row>
    <row r="17" spans="1:7">
      <c r="C17" s="414"/>
      <c r="D17" s="414"/>
      <c r="E17" s="495"/>
      <c r="G17" s="478"/>
    </row>
    <row r="18" spans="1:7">
      <c r="B18" s="357" t="s">
        <v>35</v>
      </c>
      <c r="C18" s="414"/>
      <c r="D18" s="414"/>
      <c r="E18" s="495"/>
      <c r="G18" s="478"/>
    </row>
    <row r="19" spans="1:7">
      <c r="B19" s="414" t="s">
        <v>275</v>
      </c>
      <c r="D19" s="414"/>
      <c r="E19" s="492"/>
      <c r="G19" s="478"/>
    </row>
    <row r="20" spans="1:7">
      <c r="A20" s="454">
        <v>5</v>
      </c>
      <c r="C20" s="414" t="s">
        <v>36</v>
      </c>
      <c r="D20" s="414"/>
      <c r="E20" s="492">
        <v>0</v>
      </c>
      <c r="G20" s="478"/>
    </row>
    <row r="21" spans="1:7">
      <c r="A21" s="454">
        <v>6</v>
      </c>
      <c r="C21" s="414" t="s">
        <v>37</v>
      </c>
      <c r="D21" s="414"/>
      <c r="E21" s="492">
        <v>0</v>
      </c>
      <c r="G21" s="478"/>
    </row>
    <row r="22" spans="1:7">
      <c r="A22" s="454">
        <v>7</v>
      </c>
      <c r="C22" s="414" t="s">
        <v>38</v>
      </c>
      <c r="D22" s="414"/>
      <c r="E22" s="493">
        <v>0</v>
      </c>
      <c r="G22" s="478"/>
    </row>
    <row r="23" spans="1:7">
      <c r="A23" s="454">
        <v>8</v>
      </c>
      <c r="B23" s="414" t="s">
        <v>39</v>
      </c>
      <c r="C23" s="414"/>
      <c r="E23" s="494">
        <f>SUM(E20:E22)</f>
        <v>0</v>
      </c>
      <c r="G23" s="479"/>
    </row>
    <row r="24" spans="1:7">
      <c r="B24" s="414"/>
      <c r="C24" s="414"/>
      <c r="E24" s="494"/>
      <c r="G24" s="479"/>
    </row>
    <row r="25" spans="1:7">
      <c r="B25" s="414" t="s">
        <v>40</v>
      </c>
      <c r="D25" s="414"/>
      <c r="E25" s="495"/>
      <c r="G25" s="478"/>
    </row>
    <row r="26" spans="1:7">
      <c r="A26" s="454">
        <v>9</v>
      </c>
      <c r="C26" s="414" t="s">
        <v>41</v>
      </c>
      <c r="D26" s="414"/>
      <c r="E26" s="492">
        <v>0</v>
      </c>
      <c r="G26" s="478"/>
    </row>
    <row r="27" spans="1:7">
      <c r="A27" s="454">
        <v>10</v>
      </c>
      <c r="C27" s="414" t="s">
        <v>221</v>
      </c>
      <c r="D27" s="414"/>
      <c r="E27" s="492">
        <v>0</v>
      </c>
      <c r="G27" s="478"/>
    </row>
    <row r="28" spans="1:7">
      <c r="A28" s="454">
        <v>11</v>
      </c>
      <c r="C28" s="414" t="s">
        <v>43</v>
      </c>
      <c r="D28" s="414"/>
      <c r="E28" s="493">
        <v>0</v>
      </c>
      <c r="G28" s="478"/>
    </row>
    <row r="29" spans="1:7">
      <c r="A29" s="454">
        <v>12</v>
      </c>
      <c r="B29" s="414" t="s">
        <v>44</v>
      </c>
      <c r="C29" s="414"/>
      <c r="E29" s="494">
        <f>SUM(E26:E28)</f>
        <v>0</v>
      </c>
      <c r="G29" s="479"/>
    </row>
    <row r="30" spans="1:7">
      <c r="B30" s="414"/>
      <c r="C30" s="414"/>
      <c r="E30" s="494"/>
      <c r="G30" s="479"/>
    </row>
    <row r="31" spans="1:7">
      <c r="B31" s="414" t="s">
        <v>45</v>
      </c>
      <c r="D31" s="414"/>
      <c r="E31" s="495"/>
      <c r="G31" s="478"/>
    </row>
    <row r="32" spans="1:7">
      <c r="A32" s="454">
        <v>13</v>
      </c>
      <c r="C32" s="414" t="s">
        <v>41</v>
      </c>
      <c r="D32" s="414"/>
      <c r="E32" s="492">
        <v>0</v>
      </c>
      <c r="G32" s="478"/>
    </row>
    <row r="33" spans="1:7">
      <c r="A33" s="454">
        <v>14</v>
      </c>
      <c r="C33" s="414" t="s">
        <v>221</v>
      </c>
      <c r="D33" s="414"/>
      <c r="E33" s="492">
        <v>0</v>
      </c>
      <c r="G33" s="478"/>
    </row>
    <row r="34" spans="1:7">
      <c r="A34" s="454">
        <v>15</v>
      </c>
      <c r="C34" s="414" t="s">
        <v>43</v>
      </c>
      <c r="D34" s="414"/>
      <c r="E34" s="493">
        <v>0</v>
      </c>
      <c r="G34" s="478"/>
    </row>
    <row r="35" spans="1:7" ht="12.95" customHeight="1">
      <c r="A35" s="454">
        <v>16</v>
      </c>
      <c r="B35" s="414" t="s">
        <v>46</v>
      </c>
      <c r="C35" s="414"/>
      <c r="E35" s="494">
        <f>SUM(E32:E34)</f>
        <v>0</v>
      </c>
      <c r="G35" s="479"/>
    </row>
    <row r="36" spans="1:7" ht="12.95" customHeight="1">
      <c r="C36" s="414"/>
      <c r="D36" s="414"/>
      <c r="E36" s="494"/>
      <c r="G36" s="479"/>
    </row>
    <row r="37" spans="1:7" ht="12.95" customHeight="1">
      <c r="A37" s="454">
        <v>17</v>
      </c>
      <c r="B37" s="357" t="s">
        <v>47</v>
      </c>
      <c r="C37" s="414"/>
      <c r="D37" s="414"/>
      <c r="E37" s="492">
        <v>0</v>
      </c>
      <c r="G37" s="478"/>
    </row>
    <row r="38" spans="1:7">
      <c r="A38" s="454">
        <v>18</v>
      </c>
      <c r="B38" s="357" t="s">
        <v>48</v>
      </c>
      <c r="C38" s="414"/>
      <c r="D38" s="414"/>
      <c r="E38" s="492">
        <v>0</v>
      </c>
      <c r="G38" s="478"/>
    </row>
    <row r="39" spans="1:7">
      <c r="A39" s="454">
        <v>19</v>
      </c>
      <c r="B39" s="357" t="s">
        <v>49</v>
      </c>
      <c r="C39" s="414"/>
      <c r="D39" s="414"/>
      <c r="E39" s="492">
        <v>0</v>
      </c>
      <c r="G39" s="478"/>
    </row>
    <row r="40" spans="1:7">
      <c r="C40" s="414"/>
      <c r="D40" s="414"/>
      <c r="E40" s="492"/>
      <c r="G40" s="478"/>
    </row>
    <row r="41" spans="1:7">
      <c r="B41" s="357" t="s">
        <v>50</v>
      </c>
      <c r="C41" s="414"/>
      <c r="D41" s="414"/>
      <c r="E41" s="492"/>
      <c r="G41" s="478"/>
    </row>
    <row r="42" spans="1:7">
      <c r="A42" s="454">
        <v>20</v>
      </c>
      <c r="C42" s="414" t="s">
        <v>41</v>
      </c>
      <c r="D42" s="414"/>
      <c r="E42" s="492">
        <v>0</v>
      </c>
      <c r="G42" s="478"/>
    </row>
    <row r="43" spans="1:7">
      <c r="A43" s="454">
        <v>21</v>
      </c>
      <c r="C43" s="414" t="s">
        <v>221</v>
      </c>
      <c r="D43" s="414"/>
      <c r="E43" s="492">
        <v>0</v>
      </c>
      <c r="G43" s="478"/>
    </row>
    <row r="44" spans="1:7">
      <c r="A44" s="454">
        <v>22</v>
      </c>
      <c r="C44" s="461" t="s">
        <v>224</v>
      </c>
      <c r="D44" s="414"/>
      <c r="E44" s="492"/>
      <c r="G44" s="478"/>
    </row>
    <row r="45" spans="1:7">
      <c r="A45" s="454">
        <v>23</v>
      </c>
      <c r="C45" s="414" t="s">
        <v>43</v>
      </c>
      <c r="D45" s="414"/>
      <c r="E45" s="493">
        <v>0</v>
      </c>
      <c r="G45" s="478"/>
    </row>
    <row r="46" spans="1:7">
      <c r="A46" s="454">
        <v>24</v>
      </c>
      <c r="B46" s="414" t="s">
        <v>51</v>
      </c>
      <c r="C46" s="414"/>
      <c r="E46" s="496">
        <f>SUM(E42:E45)</f>
        <v>0</v>
      </c>
      <c r="G46" s="479"/>
    </row>
    <row r="47" spans="1:7" ht="19.5" customHeight="1">
      <c r="A47" s="454">
        <v>25</v>
      </c>
      <c r="B47" s="357" t="s">
        <v>52</v>
      </c>
      <c r="C47" s="414"/>
      <c r="D47" s="414"/>
      <c r="E47" s="496">
        <f>E19+E23+E29+E35+E37+E38+E39+E46</f>
        <v>0</v>
      </c>
      <c r="G47" s="479"/>
    </row>
    <row r="48" spans="1:7">
      <c r="C48" s="414"/>
      <c r="D48" s="414"/>
      <c r="E48" s="494"/>
      <c r="G48" s="479"/>
    </row>
    <row r="49" spans="1:7" ht="12.95" customHeight="1">
      <c r="A49" s="454">
        <v>26</v>
      </c>
      <c r="B49" s="357" t="s">
        <v>259</v>
      </c>
      <c r="C49" s="414"/>
      <c r="D49" s="414"/>
      <c r="E49" s="494">
        <f>E16-E47</f>
        <v>0</v>
      </c>
      <c r="G49" s="479"/>
    </row>
    <row r="50" spans="1:7" ht="12.95" customHeight="1">
      <c r="C50" s="414"/>
      <c r="D50" s="414"/>
      <c r="E50" s="494"/>
      <c r="G50" s="479"/>
    </row>
    <row r="51" spans="1:7" ht="12.95" customHeight="1">
      <c r="B51" s="357" t="s">
        <v>260</v>
      </c>
      <c r="C51" s="414"/>
      <c r="D51" s="414"/>
      <c r="E51" s="495"/>
      <c r="G51" s="478"/>
    </row>
    <row r="52" spans="1:7">
      <c r="A52" s="454">
        <v>27</v>
      </c>
      <c r="B52" s="414" t="s">
        <v>53</v>
      </c>
      <c r="D52" s="414"/>
      <c r="E52" s="495">
        <f>E49*0.35</f>
        <v>0</v>
      </c>
      <c r="G52" s="478"/>
    </row>
    <row r="53" spans="1:7">
      <c r="A53" s="454">
        <v>28</v>
      </c>
      <c r="B53" s="414" t="s">
        <v>217</v>
      </c>
      <c r="D53" s="414"/>
      <c r="E53" s="495">
        <v>0</v>
      </c>
      <c r="G53" s="478"/>
    </row>
    <row r="54" spans="1:7">
      <c r="A54" s="454">
        <v>29</v>
      </c>
      <c r="B54" s="414" t="s">
        <v>54</v>
      </c>
      <c r="D54" s="414"/>
      <c r="E54" s="492">
        <v>0</v>
      </c>
      <c r="G54" s="478"/>
    </row>
    <row r="55" spans="1:7">
      <c r="A55" s="454">
        <v>30</v>
      </c>
      <c r="B55" s="414" t="s">
        <v>55</v>
      </c>
      <c r="D55" s="414"/>
      <c r="E55" s="493">
        <v>0</v>
      </c>
      <c r="G55" s="478"/>
    </row>
    <row r="56" spans="1:7">
      <c r="E56" s="494"/>
    </row>
    <row r="57" spans="1:7" s="455" customFormat="1" thickBot="1">
      <c r="A57" s="454">
        <v>31</v>
      </c>
      <c r="B57" s="455" t="s">
        <v>56</v>
      </c>
      <c r="E57" s="497">
        <f>E49-SUM(E52:E55)</f>
        <v>0</v>
      </c>
      <c r="G57" s="480"/>
    </row>
    <row r="58" spans="1:7" ht="13.5" thickTop="1">
      <c r="E58" s="494"/>
    </row>
    <row r="59" spans="1:7">
      <c r="B59" s="357" t="s">
        <v>57</v>
      </c>
      <c r="E59" s="494"/>
    </row>
    <row r="60" spans="1:7">
      <c r="B60" s="357" t="s">
        <v>58</v>
      </c>
      <c r="E60" s="495"/>
      <c r="G60" s="478"/>
    </row>
    <row r="61" spans="1:7">
      <c r="A61" s="454">
        <v>32</v>
      </c>
      <c r="B61" s="414"/>
      <c r="C61" s="414" t="s">
        <v>40</v>
      </c>
      <c r="D61" s="414"/>
      <c r="E61" s="491">
        <v>0</v>
      </c>
      <c r="G61" s="477"/>
    </row>
    <row r="62" spans="1:7">
      <c r="A62" s="454">
        <v>33</v>
      </c>
      <c r="B62" s="414"/>
      <c r="C62" s="414" t="s">
        <v>59</v>
      </c>
      <c r="D62" s="414"/>
      <c r="E62" s="492">
        <v>0</v>
      </c>
      <c r="G62" s="478"/>
    </row>
    <row r="63" spans="1:7">
      <c r="A63" s="454">
        <v>34</v>
      </c>
      <c r="B63" s="414"/>
      <c r="C63" s="414" t="s">
        <v>60</v>
      </c>
      <c r="D63" s="414"/>
      <c r="E63" s="493">
        <v>0</v>
      </c>
      <c r="G63" s="478"/>
    </row>
    <row r="64" spans="1:7" ht="18" customHeight="1">
      <c r="A64" s="454">
        <v>35</v>
      </c>
      <c r="B64" s="414" t="s">
        <v>61</v>
      </c>
      <c r="C64" s="414"/>
      <c r="E64" s="494">
        <f>SUM(E61:E63)</f>
        <v>0</v>
      </c>
      <c r="G64" s="479"/>
    </row>
    <row r="65" spans="1:7" ht="12.75" customHeight="1">
      <c r="B65" s="414"/>
      <c r="C65" s="414"/>
      <c r="E65" s="494"/>
      <c r="G65" s="479"/>
    </row>
    <row r="66" spans="1:7">
      <c r="B66" s="414" t="s">
        <v>276</v>
      </c>
      <c r="C66" s="414"/>
      <c r="D66" s="414"/>
      <c r="E66" s="495"/>
      <c r="G66" s="478"/>
    </row>
    <row r="67" spans="1:7">
      <c r="A67" s="454">
        <v>36</v>
      </c>
      <c r="B67" s="414"/>
      <c r="C67" s="414" t="s">
        <v>40</v>
      </c>
      <c r="D67" s="414"/>
      <c r="E67" s="495">
        <v>0</v>
      </c>
      <c r="G67" s="478"/>
    </row>
    <row r="68" spans="1:7">
      <c r="A68" s="454">
        <v>37</v>
      </c>
      <c r="B68" s="414"/>
      <c r="C68" s="414" t="s">
        <v>59</v>
      </c>
      <c r="D68" s="414"/>
      <c r="E68" s="495">
        <v>0</v>
      </c>
      <c r="G68" s="478"/>
    </row>
    <row r="69" spans="1:7">
      <c r="A69" s="454">
        <v>38</v>
      </c>
      <c r="B69" s="414"/>
      <c r="C69" s="414" t="s">
        <v>60</v>
      </c>
      <c r="D69" s="414"/>
      <c r="E69" s="495">
        <v>0</v>
      </c>
      <c r="G69" s="478"/>
    </row>
    <row r="70" spans="1:7">
      <c r="A70" s="454">
        <v>39</v>
      </c>
      <c r="B70" s="414" t="s">
        <v>277</v>
      </c>
      <c r="C70" s="414"/>
      <c r="E70" s="498">
        <f>SUM(E67:E69)</f>
        <v>0</v>
      </c>
      <c r="G70" s="479"/>
    </row>
    <row r="71" spans="1:7">
      <c r="A71" s="454">
        <v>40</v>
      </c>
      <c r="B71" s="414" t="s">
        <v>264</v>
      </c>
      <c r="C71" s="414"/>
      <c r="D71" s="414"/>
      <c r="E71" s="494">
        <f>E64-E70</f>
        <v>0</v>
      </c>
      <c r="G71" s="479"/>
    </row>
    <row r="72" spans="1:7" s="463" customFormat="1" ht="18.95" customHeight="1">
      <c r="A72" s="462">
        <v>41</v>
      </c>
      <c r="B72" s="428" t="s">
        <v>278</v>
      </c>
      <c r="C72" s="428"/>
      <c r="D72" s="428"/>
      <c r="E72" s="493">
        <v>0</v>
      </c>
      <c r="G72" s="478"/>
    </row>
    <row r="73" spans="1:7" s="463" customFormat="1" ht="18.95" customHeight="1">
      <c r="A73" s="462">
        <v>42</v>
      </c>
      <c r="B73" s="428" t="s">
        <v>266</v>
      </c>
      <c r="C73" s="428"/>
      <c r="D73" s="428"/>
      <c r="E73" s="494">
        <f>E71+E72</f>
        <v>0</v>
      </c>
      <c r="G73" s="478"/>
    </row>
    <row r="74" spans="1:7">
      <c r="A74" s="454">
        <v>43</v>
      </c>
      <c r="B74" s="414" t="s">
        <v>267</v>
      </c>
      <c r="C74" s="414"/>
      <c r="D74" s="414"/>
      <c r="E74" s="492">
        <v>0</v>
      </c>
      <c r="G74" s="478"/>
    </row>
    <row r="75" spans="1:7" s="463" customFormat="1">
      <c r="A75" s="462">
        <v>44</v>
      </c>
      <c r="B75" s="428" t="s">
        <v>268</v>
      </c>
      <c r="C75" s="428"/>
      <c r="D75" s="428"/>
      <c r="E75" s="492"/>
      <c r="F75" s="482"/>
      <c r="G75" s="478"/>
    </row>
    <row r="76" spans="1:7" s="463" customFormat="1">
      <c r="A76" s="462">
        <v>45</v>
      </c>
      <c r="B76" s="428" t="s">
        <v>269</v>
      </c>
      <c r="C76" s="428"/>
      <c r="D76" s="428"/>
      <c r="E76" s="492"/>
      <c r="F76" s="482"/>
      <c r="G76" s="478"/>
    </row>
    <row r="77" spans="1:7">
      <c r="A77" s="454">
        <v>46</v>
      </c>
      <c r="B77" s="414" t="s">
        <v>279</v>
      </c>
      <c r="C77" s="414"/>
      <c r="D77" s="414"/>
      <c r="E77" s="493"/>
      <c r="G77" s="478"/>
    </row>
    <row r="78" spans="1:7">
      <c r="E78" s="490"/>
    </row>
    <row r="79" spans="1:7">
      <c r="E79" s="494"/>
    </row>
    <row r="80" spans="1:7" s="464" customFormat="1" ht="12">
      <c r="A80" s="439">
        <v>47</v>
      </c>
      <c r="B80" s="464" t="s">
        <v>63</v>
      </c>
      <c r="E80" s="499">
        <f>E73+E74+E75+E77+E76</f>
        <v>0</v>
      </c>
      <c r="G80" s="484"/>
    </row>
    <row r="90" spans="1:7" s="360" customFormat="1">
      <c r="A90" s="454"/>
      <c r="B90" s="357"/>
      <c r="C90" s="357"/>
      <c r="D90" s="357"/>
      <c r="E90" s="359"/>
      <c r="F90" s="470"/>
      <c r="G90" s="471"/>
    </row>
    <row r="91" spans="1:7" s="360" customFormat="1">
      <c r="A91" s="454"/>
      <c r="B91" s="357"/>
      <c r="C91" s="357"/>
      <c r="D91" s="357"/>
      <c r="E91" s="359"/>
      <c r="F91" s="470"/>
      <c r="G91" s="471"/>
    </row>
    <row r="92" spans="1:7" s="360" customFormat="1">
      <c r="A92" s="454"/>
      <c r="B92" s="357"/>
      <c r="C92" s="357"/>
      <c r="D92" s="357"/>
      <c r="E92" s="359"/>
      <c r="F92" s="470"/>
      <c r="G92" s="471"/>
    </row>
  </sheetData>
  <pageMargins left="0.75" right="0.5" top="0.72" bottom="0.84" header="0.5" footer="0.5"/>
  <pageSetup scale="61" firstPageNumber="4" fitToWidth="5" orientation="portrait" r:id="rId1"/>
  <headerFooter scaleWithDoc="0" alignWithMargins="0">
    <oddHeader>&amp;RExhibit No. ___(EJK-2)</oddHeader>
    <oddFooter>&amp;RPage &amp;P of &amp;N</oddFooter>
  </headerFooter>
  <colBreaks count="1" manualBreakCount="1">
    <brk id="4" max="8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zoomScaleNormal="100" zoomScaleSheetLayoutView="100" workbookViewId="0">
      <pane xSplit="4" ySplit="10" topLeftCell="E53" activePane="bottomRight" state="frozen"/>
      <selection activeCell="N20" sqref="N20"/>
      <selection pane="topRight" activeCell="N20" sqref="N20"/>
      <selection pane="bottomLeft" activeCell="N20" sqref="N20"/>
      <selection pane="bottomRight" activeCell="F87" sqref="F87"/>
    </sheetView>
  </sheetViews>
  <sheetFormatPr defaultColWidth="12.5" defaultRowHeight="12"/>
  <cols>
    <col min="1" max="1" width="6.6640625" style="454" customWidth="1"/>
    <col min="2" max="3" width="2" style="357" customWidth="1"/>
    <col min="4" max="4" width="33.5" style="357" customWidth="1"/>
    <col min="5" max="5" width="18.33203125" style="359" customWidth="1"/>
    <col min="6" max="6" width="12.83203125" style="471" customWidth="1"/>
    <col min="7" max="11" width="12.5" style="357" customWidth="1"/>
    <col min="12" max="16384" width="12.5" style="357"/>
  </cols>
  <sheetData>
    <row r="1" spans="1:6" ht="12.75" customHeight="1">
      <c r="A1" s="438" t="str">
        <f>'[8]ROO INPUT'!A3:C3</f>
        <v>AVISTA UTILITIES</v>
      </c>
    </row>
    <row r="2" spans="1:6" ht="12.75" customHeight="1">
      <c r="A2" s="438" t="str">
        <f>'[8]ROO INPUT'!A4:C4</f>
        <v xml:space="preserve">WASHINGTON NATURAL GAS RESULTS </v>
      </c>
    </row>
    <row r="3" spans="1:6" ht="12.75" customHeight="1">
      <c r="A3" s="438" t="str">
        <f>'[8]ROO INPUT'!A5:C5</f>
        <v>TWELVE MONTHS ENDED DECEMBER 31, 2011</v>
      </c>
    </row>
    <row r="4" spans="1:6" ht="12.75" thickBot="1">
      <c r="A4" s="438" t="str">
        <f>'[8]ROO INPUT'!A6:C6</f>
        <v xml:space="preserve">(000'S OF DOLLARS)   </v>
      </c>
      <c r="B4" s="438"/>
      <c r="C4" s="438"/>
      <c r="D4" s="438"/>
    </row>
    <row r="5" spans="1:6" ht="12.75" customHeight="1">
      <c r="A5" s="438"/>
      <c r="E5" s="500"/>
    </row>
    <row r="6" spans="1:6" s="440" customFormat="1" ht="12.75" thickBot="1">
      <c r="A6" s="439"/>
      <c r="E6" s="501"/>
      <c r="F6" s="472"/>
    </row>
    <row r="7" spans="1:6" s="440" customFormat="1" ht="12" customHeight="1">
      <c r="A7" s="441"/>
      <c r="B7" s="442"/>
      <c r="C7" s="443"/>
      <c r="D7" s="444"/>
      <c r="E7" s="487" t="s">
        <v>225</v>
      </c>
      <c r="F7" s="472"/>
    </row>
    <row r="8" spans="1:6" s="440" customFormat="1">
      <c r="A8" s="445" t="s">
        <v>11</v>
      </c>
      <c r="B8" s="446"/>
      <c r="C8" s="447"/>
      <c r="D8" s="448"/>
      <c r="E8" s="502" t="s">
        <v>226</v>
      </c>
      <c r="F8" s="472"/>
    </row>
    <row r="9" spans="1:6" s="440" customFormat="1" ht="12.75" thickBot="1">
      <c r="A9" s="449" t="s">
        <v>18</v>
      </c>
      <c r="B9" s="450"/>
      <c r="C9" s="451"/>
      <c r="D9" s="452" t="s">
        <v>19</v>
      </c>
      <c r="E9" s="503" t="s">
        <v>228</v>
      </c>
      <c r="F9" s="472"/>
    </row>
    <row r="10" spans="1:6" s="440" customFormat="1">
      <c r="A10" s="439"/>
      <c r="B10" s="453" t="s">
        <v>274</v>
      </c>
      <c r="E10" s="504">
        <v>4.01</v>
      </c>
      <c r="F10" s="476"/>
    </row>
    <row r="11" spans="1:6">
      <c r="E11" s="505"/>
    </row>
    <row r="12" spans="1:6">
      <c r="B12" s="357" t="s">
        <v>28</v>
      </c>
      <c r="E12" s="505"/>
    </row>
    <row r="13" spans="1:6" s="455" customFormat="1">
      <c r="A13" s="454">
        <v>1</v>
      </c>
      <c r="B13" s="455" t="s">
        <v>29</v>
      </c>
      <c r="E13" s="506">
        <v>0</v>
      </c>
      <c r="F13" s="477"/>
    </row>
    <row r="14" spans="1:6">
      <c r="A14" s="454">
        <v>2</v>
      </c>
      <c r="B14" s="414" t="s">
        <v>31</v>
      </c>
      <c r="D14" s="414"/>
      <c r="E14" s="507">
        <v>0</v>
      </c>
      <c r="F14" s="478"/>
    </row>
    <row r="15" spans="1:6">
      <c r="A15" s="454">
        <v>3</v>
      </c>
      <c r="B15" s="414" t="s">
        <v>32</v>
      </c>
      <c r="D15" s="414"/>
      <c r="E15" s="508">
        <v>0</v>
      </c>
      <c r="F15" s="478"/>
    </row>
    <row r="16" spans="1:6">
      <c r="A16" s="454">
        <v>4</v>
      </c>
      <c r="B16" s="357" t="s">
        <v>34</v>
      </c>
      <c r="C16" s="414"/>
      <c r="D16" s="414"/>
      <c r="E16" s="509">
        <f t="shared" ref="E16" si="0">SUM(E13:E15)</f>
        <v>0</v>
      </c>
      <c r="F16" s="479"/>
    </row>
    <row r="17" spans="1:6">
      <c r="C17" s="414"/>
      <c r="D17" s="414"/>
      <c r="E17" s="510"/>
      <c r="F17" s="478"/>
    </row>
    <row r="18" spans="1:6">
      <c r="B18" s="357" t="s">
        <v>35</v>
      </c>
      <c r="C18" s="414"/>
      <c r="D18" s="414"/>
      <c r="E18" s="510"/>
      <c r="F18" s="478"/>
    </row>
    <row r="19" spans="1:6">
      <c r="B19" s="414" t="s">
        <v>275</v>
      </c>
      <c r="D19" s="414"/>
      <c r="E19" s="507"/>
      <c r="F19" s="478"/>
    </row>
    <row r="20" spans="1:6">
      <c r="A20" s="454">
        <v>5</v>
      </c>
      <c r="C20" s="414" t="s">
        <v>36</v>
      </c>
      <c r="D20" s="414"/>
      <c r="E20" s="507">
        <v>0</v>
      </c>
      <c r="F20" s="478"/>
    </row>
    <row r="21" spans="1:6">
      <c r="A21" s="454">
        <v>6</v>
      </c>
      <c r="C21" s="414" t="s">
        <v>37</v>
      </c>
      <c r="D21" s="414"/>
      <c r="E21" s="507">
        <v>0</v>
      </c>
      <c r="F21" s="478"/>
    </row>
    <row r="22" spans="1:6">
      <c r="A22" s="454">
        <v>7</v>
      </c>
      <c r="C22" s="414" t="s">
        <v>38</v>
      </c>
      <c r="D22" s="414"/>
      <c r="E22" s="508">
        <v>0</v>
      </c>
      <c r="F22" s="478"/>
    </row>
    <row r="23" spans="1:6">
      <c r="A23" s="454">
        <v>8</v>
      </c>
      <c r="B23" s="414" t="s">
        <v>39</v>
      </c>
      <c r="C23" s="414"/>
      <c r="E23" s="509">
        <f t="shared" ref="E23" si="1">SUM(E20:E22)</f>
        <v>0</v>
      </c>
      <c r="F23" s="479"/>
    </row>
    <row r="24" spans="1:6">
      <c r="B24" s="414"/>
      <c r="C24" s="414"/>
      <c r="E24" s="509"/>
      <c r="F24" s="479"/>
    </row>
    <row r="25" spans="1:6">
      <c r="B25" s="414" t="s">
        <v>40</v>
      </c>
      <c r="D25" s="414"/>
      <c r="E25" s="510"/>
      <c r="F25" s="478"/>
    </row>
    <row r="26" spans="1:6">
      <c r="A26" s="454">
        <v>9</v>
      </c>
      <c r="C26" s="414" t="s">
        <v>41</v>
      </c>
      <c r="D26" s="414"/>
      <c r="E26" s="507">
        <v>0</v>
      </c>
      <c r="F26" s="478"/>
    </row>
    <row r="27" spans="1:6">
      <c r="A27" s="454">
        <v>10</v>
      </c>
      <c r="C27" s="414" t="s">
        <v>221</v>
      </c>
      <c r="D27" s="414"/>
      <c r="E27" s="507">
        <v>0</v>
      </c>
      <c r="F27" s="478"/>
    </row>
    <row r="28" spans="1:6">
      <c r="A28" s="454">
        <v>11</v>
      </c>
      <c r="C28" s="414" t="s">
        <v>43</v>
      </c>
      <c r="D28" s="414"/>
      <c r="E28" s="508">
        <v>0</v>
      </c>
      <c r="F28" s="478"/>
    </row>
    <row r="29" spans="1:6">
      <c r="A29" s="454">
        <v>12</v>
      </c>
      <c r="B29" s="414" t="s">
        <v>44</v>
      </c>
      <c r="C29" s="414"/>
      <c r="E29" s="509">
        <f t="shared" ref="E29" si="2">SUM(E26:E28)</f>
        <v>0</v>
      </c>
      <c r="F29" s="479"/>
    </row>
    <row r="30" spans="1:6">
      <c r="B30" s="414"/>
      <c r="C30" s="414"/>
      <c r="E30" s="509"/>
      <c r="F30" s="479"/>
    </row>
    <row r="31" spans="1:6">
      <c r="B31" s="414" t="s">
        <v>45</v>
      </c>
      <c r="D31" s="414"/>
      <c r="E31" s="510"/>
      <c r="F31" s="478"/>
    </row>
    <row r="32" spans="1:6">
      <c r="A32" s="454">
        <v>13</v>
      </c>
      <c r="C32" s="414" t="s">
        <v>41</v>
      </c>
      <c r="D32" s="414"/>
      <c r="E32" s="507">
        <v>0</v>
      </c>
      <c r="F32" s="478"/>
    </row>
    <row r="33" spans="1:6">
      <c r="A33" s="454">
        <v>14</v>
      </c>
      <c r="C33" s="414" t="s">
        <v>221</v>
      </c>
      <c r="D33" s="414"/>
      <c r="E33" s="507">
        <v>0</v>
      </c>
      <c r="F33" s="478"/>
    </row>
    <row r="34" spans="1:6">
      <c r="A34" s="454">
        <v>15</v>
      </c>
      <c r="C34" s="414" t="s">
        <v>43</v>
      </c>
      <c r="D34" s="414"/>
      <c r="E34" s="508">
        <v>0</v>
      </c>
      <c r="F34" s="478"/>
    </row>
    <row r="35" spans="1:6" ht="12.95" customHeight="1">
      <c r="A35" s="454">
        <v>16</v>
      </c>
      <c r="B35" s="414" t="s">
        <v>46</v>
      </c>
      <c r="C35" s="414"/>
      <c r="E35" s="509">
        <f t="shared" ref="E35" si="3">SUM(E32:E34)</f>
        <v>0</v>
      </c>
      <c r="F35" s="479"/>
    </row>
    <row r="36" spans="1:6" ht="12.95" customHeight="1">
      <c r="C36" s="414"/>
      <c r="D36" s="414"/>
      <c r="E36" s="509"/>
      <c r="F36" s="479"/>
    </row>
    <row r="37" spans="1:6" ht="12.95" customHeight="1">
      <c r="A37" s="454">
        <v>17</v>
      </c>
      <c r="B37" s="357" t="s">
        <v>47</v>
      </c>
      <c r="C37" s="414"/>
      <c r="D37" s="414"/>
      <c r="E37" s="507">
        <v>0</v>
      </c>
      <c r="F37" s="478"/>
    </row>
    <row r="38" spans="1:6">
      <c r="A38" s="454">
        <v>18</v>
      </c>
      <c r="B38" s="357" t="s">
        <v>48</v>
      </c>
      <c r="C38" s="414"/>
      <c r="D38" s="414"/>
      <c r="E38" s="507">
        <v>0</v>
      </c>
      <c r="F38" s="478"/>
    </row>
    <row r="39" spans="1:6">
      <c r="A39" s="454">
        <v>19</v>
      </c>
      <c r="B39" s="357" t="s">
        <v>49</v>
      </c>
      <c r="C39" s="414"/>
      <c r="D39" s="414"/>
      <c r="E39" s="507">
        <v>0</v>
      </c>
      <c r="F39" s="478"/>
    </row>
    <row r="40" spans="1:6">
      <c r="C40" s="414"/>
      <c r="D40" s="414"/>
      <c r="E40" s="507"/>
      <c r="F40" s="478"/>
    </row>
    <row r="41" spans="1:6">
      <c r="B41" s="357" t="s">
        <v>50</v>
      </c>
      <c r="C41" s="414"/>
      <c r="D41" s="414"/>
      <c r="E41" s="507"/>
      <c r="F41" s="478"/>
    </row>
    <row r="42" spans="1:6">
      <c r="A42" s="454">
        <v>20</v>
      </c>
      <c r="C42" s="414" t="s">
        <v>41</v>
      </c>
      <c r="D42" s="414"/>
      <c r="E42" s="507">
        <v>0</v>
      </c>
      <c r="F42" s="478"/>
    </row>
    <row r="43" spans="1:6">
      <c r="A43" s="454">
        <v>21</v>
      </c>
      <c r="C43" s="414" t="s">
        <v>221</v>
      </c>
      <c r="D43" s="414"/>
      <c r="E43" s="507">
        <v>0</v>
      </c>
      <c r="F43" s="478"/>
    </row>
    <row r="44" spans="1:6">
      <c r="A44" s="454">
        <v>22</v>
      </c>
      <c r="C44" s="461" t="s">
        <v>224</v>
      </c>
      <c r="D44" s="414"/>
      <c r="E44" s="507"/>
      <c r="F44" s="478"/>
    </row>
    <row r="45" spans="1:6">
      <c r="A45" s="454">
        <v>23</v>
      </c>
      <c r="C45" s="414" t="s">
        <v>43</v>
      </c>
      <c r="D45" s="414"/>
      <c r="E45" s="508">
        <v>0</v>
      </c>
      <c r="F45" s="478"/>
    </row>
    <row r="46" spans="1:6">
      <c r="A46" s="454">
        <v>24</v>
      </c>
      <c r="B46" s="414" t="s">
        <v>51</v>
      </c>
      <c r="C46" s="414"/>
      <c r="E46" s="511">
        <f t="shared" ref="E46" si="4">SUM(E42:E45)</f>
        <v>0</v>
      </c>
      <c r="F46" s="479"/>
    </row>
    <row r="47" spans="1:6" ht="19.5" customHeight="1">
      <c r="A47" s="454">
        <v>25</v>
      </c>
      <c r="B47" s="357" t="s">
        <v>52</v>
      </c>
      <c r="C47" s="414"/>
      <c r="D47" s="414"/>
      <c r="E47" s="511">
        <f t="shared" ref="E47" si="5">E19+E23+E29+E35+E37+E38+E39+E46</f>
        <v>0</v>
      </c>
      <c r="F47" s="479"/>
    </row>
    <row r="48" spans="1:6">
      <c r="C48" s="414"/>
      <c r="D48" s="414"/>
      <c r="E48" s="509"/>
      <c r="F48" s="479"/>
    </row>
    <row r="49" spans="1:6" ht="12.95" customHeight="1">
      <c r="A49" s="454">
        <v>26</v>
      </c>
      <c r="B49" s="357" t="s">
        <v>259</v>
      </c>
      <c r="C49" s="414"/>
      <c r="D49" s="414"/>
      <c r="E49" s="509">
        <f t="shared" ref="E49" si="6">E16-E47</f>
        <v>0</v>
      </c>
      <c r="F49" s="479"/>
    </row>
    <row r="50" spans="1:6" ht="12.95" customHeight="1">
      <c r="C50" s="414"/>
      <c r="D50" s="414"/>
      <c r="E50" s="509"/>
      <c r="F50" s="479"/>
    </row>
    <row r="51" spans="1:6" ht="12.95" customHeight="1">
      <c r="B51" s="357" t="s">
        <v>260</v>
      </c>
      <c r="C51" s="414"/>
      <c r="D51" s="414"/>
      <c r="E51" s="510"/>
      <c r="F51" s="478"/>
    </row>
    <row r="52" spans="1:6">
      <c r="A52" s="454">
        <v>27</v>
      </c>
      <c r="B52" s="414" t="s">
        <v>53</v>
      </c>
      <c r="D52" s="414"/>
      <c r="E52" s="510">
        <f t="shared" ref="E52" si="7">E49*0.35</f>
        <v>0</v>
      </c>
      <c r="F52" s="478"/>
    </row>
    <row r="53" spans="1:6">
      <c r="A53" s="454">
        <v>28</v>
      </c>
      <c r="B53" s="414" t="s">
        <v>217</v>
      </c>
      <c r="D53" s="414"/>
      <c r="E53" s="510">
        <v>0</v>
      </c>
      <c r="F53" s="478"/>
    </row>
    <row r="54" spans="1:6">
      <c r="A54" s="454">
        <v>29</v>
      </c>
      <c r="B54" s="414" t="s">
        <v>54</v>
      </c>
      <c r="D54" s="414"/>
      <c r="E54" s="507">
        <v>0</v>
      </c>
      <c r="F54" s="478"/>
    </row>
    <row r="55" spans="1:6">
      <c r="A55" s="454">
        <v>30</v>
      </c>
      <c r="B55" s="414" t="s">
        <v>55</v>
      </c>
      <c r="D55" s="414"/>
      <c r="E55" s="508">
        <v>0</v>
      </c>
      <c r="F55" s="478"/>
    </row>
    <row r="56" spans="1:6">
      <c r="E56" s="509"/>
    </row>
    <row r="57" spans="1:6" s="455" customFormat="1" ht="12.75" thickBot="1">
      <c r="A57" s="454">
        <v>31</v>
      </c>
      <c r="B57" s="455" t="s">
        <v>56</v>
      </c>
      <c r="E57" s="512">
        <f t="shared" ref="E57" si="8">E49-SUM(E52:E55)</f>
        <v>0</v>
      </c>
      <c r="F57" s="480"/>
    </row>
    <row r="58" spans="1:6" ht="12.75" thickTop="1">
      <c r="E58" s="509"/>
    </row>
    <row r="59" spans="1:6">
      <c r="B59" s="357" t="s">
        <v>57</v>
      </c>
      <c r="E59" s="509"/>
    </row>
    <row r="60" spans="1:6">
      <c r="B60" s="357" t="s">
        <v>58</v>
      </c>
      <c r="E60" s="510"/>
      <c r="F60" s="478"/>
    </row>
    <row r="61" spans="1:6">
      <c r="A61" s="454">
        <v>32</v>
      </c>
      <c r="B61" s="414"/>
      <c r="C61" s="414" t="s">
        <v>40</v>
      </c>
      <c r="D61" s="414"/>
      <c r="E61" s="506">
        <v>0</v>
      </c>
      <c r="F61" s="477"/>
    </row>
    <row r="62" spans="1:6">
      <c r="A62" s="454">
        <v>33</v>
      </c>
      <c r="B62" s="414"/>
      <c r="C62" s="414" t="s">
        <v>59</v>
      </c>
      <c r="D62" s="414"/>
      <c r="E62" s="507">
        <v>0</v>
      </c>
      <c r="F62" s="478"/>
    </row>
    <row r="63" spans="1:6">
      <c r="A63" s="454">
        <v>34</v>
      </c>
      <c r="B63" s="414"/>
      <c r="C63" s="414" t="s">
        <v>60</v>
      </c>
      <c r="D63" s="414"/>
      <c r="E63" s="508">
        <v>0</v>
      </c>
      <c r="F63" s="478"/>
    </row>
    <row r="64" spans="1:6" ht="18" customHeight="1">
      <c r="A64" s="454">
        <v>35</v>
      </c>
      <c r="B64" s="414" t="s">
        <v>61</v>
      </c>
      <c r="C64" s="414"/>
      <c r="E64" s="509">
        <f t="shared" ref="E64" si="9">SUM(E61:E63)</f>
        <v>0</v>
      </c>
      <c r="F64" s="479"/>
    </row>
    <row r="65" spans="1:6" ht="12.75" customHeight="1">
      <c r="B65" s="414"/>
      <c r="C65" s="414"/>
      <c r="E65" s="509"/>
      <c r="F65" s="479"/>
    </row>
    <row r="66" spans="1:6">
      <c r="B66" s="414" t="s">
        <v>276</v>
      </c>
      <c r="C66" s="414"/>
      <c r="D66" s="414"/>
      <c r="E66" s="510"/>
      <c r="F66" s="478"/>
    </row>
    <row r="67" spans="1:6">
      <c r="A67" s="454">
        <v>36</v>
      </c>
      <c r="B67" s="414"/>
      <c r="C67" s="414" t="s">
        <v>40</v>
      </c>
      <c r="D67" s="414"/>
      <c r="E67" s="510">
        <v>0</v>
      </c>
      <c r="F67" s="478"/>
    </row>
    <row r="68" spans="1:6">
      <c r="A68" s="454">
        <v>37</v>
      </c>
      <c r="B68" s="414"/>
      <c r="C68" s="414" t="s">
        <v>59</v>
      </c>
      <c r="D68" s="414"/>
      <c r="E68" s="510">
        <v>0</v>
      </c>
      <c r="F68" s="478"/>
    </row>
    <row r="69" spans="1:6">
      <c r="A69" s="454">
        <v>38</v>
      </c>
      <c r="B69" s="414"/>
      <c r="C69" s="414" t="s">
        <v>60</v>
      </c>
      <c r="D69" s="414"/>
      <c r="E69" s="510">
        <v>0</v>
      </c>
      <c r="F69" s="478"/>
    </row>
    <row r="70" spans="1:6">
      <c r="A70" s="454">
        <v>39</v>
      </c>
      <c r="B70" s="414" t="s">
        <v>277</v>
      </c>
      <c r="C70" s="414"/>
      <c r="E70" s="513">
        <f t="shared" ref="E70" si="10">SUM(E67:E69)</f>
        <v>0</v>
      </c>
      <c r="F70" s="479"/>
    </row>
    <row r="71" spans="1:6">
      <c r="A71" s="454">
        <v>40</v>
      </c>
      <c r="B71" s="414" t="s">
        <v>264</v>
      </c>
      <c r="C71" s="414"/>
      <c r="D71" s="414"/>
      <c r="E71" s="509">
        <f t="shared" ref="E71" si="11">E64-E70</f>
        <v>0</v>
      </c>
      <c r="F71" s="479"/>
    </row>
    <row r="72" spans="1:6" s="463" customFormat="1" ht="18.95" customHeight="1">
      <c r="A72" s="462">
        <v>41</v>
      </c>
      <c r="B72" s="428" t="s">
        <v>278</v>
      </c>
      <c r="C72" s="428"/>
      <c r="D72" s="428"/>
      <c r="E72" s="508">
        <v>0</v>
      </c>
      <c r="F72" s="478"/>
    </row>
    <row r="73" spans="1:6" s="463" customFormat="1" ht="18.95" customHeight="1">
      <c r="A73" s="462">
        <v>42</v>
      </c>
      <c r="B73" s="428" t="s">
        <v>266</v>
      </c>
      <c r="C73" s="428"/>
      <c r="D73" s="428"/>
      <c r="E73" s="509">
        <f t="shared" ref="E73" si="12">E71+E72</f>
        <v>0</v>
      </c>
      <c r="F73" s="478"/>
    </row>
    <row r="74" spans="1:6">
      <c r="A74" s="454">
        <v>43</v>
      </c>
      <c r="B74" s="414" t="s">
        <v>267</v>
      </c>
      <c r="C74" s="414"/>
      <c r="D74" s="414"/>
      <c r="E74" s="507">
        <v>0</v>
      </c>
      <c r="F74" s="478"/>
    </row>
    <row r="75" spans="1:6" s="463" customFormat="1">
      <c r="A75" s="462">
        <v>44</v>
      </c>
      <c r="B75" s="428" t="s">
        <v>268</v>
      </c>
      <c r="C75" s="428"/>
      <c r="D75" s="428"/>
      <c r="E75" s="507"/>
      <c r="F75" s="478"/>
    </row>
    <row r="76" spans="1:6" s="463" customFormat="1">
      <c r="A76" s="462">
        <v>45</v>
      </c>
      <c r="B76" s="428" t="s">
        <v>269</v>
      </c>
      <c r="C76" s="428"/>
      <c r="D76" s="428"/>
      <c r="E76" s="507"/>
      <c r="F76" s="478"/>
    </row>
    <row r="77" spans="1:6">
      <c r="A77" s="454">
        <v>46</v>
      </c>
      <c r="B77" s="414" t="s">
        <v>279</v>
      </c>
      <c r="C77" s="414"/>
      <c r="D77" s="414"/>
      <c r="E77" s="508"/>
      <c r="F77" s="478"/>
    </row>
    <row r="78" spans="1:6">
      <c r="E78" s="505"/>
    </row>
    <row r="79" spans="1:6">
      <c r="E79" s="509"/>
    </row>
    <row r="80" spans="1:6" s="464" customFormat="1">
      <c r="A80" s="439">
        <v>47</v>
      </c>
      <c r="B80" s="464" t="s">
        <v>63</v>
      </c>
      <c r="E80" s="514">
        <f t="shared" ref="E80" si="13">E73+E74+E75+E77+E76</f>
        <v>0</v>
      </c>
      <c r="F80" s="484"/>
    </row>
    <row r="99" spans="1:6" s="360" customFormat="1">
      <c r="A99" s="454"/>
      <c r="B99" s="357"/>
      <c r="C99" s="357"/>
      <c r="D99" s="357"/>
      <c r="E99" s="359"/>
      <c r="F99" s="471"/>
    </row>
    <row r="100" spans="1:6" s="360" customFormat="1">
      <c r="A100" s="454"/>
      <c r="B100" s="357"/>
      <c r="C100" s="357"/>
      <c r="D100" s="357"/>
      <c r="E100" s="359"/>
      <c r="F100" s="471"/>
    </row>
    <row r="101" spans="1:6" s="360" customFormat="1">
      <c r="A101" s="454"/>
      <c r="B101" s="357"/>
      <c r="C101" s="357"/>
      <c r="D101" s="357"/>
      <c r="E101" s="359"/>
      <c r="F101" s="471"/>
    </row>
  </sheetData>
  <pageMargins left="0.75" right="0.5" top="0.72" bottom="0.84" header="0.5" footer="0.5"/>
  <pageSetup scale="61" firstPageNumber="4" fitToWidth="5" orientation="portrait" r:id="rId1"/>
  <headerFooter scaleWithDoc="0" alignWithMargins="0">
    <oddHeader>&amp;RExhibit No. ___(EJK-2)</oddHeader>
    <oddFooter>&amp;RPage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zoomScaleNormal="100" zoomScaleSheetLayoutView="100" workbookViewId="0">
      <pane xSplit="4" ySplit="10" topLeftCell="E11" activePane="bottomRight" state="frozen"/>
      <selection activeCell="N20" sqref="N20"/>
      <selection pane="topRight" activeCell="N20" sqref="N20"/>
      <selection pane="bottomLeft" activeCell="N20" sqref="N20"/>
      <selection pane="bottomRight" activeCell="H26" sqref="H26:H27"/>
    </sheetView>
  </sheetViews>
  <sheetFormatPr defaultColWidth="12.5" defaultRowHeight="12"/>
  <cols>
    <col min="1" max="1" width="6.6640625" style="454" customWidth="1"/>
    <col min="2" max="3" width="2" style="357" customWidth="1"/>
    <col min="4" max="4" width="33.5" style="357" customWidth="1"/>
    <col min="5" max="5" width="16.83203125" style="359" customWidth="1"/>
    <col min="6" max="10" width="12.5" style="357" customWidth="1"/>
    <col min="11" max="16384" width="12.5" style="357"/>
  </cols>
  <sheetData>
    <row r="1" spans="1:5" ht="12.75" customHeight="1">
      <c r="A1" s="438" t="str">
        <f>'[8]ROO INPUT'!A3:C3</f>
        <v>AVISTA UTILITIES</v>
      </c>
    </row>
    <row r="2" spans="1:5" ht="12.75" customHeight="1">
      <c r="A2" s="438" t="str">
        <f>'[8]ROO INPUT'!A4:C4</f>
        <v xml:space="preserve">WASHINGTON NATURAL GAS RESULTS </v>
      </c>
    </row>
    <row r="3" spans="1:5" ht="12.75" customHeight="1">
      <c r="A3" s="438" t="str">
        <f>'[8]ROO INPUT'!A5:C5</f>
        <v>TWELVE MONTHS ENDED DECEMBER 31, 2011</v>
      </c>
    </row>
    <row r="4" spans="1:5">
      <c r="A4" s="438" t="str">
        <f>'[8]ROO INPUT'!A6:C6</f>
        <v xml:space="preserve">(000'S OF DOLLARS)   </v>
      </c>
      <c r="B4" s="438"/>
      <c r="C4" s="438"/>
      <c r="D4" s="438"/>
    </row>
    <row r="5" spans="1:5" ht="12.75" customHeight="1">
      <c r="A5" s="438"/>
    </row>
    <row r="6" spans="1:5" s="440" customFormat="1">
      <c r="A6" s="439"/>
      <c r="E6" s="364"/>
    </row>
    <row r="7" spans="1:5" s="440" customFormat="1" ht="12" customHeight="1">
      <c r="A7" s="441"/>
      <c r="B7" s="442"/>
      <c r="C7" s="443"/>
      <c r="D7" s="444"/>
      <c r="E7" s="374"/>
    </row>
    <row r="8" spans="1:5" s="440" customFormat="1">
      <c r="A8" s="445" t="s">
        <v>11</v>
      </c>
      <c r="B8" s="446"/>
      <c r="C8" s="447"/>
      <c r="D8" s="448"/>
      <c r="E8" s="381" t="s">
        <v>230</v>
      </c>
    </row>
    <row r="9" spans="1:5" s="440" customFormat="1">
      <c r="A9" s="449" t="s">
        <v>18</v>
      </c>
      <c r="B9" s="450"/>
      <c r="C9" s="451"/>
      <c r="D9" s="452" t="s">
        <v>19</v>
      </c>
      <c r="E9" s="389" t="s">
        <v>231</v>
      </c>
    </row>
    <row r="10" spans="1:5" s="440" customFormat="1">
      <c r="A10" s="439"/>
      <c r="B10" s="453" t="s">
        <v>274</v>
      </c>
      <c r="E10" s="395">
        <v>4.03</v>
      </c>
    </row>
    <row r="12" spans="1:5">
      <c r="B12" s="357" t="s">
        <v>28</v>
      </c>
    </row>
    <row r="13" spans="1:5" s="455" customFormat="1">
      <c r="A13" s="454">
        <v>1</v>
      </c>
      <c r="B13" s="455" t="s">
        <v>29</v>
      </c>
      <c r="E13" s="456">
        <v>0</v>
      </c>
    </row>
    <row r="14" spans="1:5">
      <c r="A14" s="454">
        <v>2</v>
      </c>
      <c r="B14" s="414" t="s">
        <v>31</v>
      </c>
      <c r="D14" s="414"/>
      <c r="E14" s="457">
        <v>0</v>
      </c>
    </row>
    <row r="15" spans="1:5">
      <c r="A15" s="454">
        <v>3</v>
      </c>
      <c r="B15" s="414" t="s">
        <v>32</v>
      </c>
      <c r="D15" s="414"/>
      <c r="E15" s="458">
        <v>0</v>
      </c>
    </row>
    <row r="16" spans="1:5">
      <c r="A16" s="454">
        <v>4</v>
      </c>
      <c r="B16" s="357" t="s">
        <v>34</v>
      </c>
      <c r="C16" s="414"/>
      <c r="D16" s="414"/>
      <c r="E16" s="403">
        <f t="shared" ref="E16" si="0">SUM(E13:E15)</f>
        <v>0</v>
      </c>
    </row>
    <row r="17" spans="1:5">
      <c r="C17" s="414"/>
      <c r="D17" s="414"/>
      <c r="E17" s="459"/>
    </row>
    <row r="18" spans="1:5">
      <c r="B18" s="357" t="s">
        <v>35</v>
      </c>
      <c r="C18" s="414"/>
      <c r="D18" s="414"/>
      <c r="E18" s="459"/>
    </row>
    <row r="19" spans="1:5">
      <c r="B19" s="414" t="s">
        <v>275</v>
      </c>
      <c r="D19" s="414"/>
      <c r="E19" s="457"/>
    </row>
    <row r="20" spans="1:5">
      <c r="A20" s="454">
        <v>5</v>
      </c>
      <c r="C20" s="414" t="s">
        <v>36</v>
      </c>
      <c r="D20" s="414"/>
      <c r="E20" s="457">
        <v>0</v>
      </c>
    </row>
    <row r="21" spans="1:5">
      <c r="A21" s="454">
        <v>6</v>
      </c>
      <c r="C21" s="414" t="s">
        <v>37</v>
      </c>
      <c r="D21" s="414"/>
      <c r="E21" s="457">
        <v>0</v>
      </c>
    </row>
    <row r="22" spans="1:5">
      <c r="A22" s="454">
        <v>7</v>
      </c>
      <c r="C22" s="414" t="s">
        <v>38</v>
      </c>
      <c r="D22" s="414"/>
      <c r="E22" s="458">
        <v>0</v>
      </c>
    </row>
    <row r="23" spans="1:5">
      <c r="A23" s="454">
        <v>8</v>
      </c>
      <c r="B23" s="414" t="s">
        <v>39</v>
      </c>
      <c r="C23" s="414"/>
      <c r="E23" s="403">
        <f t="shared" ref="E23" si="1">SUM(E20:E22)</f>
        <v>0</v>
      </c>
    </row>
    <row r="24" spans="1:5">
      <c r="B24" s="414"/>
      <c r="C24" s="414"/>
      <c r="E24" s="405"/>
    </row>
    <row r="25" spans="1:5">
      <c r="B25" s="414" t="s">
        <v>40</v>
      </c>
      <c r="D25" s="414"/>
      <c r="E25" s="459"/>
    </row>
    <row r="26" spans="1:5">
      <c r="A26" s="454">
        <v>9</v>
      </c>
      <c r="C26" s="414" t="s">
        <v>41</v>
      </c>
      <c r="D26" s="414"/>
      <c r="E26" s="457">
        <v>0</v>
      </c>
    </row>
    <row r="27" spans="1:5">
      <c r="A27" s="454">
        <v>10</v>
      </c>
      <c r="C27" s="414" t="s">
        <v>221</v>
      </c>
      <c r="D27" s="414"/>
      <c r="E27" s="457">
        <v>0</v>
      </c>
    </row>
    <row r="28" spans="1:5">
      <c r="A28" s="454">
        <v>11</v>
      </c>
      <c r="C28" s="414" t="s">
        <v>43</v>
      </c>
      <c r="D28" s="414"/>
      <c r="E28" s="458">
        <v>0</v>
      </c>
    </row>
    <row r="29" spans="1:5">
      <c r="A29" s="454">
        <v>12</v>
      </c>
      <c r="B29" s="414" t="s">
        <v>44</v>
      </c>
      <c r="C29" s="414"/>
      <c r="E29" s="405">
        <f t="shared" ref="E29" si="2">SUM(E26:E28)</f>
        <v>0</v>
      </c>
    </row>
    <row r="30" spans="1:5">
      <c r="B30" s="414"/>
      <c r="C30" s="414"/>
      <c r="E30" s="405"/>
    </row>
    <row r="31" spans="1:5">
      <c r="B31" s="414" t="s">
        <v>45</v>
      </c>
      <c r="D31" s="414"/>
      <c r="E31" s="459"/>
    </row>
    <row r="32" spans="1:5">
      <c r="A32" s="454">
        <v>13</v>
      </c>
      <c r="C32" s="414" t="s">
        <v>41</v>
      </c>
      <c r="D32" s="414"/>
      <c r="E32" s="457">
        <v>0</v>
      </c>
    </row>
    <row r="33" spans="1:5">
      <c r="A33" s="454">
        <v>14</v>
      </c>
      <c r="C33" s="414" t="s">
        <v>221</v>
      </c>
      <c r="D33" s="414"/>
      <c r="E33" s="457">
        <v>0</v>
      </c>
    </row>
    <row r="34" spans="1:5">
      <c r="A34" s="454">
        <v>15</v>
      </c>
      <c r="C34" s="414" t="s">
        <v>43</v>
      </c>
      <c r="D34" s="414"/>
      <c r="E34" s="458">
        <v>0</v>
      </c>
    </row>
    <row r="35" spans="1:5" ht="12.95" customHeight="1">
      <c r="A35" s="454">
        <v>16</v>
      </c>
      <c r="B35" s="414" t="s">
        <v>46</v>
      </c>
      <c r="C35" s="414"/>
      <c r="E35" s="405">
        <f t="shared" ref="E35" si="3">SUM(E32:E34)</f>
        <v>0</v>
      </c>
    </row>
    <row r="36" spans="1:5" ht="12.95" customHeight="1">
      <c r="C36" s="414"/>
      <c r="D36" s="414"/>
      <c r="E36" s="405"/>
    </row>
    <row r="37" spans="1:5" ht="12.95" customHeight="1">
      <c r="A37" s="454">
        <v>17</v>
      </c>
      <c r="B37" s="357" t="s">
        <v>47</v>
      </c>
      <c r="C37" s="414"/>
      <c r="D37" s="414"/>
      <c r="E37" s="460">
        <v>0</v>
      </c>
    </row>
    <row r="38" spans="1:5">
      <c r="A38" s="454">
        <v>18</v>
      </c>
      <c r="B38" s="357" t="s">
        <v>48</v>
      </c>
      <c r="C38" s="414"/>
      <c r="D38" s="414"/>
      <c r="E38" s="457">
        <v>0</v>
      </c>
    </row>
    <row r="39" spans="1:5">
      <c r="A39" s="454">
        <v>19</v>
      </c>
      <c r="B39" s="357" t="s">
        <v>49</v>
      </c>
      <c r="C39" s="414"/>
      <c r="D39" s="414"/>
      <c r="E39" s="457">
        <v>0</v>
      </c>
    </row>
    <row r="40" spans="1:5">
      <c r="C40" s="414"/>
      <c r="D40" s="414"/>
      <c r="E40" s="457"/>
    </row>
    <row r="41" spans="1:5">
      <c r="B41" s="357" t="s">
        <v>50</v>
      </c>
      <c r="C41" s="414"/>
      <c r="D41" s="414"/>
      <c r="E41" s="457"/>
    </row>
    <row r="42" spans="1:5">
      <c r="A42" s="454">
        <v>20</v>
      </c>
      <c r="C42" s="414" t="s">
        <v>41</v>
      </c>
      <c r="D42" s="414"/>
      <c r="E42" s="457">
        <v>0</v>
      </c>
    </row>
    <row r="43" spans="1:5">
      <c r="A43" s="454">
        <v>21</v>
      </c>
      <c r="C43" s="414" t="s">
        <v>221</v>
      </c>
      <c r="D43" s="414"/>
      <c r="E43" s="457">
        <v>0</v>
      </c>
    </row>
    <row r="44" spans="1:5">
      <c r="A44" s="454">
        <v>22</v>
      </c>
      <c r="C44" s="461" t="s">
        <v>224</v>
      </c>
      <c r="D44" s="414"/>
      <c r="E44" s="457"/>
    </row>
    <row r="45" spans="1:5">
      <c r="A45" s="454">
        <v>23</v>
      </c>
      <c r="C45" s="414" t="s">
        <v>43</v>
      </c>
      <c r="D45" s="414"/>
      <c r="E45" s="458">
        <v>0</v>
      </c>
    </row>
    <row r="46" spans="1:5">
      <c r="A46" s="454">
        <v>24</v>
      </c>
      <c r="B46" s="414" t="s">
        <v>51</v>
      </c>
      <c r="C46" s="414"/>
      <c r="E46" s="413">
        <f t="shared" ref="E46" si="4">SUM(E42:E45)</f>
        <v>0</v>
      </c>
    </row>
    <row r="47" spans="1:5" ht="19.5" customHeight="1">
      <c r="A47" s="454">
        <v>25</v>
      </c>
      <c r="B47" s="357" t="s">
        <v>52</v>
      </c>
      <c r="C47" s="414"/>
      <c r="D47" s="414"/>
      <c r="E47" s="412">
        <f t="shared" ref="E47" si="5">E19+E23+E29+E35+E37+E38+E39+E46</f>
        <v>0</v>
      </c>
    </row>
    <row r="48" spans="1:5">
      <c r="C48" s="414"/>
      <c r="D48" s="414"/>
      <c r="E48" s="405"/>
    </row>
    <row r="49" spans="1:5" ht="12.95" customHeight="1">
      <c r="A49" s="454">
        <v>26</v>
      </c>
      <c r="B49" s="357" t="s">
        <v>259</v>
      </c>
      <c r="C49" s="414"/>
      <c r="D49" s="414"/>
      <c r="E49" s="405">
        <f t="shared" ref="E49" si="6">E16-E47</f>
        <v>0</v>
      </c>
    </row>
    <row r="50" spans="1:5" ht="12.95" customHeight="1">
      <c r="C50" s="414"/>
      <c r="D50" s="414"/>
      <c r="E50" s="405"/>
    </row>
    <row r="51" spans="1:5" ht="12.95" customHeight="1">
      <c r="B51" s="357" t="s">
        <v>260</v>
      </c>
      <c r="C51" s="414"/>
      <c r="D51" s="414"/>
      <c r="E51" s="459"/>
    </row>
    <row r="52" spans="1:5">
      <c r="A52" s="454">
        <v>27</v>
      </c>
      <c r="B52" s="414" t="s">
        <v>53</v>
      </c>
      <c r="D52" s="414"/>
      <c r="E52" s="459">
        <f>E49*0.35</f>
        <v>0</v>
      </c>
    </row>
    <row r="53" spans="1:5">
      <c r="A53" s="454">
        <v>28</v>
      </c>
      <c r="B53" s="414" t="s">
        <v>217</v>
      </c>
      <c r="D53" s="414"/>
      <c r="E53" s="459">
        <f>(E80*'[8]RR SUMMARY'!$M$14)*-0.35</f>
        <v>0</v>
      </c>
    </row>
    <row r="54" spans="1:5">
      <c r="A54" s="454">
        <v>29</v>
      </c>
      <c r="B54" s="414" t="s">
        <v>54</v>
      </c>
      <c r="D54" s="414"/>
      <c r="E54" s="457">
        <v>0</v>
      </c>
    </row>
    <row r="55" spans="1:5">
      <c r="A55" s="454">
        <v>30</v>
      </c>
      <c r="B55" s="414" t="s">
        <v>55</v>
      </c>
      <c r="D55" s="414"/>
      <c r="E55" s="458">
        <v>0</v>
      </c>
    </row>
    <row r="56" spans="1:5">
      <c r="E56" s="405"/>
    </row>
    <row r="57" spans="1:5" s="455" customFormat="1" ht="12.75" thickBot="1">
      <c r="A57" s="454">
        <v>31</v>
      </c>
      <c r="B57" s="455" t="s">
        <v>56</v>
      </c>
      <c r="E57" s="417">
        <f>E49-SUM(E52:E55)</f>
        <v>0</v>
      </c>
    </row>
    <row r="58" spans="1:5" ht="12.75" thickTop="1">
      <c r="E58" s="405"/>
    </row>
    <row r="59" spans="1:5">
      <c r="B59" s="357" t="s">
        <v>57</v>
      </c>
      <c r="E59" s="405"/>
    </row>
    <row r="60" spans="1:5">
      <c r="B60" s="357" t="s">
        <v>58</v>
      </c>
      <c r="E60" s="459"/>
    </row>
    <row r="61" spans="1:5">
      <c r="A61" s="454">
        <v>32</v>
      </c>
      <c r="B61" s="414"/>
      <c r="C61" s="414" t="s">
        <v>40</v>
      </c>
      <c r="D61" s="414"/>
      <c r="E61" s="456">
        <v>0</v>
      </c>
    </row>
    <row r="62" spans="1:5">
      <c r="A62" s="454">
        <v>33</v>
      </c>
      <c r="B62" s="414"/>
      <c r="C62" s="414" t="s">
        <v>59</v>
      </c>
      <c r="D62" s="414"/>
      <c r="E62" s="457">
        <v>0</v>
      </c>
    </row>
    <row r="63" spans="1:5">
      <c r="A63" s="454">
        <v>34</v>
      </c>
      <c r="B63" s="414"/>
      <c r="C63" s="414" t="s">
        <v>60</v>
      </c>
      <c r="D63" s="414"/>
      <c r="E63" s="458">
        <v>0</v>
      </c>
    </row>
    <row r="64" spans="1:5" ht="18" customHeight="1">
      <c r="A64" s="454">
        <v>35</v>
      </c>
      <c r="B64" s="414" t="s">
        <v>61</v>
      </c>
      <c r="C64" s="414"/>
      <c r="E64" s="405">
        <f t="shared" ref="E64" si="7">SUM(E61:E63)</f>
        <v>0</v>
      </c>
    </row>
    <row r="65" spans="1:5" ht="12.75" customHeight="1">
      <c r="B65" s="414"/>
      <c r="C65" s="414"/>
      <c r="E65" s="405"/>
    </row>
    <row r="66" spans="1:5">
      <c r="B66" s="414" t="s">
        <v>276</v>
      </c>
      <c r="C66" s="414"/>
      <c r="D66" s="414"/>
      <c r="E66" s="459"/>
    </row>
    <row r="67" spans="1:5">
      <c r="A67" s="454">
        <v>36</v>
      </c>
      <c r="B67" s="414"/>
      <c r="C67" s="414" t="s">
        <v>40</v>
      </c>
      <c r="D67" s="414"/>
      <c r="E67" s="459">
        <v>0</v>
      </c>
    </row>
    <row r="68" spans="1:5">
      <c r="A68" s="454">
        <v>37</v>
      </c>
      <c r="B68" s="414"/>
      <c r="C68" s="414" t="s">
        <v>59</v>
      </c>
      <c r="D68" s="414"/>
      <c r="E68" s="459">
        <v>0</v>
      </c>
    </row>
    <row r="69" spans="1:5">
      <c r="A69" s="454">
        <v>38</v>
      </c>
      <c r="B69" s="414"/>
      <c r="C69" s="414" t="s">
        <v>60</v>
      </c>
      <c r="D69" s="414"/>
      <c r="E69" s="459">
        <v>0</v>
      </c>
    </row>
    <row r="70" spans="1:5">
      <c r="A70" s="454">
        <v>39</v>
      </c>
      <c r="B70" s="414" t="s">
        <v>277</v>
      </c>
      <c r="C70" s="414"/>
      <c r="E70" s="424">
        <f t="shared" ref="E70" si="8">SUM(E67:E69)</f>
        <v>0</v>
      </c>
    </row>
    <row r="71" spans="1:5">
      <c r="A71" s="454">
        <v>40</v>
      </c>
      <c r="B71" s="414" t="s">
        <v>264</v>
      </c>
      <c r="C71" s="414"/>
      <c r="D71" s="414"/>
      <c r="E71" s="425">
        <f>E64-E70</f>
        <v>0</v>
      </c>
    </row>
    <row r="72" spans="1:5" s="463" customFormat="1" ht="18.95" customHeight="1">
      <c r="A72" s="462">
        <v>41</v>
      </c>
      <c r="B72" s="428" t="s">
        <v>278</v>
      </c>
      <c r="C72" s="428"/>
      <c r="D72" s="428"/>
      <c r="E72" s="458"/>
    </row>
    <row r="73" spans="1:5" s="463" customFormat="1" ht="18.95" customHeight="1">
      <c r="A73" s="462">
        <v>42</v>
      </c>
      <c r="B73" s="428" t="s">
        <v>266</v>
      </c>
      <c r="C73" s="428"/>
      <c r="D73" s="428"/>
      <c r="E73" s="425">
        <f t="shared" ref="E73" si="9">E71+E72</f>
        <v>0</v>
      </c>
    </row>
    <row r="74" spans="1:5">
      <c r="A74" s="454">
        <v>43</v>
      </c>
      <c r="B74" s="414" t="s">
        <v>267</v>
      </c>
      <c r="C74" s="414"/>
      <c r="D74" s="414"/>
      <c r="E74" s="457"/>
    </row>
    <row r="75" spans="1:5" s="463" customFormat="1">
      <c r="A75" s="462">
        <v>44</v>
      </c>
      <c r="B75" s="428" t="s">
        <v>268</v>
      </c>
      <c r="C75" s="428"/>
      <c r="D75" s="428"/>
      <c r="E75" s="460"/>
    </row>
    <row r="76" spans="1:5" s="463" customFormat="1">
      <c r="A76" s="462">
        <v>45</v>
      </c>
      <c r="B76" s="428" t="s">
        <v>269</v>
      </c>
      <c r="C76" s="428"/>
      <c r="D76" s="428"/>
      <c r="E76" s="460"/>
    </row>
    <row r="77" spans="1:5">
      <c r="A77" s="454">
        <v>46</v>
      </c>
      <c r="B77" s="414" t="s">
        <v>279</v>
      </c>
      <c r="C77" s="414"/>
      <c r="D77" s="414"/>
      <c r="E77" s="458"/>
    </row>
    <row r="79" spans="1:5">
      <c r="E79" s="405"/>
    </row>
    <row r="80" spans="1:5" s="464" customFormat="1" ht="12.75" thickBot="1">
      <c r="A80" s="439">
        <v>47</v>
      </c>
      <c r="B80" s="464" t="s">
        <v>63</v>
      </c>
      <c r="E80" s="430">
        <f t="shared" ref="E80" si="10">E73+E74+E75+E77+E76</f>
        <v>0</v>
      </c>
    </row>
    <row r="81" ht="12.75" thickTop="1"/>
    <row r="108" spans="1:5" s="360" customFormat="1">
      <c r="A108" s="454"/>
      <c r="B108" s="357"/>
      <c r="C108" s="357"/>
      <c r="D108" s="357"/>
      <c r="E108" s="359"/>
    </row>
    <row r="109" spans="1:5" s="360" customFormat="1">
      <c r="A109" s="454"/>
      <c r="B109" s="357"/>
      <c r="C109" s="357"/>
      <c r="D109" s="357"/>
      <c r="E109" s="359"/>
    </row>
    <row r="110" spans="1:5" s="360" customFormat="1">
      <c r="A110" s="454"/>
      <c r="B110" s="357"/>
      <c r="C110" s="357"/>
      <c r="D110" s="357"/>
      <c r="E110" s="359"/>
    </row>
  </sheetData>
  <pageMargins left="0.75" right="0.5" top="0.72" bottom="0.84" header="0.5" footer="0.5"/>
  <pageSetup scale="61" firstPageNumber="4" fitToWidth="5" orientation="portrait" r:id="rId1"/>
  <headerFooter scaleWithDoc="0" alignWithMargins="0">
    <oddHeader>&amp;RExhibit No. ___(EJK-2)</oddHead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W128"/>
  <sheetViews>
    <sheetView topLeftCell="A5" zoomScaleNormal="100" zoomScaleSheetLayoutView="85" workbookViewId="0">
      <pane xSplit="2" ySplit="8" topLeftCell="C52" activePane="bottomRight" state="frozen"/>
      <selection activeCell="D59" sqref="D59"/>
      <selection pane="topRight" activeCell="D59" sqref="D59"/>
      <selection pane="bottomLeft" activeCell="D59" sqref="D59"/>
      <selection pane="bottomRight" activeCell="D59" sqref="D59"/>
    </sheetView>
  </sheetViews>
  <sheetFormatPr defaultRowHeight="15.75" customHeight="1"/>
  <cols>
    <col min="1" max="1" width="5.83203125" style="30" customWidth="1"/>
    <col min="2" max="2" width="41.1640625" style="6" customWidth="1"/>
    <col min="3" max="3" width="14.83203125" style="26" bestFit="1" customWidth="1"/>
    <col min="4" max="5" width="14.5" style="39" customWidth="1"/>
    <col min="6" max="6" width="17.6640625" style="39" customWidth="1"/>
    <col min="7" max="7" width="15.6640625" style="39" customWidth="1"/>
    <col min="8" max="8" width="17.6640625" style="39" customWidth="1"/>
    <col min="9" max="9" width="20" style="39" customWidth="1"/>
    <col min="10" max="14" width="14.5" style="39" customWidth="1"/>
    <col min="15" max="15" width="14.5" style="309" customWidth="1"/>
    <col min="16" max="16" width="11.6640625" customWidth="1"/>
    <col min="17" max="18" width="14.5" style="39" customWidth="1"/>
    <col min="19" max="19" width="15.83203125" style="39" customWidth="1"/>
    <col min="20" max="21" width="14.5" style="39" customWidth="1"/>
    <col min="22" max="22" width="16" style="309" customWidth="1"/>
    <col min="23" max="23" width="9.33203125" style="1"/>
    <col min="24" max="16384" width="9.33203125" style="6"/>
  </cols>
  <sheetData>
    <row r="1" spans="1:23" s="4" customFormat="1" ht="15.75" hidden="1" customHeight="1">
      <c r="D1" s="194"/>
      <c r="E1" s="194"/>
      <c r="F1" s="662"/>
      <c r="G1" s="666"/>
      <c r="H1" s="194" t="s">
        <v>247</v>
      </c>
      <c r="I1" s="194" t="s">
        <v>247</v>
      </c>
      <c r="J1" s="194"/>
      <c r="K1" s="194"/>
      <c r="L1" s="194" t="s">
        <v>247</v>
      </c>
      <c r="M1" s="194" t="s">
        <v>247</v>
      </c>
      <c r="N1" s="194"/>
      <c r="O1" s="194"/>
      <c r="Q1" s="194" t="s">
        <v>247</v>
      </c>
      <c r="R1" s="194"/>
      <c r="S1" s="194" t="s">
        <v>247</v>
      </c>
      <c r="T1" s="194" t="s">
        <v>247</v>
      </c>
      <c r="U1" s="306" t="s">
        <v>247</v>
      </c>
      <c r="V1" s="194" t="s">
        <v>247</v>
      </c>
      <c r="W1" s="1"/>
    </row>
    <row r="2" spans="1:23" s="4" customFormat="1" ht="15.75" hidden="1" customHeight="1">
      <c r="A2" s="40"/>
      <c r="B2" s="3"/>
      <c r="C2" s="210" t="s">
        <v>183</v>
      </c>
      <c r="D2" s="194" t="s">
        <v>362</v>
      </c>
      <c r="E2" s="194" t="s">
        <v>362</v>
      </c>
      <c r="F2" s="194" t="s">
        <v>363</v>
      </c>
      <c r="G2" s="194"/>
      <c r="H2" s="194" t="s">
        <v>362</v>
      </c>
      <c r="I2" s="194" t="s">
        <v>365</v>
      </c>
      <c r="J2" s="194" t="s">
        <v>362</v>
      </c>
      <c r="K2" s="194" t="s">
        <v>365</v>
      </c>
      <c r="L2" s="194" t="s">
        <v>365</v>
      </c>
      <c r="M2" s="194" t="s">
        <v>365</v>
      </c>
      <c r="N2" s="194" t="s">
        <v>364</v>
      </c>
      <c r="O2" s="194" t="s">
        <v>365</v>
      </c>
      <c r="P2" s="4" t="s">
        <v>362</v>
      </c>
      <c r="Q2" s="194" t="s">
        <v>363</v>
      </c>
      <c r="R2" s="194" t="s">
        <v>362</v>
      </c>
      <c r="S2" s="194" t="s">
        <v>365</v>
      </c>
      <c r="T2" s="194" t="s">
        <v>363</v>
      </c>
      <c r="U2" s="306" t="s">
        <v>365</v>
      </c>
      <c r="V2" s="194" t="s">
        <v>364</v>
      </c>
      <c r="W2" s="1"/>
    </row>
    <row r="3" spans="1:23" s="4" customFormat="1" ht="15.75" hidden="1" customHeight="1">
      <c r="A3" s="40"/>
      <c r="B3" s="3"/>
      <c r="C3" s="210"/>
      <c r="D3" s="194"/>
      <c r="E3" s="194"/>
      <c r="I3" s="194"/>
      <c r="J3" s="194"/>
      <c r="K3" s="194"/>
      <c r="L3" s="194"/>
      <c r="M3" s="194"/>
      <c r="N3" s="194"/>
      <c r="O3" s="194"/>
      <c r="Q3" s="194"/>
      <c r="R3" s="194"/>
      <c r="V3" s="194"/>
      <c r="W3" s="1"/>
    </row>
    <row r="4" spans="1:23" s="4" customFormat="1" ht="15.75" hidden="1" customHeight="1" thickBot="1">
      <c r="A4" s="40"/>
      <c r="B4" s="3"/>
      <c r="C4" s="211" t="s">
        <v>168</v>
      </c>
      <c r="D4" s="307" t="s">
        <v>299</v>
      </c>
      <c r="E4" s="307" t="s">
        <v>299</v>
      </c>
      <c r="F4" s="307" t="s">
        <v>298</v>
      </c>
      <c r="G4" s="307"/>
      <c r="H4" s="307" t="s">
        <v>298</v>
      </c>
      <c r="I4" s="307" t="s">
        <v>299</v>
      </c>
      <c r="J4" s="307" t="s">
        <v>299</v>
      </c>
      <c r="K4" s="307" t="s">
        <v>299</v>
      </c>
      <c r="L4" s="307" t="s">
        <v>299</v>
      </c>
      <c r="M4" s="307" t="s">
        <v>299</v>
      </c>
      <c r="N4" s="307" t="s">
        <v>299</v>
      </c>
      <c r="O4" s="307" t="s">
        <v>299</v>
      </c>
      <c r="P4" s="327" t="s">
        <v>299</v>
      </c>
      <c r="Q4" s="307" t="s">
        <v>299</v>
      </c>
      <c r="R4" s="307" t="s">
        <v>299</v>
      </c>
      <c r="S4" s="307" t="s">
        <v>298</v>
      </c>
      <c r="T4" s="307" t="s">
        <v>298</v>
      </c>
      <c r="U4" s="308" t="s">
        <v>298</v>
      </c>
      <c r="V4" s="307" t="s">
        <v>298</v>
      </c>
      <c r="W4" s="1"/>
    </row>
    <row r="5" spans="1:23" ht="15.75" customHeight="1">
      <c r="A5" s="6"/>
      <c r="B5" s="27" t="str">
        <f>'[7] Sch1.1 RoO'!B2</f>
        <v>(000's of Dollars)</v>
      </c>
      <c r="C5" s="32"/>
      <c r="D5" s="309"/>
      <c r="E5" s="309"/>
    </row>
    <row r="6" spans="1:23" ht="15.75" customHeight="1">
      <c r="A6" s="6"/>
      <c r="B6" s="204" t="s">
        <v>1</v>
      </c>
      <c r="C6" s="584" t="s">
        <v>2</v>
      </c>
      <c r="D6" s="585" t="s">
        <v>3</v>
      </c>
      <c r="E6" s="584" t="s">
        <v>4</v>
      </c>
      <c r="F6" s="584" t="s">
        <v>5</v>
      </c>
      <c r="G6" s="669" t="s">
        <v>6</v>
      </c>
      <c r="H6" s="204" t="s">
        <v>7</v>
      </c>
      <c r="I6" s="584" t="s">
        <v>8</v>
      </c>
      <c r="J6" s="204" t="s">
        <v>65</v>
      </c>
      <c r="K6" s="584" t="s">
        <v>66</v>
      </c>
      <c r="L6" s="47" t="s">
        <v>67</v>
      </c>
      <c r="M6" s="204" t="s">
        <v>68</v>
      </c>
      <c r="N6" s="204" t="s">
        <v>69</v>
      </c>
      <c r="O6" s="47" t="s">
        <v>350</v>
      </c>
      <c r="P6" s="47" t="s">
        <v>351</v>
      </c>
      <c r="Q6" s="47" t="s">
        <v>352</v>
      </c>
      <c r="R6" s="47" t="s">
        <v>353</v>
      </c>
      <c r="S6" s="47" t="s">
        <v>354</v>
      </c>
      <c r="T6" s="204" t="s">
        <v>355</v>
      </c>
      <c r="U6" s="47" t="s">
        <v>356</v>
      </c>
      <c r="V6" s="194" t="s">
        <v>357</v>
      </c>
    </row>
    <row r="7" spans="1:23" ht="15.75" customHeight="1">
      <c r="A7" s="6"/>
      <c r="B7" s="204"/>
      <c r="C7" s="204"/>
      <c r="D7" s="47"/>
      <c r="E7" s="47"/>
      <c r="F7" s="47"/>
      <c r="G7" s="47"/>
      <c r="H7" s="47"/>
      <c r="I7" s="47"/>
      <c r="J7" s="47"/>
      <c r="K7" s="47"/>
      <c r="L7" s="48"/>
      <c r="M7" s="47"/>
      <c r="N7" s="47"/>
      <c r="O7" s="47"/>
      <c r="Q7" s="47"/>
      <c r="R7" s="47"/>
      <c r="S7" s="47"/>
      <c r="T7" s="47"/>
      <c r="V7" s="47"/>
    </row>
    <row r="8" spans="1:23" s="266" customFormat="1" ht="15.75" customHeight="1">
      <c r="B8" s="267"/>
      <c r="C8" s="267"/>
      <c r="D8" s="310">
        <v>1.01</v>
      </c>
      <c r="E8" s="310">
        <v>1.02</v>
      </c>
      <c r="F8" s="310">
        <v>1.03</v>
      </c>
      <c r="G8" s="310">
        <v>1.04</v>
      </c>
      <c r="H8" s="310">
        <v>1.05</v>
      </c>
      <c r="I8" s="310">
        <v>2.0099999999999998</v>
      </c>
      <c r="J8" s="311">
        <v>2.02</v>
      </c>
      <c r="K8" s="311">
        <v>2.0299999999999998</v>
      </c>
      <c r="L8" s="310">
        <v>2.04</v>
      </c>
      <c r="M8" s="311">
        <v>2.0499999999999998</v>
      </c>
      <c r="N8" s="310">
        <v>2.06</v>
      </c>
      <c r="O8" s="311">
        <v>2.0699999999999998</v>
      </c>
      <c r="P8" s="266">
        <v>2.08</v>
      </c>
      <c r="Q8" s="311">
        <v>2.09</v>
      </c>
      <c r="R8" s="310">
        <v>2.1</v>
      </c>
      <c r="S8" s="311">
        <v>2.11</v>
      </c>
      <c r="T8" s="310">
        <v>2.12</v>
      </c>
      <c r="U8" s="312">
        <v>2.13</v>
      </c>
      <c r="V8" s="310">
        <v>2.14</v>
      </c>
      <c r="W8" s="268"/>
    </row>
    <row r="9" spans="1:23" s="203" customFormat="1" ht="15.75" customHeight="1">
      <c r="B9" s="698" t="s">
        <v>382</v>
      </c>
      <c r="C9" s="11" t="s">
        <v>70</v>
      </c>
      <c r="D9" s="54" t="s">
        <v>71</v>
      </c>
      <c r="E9" s="54" t="s">
        <v>71</v>
      </c>
      <c r="F9" s="54" t="s">
        <v>115</v>
      </c>
      <c r="G9" s="54" t="s">
        <v>306</v>
      </c>
      <c r="H9" s="54" t="s">
        <v>348</v>
      </c>
      <c r="I9" s="54" t="s">
        <v>72</v>
      </c>
      <c r="J9" s="54" t="s">
        <v>73</v>
      </c>
      <c r="K9" s="54"/>
      <c r="L9" s="54" t="s">
        <v>74</v>
      </c>
      <c r="M9" s="54" t="s">
        <v>75</v>
      </c>
      <c r="N9" s="54" t="s">
        <v>222</v>
      </c>
      <c r="O9" s="54"/>
      <c r="P9" s="203" t="s">
        <v>308</v>
      </c>
      <c r="Q9" s="54" t="s">
        <v>76</v>
      </c>
      <c r="R9" s="54" t="s">
        <v>77</v>
      </c>
      <c r="S9" s="54" t="s">
        <v>89</v>
      </c>
      <c r="T9" s="54" t="s">
        <v>78</v>
      </c>
      <c r="U9" s="54" t="s">
        <v>77</v>
      </c>
      <c r="V9" s="54" t="s">
        <v>273</v>
      </c>
      <c r="W9" s="205"/>
    </row>
    <row r="10" spans="1:23" s="203" customFormat="1" ht="15.75" customHeight="1">
      <c r="A10" s="9" t="s">
        <v>11</v>
      </c>
      <c r="B10" s="10"/>
      <c r="C10" s="11" t="s">
        <v>78</v>
      </c>
      <c r="D10" s="54" t="s">
        <v>79</v>
      </c>
      <c r="E10" s="54" t="s">
        <v>218</v>
      </c>
      <c r="F10" s="54" t="s">
        <v>220</v>
      </c>
      <c r="G10" s="54" t="s">
        <v>79</v>
      </c>
      <c r="H10" s="54" t="s">
        <v>166</v>
      </c>
      <c r="I10" s="54" t="s">
        <v>80</v>
      </c>
      <c r="J10" s="54" t="s">
        <v>81</v>
      </c>
      <c r="K10" s="54" t="s">
        <v>83</v>
      </c>
      <c r="L10" s="54" t="s">
        <v>84</v>
      </c>
      <c r="M10" s="54" t="s">
        <v>85</v>
      </c>
      <c r="N10" s="54" t="s">
        <v>223</v>
      </c>
      <c r="O10" s="54" t="s">
        <v>86</v>
      </c>
      <c r="P10" s="203" t="s">
        <v>309</v>
      </c>
      <c r="Q10" s="54" t="s">
        <v>87</v>
      </c>
      <c r="R10" s="54" t="s">
        <v>88</v>
      </c>
      <c r="S10" s="54" t="s">
        <v>78</v>
      </c>
      <c r="T10" s="54" t="s">
        <v>210</v>
      </c>
      <c r="U10" s="54" t="s">
        <v>90</v>
      </c>
      <c r="V10" s="54" t="s">
        <v>97</v>
      </c>
      <c r="W10" s="205"/>
    </row>
    <row r="11" spans="1:23" s="203" customFormat="1" ht="15.75" customHeight="1">
      <c r="A11" s="9" t="s">
        <v>18</v>
      </c>
      <c r="B11" s="203" t="s">
        <v>19</v>
      </c>
      <c r="C11" s="11" t="s">
        <v>20</v>
      </c>
      <c r="D11" s="54" t="s">
        <v>91</v>
      </c>
      <c r="E11" s="54" t="s">
        <v>219</v>
      </c>
      <c r="F11" s="54" t="s">
        <v>78</v>
      </c>
      <c r="G11" s="54"/>
      <c r="H11" s="54"/>
      <c r="I11" s="54" t="s">
        <v>92</v>
      </c>
      <c r="J11" s="54" t="s">
        <v>43</v>
      </c>
      <c r="K11" s="54" t="s">
        <v>84</v>
      </c>
      <c r="L11" s="54" t="s">
        <v>94</v>
      </c>
      <c r="M11" s="54" t="s">
        <v>95</v>
      </c>
      <c r="N11" s="54" t="s">
        <v>84</v>
      </c>
      <c r="O11" s="54" t="s">
        <v>96</v>
      </c>
      <c r="P11" s="203" t="s">
        <v>97</v>
      </c>
      <c r="Q11" s="54" t="s">
        <v>98</v>
      </c>
      <c r="R11" s="54" t="s">
        <v>43</v>
      </c>
      <c r="S11" s="54" t="s">
        <v>20</v>
      </c>
      <c r="T11" s="54" t="s">
        <v>94</v>
      </c>
      <c r="U11" s="54" t="s">
        <v>99</v>
      </c>
      <c r="V11" s="54"/>
      <c r="W11" s="205"/>
    </row>
    <row r="12" spans="1:23" s="208" customFormat="1" ht="15.75" customHeight="1">
      <c r="A12" s="209"/>
      <c r="B12" s="699" t="s">
        <v>23</v>
      </c>
      <c r="C12" s="206" t="s">
        <v>349</v>
      </c>
      <c r="D12" s="313"/>
      <c r="E12" s="313"/>
      <c r="F12" s="313"/>
      <c r="G12" s="313"/>
      <c r="H12" s="313"/>
      <c r="I12" s="313"/>
      <c r="J12" s="313"/>
      <c r="K12" s="313"/>
      <c r="L12" s="313"/>
      <c r="M12" s="313"/>
      <c r="N12" s="313"/>
      <c r="O12" s="313"/>
      <c r="Q12" s="313"/>
      <c r="R12" s="313"/>
      <c r="S12" s="313"/>
      <c r="T12" s="313"/>
      <c r="U12" s="313"/>
      <c r="V12" s="313"/>
      <c r="W12" s="207"/>
    </row>
    <row r="13" spans="1:23" ht="15.75" customHeight="1">
      <c r="A13" s="13"/>
      <c r="B13" s="700" t="s">
        <v>372</v>
      </c>
      <c r="C13" s="683"/>
      <c r="D13" s="34"/>
      <c r="E13" s="34"/>
      <c r="N13" s="34"/>
      <c r="O13" s="39"/>
      <c r="V13" s="39"/>
    </row>
    <row r="14" spans="1:23" s="14" customFormat="1" ht="15.75" customHeight="1">
      <c r="A14" s="13">
        <v>1</v>
      </c>
      <c r="B14" s="10" t="s">
        <v>28</v>
      </c>
      <c r="C14" s="35"/>
      <c r="D14" s="55"/>
      <c r="E14" s="55"/>
      <c r="F14" s="21"/>
      <c r="G14" s="21"/>
      <c r="H14" s="21"/>
      <c r="I14" s="21"/>
      <c r="J14" s="21"/>
      <c r="K14" s="21"/>
      <c r="L14" s="21"/>
      <c r="M14" s="21"/>
      <c r="N14" s="21"/>
      <c r="O14" s="21"/>
      <c r="Q14" s="21"/>
      <c r="R14" s="21"/>
      <c r="S14" s="21"/>
      <c r="T14" s="21"/>
      <c r="U14" s="21"/>
      <c r="V14" s="21"/>
      <c r="W14" s="23"/>
    </row>
    <row r="15" spans="1:23" s="271" customFormat="1" ht="15.75" customHeight="1">
      <c r="A15" s="272">
        <v>2</v>
      </c>
      <c r="B15" s="701" t="s">
        <v>29</v>
      </c>
      <c r="C15" s="269">
        <f>SUM(D15:V15)</f>
        <v>-20978</v>
      </c>
      <c r="D15" s="314"/>
      <c r="E15" s="314"/>
      <c r="F15" s="315"/>
      <c r="G15" s="315"/>
      <c r="H15" s="315"/>
      <c r="I15" s="316">
        <v>-15016</v>
      </c>
      <c r="J15" s="316">
        <v>-5962</v>
      </c>
      <c r="K15" s="316"/>
      <c r="L15" s="316"/>
      <c r="M15" s="316"/>
      <c r="N15" s="316"/>
      <c r="O15" s="316"/>
      <c r="Q15" s="316"/>
      <c r="R15" s="316"/>
      <c r="S15" s="316"/>
      <c r="T15" s="316"/>
      <c r="U15" s="316"/>
      <c r="V15" s="316"/>
      <c r="W15" s="270"/>
    </row>
    <row r="16" spans="1:23" ht="15.75" customHeight="1">
      <c r="A16" s="13">
        <v>3</v>
      </c>
      <c r="B16" s="702" t="s">
        <v>31</v>
      </c>
      <c r="C16" s="269">
        <f t="shared" ref="C16:C17" si="0">SUM(D16:V16)</f>
        <v>-1337</v>
      </c>
      <c r="D16" s="41"/>
      <c r="E16" s="41"/>
      <c r="F16" s="15"/>
      <c r="G16" s="15"/>
      <c r="H16" s="15"/>
      <c r="I16" s="15">
        <v>-1247</v>
      </c>
      <c r="J16" s="15">
        <v>-90</v>
      </c>
      <c r="K16" s="15"/>
      <c r="L16" s="15"/>
      <c r="M16" s="15"/>
      <c r="N16" s="15"/>
      <c r="O16" s="15"/>
      <c r="Q16" s="15"/>
      <c r="R16" s="15"/>
      <c r="S16" s="15"/>
      <c r="T16" s="15"/>
      <c r="U16" s="15"/>
      <c r="V16" s="15"/>
    </row>
    <row r="17" spans="1:22" ht="15.75" customHeight="1">
      <c r="A17" s="13">
        <v>4</v>
      </c>
      <c r="B17" s="702" t="s">
        <v>32</v>
      </c>
      <c r="C17" s="548">
        <f t="shared" si="0"/>
        <v>-97206</v>
      </c>
      <c r="D17" s="41"/>
      <c r="E17" s="19"/>
      <c r="F17" s="19"/>
      <c r="G17" s="19"/>
      <c r="H17" s="19"/>
      <c r="I17" s="19">
        <v>-97206</v>
      </c>
      <c r="J17" s="19"/>
      <c r="K17" s="19"/>
      <c r="L17" s="19"/>
      <c r="M17" s="19"/>
      <c r="N17" s="19"/>
      <c r="O17" s="19"/>
      <c r="P17" s="547"/>
      <c r="Q17" s="19"/>
      <c r="R17" s="19"/>
      <c r="S17" s="19"/>
      <c r="T17" s="19"/>
      <c r="U17" s="19"/>
      <c r="V17" s="19"/>
    </row>
    <row r="18" spans="1:22" ht="15.75" customHeight="1">
      <c r="A18" s="13">
        <v>5</v>
      </c>
      <c r="B18" s="703" t="s">
        <v>34</v>
      </c>
      <c r="C18" s="24">
        <f t="shared" ref="C18:T18" si="1">SUM(C15:C17)</f>
        <v>-119521</v>
      </c>
      <c r="D18" s="42">
        <f t="shared" si="1"/>
        <v>0</v>
      </c>
      <c r="E18" s="41"/>
      <c r="F18" s="15">
        <f t="shared" si="1"/>
        <v>0</v>
      </c>
      <c r="G18" s="15">
        <f t="shared" si="1"/>
        <v>0</v>
      </c>
      <c r="H18" s="15">
        <f t="shared" ref="H18" si="2">SUM(H15:H17)</f>
        <v>0</v>
      </c>
      <c r="I18" s="15">
        <f>SUM(I15:I17)</f>
        <v>-113469</v>
      </c>
      <c r="J18" s="15">
        <f t="shared" si="1"/>
        <v>-6052</v>
      </c>
      <c r="K18" s="15">
        <f t="shared" si="1"/>
        <v>0</v>
      </c>
      <c r="L18" s="15">
        <f t="shared" si="1"/>
        <v>0</v>
      </c>
      <c r="M18" s="15">
        <f t="shared" si="1"/>
        <v>0</v>
      </c>
      <c r="N18" s="15">
        <f t="shared" si="1"/>
        <v>0</v>
      </c>
      <c r="O18" s="15">
        <f t="shared" si="1"/>
        <v>0</v>
      </c>
      <c r="Q18" s="15">
        <f t="shared" si="1"/>
        <v>0</v>
      </c>
      <c r="R18" s="15">
        <f t="shared" si="1"/>
        <v>0</v>
      </c>
      <c r="S18" s="15">
        <f t="shared" si="1"/>
        <v>0</v>
      </c>
      <c r="T18" s="15">
        <f t="shared" si="1"/>
        <v>0</v>
      </c>
      <c r="U18" s="15">
        <f>SUM(U15:U17)</f>
        <v>0</v>
      </c>
      <c r="V18" s="15">
        <f>SUM(V15:V17)</f>
        <v>0</v>
      </c>
    </row>
    <row r="19" spans="1:22" ht="15.75" customHeight="1">
      <c r="A19" s="272">
        <v>6</v>
      </c>
      <c r="B19" s="704"/>
      <c r="C19" s="24"/>
      <c r="D19" s="41"/>
      <c r="E19" s="41"/>
      <c r="F19" s="15"/>
      <c r="G19" s="15"/>
      <c r="H19" s="15"/>
      <c r="I19" s="15"/>
      <c r="J19" s="15"/>
      <c r="K19" s="15"/>
      <c r="L19" s="15"/>
      <c r="M19" s="15"/>
      <c r="N19" s="15"/>
      <c r="O19" s="15"/>
      <c r="Q19" s="15"/>
      <c r="R19" s="15"/>
      <c r="S19" s="15"/>
      <c r="T19" s="15"/>
      <c r="U19" s="15"/>
      <c r="V19" s="15"/>
    </row>
    <row r="20" spans="1:22" ht="15.75" customHeight="1">
      <c r="A20" s="13">
        <v>7</v>
      </c>
      <c r="B20" s="3" t="s">
        <v>35</v>
      </c>
      <c r="C20" s="24"/>
      <c r="D20" s="41"/>
      <c r="E20" s="41"/>
      <c r="F20" s="15"/>
      <c r="G20" s="15"/>
      <c r="H20" s="15"/>
      <c r="I20" s="15"/>
      <c r="J20" s="15"/>
      <c r="K20" s="15"/>
      <c r="L20" s="15"/>
      <c r="M20" s="15"/>
      <c r="N20" s="15"/>
      <c r="O20" s="15"/>
      <c r="Q20" s="15"/>
      <c r="R20" s="15"/>
      <c r="S20" s="15"/>
      <c r="T20" s="15"/>
      <c r="U20" s="15"/>
      <c r="V20" s="15"/>
    </row>
    <row r="21" spans="1:22" ht="15.75" customHeight="1">
      <c r="A21" s="13">
        <v>8</v>
      </c>
      <c r="B21" s="702" t="s">
        <v>373</v>
      </c>
      <c r="C21" s="24">
        <f>SUM(D21:V21)</f>
        <v>0</v>
      </c>
      <c r="D21" s="41"/>
      <c r="E21" s="41"/>
      <c r="F21" s="15"/>
      <c r="G21" s="15"/>
      <c r="H21" s="15"/>
      <c r="I21" s="15"/>
      <c r="J21" s="15"/>
      <c r="K21" s="15"/>
      <c r="L21" s="15"/>
      <c r="M21" s="15"/>
      <c r="N21" s="15"/>
      <c r="O21" s="15"/>
      <c r="Q21" s="15"/>
      <c r="R21" s="15"/>
      <c r="S21" s="15"/>
      <c r="T21" s="15"/>
      <c r="U21" s="15"/>
      <c r="V21" s="15"/>
    </row>
    <row r="22" spans="1:22" ht="15.75" customHeight="1">
      <c r="A22" s="13">
        <v>9</v>
      </c>
      <c r="B22" s="704"/>
      <c r="C22" s="24"/>
      <c r="D22" s="41"/>
      <c r="E22" s="41"/>
      <c r="F22" s="15"/>
      <c r="G22" s="15"/>
      <c r="H22" s="15"/>
      <c r="I22" s="15"/>
      <c r="J22" s="15"/>
      <c r="K22" s="15"/>
      <c r="L22" s="15"/>
      <c r="M22" s="15"/>
      <c r="N22" s="15"/>
      <c r="O22" s="15"/>
      <c r="Q22" s="15"/>
      <c r="R22" s="15"/>
      <c r="S22" s="15"/>
      <c r="T22" s="15"/>
      <c r="U22" s="15"/>
      <c r="V22" s="15"/>
    </row>
    <row r="23" spans="1:22" ht="15.75" customHeight="1">
      <c r="A23" s="272">
        <v>10</v>
      </c>
      <c r="B23" s="702" t="s">
        <v>374</v>
      </c>
      <c r="C23" s="24"/>
      <c r="D23" s="41"/>
      <c r="E23" s="41"/>
      <c r="F23" s="15"/>
      <c r="G23" s="15"/>
      <c r="H23" s="15"/>
      <c r="I23" s="15"/>
      <c r="J23" s="15"/>
      <c r="K23" s="15"/>
      <c r="L23" s="15"/>
      <c r="M23" s="15"/>
      <c r="N23" s="15"/>
      <c r="O23" s="15"/>
      <c r="Q23" s="15"/>
      <c r="R23" s="15"/>
      <c r="S23" s="15"/>
      <c r="T23" s="15"/>
      <c r="U23" s="15"/>
      <c r="V23" s="15"/>
    </row>
    <row r="24" spans="1:22" ht="15.75" customHeight="1">
      <c r="A24" s="13">
        <v>11</v>
      </c>
      <c r="B24" s="705" t="s">
        <v>36</v>
      </c>
      <c r="C24" s="24">
        <f>SUM(D24:V24)</f>
        <v>-111295</v>
      </c>
      <c r="D24" s="41"/>
      <c r="E24" s="41"/>
      <c r="F24" s="15"/>
      <c r="G24" s="15"/>
      <c r="H24" s="15"/>
      <c r="I24" s="15">
        <v>-111295</v>
      </c>
      <c r="J24" s="15"/>
      <c r="K24" s="15"/>
      <c r="L24" s="15"/>
      <c r="M24" s="15"/>
      <c r="N24" s="15"/>
      <c r="O24" s="15"/>
      <c r="Q24" s="15"/>
      <c r="R24" s="15"/>
      <c r="S24" s="15"/>
      <c r="T24" s="15"/>
      <c r="U24" s="15"/>
      <c r="V24" s="15"/>
    </row>
    <row r="25" spans="1:22" ht="15.75" customHeight="1">
      <c r="A25" s="13">
        <v>12</v>
      </c>
      <c r="B25" s="705" t="s">
        <v>37</v>
      </c>
      <c r="C25" s="24">
        <f t="shared" ref="C25:C26" si="3">SUM(D25:V25)</f>
        <v>-3</v>
      </c>
      <c r="D25" s="41"/>
      <c r="E25" s="41"/>
      <c r="F25" s="15"/>
      <c r="G25" s="15"/>
      <c r="H25" s="15"/>
      <c r="I25" s="15">
        <v>-3</v>
      </c>
      <c r="J25" s="15"/>
      <c r="K25" s="15"/>
      <c r="L25" s="15"/>
      <c r="M25" s="15"/>
      <c r="N25" s="15"/>
      <c r="O25" s="15"/>
      <c r="Q25" s="15"/>
      <c r="R25" s="15"/>
      <c r="S25" s="15"/>
      <c r="T25" s="15"/>
      <c r="U25" s="15"/>
      <c r="V25" s="15"/>
    </row>
    <row r="26" spans="1:22" ht="15.75" customHeight="1">
      <c r="A26" s="13">
        <v>13</v>
      </c>
      <c r="B26" s="705" t="s">
        <v>38</v>
      </c>
      <c r="C26" s="18">
        <f t="shared" si="3"/>
        <v>5333</v>
      </c>
      <c r="D26" s="41"/>
      <c r="E26" s="19"/>
      <c r="F26" s="19"/>
      <c r="G26" s="19"/>
      <c r="H26" s="19"/>
      <c r="I26" s="19">
        <v>5333</v>
      </c>
      <c r="J26" s="19"/>
      <c r="K26" s="19"/>
      <c r="L26" s="19"/>
      <c r="M26" s="19"/>
      <c r="N26" s="19"/>
      <c r="O26" s="19"/>
      <c r="P26" s="547"/>
      <c r="Q26" s="19"/>
      <c r="R26" s="19"/>
      <c r="S26" s="19"/>
      <c r="T26" s="19"/>
      <c r="U26" s="19"/>
      <c r="V26" s="19"/>
    </row>
    <row r="27" spans="1:22" ht="15.75" customHeight="1">
      <c r="A27" s="272">
        <v>14</v>
      </c>
      <c r="B27" s="706" t="s">
        <v>39</v>
      </c>
      <c r="C27" s="24">
        <f t="shared" ref="C27:T27" si="4">SUM(C22:C26)</f>
        <v>-105965</v>
      </c>
      <c r="D27" s="42">
        <f t="shared" si="4"/>
        <v>0</v>
      </c>
      <c r="E27" s="41"/>
      <c r="F27" s="15">
        <f t="shared" si="4"/>
        <v>0</v>
      </c>
      <c r="G27" s="15">
        <f t="shared" si="4"/>
        <v>0</v>
      </c>
      <c r="H27" s="15">
        <f t="shared" ref="H27" si="5">SUM(H22:H26)</f>
        <v>0</v>
      </c>
      <c r="I27" s="15">
        <f>SUM(I22:I26)</f>
        <v>-105965</v>
      </c>
      <c r="J27" s="15">
        <f t="shared" si="4"/>
        <v>0</v>
      </c>
      <c r="K27" s="15">
        <f t="shared" si="4"/>
        <v>0</v>
      </c>
      <c r="L27" s="15">
        <f t="shared" si="4"/>
        <v>0</v>
      </c>
      <c r="M27" s="15">
        <f t="shared" si="4"/>
        <v>0</v>
      </c>
      <c r="N27" s="15">
        <f t="shared" si="4"/>
        <v>0</v>
      </c>
      <c r="O27" s="15">
        <f t="shared" si="4"/>
        <v>0</v>
      </c>
      <c r="Q27" s="15">
        <f t="shared" si="4"/>
        <v>0</v>
      </c>
      <c r="R27" s="15">
        <f t="shared" si="4"/>
        <v>0</v>
      </c>
      <c r="S27" s="15">
        <f t="shared" si="4"/>
        <v>0</v>
      </c>
      <c r="T27" s="15">
        <f t="shared" si="4"/>
        <v>0</v>
      </c>
      <c r="U27" s="15">
        <f>SUM(U22:U26)</f>
        <v>0</v>
      </c>
      <c r="V27" s="15">
        <f>SUM(V22:V26)</f>
        <v>0</v>
      </c>
    </row>
    <row r="28" spans="1:22" ht="15.75" customHeight="1">
      <c r="A28" s="13">
        <v>15</v>
      </c>
      <c r="B28" s="704"/>
      <c r="C28" s="24"/>
      <c r="D28" s="41"/>
      <c r="E28" s="41"/>
      <c r="F28" s="15"/>
      <c r="G28" s="15"/>
      <c r="H28" s="15"/>
      <c r="I28" s="15"/>
      <c r="J28" s="15"/>
      <c r="K28" s="15"/>
      <c r="L28" s="15"/>
      <c r="M28" s="15"/>
      <c r="N28" s="15"/>
      <c r="O28" s="15"/>
      <c r="Q28" s="15"/>
      <c r="R28" s="15"/>
      <c r="S28" s="15"/>
      <c r="T28" s="15"/>
      <c r="U28" s="15"/>
      <c r="V28" s="15"/>
    </row>
    <row r="29" spans="1:22" ht="15.75" customHeight="1">
      <c r="A29" s="13">
        <v>16</v>
      </c>
      <c r="B29" s="702" t="s">
        <v>40</v>
      </c>
      <c r="C29" s="24"/>
      <c r="D29" s="41"/>
      <c r="E29" s="41"/>
      <c r="F29" s="15"/>
      <c r="G29" s="15"/>
      <c r="H29" s="15"/>
      <c r="I29" s="15"/>
      <c r="J29" s="15"/>
      <c r="K29" s="15"/>
      <c r="L29" s="15"/>
      <c r="M29" s="15"/>
      <c r="N29" s="15"/>
      <c r="O29" s="15"/>
      <c r="Q29" s="15"/>
      <c r="R29" s="15"/>
      <c r="S29" s="15"/>
      <c r="T29" s="15"/>
      <c r="U29" s="15"/>
      <c r="V29" s="15"/>
    </row>
    <row r="30" spans="1:22" ht="15.75" customHeight="1">
      <c r="A30" s="13">
        <v>17</v>
      </c>
      <c r="B30" s="705" t="s">
        <v>41</v>
      </c>
      <c r="C30" s="24">
        <f>SUM(D30:V30)</f>
        <v>88</v>
      </c>
      <c r="D30" s="41"/>
      <c r="E30" s="41"/>
      <c r="F30" s="15">
        <f>'Cover-Gas'!F28</f>
        <v>88</v>
      </c>
      <c r="G30" s="15"/>
      <c r="H30" s="15"/>
      <c r="I30" s="15"/>
      <c r="J30" s="15"/>
      <c r="K30" s="15"/>
      <c r="L30" s="15"/>
      <c r="M30" s="15"/>
      <c r="N30" s="15"/>
      <c r="O30" s="15"/>
      <c r="Q30" s="15"/>
      <c r="R30" s="15"/>
      <c r="S30" s="15"/>
      <c r="T30" s="15"/>
      <c r="U30" s="15"/>
      <c r="V30" s="15"/>
    </row>
    <row r="31" spans="1:22" ht="15.75" customHeight="1">
      <c r="A31" s="272">
        <v>18</v>
      </c>
      <c r="B31" s="705" t="s">
        <v>42</v>
      </c>
      <c r="C31" s="24">
        <f t="shared" ref="C31:C32" si="6">SUM(D31:V31)</f>
        <v>0</v>
      </c>
      <c r="D31" s="41"/>
      <c r="E31" s="41"/>
      <c r="F31" s="15"/>
      <c r="G31" s="15"/>
      <c r="H31" s="15"/>
      <c r="I31" s="15"/>
      <c r="J31" s="15"/>
      <c r="K31" s="15"/>
      <c r="L31" s="15"/>
      <c r="M31" s="15"/>
      <c r="N31" s="15"/>
      <c r="O31" s="15"/>
      <c r="Q31" s="15"/>
      <c r="R31" s="15"/>
      <c r="S31" s="15"/>
      <c r="T31" s="15"/>
      <c r="U31" s="15"/>
      <c r="V31" s="15"/>
    </row>
    <row r="32" spans="1:22" ht="15.75" customHeight="1">
      <c r="A32" s="13">
        <v>19</v>
      </c>
      <c r="B32" s="705" t="s">
        <v>43</v>
      </c>
      <c r="C32" s="18">
        <f t="shared" si="6"/>
        <v>0</v>
      </c>
      <c r="D32" s="41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547"/>
      <c r="Q32" s="19"/>
      <c r="R32" s="19"/>
      <c r="S32" s="19"/>
      <c r="T32" s="19"/>
      <c r="U32" s="19"/>
      <c r="V32" s="19"/>
    </row>
    <row r="33" spans="1:22" ht="15.75" customHeight="1">
      <c r="A33" s="13">
        <v>20</v>
      </c>
      <c r="B33" s="706" t="s">
        <v>44</v>
      </c>
      <c r="C33" s="24">
        <f t="shared" ref="C33:T33" si="7">SUM(C30:C32)</f>
        <v>88</v>
      </c>
      <c r="D33" s="42">
        <f t="shared" si="7"/>
        <v>0</v>
      </c>
      <c r="E33" s="41"/>
      <c r="F33" s="15">
        <f t="shared" si="7"/>
        <v>88</v>
      </c>
      <c r="G33" s="15">
        <f t="shared" si="7"/>
        <v>0</v>
      </c>
      <c r="H33" s="15">
        <f t="shared" ref="H33" si="8">SUM(H30:H32)</f>
        <v>0</v>
      </c>
      <c r="I33" s="15">
        <f>SUM(I30:I32)</f>
        <v>0</v>
      </c>
      <c r="J33" s="15">
        <f t="shared" si="7"/>
        <v>0</v>
      </c>
      <c r="K33" s="15">
        <f t="shared" si="7"/>
        <v>0</v>
      </c>
      <c r="L33" s="15">
        <f t="shared" si="7"/>
        <v>0</v>
      </c>
      <c r="M33" s="15">
        <f t="shared" si="7"/>
        <v>0</v>
      </c>
      <c r="N33" s="15">
        <f t="shared" si="7"/>
        <v>0</v>
      </c>
      <c r="O33" s="15">
        <f t="shared" si="7"/>
        <v>0</v>
      </c>
      <c r="Q33" s="15">
        <f t="shared" si="7"/>
        <v>0</v>
      </c>
      <c r="R33" s="15">
        <f t="shared" si="7"/>
        <v>0</v>
      </c>
      <c r="S33" s="15">
        <f t="shared" si="7"/>
        <v>0</v>
      </c>
      <c r="T33" s="15">
        <f t="shared" si="7"/>
        <v>0</v>
      </c>
      <c r="U33" s="15">
        <f>SUM(U30:U32)</f>
        <v>0</v>
      </c>
      <c r="V33" s="15">
        <f>SUM(V30:V32)</f>
        <v>0</v>
      </c>
    </row>
    <row r="34" spans="1:22" ht="15.75" customHeight="1">
      <c r="A34" s="13">
        <v>21</v>
      </c>
      <c r="B34" s="704"/>
      <c r="C34" s="24"/>
      <c r="D34" s="41"/>
      <c r="E34" s="41"/>
      <c r="F34" s="15"/>
      <c r="G34" s="15"/>
      <c r="H34" s="15"/>
      <c r="I34" s="15"/>
      <c r="J34" s="15"/>
      <c r="K34" s="15"/>
      <c r="L34" s="15"/>
      <c r="M34" s="15"/>
      <c r="N34" s="15"/>
      <c r="O34" s="15"/>
      <c r="Q34" s="15"/>
      <c r="R34" s="15"/>
      <c r="S34" s="15"/>
      <c r="T34" s="15"/>
      <c r="U34" s="15"/>
      <c r="V34" s="15"/>
    </row>
    <row r="35" spans="1:22" ht="15.75" customHeight="1">
      <c r="A35" s="272">
        <v>22</v>
      </c>
      <c r="B35" s="702" t="s">
        <v>45</v>
      </c>
      <c r="C35" s="24"/>
      <c r="D35" s="41"/>
      <c r="E35" s="41"/>
      <c r="F35" s="15"/>
      <c r="G35" s="15"/>
      <c r="H35" s="15"/>
      <c r="I35" s="15"/>
      <c r="J35" s="15"/>
      <c r="K35" s="15"/>
      <c r="L35" s="15"/>
      <c r="M35" s="15"/>
      <c r="N35" s="15"/>
      <c r="O35" s="15"/>
      <c r="Q35" s="15"/>
      <c r="R35" s="15"/>
      <c r="S35" s="15"/>
      <c r="T35" s="15"/>
      <c r="U35" s="15"/>
      <c r="V35" s="15"/>
    </row>
    <row r="36" spans="1:22" ht="15.75" customHeight="1">
      <c r="A36" s="13">
        <v>23</v>
      </c>
      <c r="B36" s="705" t="s">
        <v>41</v>
      </c>
      <c r="C36" s="24">
        <f t="shared" ref="C36:C38" si="9">SUM(D36:V36)</f>
        <v>0</v>
      </c>
      <c r="D36" s="41"/>
      <c r="E36" s="41"/>
      <c r="F36" s="15"/>
      <c r="G36" s="15"/>
      <c r="H36" s="15"/>
      <c r="I36" s="15"/>
      <c r="J36" s="15"/>
      <c r="K36" s="15"/>
      <c r="L36" s="15"/>
      <c r="M36" s="15"/>
      <c r="N36" s="15"/>
      <c r="O36" s="15"/>
      <c r="Q36" s="15"/>
      <c r="R36" s="15"/>
      <c r="S36" s="15"/>
      <c r="T36" s="15"/>
      <c r="U36" s="15"/>
      <c r="V36" s="15"/>
    </row>
    <row r="37" spans="1:22" ht="15.75" customHeight="1">
      <c r="A37" s="13">
        <v>24</v>
      </c>
      <c r="B37" s="705" t="s">
        <v>42</v>
      </c>
      <c r="C37" s="24">
        <f t="shared" si="9"/>
        <v>-3</v>
      </c>
      <c r="D37" s="41"/>
      <c r="E37" s="41"/>
      <c r="F37" s="15"/>
      <c r="G37" s="15"/>
      <c r="H37" s="15"/>
      <c r="I37" s="15"/>
      <c r="J37" s="15"/>
      <c r="K37" s="15"/>
      <c r="L37" s="15"/>
      <c r="M37" s="15"/>
      <c r="N37" s="15"/>
      <c r="O37" s="15">
        <v>-3</v>
      </c>
      <c r="Q37" s="15"/>
      <c r="R37" s="15"/>
      <c r="S37" s="15"/>
      <c r="T37" s="15"/>
      <c r="U37" s="15"/>
      <c r="V37" s="15"/>
    </row>
    <row r="38" spans="1:22" ht="15.75" customHeight="1">
      <c r="A38" s="13">
        <v>25</v>
      </c>
      <c r="B38" s="705" t="s">
        <v>43</v>
      </c>
      <c r="C38" s="18">
        <f t="shared" si="9"/>
        <v>-6608</v>
      </c>
      <c r="D38" s="41"/>
      <c r="E38" s="19"/>
      <c r="F38" s="19"/>
      <c r="G38" s="19"/>
      <c r="H38" s="19"/>
      <c r="I38" s="19">
        <v>-565</v>
      </c>
      <c r="J38" s="19">
        <v>-6045</v>
      </c>
      <c r="K38" s="19"/>
      <c r="L38" s="19"/>
      <c r="M38" s="19"/>
      <c r="N38" s="19"/>
      <c r="O38" s="19"/>
      <c r="P38" s="547"/>
      <c r="Q38" s="19"/>
      <c r="R38" s="19">
        <v>2</v>
      </c>
      <c r="S38" s="19"/>
      <c r="T38" s="19"/>
      <c r="U38" s="19"/>
      <c r="V38" s="19"/>
    </row>
    <row r="39" spans="1:22" ht="15.75" customHeight="1">
      <c r="A39" s="272">
        <v>26</v>
      </c>
      <c r="B39" s="705" t="s">
        <v>46</v>
      </c>
      <c r="C39" s="24">
        <f t="shared" ref="C39:T39" si="10">SUM(C36:C38)</f>
        <v>-6611</v>
      </c>
      <c r="D39" s="42">
        <f t="shared" si="10"/>
        <v>0</v>
      </c>
      <c r="E39" s="41"/>
      <c r="F39" s="15">
        <f t="shared" si="10"/>
        <v>0</v>
      </c>
      <c r="G39" s="15">
        <f t="shared" si="10"/>
        <v>0</v>
      </c>
      <c r="H39" s="15">
        <f t="shared" ref="H39" si="11">SUM(H36:H38)</f>
        <v>0</v>
      </c>
      <c r="I39" s="15">
        <f>SUM(I36:I38)</f>
        <v>-565</v>
      </c>
      <c r="J39" s="15">
        <f t="shared" si="10"/>
        <v>-6045</v>
      </c>
      <c r="K39" s="15">
        <f t="shared" si="10"/>
        <v>0</v>
      </c>
      <c r="L39" s="15">
        <f t="shared" si="10"/>
        <v>0</v>
      </c>
      <c r="M39" s="15">
        <f t="shared" si="10"/>
        <v>0</v>
      </c>
      <c r="N39" s="15">
        <f t="shared" si="10"/>
        <v>0</v>
      </c>
      <c r="O39" s="15">
        <f t="shared" si="10"/>
        <v>-3</v>
      </c>
      <c r="P39" s="15">
        <f t="shared" si="10"/>
        <v>0</v>
      </c>
      <c r="Q39" s="15">
        <f t="shared" si="10"/>
        <v>0</v>
      </c>
      <c r="R39" s="15">
        <f t="shared" si="10"/>
        <v>2</v>
      </c>
      <c r="S39" s="15">
        <f t="shared" si="10"/>
        <v>0</v>
      </c>
      <c r="T39" s="15">
        <f t="shared" si="10"/>
        <v>0</v>
      </c>
      <c r="U39" s="15">
        <f>SUM(U36:U38)</f>
        <v>0</v>
      </c>
      <c r="V39" s="15">
        <f>SUM(V36:V38)</f>
        <v>0</v>
      </c>
    </row>
    <row r="40" spans="1:22" ht="15.75" customHeight="1">
      <c r="A40" s="13">
        <v>27</v>
      </c>
      <c r="B40" s="704"/>
      <c r="C40" s="24"/>
      <c r="D40" s="41"/>
      <c r="E40" s="41"/>
      <c r="F40" s="15"/>
      <c r="G40" s="15"/>
      <c r="H40" s="15"/>
      <c r="I40" s="15"/>
      <c r="J40" s="15"/>
      <c r="K40" s="15"/>
      <c r="L40" s="15"/>
      <c r="M40" s="15"/>
      <c r="N40" s="15"/>
      <c r="O40" s="15"/>
      <c r="Q40" s="15"/>
      <c r="R40" s="15"/>
      <c r="S40" s="15"/>
      <c r="T40" s="15"/>
      <c r="U40" s="15"/>
      <c r="V40" s="15"/>
    </row>
    <row r="41" spans="1:22" ht="15.75" customHeight="1">
      <c r="A41" s="13">
        <v>28</v>
      </c>
      <c r="B41" s="3" t="s">
        <v>47</v>
      </c>
      <c r="C41" s="24">
        <f t="shared" ref="C41:C43" si="12">SUM(D41:V41)</f>
        <v>-428</v>
      </c>
      <c r="D41" s="41"/>
      <c r="E41" s="41">
        <v>1</v>
      </c>
      <c r="F41" s="15"/>
      <c r="G41" s="15"/>
      <c r="H41" s="15"/>
      <c r="I41" s="15">
        <v>-64</v>
      </c>
      <c r="J41" s="15"/>
      <c r="K41" s="15">
        <v>-365</v>
      </c>
      <c r="L41" s="15"/>
      <c r="M41" s="41"/>
      <c r="N41" s="41"/>
      <c r="O41" s="41"/>
      <c r="Q41" s="15"/>
      <c r="R41" s="15"/>
      <c r="S41" s="15"/>
      <c r="T41" s="15"/>
      <c r="U41" s="15"/>
      <c r="V41" s="15"/>
    </row>
    <row r="42" spans="1:22" ht="15.75" customHeight="1">
      <c r="A42" s="13">
        <v>29</v>
      </c>
      <c r="B42" s="3" t="s">
        <v>48</v>
      </c>
      <c r="C42" s="24">
        <f t="shared" si="12"/>
        <v>-8960</v>
      </c>
      <c r="D42" s="41"/>
      <c r="E42" s="41"/>
      <c r="F42" s="15"/>
      <c r="G42" s="15"/>
      <c r="H42" s="15"/>
      <c r="I42" s="15">
        <v>-8953</v>
      </c>
      <c r="J42" s="15"/>
      <c r="K42" s="15"/>
      <c r="L42" s="15"/>
      <c r="M42" s="15"/>
      <c r="N42" s="15"/>
      <c r="O42" s="15"/>
      <c r="Q42" s="15"/>
      <c r="R42" s="15"/>
      <c r="S42" s="15">
        <f>'2.11'!F36</f>
        <v>-7</v>
      </c>
      <c r="T42" s="15"/>
      <c r="U42" s="15"/>
      <c r="V42" s="15"/>
    </row>
    <row r="43" spans="1:22" ht="15.75" customHeight="1">
      <c r="A43" s="272">
        <v>30</v>
      </c>
      <c r="B43" s="3" t="s">
        <v>49</v>
      </c>
      <c r="C43" s="18">
        <f t="shared" si="12"/>
        <v>0</v>
      </c>
      <c r="D43" s="19"/>
      <c r="E43" s="19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547"/>
      <c r="Q43" s="15"/>
      <c r="R43" s="15"/>
      <c r="S43" s="15"/>
      <c r="T43" s="15"/>
      <c r="U43" s="15"/>
      <c r="V43" s="15"/>
    </row>
    <row r="44" spans="1:22" ht="15.75" customHeight="1">
      <c r="A44" s="13">
        <v>31</v>
      </c>
      <c r="B44" s="704"/>
      <c r="C44" s="24">
        <f>+C41+C42+C43</f>
        <v>-9388</v>
      </c>
      <c r="D44" s="41">
        <f t="shared" ref="D44:E44" si="13">+D41+D42+D43</f>
        <v>0</v>
      </c>
      <c r="E44" s="41">
        <f t="shared" si="13"/>
        <v>1</v>
      </c>
      <c r="F44" s="42">
        <f t="shared" ref="F44:U44" si="14">+F41+F42+F43</f>
        <v>0</v>
      </c>
      <c r="G44" s="42">
        <f t="shared" si="14"/>
        <v>0</v>
      </c>
      <c r="H44" s="42">
        <f t="shared" ref="H44" si="15">+H41+H42+H43</f>
        <v>0</v>
      </c>
      <c r="I44" s="42">
        <f>+I41+I42+I43</f>
        <v>-9017</v>
      </c>
      <c r="J44" s="42">
        <f t="shared" si="14"/>
        <v>0</v>
      </c>
      <c r="K44" s="42">
        <f t="shared" si="14"/>
        <v>-365</v>
      </c>
      <c r="L44" s="42">
        <f t="shared" si="14"/>
        <v>0</v>
      </c>
      <c r="M44" s="42">
        <f t="shared" si="14"/>
        <v>0</v>
      </c>
      <c r="N44" s="42">
        <f t="shared" si="14"/>
        <v>0</v>
      </c>
      <c r="O44" s="42">
        <f t="shared" si="14"/>
        <v>0</v>
      </c>
      <c r="P44" s="42">
        <f t="shared" si="14"/>
        <v>0</v>
      </c>
      <c r="Q44" s="42">
        <f t="shared" si="14"/>
        <v>0</v>
      </c>
      <c r="R44" s="42">
        <f t="shared" si="14"/>
        <v>0</v>
      </c>
      <c r="S44" s="42">
        <f t="shared" si="14"/>
        <v>-7</v>
      </c>
      <c r="T44" s="42">
        <f t="shared" si="14"/>
        <v>0</v>
      </c>
      <c r="U44" s="42">
        <f t="shared" si="14"/>
        <v>0</v>
      </c>
      <c r="V44" s="42">
        <f>+V41+V42+V43</f>
        <v>0</v>
      </c>
    </row>
    <row r="45" spans="1:22" ht="15.75" customHeight="1">
      <c r="A45" s="13">
        <v>32</v>
      </c>
      <c r="B45" s="704"/>
      <c r="C45" s="24"/>
      <c r="D45" s="41"/>
      <c r="E45" s="41"/>
      <c r="F45" s="15"/>
      <c r="G45" s="15"/>
      <c r="H45" s="15"/>
      <c r="I45" s="15"/>
      <c r="J45" s="15"/>
      <c r="K45" s="15"/>
      <c r="L45" s="15"/>
      <c r="M45" s="15"/>
      <c r="N45" s="15"/>
      <c r="O45" s="15"/>
      <c r="Q45" s="15"/>
      <c r="R45" s="15"/>
      <c r="S45" s="15"/>
      <c r="T45" s="15"/>
      <c r="U45" s="15"/>
      <c r="V45" s="15"/>
    </row>
    <row r="46" spans="1:22" ht="15.75" customHeight="1">
      <c r="A46" s="13">
        <v>33</v>
      </c>
      <c r="B46" s="3" t="s">
        <v>50</v>
      </c>
      <c r="C46" s="24"/>
      <c r="D46" s="41"/>
      <c r="E46" s="41"/>
      <c r="F46" s="15"/>
      <c r="G46" s="15"/>
      <c r="H46" s="15"/>
      <c r="I46" s="15"/>
      <c r="J46" s="15"/>
      <c r="K46" s="15"/>
      <c r="L46" s="15"/>
      <c r="M46" s="15"/>
      <c r="N46" s="15"/>
      <c r="O46" s="15"/>
      <c r="Q46" s="15"/>
      <c r="R46" s="15"/>
      <c r="S46" s="15"/>
      <c r="T46" s="15"/>
      <c r="U46" s="15"/>
      <c r="V46" s="15"/>
    </row>
    <row r="47" spans="1:22" ht="15.75" customHeight="1">
      <c r="A47" s="272">
        <v>34</v>
      </c>
      <c r="B47" s="707" t="s">
        <v>41</v>
      </c>
      <c r="C47" s="24">
        <f t="shared" ref="C47:C50" si="16">SUM(D47:V47)</f>
        <v>-79</v>
      </c>
      <c r="D47" s="41"/>
      <c r="E47" s="41">
        <v>44</v>
      </c>
      <c r="F47" s="15"/>
      <c r="G47" s="15"/>
      <c r="H47" s="15"/>
      <c r="I47" s="15">
        <v>-29</v>
      </c>
      <c r="J47" s="15"/>
      <c r="K47" s="15"/>
      <c r="L47" s="15">
        <v>44</v>
      </c>
      <c r="M47" s="15">
        <v>186</v>
      </c>
      <c r="N47" s="15"/>
      <c r="O47" s="15"/>
      <c r="Q47" s="15">
        <v>-1</v>
      </c>
      <c r="R47" s="15"/>
      <c r="S47" s="15">
        <f>'2.11'!F40</f>
        <v>-82</v>
      </c>
      <c r="T47" s="15">
        <f>'Cover-Gas'!H44</f>
        <v>66</v>
      </c>
      <c r="U47" s="15"/>
      <c r="V47" s="15">
        <f>'ADJ 2.14'!E42</f>
        <v>-307</v>
      </c>
    </row>
    <row r="48" spans="1:22" ht="15.75" customHeight="1">
      <c r="A48" s="13">
        <v>35</v>
      </c>
      <c r="B48" s="702" t="s">
        <v>221</v>
      </c>
      <c r="C48" s="24">
        <f t="shared" si="16"/>
        <v>0</v>
      </c>
      <c r="D48" s="41"/>
      <c r="E48" s="41"/>
      <c r="F48" s="15"/>
      <c r="G48" s="15"/>
      <c r="H48" s="15"/>
      <c r="I48" s="15"/>
      <c r="J48" s="15"/>
      <c r="K48" s="15"/>
      <c r="L48" s="15"/>
      <c r="M48" s="15"/>
      <c r="N48" s="15"/>
      <c r="O48" s="15"/>
      <c r="Q48" s="15"/>
      <c r="R48" s="15"/>
      <c r="S48" s="15"/>
      <c r="T48" s="15"/>
      <c r="U48" s="15"/>
      <c r="V48" s="15"/>
    </row>
    <row r="49" spans="1:23" ht="15.75" customHeight="1">
      <c r="A49" s="13">
        <v>36</v>
      </c>
      <c r="B49" s="702" t="s">
        <v>383</v>
      </c>
      <c r="C49" s="24">
        <f t="shared" si="16"/>
        <v>-263</v>
      </c>
      <c r="D49" s="41"/>
      <c r="E49" s="41"/>
      <c r="F49" s="15"/>
      <c r="G49" s="15"/>
      <c r="H49" s="15"/>
      <c r="I49" s="15">
        <v>-263</v>
      </c>
      <c r="J49" s="15"/>
      <c r="K49" s="15"/>
      <c r="L49" s="15"/>
      <c r="M49" s="15"/>
      <c r="N49" s="15"/>
      <c r="O49" s="15"/>
      <c r="Q49" s="15"/>
      <c r="R49" s="15"/>
      <c r="S49" s="15"/>
      <c r="T49" s="15"/>
      <c r="U49" s="15"/>
      <c r="V49" s="15"/>
    </row>
    <row r="50" spans="1:23" ht="15.75" customHeight="1">
      <c r="A50" s="13">
        <v>37</v>
      </c>
      <c r="B50" s="702" t="s">
        <v>43</v>
      </c>
      <c r="C50" s="24">
        <f t="shared" si="16"/>
        <v>0</v>
      </c>
      <c r="D50" s="41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547"/>
      <c r="Q50" s="19"/>
      <c r="R50" s="19"/>
      <c r="S50" s="19"/>
      <c r="T50" s="19"/>
      <c r="U50" s="19"/>
      <c r="V50" s="19"/>
    </row>
    <row r="51" spans="1:23" ht="15.75" customHeight="1">
      <c r="A51" s="272">
        <v>38</v>
      </c>
      <c r="B51" s="705" t="s">
        <v>51</v>
      </c>
      <c r="C51" s="45">
        <f t="shared" ref="C51:I51" si="17">SUM(C47:C50)</f>
        <v>-342</v>
      </c>
      <c r="D51" s="31">
        <f t="shared" si="17"/>
        <v>0</v>
      </c>
      <c r="E51" s="31">
        <f t="shared" si="17"/>
        <v>44</v>
      </c>
      <c r="F51" s="19">
        <f t="shared" si="17"/>
        <v>0</v>
      </c>
      <c r="G51" s="19">
        <f t="shared" si="17"/>
        <v>0</v>
      </c>
      <c r="H51" s="19">
        <f t="shared" ref="H51" si="18">SUM(H47:H50)</f>
        <v>0</v>
      </c>
      <c r="I51" s="19">
        <f t="shared" si="17"/>
        <v>-292</v>
      </c>
      <c r="J51" s="19">
        <f t="shared" ref="J51:U51" si="19">SUM(J47:J50)</f>
        <v>0</v>
      </c>
      <c r="K51" s="19">
        <f t="shared" si="19"/>
        <v>0</v>
      </c>
      <c r="L51" s="19">
        <f t="shared" si="19"/>
        <v>44</v>
      </c>
      <c r="M51" s="19">
        <f t="shared" si="19"/>
        <v>186</v>
      </c>
      <c r="N51" s="19">
        <f t="shared" si="19"/>
        <v>0</v>
      </c>
      <c r="O51" s="19">
        <f t="shared" si="19"/>
        <v>0</v>
      </c>
      <c r="P51" s="19">
        <f t="shared" si="19"/>
        <v>0</v>
      </c>
      <c r="Q51" s="19">
        <f t="shared" si="19"/>
        <v>-1</v>
      </c>
      <c r="R51" s="19">
        <f t="shared" si="19"/>
        <v>0</v>
      </c>
      <c r="S51" s="19">
        <f t="shared" si="19"/>
        <v>-82</v>
      </c>
      <c r="T51" s="19">
        <f t="shared" si="19"/>
        <v>66</v>
      </c>
      <c r="U51" s="19">
        <f t="shared" si="19"/>
        <v>0</v>
      </c>
      <c r="V51" s="19">
        <f>SUM(V47:V50)</f>
        <v>-307</v>
      </c>
    </row>
    <row r="52" spans="1:23" ht="15.75" customHeight="1">
      <c r="A52" s="13">
        <v>39</v>
      </c>
      <c r="B52" s="704"/>
      <c r="C52" s="24"/>
      <c r="D52" s="42"/>
      <c r="E52" s="41"/>
      <c r="F52" s="15"/>
      <c r="G52" s="15"/>
      <c r="H52" s="15"/>
      <c r="I52" s="15"/>
      <c r="J52" s="15"/>
      <c r="K52" s="15"/>
      <c r="L52" s="15"/>
      <c r="M52" s="15"/>
      <c r="N52" s="15"/>
      <c r="O52" s="15"/>
      <c r="Q52" s="15"/>
      <c r="R52" s="15"/>
      <c r="S52" s="15"/>
      <c r="T52" s="15"/>
      <c r="U52" s="15"/>
      <c r="V52" s="15"/>
    </row>
    <row r="53" spans="1:23" ht="15.75" customHeight="1">
      <c r="A53" s="13">
        <v>40</v>
      </c>
      <c r="B53" s="3" t="s">
        <v>52</v>
      </c>
      <c r="C53" s="18">
        <f t="shared" ref="C53:I53" si="20">C21+C27+C33+C39+C41+C42+C43+C51</f>
        <v>-122218</v>
      </c>
      <c r="D53" s="41">
        <f t="shared" si="20"/>
        <v>0</v>
      </c>
      <c r="E53" s="19">
        <f t="shared" si="20"/>
        <v>45</v>
      </c>
      <c r="F53" s="19">
        <f t="shared" si="20"/>
        <v>88</v>
      </c>
      <c r="G53" s="19">
        <f t="shared" si="20"/>
        <v>0</v>
      </c>
      <c r="H53" s="19">
        <f t="shared" ref="H53" si="21">H21+H27+H33+H39+H41+H42+H43+H51</f>
        <v>0</v>
      </c>
      <c r="I53" s="19">
        <f t="shared" si="20"/>
        <v>-115839</v>
      </c>
      <c r="J53" s="19">
        <f t="shared" ref="J53:U53" si="22">J21+J27+J33+J39+J41+J42+J43+J51</f>
        <v>-6045</v>
      </c>
      <c r="K53" s="19">
        <f t="shared" si="22"/>
        <v>-365</v>
      </c>
      <c r="L53" s="19">
        <f t="shared" si="22"/>
        <v>44</v>
      </c>
      <c r="M53" s="19">
        <f t="shared" si="22"/>
        <v>186</v>
      </c>
      <c r="N53" s="19">
        <f t="shared" si="22"/>
        <v>0</v>
      </c>
      <c r="O53" s="19">
        <f t="shared" si="22"/>
        <v>-3</v>
      </c>
      <c r="P53" s="19">
        <f t="shared" si="22"/>
        <v>0</v>
      </c>
      <c r="Q53" s="19">
        <f t="shared" si="22"/>
        <v>-1</v>
      </c>
      <c r="R53" s="19">
        <f t="shared" si="22"/>
        <v>2</v>
      </c>
      <c r="S53" s="19">
        <f t="shared" si="22"/>
        <v>-89</v>
      </c>
      <c r="T53" s="19">
        <f t="shared" si="22"/>
        <v>66</v>
      </c>
      <c r="U53" s="19">
        <f t="shared" si="22"/>
        <v>0</v>
      </c>
      <c r="V53" s="19">
        <f>V21+V27+V33+V39+V41+V42+V43+V51</f>
        <v>-307</v>
      </c>
    </row>
    <row r="54" spans="1:23" ht="15.75" customHeight="1">
      <c r="A54" s="13">
        <v>41</v>
      </c>
      <c r="B54" s="704"/>
      <c r="C54" s="24"/>
      <c r="D54" s="42"/>
      <c r="E54" s="41"/>
      <c r="F54" s="15"/>
      <c r="G54" s="15"/>
      <c r="H54" s="15"/>
      <c r="I54" s="15"/>
      <c r="J54" s="15"/>
      <c r="K54" s="15"/>
      <c r="L54" s="15"/>
      <c r="M54" s="15"/>
      <c r="N54" s="15"/>
      <c r="O54" s="15"/>
      <c r="Q54" s="15"/>
      <c r="R54" s="15"/>
      <c r="S54" s="15"/>
      <c r="T54" s="15"/>
      <c r="U54" s="15"/>
      <c r="V54" s="15"/>
    </row>
    <row r="55" spans="1:23" ht="15.75" customHeight="1">
      <c r="A55" s="272">
        <v>42</v>
      </c>
      <c r="B55" s="3" t="s">
        <v>376</v>
      </c>
      <c r="C55" s="24">
        <f t="shared" ref="C55:I55" si="23">C18-C53</f>
        <v>2697</v>
      </c>
      <c r="D55" s="41">
        <f t="shared" si="23"/>
        <v>0</v>
      </c>
      <c r="E55" s="41">
        <f t="shared" si="23"/>
        <v>-45</v>
      </c>
      <c r="F55" s="15">
        <f t="shared" si="23"/>
        <v>-88</v>
      </c>
      <c r="G55" s="15">
        <f t="shared" si="23"/>
        <v>0</v>
      </c>
      <c r="H55" s="15">
        <f t="shared" ref="H55" si="24">H18-H53</f>
        <v>0</v>
      </c>
      <c r="I55" s="15">
        <f t="shared" si="23"/>
        <v>2370</v>
      </c>
      <c r="J55" s="15">
        <f t="shared" ref="J55:U55" si="25">J18-J53</f>
        <v>-7</v>
      </c>
      <c r="K55" s="15">
        <f t="shared" si="25"/>
        <v>365</v>
      </c>
      <c r="L55" s="15">
        <f t="shared" si="25"/>
        <v>-44</v>
      </c>
      <c r="M55" s="15">
        <f t="shared" si="25"/>
        <v>-186</v>
      </c>
      <c r="N55" s="15">
        <f t="shared" si="25"/>
        <v>0</v>
      </c>
      <c r="O55" s="15">
        <f t="shared" si="25"/>
        <v>3</v>
      </c>
      <c r="P55" s="15">
        <f t="shared" si="25"/>
        <v>0</v>
      </c>
      <c r="Q55" s="15">
        <f t="shared" si="25"/>
        <v>1</v>
      </c>
      <c r="R55" s="15">
        <f t="shared" si="25"/>
        <v>-2</v>
      </c>
      <c r="S55" s="15">
        <f t="shared" si="25"/>
        <v>89</v>
      </c>
      <c r="T55" s="15">
        <f t="shared" si="25"/>
        <v>-66</v>
      </c>
      <c r="U55" s="15">
        <f t="shared" si="25"/>
        <v>0</v>
      </c>
      <c r="V55" s="15">
        <f>V18-V53</f>
        <v>307</v>
      </c>
    </row>
    <row r="56" spans="1:23" ht="15.75" customHeight="1">
      <c r="A56" s="13">
        <v>43</v>
      </c>
      <c r="B56" s="3"/>
      <c r="C56" s="24"/>
      <c r="D56" s="41"/>
      <c r="E56" s="41"/>
      <c r="F56" s="15"/>
      <c r="G56" s="15"/>
      <c r="H56" s="15"/>
      <c r="I56" s="15"/>
      <c r="J56" s="15"/>
      <c r="K56" s="15"/>
      <c r="L56" s="15"/>
      <c r="M56" s="15"/>
      <c r="N56" s="15"/>
      <c r="O56" s="15"/>
      <c r="Q56" s="15"/>
      <c r="R56" s="15"/>
      <c r="S56" s="15"/>
      <c r="T56" s="15"/>
      <c r="U56" s="15"/>
      <c r="V56" s="15"/>
    </row>
    <row r="57" spans="1:23" s="14" customFormat="1" ht="15.75" customHeight="1">
      <c r="A57" s="13">
        <v>44</v>
      </c>
      <c r="B57" s="3" t="s">
        <v>377</v>
      </c>
      <c r="C57" s="24"/>
      <c r="D57" s="41"/>
      <c r="E57" s="41"/>
      <c r="F57" s="15"/>
      <c r="G57" s="15"/>
      <c r="H57" s="15"/>
      <c r="I57" s="15"/>
      <c r="J57" s="15"/>
      <c r="K57" s="15"/>
      <c r="L57" s="15"/>
      <c r="M57" s="15"/>
      <c r="N57" s="15"/>
      <c r="O57" s="15"/>
      <c r="Q57" s="15"/>
      <c r="R57" s="15"/>
      <c r="S57" s="15"/>
      <c r="T57" s="15"/>
      <c r="U57" s="15"/>
      <c r="V57" s="15"/>
      <c r="W57" s="23"/>
    </row>
    <row r="58" spans="1:23" ht="15.75" customHeight="1">
      <c r="A58" s="13">
        <v>45</v>
      </c>
      <c r="B58" s="702" t="s">
        <v>53</v>
      </c>
      <c r="C58" s="24">
        <f>SUM(D58:V58)</f>
        <v>844</v>
      </c>
      <c r="D58" s="15">
        <f>ROUND(+D110,0)</f>
        <v>0</v>
      </c>
      <c r="E58" s="15">
        <f t="shared" ref="E58:U58" si="26">ROUND(+E110,0)</f>
        <v>-16</v>
      </c>
      <c r="F58" s="15">
        <f t="shared" si="26"/>
        <v>-31</v>
      </c>
      <c r="G58" s="15">
        <v>-20</v>
      </c>
      <c r="H58" s="15"/>
      <c r="I58" s="15">
        <f t="shared" si="26"/>
        <v>830</v>
      </c>
      <c r="J58" s="15">
        <f t="shared" si="26"/>
        <v>-2</v>
      </c>
      <c r="K58" s="15">
        <f t="shared" si="26"/>
        <v>128</v>
      </c>
      <c r="L58" s="15">
        <f t="shared" si="26"/>
        <v>-15</v>
      </c>
      <c r="M58" s="15">
        <f t="shared" si="26"/>
        <v>-65</v>
      </c>
      <c r="N58" s="15">
        <v>18</v>
      </c>
      <c r="O58" s="15">
        <f>ROUND(+O110,0)</f>
        <v>1</v>
      </c>
      <c r="P58" s="15">
        <f>ROUND(+P110,0)</f>
        <v>0</v>
      </c>
      <c r="Q58" s="15">
        <f t="shared" si="26"/>
        <v>0</v>
      </c>
      <c r="R58" s="15">
        <f t="shared" si="26"/>
        <v>-1</v>
      </c>
      <c r="S58" s="15">
        <f t="shared" si="26"/>
        <v>31</v>
      </c>
      <c r="T58" s="15">
        <f t="shared" si="26"/>
        <v>-23</v>
      </c>
      <c r="U58" s="15">
        <f t="shared" si="26"/>
        <v>-98</v>
      </c>
      <c r="V58" s="15">
        <f>ROUND(+V110,0)</f>
        <v>107</v>
      </c>
    </row>
    <row r="59" spans="1:23" ht="15.75" customHeight="1">
      <c r="A59" s="272">
        <v>46</v>
      </c>
      <c r="B59" s="702" t="s">
        <v>217</v>
      </c>
      <c r="C59" s="24">
        <f t="shared" ref="C59:C61" si="27">SUM(D59:V59)</f>
        <v>81</v>
      </c>
      <c r="D59" s="15">
        <f>ROUND((D85*' Sch 4 CC'!$I$16)*-0.35,0)</f>
        <v>3</v>
      </c>
      <c r="E59" s="15">
        <f>ROUND((E85*' Sch 4 CC'!$I$16)*-0.35,0)</f>
        <v>0</v>
      </c>
      <c r="F59" s="15">
        <f>ROUND((F85*' Sch 4 CC'!$I$16)*-0.35,0)</f>
        <v>116</v>
      </c>
      <c r="G59" s="15">
        <f>ROUND((G85*' Sch 4 CC'!$I$16)*-0.35,0)</f>
        <v>0</v>
      </c>
      <c r="H59" s="15">
        <f>ROUND((H85*' Sch 4 CC'!$I$16)*-0.35,0)</f>
        <v>-38</v>
      </c>
      <c r="I59" s="15">
        <f>ROUND((I85*' Sch 4 CC'!$I$16)*-0.35,0)</f>
        <v>0</v>
      </c>
      <c r="J59" s="15">
        <f>ROUND((J85*' Sch 4 CC'!$I$16)*-0.35,0)</f>
        <v>0</v>
      </c>
      <c r="K59" s="15">
        <f>ROUND((K85*' Sch 4 CC'!$I$16)*-0.35,0)</f>
        <v>0</v>
      </c>
      <c r="L59" s="15">
        <f>ROUND((L85*' Sch 4 CC'!$I$16)*-0.35,0)</f>
        <v>0</v>
      </c>
      <c r="M59" s="15">
        <f>ROUND((M85*' Sch 4 CC'!$I$16)*-0.35,0)</f>
        <v>0</v>
      </c>
      <c r="N59" s="15">
        <f>ROUND((N85*' Sch 4 CC'!$I$16)*-0.35,0)</f>
        <v>0</v>
      </c>
      <c r="O59" s="15">
        <f>ROUND((O85*' Sch 4 CC'!$I$16)*-0.35,0)</f>
        <v>0</v>
      </c>
      <c r="P59" s="15">
        <f>ROUND((P85*' Sch 4 CC'!$I$16)*-0.35,0)</f>
        <v>0</v>
      </c>
      <c r="Q59" s="15">
        <f>ROUND((Q85*' Sch 4 CC'!$I$16)*-0.35,0)</f>
        <v>0</v>
      </c>
      <c r="R59" s="15">
        <f>ROUND((R85*' Sch 4 CC'!$I$16)*-0.35,0)</f>
        <v>0</v>
      </c>
      <c r="S59" s="15">
        <f>ROUND((S85*' Sch 4 CC'!$I$16)*-0.35,0)</f>
        <v>0</v>
      </c>
      <c r="T59" s="15">
        <f>ROUND((T85*' Sch 4 CC'!$I$16)*-0.35,0)</f>
        <v>0</v>
      </c>
      <c r="U59" s="15">
        <f>ROUND((U85*' Sch 4 CC'!$I$16)*-0.35,0)</f>
        <v>0</v>
      </c>
      <c r="V59" s="15">
        <f>ROUND((V85*' Sch 4 CC'!$I$16)*-0.35,0)</f>
        <v>0</v>
      </c>
    </row>
    <row r="60" spans="1:23" ht="15.75" customHeight="1">
      <c r="A60" s="13">
        <v>47</v>
      </c>
      <c r="B60" s="702" t="s">
        <v>54</v>
      </c>
      <c r="C60" s="24">
        <f t="shared" si="27"/>
        <v>-28</v>
      </c>
      <c r="D60" s="41"/>
      <c r="E60" s="41"/>
      <c r="F60" s="15"/>
      <c r="G60" s="15"/>
      <c r="H60" s="15"/>
      <c r="I60" s="15"/>
      <c r="J60" s="15"/>
      <c r="K60" s="15"/>
      <c r="L60" s="15"/>
      <c r="M60" s="15"/>
      <c r="N60" s="15">
        <v>-28</v>
      </c>
      <c r="O60" s="15"/>
      <c r="Q60" s="15"/>
      <c r="R60" s="15"/>
      <c r="S60" s="15"/>
      <c r="T60" s="15"/>
      <c r="U60" s="15"/>
      <c r="V60" s="15"/>
    </row>
    <row r="61" spans="1:23" ht="15.75" customHeight="1">
      <c r="A61" s="13">
        <v>48</v>
      </c>
      <c r="B61" s="702" t="s">
        <v>55</v>
      </c>
      <c r="C61" s="18">
        <f t="shared" si="27"/>
        <v>0</v>
      </c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547"/>
      <c r="Q61" s="19"/>
      <c r="R61" s="19"/>
      <c r="S61" s="19"/>
      <c r="T61" s="19"/>
      <c r="U61" s="19"/>
      <c r="V61" s="19"/>
    </row>
    <row r="62" spans="1:23" ht="15.75" customHeight="1">
      <c r="A62" s="13">
        <v>49</v>
      </c>
      <c r="B62" s="703" t="s">
        <v>378</v>
      </c>
      <c r="C62" s="24">
        <f>SUM(C58:C61)</f>
        <v>897</v>
      </c>
      <c r="D62" s="42">
        <f t="shared" ref="D62:U62" si="28">SUM(D58:D61)</f>
        <v>3</v>
      </c>
      <c r="E62" s="42">
        <f t="shared" si="28"/>
        <v>-16</v>
      </c>
      <c r="F62" s="42">
        <f t="shared" si="28"/>
        <v>85</v>
      </c>
      <c r="G62" s="42">
        <f t="shared" si="28"/>
        <v>-20</v>
      </c>
      <c r="H62" s="42">
        <f t="shared" ref="H62" si="29">SUM(H58:H61)</f>
        <v>-38</v>
      </c>
      <c r="I62" s="42">
        <f>SUM(I58:I61)</f>
        <v>830</v>
      </c>
      <c r="J62" s="42">
        <f t="shared" si="28"/>
        <v>-2</v>
      </c>
      <c r="K62" s="42">
        <f t="shared" si="28"/>
        <v>128</v>
      </c>
      <c r="L62" s="42">
        <f t="shared" si="28"/>
        <v>-15</v>
      </c>
      <c r="M62" s="42">
        <f t="shared" si="28"/>
        <v>-65</v>
      </c>
      <c r="N62" s="42">
        <f t="shared" si="28"/>
        <v>-10</v>
      </c>
      <c r="O62" s="42">
        <f t="shared" si="28"/>
        <v>1</v>
      </c>
      <c r="P62" s="42">
        <f t="shared" si="28"/>
        <v>0</v>
      </c>
      <c r="Q62" s="42">
        <f t="shared" si="28"/>
        <v>0</v>
      </c>
      <c r="R62" s="42">
        <f t="shared" si="28"/>
        <v>-1</v>
      </c>
      <c r="S62" s="42">
        <f t="shared" si="28"/>
        <v>31</v>
      </c>
      <c r="T62" s="42">
        <f t="shared" si="28"/>
        <v>-23</v>
      </c>
      <c r="U62" s="42">
        <f t="shared" si="28"/>
        <v>-98</v>
      </c>
      <c r="V62" s="42">
        <f>SUM(V58:V61)</f>
        <v>107</v>
      </c>
    </row>
    <row r="63" spans="1:23" ht="15.75" customHeight="1">
      <c r="A63" s="272">
        <v>50</v>
      </c>
      <c r="B63" s="10"/>
      <c r="D63" s="34"/>
      <c r="E63" s="34"/>
      <c r="O63" s="39"/>
      <c r="V63" s="39"/>
    </row>
    <row r="64" spans="1:23" ht="15.75" customHeight="1" thickBot="1">
      <c r="A64" s="13">
        <v>51</v>
      </c>
      <c r="B64" s="55" t="s">
        <v>56</v>
      </c>
      <c r="C64" s="22">
        <f>C55-C62</f>
        <v>1800</v>
      </c>
      <c r="D64" s="317">
        <f t="shared" ref="D64:U64" si="30">D55-D62</f>
        <v>-3</v>
      </c>
      <c r="E64" s="317">
        <f t="shared" si="30"/>
        <v>-29</v>
      </c>
      <c r="F64" s="317">
        <f t="shared" si="30"/>
        <v>-173</v>
      </c>
      <c r="G64" s="317">
        <f t="shared" si="30"/>
        <v>20</v>
      </c>
      <c r="H64" s="317">
        <f t="shared" ref="H64" si="31">H55-H62</f>
        <v>38</v>
      </c>
      <c r="I64" s="317">
        <f>I55-I62</f>
        <v>1540</v>
      </c>
      <c r="J64" s="317">
        <f t="shared" si="30"/>
        <v>-5</v>
      </c>
      <c r="K64" s="317">
        <f t="shared" si="30"/>
        <v>237</v>
      </c>
      <c r="L64" s="317">
        <f t="shared" si="30"/>
        <v>-29</v>
      </c>
      <c r="M64" s="317">
        <f t="shared" si="30"/>
        <v>-121</v>
      </c>
      <c r="N64" s="317">
        <f t="shared" si="30"/>
        <v>10</v>
      </c>
      <c r="O64" s="317">
        <f t="shared" si="30"/>
        <v>2</v>
      </c>
      <c r="P64" s="317">
        <f t="shared" si="30"/>
        <v>0</v>
      </c>
      <c r="Q64" s="317">
        <f t="shared" si="30"/>
        <v>1</v>
      </c>
      <c r="R64" s="317">
        <f t="shared" si="30"/>
        <v>-1</v>
      </c>
      <c r="S64" s="317">
        <f t="shared" si="30"/>
        <v>58</v>
      </c>
      <c r="T64" s="317">
        <f t="shared" si="30"/>
        <v>-43</v>
      </c>
      <c r="U64" s="317">
        <f t="shared" si="30"/>
        <v>98</v>
      </c>
      <c r="V64" s="317">
        <f>V55-V62</f>
        <v>200</v>
      </c>
    </row>
    <row r="65" spans="1:23" ht="15.75" customHeight="1" thickTop="1">
      <c r="A65" s="13">
        <v>52</v>
      </c>
      <c r="B65" s="749"/>
      <c r="C65" s="750"/>
      <c r="D65" s="750"/>
      <c r="E65" s="750"/>
      <c r="F65" s="55"/>
      <c r="G65" s="55"/>
      <c r="H65" s="55"/>
      <c r="I65" s="55"/>
      <c r="J65" s="55"/>
      <c r="K65" s="55"/>
      <c r="L65" s="55"/>
      <c r="M65" s="55"/>
      <c r="N65" s="55"/>
      <c r="O65" s="55"/>
      <c r="Q65" s="55"/>
      <c r="R65" s="55"/>
      <c r="S65" s="55"/>
      <c r="T65" s="55"/>
      <c r="U65" s="55"/>
      <c r="V65" s="55"/>
    </row>
    <row r="66" spans="1:23" ht="15.75" customHeight="1">
      <c r="A66" s="13">
        <v>53</v>
      </c>
      <c r="B66" s="708" t="s">
        <v>57</v>
      </c>
      <c r="D66" s="34"/>
      <c r="E66" s="34"/>
      <c r="O66" s="39"/>
      <c r="Q66" s="309"/>
    </row>
    <row r="67" spans="1:23" ht="15.75" customHeight="1">
      <c r="A67" s="272">
        <v>54</v>
      </c>
      <c r="B67" s="10" t="s">
        <v>58</v>
      </c>
      <c r="D67" s="318"/>
      <c r="E67" s="318"/>
      <c r="F67" s="20"/>
      <c r="G67" s="20"/>
      <c r="H67" s="20"/>
      <c r="I67" s="20"/>
      <c r="J67" s="20"/>
      <c r="K67" s="20"/>
      <c r="L67" s="20"/>
      <c r="M67" s="20"/>
      <c r="N67" s="20"/>
      <c r="O67" s="20"/>
      <c r="Q67" s="319"/>
      <c r="R67" s="20"/>
      <c r="S67" s="20"/>
      <c r="T67" s="20"/>
      <c r="U67" s="20"/>
      <c r="V67" s="319"/>
    </row>
    <row r="68" spans="1:23" ht="15.75" customHeight="1">
      <c r="A68" s="13">
        <v>55</v>
      </c>
      <c r="B68" s="702" t="s">
        <v>40</v>
      </c>
      <c r="C68" s="199">
        <f>SUM(D68:V68)</f>
        <v>0</v>
      </c>
      <c r="D68" s="56"/>
      <c r="E68" s="56"/>
      <c r="F68" s="16"/>
      <c r="G68" s="16"/>
      <c r="H68" s="16"/>
      <c r="I68" s="16"/>
      <c r="J68" s="16"/>
      <c r="K68" s="16"/>
      <c r="L68" s="16"/>
      <c r="M68" s="16"/>
      <c r="N68" s="16"/>
      <c r="O68" s="16"/>
      <c r="Q68" s="320"/>
      <c r="R68" s="16"/>
      <c r="S68" s="16"/>
      <c r="T68" s="16"/>
      <c r="U68" s="16"/>
      <c r="V68" s="320"/>
    </row>
    <row r="69" spans="1:23" ht="15.75" customHeight="1">
      <c r="A69" s="13">
        <v>56</v>
      </c>
      <c r="B69" s="702" t="s">
        <v>59</v>
      </c>
      <c r="C69" s="199">
        <f t="shared" ref="C69:C70" si="32">SUM(D69:V69)</f>
        <v>0</v>
      </c>
      <c r="D69" s="41"/>
      <c r="E69" s="41"/>
      <c r="F69" s="15"/>
      <c r="G69" s="15"/>
      <c r="H69" s="15"/>
      <c r="I69" s="15"/>
      <c r="J69" s="15"/>
      <c r="K69" s="15"/>
      <c r="L69" s="15"/>
      <c r="M69" s="15"/>
      <c r="N69" s="15"/>
      <c r="O69" s="15"/>
      <c r="Q69" s="321"/>
      <c r="R69" s="15"/>
      <c r="S69" s="15"/>
      <c r="T69" s="15"/>
      <c r="U69" s="15"/>
      <c r="V69" s="321"/>
    </row>
    <row r="70" spans="1:23" ht="15.75" customHeight="1">
      <c r="A70" s="13">
        <v>57</v>
      </c>
      <c r="B70" s="702" t="s">
        <v>60</v>
      </c>
      <c r="C70" s="552">
        <f t="shared" si="32"/>
        <v>0</v>
      </c>
      <c r="D70" s="41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547"/>
      <c r="Q70" s="322"/>
      <c r="R70" s="19"/>
      <c r="S70" s="19"/>
      <c r="T70" s="19"/>
      <c r="U70" s="19"/>
      <c r="V70" s="322"/>
    </row>
    <row r="71" spans="1:23" ht="15.75" customHeight="1">
      <c r="A71" s="272">
        <v>58</v>
      </c>
      <c r="B71" s="705" t="s">
        <v>61</v>
      </c>
      <c r="C71" s="24">
        <f t="shared" ref="C71:T71" si="33">SUM(C68:C70)</f>
        <v>0</v>
      </c>
      <c r="D71" s="42">
        <f t="shared" si="33"/>
        <v>0</v>
      </c>
      <c r="E71" s="41"/>
      <c r="F71" s="15">
        <f t="shared" si="33"/>
        <v>0</v>
      </c>
      <c r="G71" s="15">
        <f t="shared" si="33"/>
        <v>0</v>
      </c>
      <c r="H71" s="15">
        <f t="shared" ref="H71" si="34">SUM(H68:H70)</f>
        <v>0</v>
      </c>
      <c r="I71" s="15">
        <f>SUM(I68:I70)</f>
        <v>0</v>
      </c>
      <c r="J71" s="15">
        <f t="shared" si="33"/>
        <v>0</v>
      </c>
      <c r="K71" s="15">
        <f t="shared" si="33"/>
        <v>0</v>
      </c>
      <c r="L71" s="15">
        <f t="shared" si="33"/>
        <v>0</v>
      </c>
      <c r="M71" s="15">
        <f t="shared" si="33"/>
        <v>0</v>
      </c>
      <c r="N71" s="15">
        <f t="shared" si="33"/>
        <v>0</v>
      </c>
      <c r="O71" s="15">
        <f t="shared" si="33"/>
        <v>0</v>
      </c>
      <c r="P71" s="15">
        <f t="shared" si="33"/>
        <v>0</v>
      </c>
      <c r="Q71" s="15">
        <f t="shared" si="33"/>
        <v>0</v>
      </c>
      <c r="R71" s="15">
        <f t="shared" si="33"/>
        <v>0</v>
      </c>
      <c r="S71" s="15">
        <f t="shared" si="33"/>
        <v>0</v>
      </c>
      <c r="T71" s="15">
        <f t="shared" si="33"/>
        <v>0</v>
      </c>
      <c r="U71" s="15">
        <f>SUM(U68:U70)</f>
        <v>0</v>
      </c>
      <c r="V71" s="15">
        <f>SUM(V68:V70)</f>
        <v>0</v>
      </c>
    </row>
    <row r="72" spans="1:23" ht="15.75" customHeight="1">
      <c r="A72" s="13">
        <v>59</v>
      </c>
      <c r="B72" s="705"/>
      <c r="C72" s="24"/>
      <c r="D72" s="41"/>
      <c r="E72" s="41"/>
      <c r="F72" s="15"/>
      <c r="G72" s="15"/>
      <c r="H72" s="15"/>
      <c r="I72" s="15"/>
      <c r="J72" s="15"/>
      <c r="K72" s="15"/>
      <c r="L72" s="15"/>
      <c r="M72" s="15"/>
      <c r="N72" s="15"/>
      <c r="O72" s="15"/>
      <c r="Q72" s="15"/>
      <c r="R72" s="15"/>
      <c r="S72" s="15"/>
      <c r="T72" s="15"/>
      <c r="U72" s="15"/>
      <c r="V72" s="15"/>
    </row>
    <row r="73" spans="1:23" s="10" customFormat="1" ht="15.75" customHeight="1">
      <c r="A73" s="13">
        <v>60</v>
      </c>
      <c r="B73" s="704" t="s">
        <v>62</v>
      </c>
      <c r="C73" s="24"/>
      <c r="D73" s="41"/>
      <c r="E73" s="41"/>
      <c r="F73" s="15"/>
      <c r="G73" s="15"/>
      <c r="H73" s="15"/>
      <c r="I73" s="15"/>
      <c r="J73" s="15"/>
      <c r="K73" s="15"/>
      <c r="L73" s="15"/>
      <c r="M73" s="15"/>
      <c r="N73" s="15"/>
      <c r="O73" s="15"/>
      <c r="Q73" s="15"/>
      <c r="R73" s="15"/>
      <c r="S73" s="15"/>
      <c r="T73" s="15"/>
      <c r="U73" s="15"/>
      <c r="V73" s="15"/>
      <c r="W73" s="25"/>
    </row>
    <row r="74" spans="1:23" ht="15.75" customHeight="1">
      <c r="A74" s="13">
        <v>61</v>
      </c>
      <c r="B74" s="702" t="s">
        <v>40</v>
      </c>
      <c r="C74" s="24">
        <f>SUM(D74:V74)</f>
        <v>0</v>
      </c>
      <c r="D74" s="41"/>
      <c r="E74" s="41"/>
      <c r="F74" s="15"/>
      <c r="G74" s="15"/>
      <c r="H74" s="15"/>
      <c r="I74" s="15"/>
      <c r="J74" s="15"/>
      <c r="K74" s="15"/>
      <c r="L74" s="15"/>
      <c r="M74" s="15"/>
      <c r="N74" s="15"/>
      <c r="O74" s="15"/>
      <c r="Q74" s="15"/>
      <c r="R74" s="15"/>
      <c r="S74" s="15"/>
      <c r="T74" s="15"/>
      <c r="U74" s="15"/>
      <c r="V74" s="15"/>
    </row>
    <row r="75" spans="1:23" ht="15.75" customHeight="1">
      <c r="A75" s="272">
        <v>62</v>
      </c>
      <c r="B75" s="702" t="s">
        <v>59</v>
      </c>
      <c r="C75" s="24">
        <f t="shared" ref="C75:C76" si="35">SUM(D75:V75)</f>
        <v>0</v>
      </c>
      <c r="D75" s="41"/>
      <c r="E75" s="41"/>
      <c r="F75" s="15"/>
      <c r="G75" s="15"/>
      <c r="H75" s="15"/>
      <c r="I75" s="15"/>
      <c r="J75" s="15"/>
      <c r="K75" s="15"/>
      <c r="L75" s="15"/>
      <c r="M75" s="15"/>
      <c r="N75" s="15"/>
      <c r="O75" s="15"/>
      <c r="Q75" s="15"/>
      <c r="R75" s="15"/>
      <c r="S75" s="15"/>
      <c r="T75" s="15"/>
      <c r="U75" s="15"/>
      <c r="V75" s="15"/>
    </row>
    <row r="76" spans="1:23" ht="15.75" customHeight="1">
      <c r="A76" s="13">
        <v>63</v>
      </c>
      <c r="B76" s="702" t="s">
        <v>60</v>
      </c>
      <c r="C76" s="18">
        <f t="shared" si="35"/>
        <v>0</v>
      </c>
      <c r="D76" s="41"/>
      <c r="E76" s="41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547"/>
      <c r="Q76" s="15"/>
      <c r="R76" s="15"/>
      <c r="S76" s="15"/>
      <c r="T76" s="15"/>
      <c r="U76" s="15"/>
      <c r="V76" s="15"/>
    </row>
    <row r="77" spans="1:23" s="14" customFormat="1" ht="15.75" customHeight="1">
      <c r="A77" s="13">
        <v>64</v>
      </c>
      <c r="B77" s="705" t="s">
        <v>379</v>
      </c>
      <c r="C77" s="24">
        <f t="shared" ref="C77:T77" si="36">SUM(C74:C76)</f>
        <v>0</v>
      </c>
      <c r="D77" s="42">
        <f t="shared" si="36"/>
        <v>0</v>
      </c>
      <c r="E77" s="42"/>
      <c r="F77" s="42">
        <f t="shared" si="36"/>
        <v>0</v>
      </c>
      <c r="G77" s="42">
        <f t="shared" si="36"/>
        <v>0</v>
      </c>
      <c r="H77" s="42">
        <f t="shared" ref="H77" si="37">SUM(H74:H76)</f>
        <v>0</v>
      </c>
      <c r="I77" s="42">
        <f>SUM(I74:I76)</f>
        <v>0</v>
      </c>
      <c r="J77" s="42">
        <f t="shared" si="36"/>
        <v>0</v>
      </c>
      <c r="K77" s="42">
        <f t="shared" si="36"/>
        <v>0</v>
      </c>
      <c r="L77" s="42">
        <f t="shared" si="36"/>
        <v>0</v>
      </c>
      <c r="M77" s="42">
        <f t="shared" si="36"/>
        <v>0</v>
      </c>
      <c r="N77" s="42">
        <f t="shared" si="36"/>
        <v>0</v>
      </c>
      <c r="O77" s="42">
        <f t="shared" si="36"/>
        <v>0</v>
      </c>
      <c r="P77" s="42">
        <f t="shared" si="36"/>
        <v>0</v>
      </c>
      <c r="Q77" s="42">
        <f t="shared" si="36"/>
        <v>0</v>
      </c>
      <c r="R77" s="42">
        <f t="shared" si="36"/>
        <v>0</v>
      </c>
      <c r="S77" s="42">
        <f t="shared" si="36"/>
        <v>0</v>
      </c>
      <c r="T77" s="42">
        <f t="shared" si="36"/>
        <v>0</v>
      </c>
      <c r="U77" s="42">
        <f>SUM(U74:U76)</f>
        <v>0</v>
      </c>
      <c r="V77" s="42">
        <f>SUM(V74:V76)</f>
        <v>0</v>
      </c>
      <c r="W77" s="23"/>
    </row>
    <row r="78" spans="1:23" s="14" customFormat="1" ht="15.75" customHeight="1">
      <c r="A78" s="13">
        <v>65</v>
      </c>
      <c r="B78" s="705"/>
      <c r="C78" s="24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Q78" s="41"/>
      <c r="R78" s="41"/>
      <c r="S78" s="41"/>
      <c r="T78" s="41"/>
      <c r="U78" s="41"/>
      <c r="V78" s="41"/>
      <c r="W78" s="23"/>
    </row>
    <row r="79" spans="1:23" ht="15.75" customHeight="1">
      <c r="A79" s="272">
        <v>66</v>
      </c>
      <c r="B79" s="704" t="s">
        <v>54</v>
      </c>
      <c r="C79" s="24">
        <f>SUM(D79:V79)</f>
        <v>-297</v>
      </c>
      <c r="D79" s="41">
        <v>-297</v>
      </c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Q79" s="41"/>
      <c r="R79" s="41"/>
      <c r="S79" s="41"/>
      <c r="T79" s="41"/>
      <c r="U79" s="41"/>
      <c r="V79" s="41"/>
    </row>
    <row r="80" spans="1:23" ht="15.75" customHeight="1">
      <c r="A80" s="13">
        <v>67</v>
      </c>
      <c r="B80" s="704" t="s">
        <v>115</v>
      </c>
      <c r="C80" s="24">
        <f t="shared" ref="C80:C83" si="38">SUM(D80:V80)</f>
        <v>-10773</v>
      </c>
      <c r="D80" s="41"/>
      <c r="E80" s="41"/>
      <c r="F80" s="41">
        <f>'Cover-Gas'!F76</f>
        <v>-10773</v>
      </c>
      <c r="G80" s="41"/>
      <c r="H80" s="41"/>
      <c r="I80" s="15"/>
      <c r="J80" s="15"/>
      <c r="K80" s="15"/>
      <c r="L80" s="15"/>
      <c r="M80" s="15"/>
      <c r="N80" s="15"/>
      <c r="O80" s="15"/>
      <c r="Q80" s="15"/>
      <c r="R80" s="15"/>
      <c r="S80" s="15"/>
      <c r="T80" s="15"/>
      <c r="U80" s="15"/>
      <c r="V80" s="15"/>
    </row>
    <row r="81" spans="1:23" ht="15.75" customHeight="1">
      <c r="A81" s="13">
        <v>68</v>
      </c>
      <c r="B81" s="704" t="s">
        <v>380</v>
      </c>
      <c r="C81" s="24">
        <f t="shared" si="38"/>
        <v>14</v>
      </c>
      <c r="D81" s="41"/>
      <c r="E81" s="41">
        <v>14</v>
      </c>
      <c r="F81" s="41"/>
      <c r="G81" s="41"/>
      <c r="H81" s="41"/>
      <c r="I81" s="41"/>
      <c r="J81" s="41"/>
      <c r="K81" s="41"/>
      <c r="L81" s="41"/>
      <c r="M81" s="41"/>
      <c r="N81" s="41"/>
      <c r="O81" s="41"/>
      <c r="Q81" s="41"/>
      <c r="R81" s="41"/>
      <c r="S81" s="41"/>
      <c r="T81" s="41"/>
      <c r="U81" s="41"/>
      <c r="V81" s="41"/>
    </row>
    <row r="82" spans="1:23" ht="15.75" customHeight="1">
      <c r="A82" s="13">
        <v>69</v>
      </c>
      <c r="B82" s="704" t="s">
        <v>384</v>
      </c>
      <c r="C82" s="24">
        <f t="shared" si="38"/>
        <v>-2</v>
      </c>
      <c r="D82" s="41"/>
      <c r="E82" s="41">
        <v>-2</v>
      </c>
      <c r="F82" s="15"/>
      <c r="G82" s="15"/>
      <c r="H82" s="15"/>
      <c r="I82" s="15"/>
      <c r="J82" s="15"/>
      <c r="K82" s="15"/>
      <c r="L82" s="15"/>
      <c r="M82" s="15"/>
      <c r="N82" s="15"/>
      <c r="O82" s="15"/>
      <c r="Q82" s="15"/>
      <c r="R82" s="15"/>
      <c r="S82" s="15"/>
      <c r="T82" s="15"/>
      <c r="U82" s="15"/>
      <c r="V82" s="15"/>
    </row>
    <row r="83" spans="1:23" ht="15.75" customHeight="1">
      <c r="A83" s="272">
        <v>70</v>
      </c>
      <c r="B83" s="704" t="s">
        <v>167</v>
      </c>
      <c r="C83" s="18">
        <f t="shared" si="38"/>
        <v>3568</v>
      </c>
      <c r="D83" s="19"/>
      <c r="E83" s="19"/>
      <c r="F83" s="19"/>
      <c r="G83" s="19"/>
      <c r="H83" s="19">
        <f>'ADJ 1.05'!E61</f>
        <v>3568</v>
      </c>
      <c r="I83" s="19"/>
      <c r="J83" s="19"/>
      <c r="K83" s="19"/>
      <c r="L83" s="19"/>
      <c r="M83" s="19"/>
      <c r="N83" s="19"/>
      <c r="O83" s="19"/>
      <c r="P83" s="547"/>
      <c r="Q83" s="19"/>
      <c r="R83" s="19"/>
      <c r="S83" s="19"/>
      <c r="T83" s="19"/>
      <c r="U83" s="19"/>
      <c r="V83" s="19"/>
    </row>
    <row r="84" spans="1:23" ht="15.75" customHeight="1">
      <c r="A84" s="13">
        <v>71</v>
      </c>
      <c r="B84" s="709"/>
    </row>
    <row r="85" spans="1:23" ht="15.75" customHeight="1" thickBot="1">
      <c r="A85" s="13">
        <v>72</v>
      </c>
      <c r="B85" s="710" t="s">
        <v>63</v>
      </c>
      <c r="C85" s="22">
        <f t="shared" ref="C85:I85" si="39">C71-C77+C79+C80+C81+C82+C83</f>
        <v>-7490</v>
      </c>
      <c r="D85" s="317">
        <f t="shared" si="39"/>
        <v>-297</v>
      </c>
      <c r="E85" s="317">
        <f t="shared" si="39"/>
        <v>12</v>
      </c>
      <c r="F85" s="317">
        <f t="shared" si="39"/>
        <v>-10773</v>
      </c>
      <c r="G85" s="317">
        <f t="shared" si="39"/>
        <v>0</v>
      </c>
      <c r="H85" s="317">
        <f t="shared" ref="H85" si="40">H71-H77+H79+H80+H81+H82+H83</f>
        <v>3568</v>
      </c>
      <c r="I85" s="317">
        <f t="shared" si="39"/>
        <v>0</v>
      </c>
      <c r="J85" s="317">
        <f t="shared" ref="J85:U85" si="41">J71-J77+J79+J80+J81+J82+J83</f>
        <v>0</v>
      </c>
      <c r="K85" s="317">
        <f t="shared" si="41"/>
        <v>0</v>
      </c>
      <c r="L85" s="317">
        <f t="shared" si="41"/>
        <v>0</v>
      </c>
      <c r="M85" s="317">
        <f t="shared" si="41"/>
        <v>0</v>
      </c>
      <c r="N85" s="317">
        <f t="shared" si="41"/>
        <v>0</v>
      </c>
      <c r="O85" s="317">
        <f>O71-O77+O79+O80+O81+O82+O83</f>
        <v>0</v>
      </c>
      <c r="P85" s="317">
        <f>P71-P77+P79+P80+P81+P82+P83</f>
        <v>0</v>
      </c>
      <c r="Q85" s="317">
        <f t="shared" si="41"/>
        <v>0</v>
      </c>
      <c r="R85" s="317">
        <f t="shared" si="41"/>
        <v>0</v>
      </c>
      <c r="S85" s="317">
        <f t="shared" si="41"/>
        <v>0</v>
      </c>
      <c r="T85" s="317">
        <f t="shared" si="41"/>
        <v>0</v>
      </c>
      <c r="U85" s="317">
        <f t="shared" si="41"/>
        <v>0</v>
      </c>
      <c r="V85" s="317">
        <f>V71-V77+V79+V80+V81+V82+V83</f>
        <v>0</v>
      </c>
    </row>
    <row r="86" spans="1:23" ht="15.75" customHeight="1" thickTop="1">
      <c r="A86" s="13"/>
      <c r="B86" s="194"/>
      <c r="C86" s="28"/>
      <c r="D86" s="34"/>
      <c r="E86" s="34"/>
      <c r="O86" s="39"/>
      <c r="Q86" s="309"/>
    </row>
    <row r="87" spans="1:23" s="4" customFormat="1" ht="15.75" customHeight="1">
      <c r="A87" s="51"/>
      <c r="B87" s="3"/>
      <c r="C87" s="38"/>
      <c r="D87" s="34"/>
      <c r="E87" s="34"/>
      <c r="F87" s="39"/>
      <c r="G87" s="39"/>
      <c r="H87" s="39"/>
      <c r="I87" s="39"/>
      <c r="J87" s="39"/>
      <c r="K87" s="39"/>
      <c r="L87" s="39"/>
      <c r="M87" s="39"/>
      <c r="N87" s="39"/>
      <c r="O87" s="39"/>
      <c r="Q87" s="309"/>
      <c r="R87" s="39"/>
      <c r="S87" s="39"/>
      <c r="T87" s="39"/>
      <c r="U87" s="39"/>
      <c r="V87" s="309"/>
      <c r="W87" s="1"/>
    </row>
    <row r="88" spans="1:23" s="4" customFormat="1" ht="15.75" customHeight="1">
      <c r="A88" s="51"/>
      <c r="B88" s="711"/>
      <c r="C88" s="38"/>
      <c r="D88" s="34"/>
      <c r="E88" s="34"/>
      <c r="F88" s="39"/>
      <c r="G88" s="39"/>
      <c r="H88" s="39"/>
      <c r="I88" s="39"/>
      <c r="J88" s="39"/>
      <c r="K88" s="39"/>
      <c r="L88" s="39"/>
      <c r="M88" s="39"/>
      <c r="N88" s="39"/>
      <c r="O88" s="39"/>
      <c r="Q88" s="309"/>
      <c r="R88" s="39"/>
      <c r="S88" s="39"/>
      <c r="T88" s="39"/>
      <c r="U88" s="39"/>
      <c r="V88" s="309"/>
      <c r="W88" s="1"/>
    </row>
    <row r="89" spans="1:23" ht="15.75" customHeight="1">
      <c r="A89" s="13">
        <v>1</v>
      </c>
      <c r="B89" s="712" t="s">
        <v>385</v>
      </c>
      <c r="C89" s="29"/>
      <c r="D89" s="29"/>
      <c r="E89" s="29"/>
      <c r="F89" s="29"/>
      <c r="G89" s="29"/>
      <c r="H89" s="29"/>
      <c r="I89" s="29"/>
      <c r="O89" s="39"/>
      <c r="Q89" s="309"/>
    </row>
    <row r="90" spans="1:23" ht="15.75" customHeight="1">
      <c r="A90" s="13">
        <v>2</v>
      </c>
      <c r="B90" s="713" t="s">
        <v>148</v>
      </c>
      <c r="C90" s="35">
        <f>SUM(D90:V90)</f>
        <v>-119521</v>
      </c>
      <c r="D90" s="55">
        <f>+D18</f>
        <v>0</v>
      </c>
      <c r="E90" s="55">
        <f>+E18</f>
        <v>0</v>
      </c>
      <c r="F90" s="55">
        <f>+F18</f>
        <v>0</v>
      </c>
      <c r="G90" s="55">
        <f>+G18</f>
        <v>0</v>
      </c>
      <c r="H90" s="55">
        <f>+H18</f>
        <v>0</v>
      </c>
      <c r="I90" s="55">
        <f t="shared" ref="I90:U90" si="42">+I18</f>
        <v>-113469</v>
      </c>
      <c r="J90" s="55">
        <f t="shared" si="42"/>
        <v>-6052</v>
      </c>
      <c r="K90" s="55">
        <f t="shared" si="42"/>
        <v>0</v>
      </c>
      <c r="L90" s="55">
        <f t="shared" si="42"/>
        <v>0</v>
      </c>
      <c r="M90" s="55">
        <f t="shared" si="42"/>
        <v>0</v>
      </c>
      <c r="N90" s="55">
        <f t="shared" si="42"/>
        <v>0</v>
      </c>
      <c r="O90" s="55">
        <f t="shared" si="42"/>
        <v>0</v>
      </c>
      <c r="P90" s="55">
        <f t="shared" si="42"/>
        <v>0</v>
      </c>
      <c r="Q90" s="55">
        <f t="shared" si="42"/>
        <v>0</v>
      </c>
      <c r="R90" s="55">
        <f t="shared" si="42"/>
        <v>0</v>
      </c>
      <c r="S90" s="55">
        <f t="shared" si="42"/>
        <v>0</v>
      </c>
      <c r="T90" s="55">
        <f t="shared" si="42"/>
        <v>0</v>
      </c>
      <c r="U90" s="55">
        <f t="shared" si="42"/>
        <v>0</v>
      </c>
      <c r="V90" s="55">
        <f>+V18</f>
        <v>0</v>
      </c>
    </row>
    <row r="91" spans="1:23" ht="15.75" customHeight="1">
      <c r="A91" s="13">
        <v>3</v>
      </c>
      <c r="B91" s="713" t="s">
        <v>97</v>
      </c>
      <c r="C91" s="35">
        <f t="shared" ref="C91:C92" si="43">SUM(D91:V91)</f>
        <v>-122218</v>
      </c>
      <c r="D91" s="41">
        <f>+D53</f>
        <v>0</v>
      </c>
      <c r="E91" s="41">
        <f t="shared" ref="E91:U91" si="44">+E53</f>
        <v>45</v>
      </c>
      <c r="F91" s="41">
        <f t="shared" si="44"/>
        <v>88</v>
      </c>
      <c r="G91" s="41">
        <f t="shared" si="44"/>
        <v>0</v>
      </c>
      <c r="H91" s="41">
        <f t="shared" ref="H91" si="45">+H53</f>
        <v>0</v>
      </c>
      <c r="I91" s="41">
        <f t="shared" si="44"/>
        <v>-115839</v>
      </c>
      <c r="J91" s="41">
        <f t="shared" si="44"/>
        <v>-6045</v>
      </c>
      <c r="K91" s="41">
        <f t="shared" si="44"/>
        <v>-365</v>
      </c>
      <c r="L91" s="41">
        <f t="shared" si="44"/>
        <v>44</v>
      </c>
      <c r="M91" s="41">
        <f t="shared" si="44"/>
        <v>186</v>
      </c>
      <c r="N91" s="41">
        <f t="shared" si="44"/>
        <v>0</v>
      </c>
      <c r="O91" s="41">
        <f t="shared" si="44"/>
        <v>-3</v>
      </c>
      <c r="P91" s="41">
        <f t="shared" si="44"/>
        <v>0</v>
      </c>
      <c r="Q91" s="41">
        <f t="shared" si="44"/>
        <v>-1</v>
      </c>
      <c r="R91" s="41">
        <f t="shared" si="44"/>
        <v>2</v>
      </c>
      <c r="S91" s="41">
        <f t="shared" si="44"/>
        <v>-89</v>
      </c>
      <c r="T91" s="41">
        <f t="shared" si="44"/>
        <v>66</v>
      </c>
      <c r="U91" s="41">
        <f t="shared" si="44"/>
        <v>0</v>
      </c>
      <c r="V91" s="41">
        <f>+V53</f>
        <v>-307</v>
      </c>
    </row>
    <row r="92" spans="1:23" ht="15.75" customHeight="1">
      <c r="A92" s="13">
        <v>4</v>
      </c>
      <c r="B92" s="713" t="s">
        <v>386</v>
      </c>
      <c r="C92" s="35">
        <f t="shared" si="43"/>
        <v>280</v>
      </c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547"/>
      <c r="Q92" s="41"/>
      <c r="R92" s="41"/>
      <c r="S92" s="41"/>
      <c r="T92" s="41"/>
      <c r="U92" s="41">
        <f>'Int Sch 5'!G26</f>
        <v>280</v>
      </c>
      <c r="V92" s="41"/>
    </row>
    <row r="93" spans="1:23" ht="15.75" customHeight="1">
      <c r="A93" s="13">
        <v>5</v>
      </c>
      <c r="B93" s="714" t="s">
        <v>387</v>
      </c>
      <c r="C93" s="31">
        <f>+C90-C91-C92</f>
        <v>2417</v>
      </c>
      <c r="D93" s="31">
        <f t="shared" ref="D93:U93" si="46">+D90-D91-D92</f>
        <v>0</v>
      </c>
      <c r="E93" s="31">
        <f t="shared" si="46"/>
        <v>-45</v>
      </c>
      <c r="F93" s="31">
        <f t="shared" si="46"/>
        <v>-88</v>
      </c>
      <c r="G93" s="31">
        <f t="shared" si="46"/>
        <v>0</v>
      </c>
      <c r="H93" s="31">
        <f t="shared" ref="H93" si="47">+H90-H91-H92</f>
        <v>0</v>
      </c>
      <c r="I93" s="31">
        <f t="shared" si="46"/>
        <v>2370</v>
      </c>
      <c r="J93" s="31">
        <f t="shared" si="46"/>
        <v>-7</v>
      </c>
      <c r="K93" s="31">
        <f t="shared" si="46"/>
        <v>365</v>
      </c>
      <c r="L93" s="31">
        <f t="shared" si="46"/>
        <v>-44</v>
      </c>
      <c r="M93" s="31">
        <f t="shared" si="46"/>
        <v>-186</v>
      </c>
      <c r="N93" s="31">
        <f t="shared" si="46"/>
        <v>0</v>
      </c>
      <c r="O93" s="31">
        <f t="shared" si="46"/>
        <v>3</v>
      </c>
      <c r="P93" s="31">
        <f t="shared" si="46"/>
        <v>0</v>
      </c>
      <c r="Q93" s="31">
        <f t="shared" si="46"/>
        <v>1</v>
      </c>
      <c r="R93" s="31">
        <f t="shared" si="46"/>
        <v>-2</v>
      </c>
      <c r="S93" s="31">
        <f t="shared" si="46"/>
        <v>89</v>
      </c>
      <c r="T93" s="31">
        <f t="shared" si="46"/>
        <v>-66</v>
      </c>
      <c r="U93" s="31">
        <f t="shared" si="46"/>
        <v>-280</v>
      </c>
      <c r="V93" s="31">
        <f>+V90-V91-V92</f>
        <v>307</v>
      </c>
    </row>
    <row r="94" spans="1:23" ht="15.75" customHeight="1">
      <c r="A94" s="13">
        <v>6</v>
      </c>
      <c r="B94" s="715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Q94" s="41"/>
      <c r="R94" s="41"/>
      <c r="S94" s="41"/>
      <c r="T94" s="41"/>
      <c r="U94" s="41"/>
      <c r="V94" s="41"/>
    </row>
    <row r="95" spans="1:23" ht="15.75" customHeight="1">
      <c r="A95" s="13">
        <v>7</v>
      </c>
      <c r="B95" s="713" t="s">
        <v>388</v>
      </c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Q95" s="44"/>
      <c r="R95" s="44"/>
      <c r="S95" s="44"/>
      <c r="T95" s="44"/>
      <c r="U95" s="44"/>
      <c r="V95" s="44"/>
    </row>
    <row r="96" spans="1:23" ht="15.75" customHeight="1">
      <c r="A96" s="13">
        <v>8</v>
      </c>
      <c r="B96" s="716" t="s">
        <v>389</v>
      </c>
      <c r="C96" s="24">
        <f>SUM(D96:V96)</f>
        <v>0</v>
      </c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Q96" s="44"/>
      <c r="R96" s="44"/>
      <c r="S96" s="44"/>
      <c r="T96" s="44"/>
      <c r="U96" s="44"/>
      <c r="V96" s="44"/>
    </row>
    <row r="97" spans="1:23" ht="15.75" customHeight="1">
      <c r="A97" s="13">
        <v>9</v>
      </c>
      <c r="B97" s="716" t="s">
        <v>390</v>
      </c>
      <c r="C97" s="24">
        <f t="shared" ref="C97:C98" si="48">SUM(D97:V97)</f>
        <v>0</v>
      </c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Q97" s="41"/>
      <c r="R97" s="41"/>
      <c r="S97" s="41"/>
      <c r="T97" s="41"/>
      <c r="U97" s="41"/>
      <c r="V97" s="41"/>
    </row>
    <row r="98" spans="1:23" ht="15.75" customHeight="1">
      <c r="A98" s="13">
        <v>10</v>
      </c>
      <c r="B98" s="717" t="s">
        <v>384</v>
      </c>
      <c r="C98" s="18">
        <f t="shared" si="48"/>
        <v>0</v>
      </c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547"/>
      <c r="Q98" s="41"/>
      <c r="R98" s="41"/>
      <c r="S98" s="41"/>
      <c r="T98" s="41"/>
      <c r="U98" s="41"/>
      <c r="V98" s="41"/>
    </row>
    <row r="99" spans="1:23" ht="15.75" customHeight="1">
      <c r="A99" s="13">
        <v>11</v>
      </c>
      <c r="B99" s="718" t="s">
        <v>391</v>
      </c>
      <c r="C99" s="19">
        <f t="shared" ref="C99:U99" si="49">SUM(C96:C98)</f>
        <v>0</v>
      </c>
      <c r="D99" s="42">
        <f t="shared" si="49"/>
        <v>0</v>
      </c>
      <c r="E99" s="31"/>
      <c r="F99" s="31">
        <f t="shared" si="49"/>
        <v>0</v>
      </c>
      <c r="G99" s="31"/>
      <c r="H99" s="31"/>
      <c r="I99" s="31"/>
      <c r="J99" s="31">
        <f t="shared" si="49"/>
        <v>0</v>
      </c>
      <c r="K99" s="31">
        <f t="shared" si="49"/>
        <v>0</v>
      </c>
      <c r="L99" s="31">
        <f t="shared" si="49"/>
        <v>0</v>
      </c>
      <c r="M99" s="31">
        <f t="shared" si="49"/>
        <v>0</v>
      </c>
      <c r="N99" s="31">
        <f t="shared" si="49"/>
        <v>0</v>
      </c>
      <c r="O99" s="31">
        <f t="shared" si="49"/>
        <v>0</v>
      </c>
      <c r="P99" s="31">
        <f t="shared" si="49"/>
        <v>0</v>
      </c>
      <c r="Q99" s="31">
        <f t="shared" si="49"/>
        <v>0</v>
      </c>
      <c r="R99" s="31">
        <f t="shared" si="49"/>
        <v>0</v>
      </c>
      <c r="S99" s="31">
        <f>SUM(S96:S98)</f>
        <v>0</v>
      </c>
      <c r="T99" s="31">
        <f>SUM(T96:T98)</f>
        <v>0</v>
      </c>
      <c r="U99" s="31">
        <f t="shared" si="49"/>
        <v>0</v>
      </c>
      <c r="V99" s="31">
        <f>SUM(V96:V98)</f>
        <v>0</v>
      </c>
    </row>
    <row r="100" spans="1:23" ht="15.75" customHeight="1">
      <c r="A100" s="13">
        <v>12</v>
      </c>
      <c r="B100" s="10"/>
      <c r="C100" s="41"/>
      <c r="D100" s="42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Q100" s="41"/>
      <c r="R100" s="41"/>
      <c r="S100" s="41"/>
      <c r="T100" s="41"/>
      <c r="U100" s="41"/>
      <c r="V100" s="41"/>
    </row>
    <row r="101" spans="1:23" ht="15.75" customHeight="1">
      <c r="A101" s="13">
        <v>13</v>
      </c>
      <c r="B101" s="719" t="s">
        <v>392</v>
      </c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Q101" s="44"/>
      <c r="R101" s="44"/>
      <c r="S101" s="44"/>
      <c r="T101" s="44"/>
      <c r="U101" s="44"/>
      <c r="V101" s="44"/>
    </row>
    <row r="102" spans="1:23" ht="15.75" customHeight="1">
      <c r="A102" s="13">
        <v>14</v>
      </c>
      <c r="B102" s="719" t="s">
        <v>393</v>
      </c>
      <c r="C102" s="24">
        <f>SUM(D102:V102)</f>
        <v>0</v>
      </c>
      <c r="D102" s="41"/>
      <c r="E102" s="41"/>
      <c r="F102" s="41">
        <v>0</v>
      </c>
      <c r="G102" s="41"/>
      <c r="H102" s="41"/>
      <c r="I102" s="41"/>
      <c r="J102" s="41">
        <v>0</v>
      </c>
      <c r="K102" s="41">
        <v>0</v>
      </c>
      <c r="L102" s="41">
        <v>0</v>
      </c>
      <c r="M102" s="41">
        <v>0</v>
      </c>
      <c r="N102" s="41">
        <v>0</v>
      </c>
      <c r="O102" s="41">
        <v>0</v>
      </c>
      <c r="Q102" s="41">
        <v>0</v>
      </c>
      <c r="R102" s="41">
        <v>0</v>
      </c>
      <c r="S102" s="41">
        <v>0</v>
      </c>
      <c r="T102" s="41">
        <v>0</v>
      </c>
      <c r="U102" s="41">
        <v>0</v>
      </c>
      <c r="V102" s="41">
        <v>0</v>
      </c>
    </row>
    <row r="103" spans="1:23" ht="15.75" customHeight="1">
      <c r="A103" s="13">
        <v>15</v>
      </c>
      <c r="B103" s="720" t="s">
        <v>394</v>
      </c>
      <c r="C103" s="18">
        <f>SUM(D103:V103)</f>
        <v>0</v>
      </c>
      <c r="D103" s="41"/>
      <c r="E103" s="41"/>
      <c r="F103" s="41">
        <v>0</v>
      </c>
      <c r="G103" s="41"/>
      <c r="H103" s="41"/>
      <c r="I103" s="41"/>
      <c r="J103" s="41">
        <v>0</v>
      </c>
      <c r="K103" s="41">
        <v>0</v>
      </c>
      <c r="L103" s="41">
        <v>0</v>
      </c>
      <c r="M103" s="41">
        <v>0</v>
      </c>
      <c r="N103" s="41">
        <v>0</v>
      </c>
      <c r="O103" s="41">
        <v>0</v>
      </c>
      <c r="P103" s="547"/>
      <c r="Q103" s="41">
        <v>0</v>
      </c>
      <c r="R103" s="41">
        <v>0</v>
      </c>
      <c r="S103" s="41">
        <v>0</v>
      </c>
      <c r="T103" s="41">
        <v>0</v>
      </c>
      <c r="U103" s="41">
        <v>0</v>
      </c>
      <c r="V103" s="41">
        <v>0</v>
      </c>
    </row>
    <row r="104" spans="1:23" ht="15.75" customHeight="1">
      <c r="A104" s="13">
        <v>16</v>
      </c>
      <c r="B104" s="717" t="s">
        <v>395</v>
      </c>
      <c r="C104" s="45">
        <f t="shared" ref="C104:U104" si="50">SUM(C102:C103)</f>
        <v>0</v>
      </c>
      <c r="D104" s="42">
        <f t="shared" si="50"/>
        <v>0</v>
      </c>
      <c r="E104" s="31"/>
      <c r="F104" s="31">
        <f t="shared" si="50"/>
        <v>0</v>
      </c>
      <c r="G104" s="31">
        <f t="shared" si="50"/>
        <v>0</v>
      </c>
      <c r="H104" s="31">
        <f t="shared" ref="H104" si="51">SUM(H102:H103)</f>
        <v>0</v>
      </c>
      <c r="I104" s="31"/>
      <c r="J104" s="31">
        <f t="shared" si="50"/>
        <v>0</v>
      </c>
      <c r="K104" s="31">
        <f t="shared" si="50"/>
        <v>0</v>
      </c>
      <c r="L104" s="31">
        <f t="shared" si="50"/>
        <v>0</v>
      </c>
      <c r="M104" s="31">
        <f t="shared" si="50"/>
        <v>0</v>
      </c>
      <c r="N104" s="31">
        <f t="shared" si="50"/>
        <v>0</v>
      </c>
      <c r="O104" s="31">
        <f t="shared" si="50"/>
        <v>0</v>
      </c>
      <c r="P104" s="31">
        <f t="shared" si="50"/>
        <v>0</v>
      </c>
      <c r="Q104" s="31">
        <f t="shared" si="50"/>
        <v>0</v>
      </c>
      <c r="R104" s="31">
        <f t="shared" si="50"/>
        <v>0</v>
      </c>
      <c r="S104" s="31">
        <f>SUM(S102:S103)</f>
        <v>0</v>
      </c>
      <c r="T104" s="31">
        <f>SUM(T102:T103)</f>
        <v>0</v>
      </c>
      <c r="U104" s="31">
        <f t="shared" si="50"/>
        <v>0</v>
      </c>
      <c r="V104" s="31">
        <f>SUM(V102:V103)</f>
        <v>0</v>
      </c>
    </row>
    <row r="105" spans="1:23" ht="15.75" customHeight="1">
      <c r="A105" s="13">
        <v>17</v>
      </c>
      <c r="B105" s="10"/>
      <c r="C105" s="44"/>
      <c r="D105" s="43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Q105" s="44"/>
      <c r="R105" s="44"/>
      <c r="S105" s="44"/>
      <c r="T105" s="44"/>
      <c r="U105" s="44"/>
      <c r="V105" s="44"/>
    </row>
    <row r="106" spans="1:23" ht="15.75" customHeight="1">
      <c r="A106" s="13">
        <v>18</v>
      </c>
      <c r="B106" s="721" t="s">
        <v>396</v>
      </c>
      <c r="C106" s="41">
        <f>+C93+C99+C104</f>
        <v>2417</v>
      </c>
      <c r="D106" s="41">
        <f t="shared" ref="D106:U106" si="52">+D93+D99+D104</f>
        <v>0</v>
      </c>
      <c r="E106" s="41">
        <f t="shared" si="52"/>
        <v>-45</v>
      </c>
      <c r="F106" s="41">
        <f t="shared" si="52"/>
        <v>-88</v>
      </c>
      <c r="G106" s="41">
        <f t="shared" si="52"/>
        <v>0</v>
      </c>
      <c r="H106" s="41">
        <f t="shared" ref="H106" si="53">+H93+H99+H104</f>
        <v>0</v>
      </c>
      <c r="I106" s="41">
        <f t="shared" si="52"/>
        <v>2370</v>
      </c>
      <c r="J106" s="41">
        <f t="shared" si="52"/>
        <v>-7</v>
      </c>
      <c r="K106" s="41">
        <f t="shared" si="52"/>
        <v>365</v>
      </c>
      <c r="L106" s="41">
        <f t="shared" si="52"/>
        <v>-44</v>
      </c>
      <c r="M106" s="41">
        <f t="shared" si="52"/>
        <v>-186</v>
      </c>
      <c r="N106" s="41">
        <f>+N93+N99+N104</f>
        <v>0</v>
      </c>
      <c r="O106" s="41">
        <f t="shared" si="52"/>
        <v>3</v>
      </c>
      <c r="P106" s="41">
        <f t="shared" si="52"/>
        <v>0</v>
      </c>
      <c r="Q106" s="41">
        <f t="shared" si="52"/>
        <v>1</v>
      </c>
      <c r="R106" s="41">
        <f t="shared" si="52"/>
        <v>-2</v>
      </c>
      <c r="S106" s="41">
        <f t="shared" si="52"/>
        <v>89</v>
      </c>
      <c r="T106" s="41">
        <f t="shared" si="52"/>
        <v>-66</v>
      </c>
      <c r="U106" s="41">
        <f t="shared" si="52"/>
        <v>-280</v>
      </c>
      <c r="V106" s="41">
        <f>+V93+V99+V104</f>
        <v>307</v>
      </c>
    </row>
    <row r="107" spans="1:23" ht="15.75" customHeight="1">
      <c r="A107" s="13">
        <v>19</v>
      </c>
      <c r="B107" s="721" t="s">
        <v>397</v>
      </c>
      <c r="C107" s="274">
        <v>0.35</v>
      </c>
      <c r="D107" s="44">
        <f>+$C$107</f>
        <v>0.35</v>
      </c>
      <c r="E107" s="323">
        <f>+$C$107</f>
        <v>0.35</v>
      </c>
      <c r="F107" s="323">
        <f t="shared" ref="F107:V107" si="54">+$C$107</f>
        <v>0.35</v>
      </c>
      <c r="G107" s="323">
        <f t="shared" si="54"/>
        <v>0.35</v>
      </c>
      <c r="H107" s="323">
        <f t="shared" si="54"/>
        <v>0.35</v>
      </c>
      <c r="I107" s="323">
        <f t="shared" si="54"/>
        <v>0.35</v>
      </c>
      <c r="J107" s="323">
        <f t="shared" si="54"/>
        <v>0.35</v>
      </c>
      <c r="K107" s="323">
        <f t="shared" si="54"/>
        <v>0.35</v>
      </c>
      <c r="L107" s="323">
        <f t="shared" si="54"/>
        <v>0.35</v>
      </c>
      <c r="M107" s="323">
        <f t="shared" si="54"/>
        <v>0.35</v>
      </c>
      <c r="N107" s="323">
        <f t="shared" si="54"/>
        <v>0.35</v>
      </c>
      <c r="O107" s="323">
        <f t="shared" si="54"/>
        <v>0.35</v>
      </c>
      <c r="P107" s="323">
        <f t="shared" si="54"/>
        <v>0.35</v>
      </c>
      <c r="Q107" s="323">
        <f t="shared" si="54"/>
        <v>0.35</v>
      </c>
      <c r="R107" s="323">
        <f t="shared" si="54"/>
        <v>0.35</v>
      </c>
      <c r="S107" s="323">
        <f t="shared" si="54"/>
        <v>0.35</v>
      </c>
      <c r="T107" s="323">
        <f t="shared" si="54"/>
        <v>0.35</v>
      </c>
      <c r="U107" s="323">
        <f t="shared" si="54"/>
        <v>0.35</v>
      </c>
      <c r="V107" s="323">
        <f t="shared" si="54"/>
        <v>0.35</v>
      </c>
    </row>
    <row r="108" spans="1:23" ht="15.75" customHeight="1">
      <c r="A108" s="13">
        <v>20</v>
      </c>
      <c r="B108" s="719" t="s">
        <v>377</v>
      </c>
      <c r="C108" s="44">
        <f>C106*C107</f>
        <v>845.94999999999993</v>
      </c>
      <c r="D108" s="42">
        <f t="shared" ref="D108:U108" si="55">D106*D107</f>
        <v>0</v>
      </c>
      <c r="E108" s="42">
        <f t="shared" si="55"/>
        <v>-15.749999999999998</v>
      </c>
      <c r="F108" s="42">
        <f t="shared" si="55"/>
        <v>-30.799999999999997</v>
      </c>
      <c r="G108" s="42"/>
      <c r="H108" s="42"/>
      <c r="I108" s="42">
        <f t="shared" si="55"/>
        <v>829.5</v>
      </c>
      <c r="J108" s="42">
        <f t="shared" si="55"/>
        <v>-2.4499999999999997</v>
      </c>
      <c r="K108" s="42">
        <f t="shared" si="55"/>
        <v>127.74999999999999</v>
      </c>
      <c r="L108" s="42">
        <f t="shared" si="55"/>
        <v>-15.399999999999999</v>
      </c>
      <c r="M108" s="42">
        <f t="shared" si="55"/>
        <v>-65.099999999999994</v>
      </c>
      <c r="N108" s="42">
        <f t="shared" si="55"/>
        <v>0</v>
      </c>
      <c r="O108" s="42">
        <f t="shared" si="55"/>
        <v>1.0499999999999998</v>
      </c>
      <c r="P108" s="42">
        <f t="shared" si="55"/>
        <v>0</v>
      </c>
      <c r="Q108" s="42">
        <f t="shared" si="55"/>
        <v>0.35</v>
      </c>
      <c r="R108" s="42">
        <f t="shared" si="55"/>
        <v>-0.7</v>
      </c>
      <c r="S108" s="42">
        <f t="shared" si="55"/>
        <v>31.15</v>
      </c>
      <c r="T108" s="42">
        <f t="shared" si="55"/>
        <v>-23.099999999999998</v>
      </c>
      <c r="U108" s="42">
        <f t="shared" si="55"/>
        <v>-98</v>
      </c>
      <c r="V108" s="42">
        <f>V106*V107</f>
        <v>107.44999999999999</v>
      </c>
    </row>
    <row r="109" spans="1:23" ht="15.75" customHeight="1">
      <c r="A109" s="13">
        <v>21</v>
      </c>
      <c r="B109" s="721" t="s">
        <v>398</v>
      </c>
      <c r="C109" s="19">
        <f>(C102+C103-C96)*C107</f>
        <v>0</v>
      </c>
      <c r="D109" s="41">
        <v>0</v>
      </c>
      <c r="E109" s="41"/>
      <c r="F109" s="19">
        <v>0</v>
      </c>
      <c r="G109" s="19"/>
      <c r="H109" s="19"/>
      <c r="I109" s="19"/>
      <c r="J109" s="19"/>
      <c r="K109" s="19"/>
      <c r="L109" s="19"/>
      <c r="M109" s="19"/>
      <c r="N109" s="19"/>
      <c r="O109" s="19"/>
      <c r="P109" s="547"/>
      <c r="Q109" s="19"/>
      <c r="R109" s="19"/>
      <c r="S109" s="19"/>
      <c r="T109" s="19"/>
      <c r="U109" s="19"/>
      <c r="V109" s="19"/>
    </row>
    <row r="110" spans="1:23" ht="15.75" customHeight="1" thickBot="1">
      <c r="A110" s="13">
        <v>22</v>
      </c>
      <c r="B110" s="722" t="s">
        <v>399</v>
      </c>
      <c r="C110" s="22">
        <f>+C108+C109</f>
        <v>845.94999999999993</v>
      </c>
      <c r="D110" s="324">
        <f>+D108+D109</f>
        <v>0</v>
      </c>
      <c r="E110" s="324">
        <f t="shared" ref="E110:U110" si="56">+E108+E109</f>
        <v>-15.749999999999998</v>
      </c>
      <c r="F110" s="324">
        <f t="shared" si="56"/>
        <v>-30.799999999999997</v>
      </c>
      <c r="G110" s="324">
        <f t="shared" si="56"/>
        <v>0</v>
      </c>
      <c r="H110" s="324">
        <f t="shared" ref="H110" si="57">+H108+H109</f>
        <v>0</v>
      </c>
      <c r="I110" s="324">
        <f t="shared" si="56"/>
        <v>829.5</v>
      </c>
      <c r="J110" s="324">
        <f t="shared" si="56"/>
        <v>-2.4499999999999997</v>
      </c>
      <c r="K110" s="324">
        <f t="shared" si="56"/>
        <v>127.74999999999999</v>
      </c>
      <c r="L110" s="324">
        <f t="shared" si="56"/>
        <v>-15.399999999999999</v>
      </c>
      <c r="M110" s="324">
        <f t="shared" si="56"/>
        <v>-65.099999999999994</v>
      </c>
      <c r="N110" s="324">
        <f t="shared" si="56"/>
        <v>0</v>
      </c>
      <c r="O110" s="324">
        <f t="shared" si="56"/>
        <v>1.0499999999999998</v>
      </c>
      <c r="P110" s="324">
        <f t="shared" si="56"/>
        <v>0</v>
      </c>
      <c r="Q110" s="324">
        <f t="shared" si="56"/>
        <v>0.35</v>
      </c>
      <c r="R110" s="324">
        <f t="shared" si="56"/>
        <v>-0.7</v>
      </c>
      <c r="S110" s="324">
        <f t="shared" si="56"/>
        <v>31.15</v>
      </c>
      <c r="T110" s="324">
        <f t="shared" si="56"/>
        <v>-23.099999999999998</v>
      </c>
      <c r="U110" s="324">
        <f t="shared" si="56"/>
        <v>-98</v>
      </c>
      <c r="V110" s="324">
        <f>+V108+V109</f>
        <v>107.44999999999999</v>
      </c>
    </row>
    <row r="111" spans="1:23" s="4" customFormat="1" ht="15.75" customHeight="1" thickTop="1">
      <c r="A111" s="37"/>
      <c r="B111" s="3"/>
      <c r="C111" s="3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Q111" s="309"/>
      <c r="R111" s="39"/>
      <c r="S111" s="39"/>
      <c r="T111" s="39"/>
      <c r="U111" s="39"/>
      <c r="V111" s="309"/>
      <c r="W111" s="1"/>
    </row>
    <row r="112" spans="1:23" s="4" customFormat="1" ht="15.75" customHeight="1">
      <c r="A112" s="40"/>
      <c r="C112" s="34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09"/>
      <c r="Q112" s="39"/>
      <c r="R112" s="39"/>
      <c r="S112" s="39"/>
      <c r="T112" s="39"/>
      <c r="U112" s="39"/>
      <c r="V112" s="309"/>
      <c r="W112" s="1"/>
    </row>
    <row r="113" spans="1:23" s="4" customFormat="1" ht="15.75" customHeight="1">
      <c r="A113" s="40"/>
      <c r="C113" s="34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09"/>
      <c r="Q113" s="39"/>
      <c r="R113" s="39"/>
      <c r="S113" s="39"/>
      <c r="T113" s="39"/>
      <c r="U113" s="39"/>
      <c r="V113" s="309"/>
      <c r="W113" s="1"/>
    </row>
    <row r="114" spans="1:23" s="4" customFormat="1" ht="15.75" customHeight="1">
      <c r="A114" s="40"/>
      <c r="C114" s="34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09"/>
      <c r="Q114" s="39"/>
      <c r="R114" s="39"/>
      <c r="S114" s="39"/>
      <c r="T114" s="39"/>
      <c r="U114" s="39"/>
      <c r="V114" s="309"/>
      <c r="W114" s="1"/>
    </row>
    <row r="115" spans="1:23" s="4" customFormat="1" ht="15.75" customHeight="1">
      <c r="A115" s="40"/>
      <c r="C115" s="34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09"/>
      <c r="Q115" s="39"/>
      <c r="R115" s="39"/>
      <c r="S115" s="39"/>
      <c r="T115" s="39"/>
      <c r="U115" s="39"/>
      <c r="V115" s="309"/>
      <c r="W115" s="1"/>
    </row>
    <row r="116" spans="1:23" s="4" customFormat="1" ht="15.75" customHeight="1">
      <c r="A116" s="40"/>
      <c r="C116" s="34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09"/>
      <c r="Q116" s="39"/>
      <c r="R116" s="39"/>
      <c r="S116" s="39"/>
      <c r="T116" s="39"/>
      <c r="U116" s="39"/>
      <c r="V116" s="309"/>
      <c r="W116" s="1"/>
    </row>
    <row r="117" spans="1:23" s="4" customFormat="1" ht="15.75" customHeight="1">
      <c r="A117" s="40"/>
      <c r="B117" s="723"/>
      <c r="C117" s="34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09"/>
      <c r="Q117" s="39"/>
      <c r="R117" s="39"/>
      <c r="S117" s="39"/>
      <c r="T117" s="39"/>
      <c r="U117" s="39"/>
      <c r="V117" s="309"/>
      <c r="W117" s="1"/>
    </row>
    <row r="118" spans="1:23" s="4" customFormat="1" ht="15.75" customHeight="1">
      <c r="A118" s="40"/>
      <c r="C118" s="34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09"/>
      <c r="Q118" s="39"/>
      <c r="R118" s="39"/>
      <c r="S118" s="39"/>
      <c r="T118" s="39"/>
      <c r="U118" s="39"/>
      <c r="V118" s="309"/>
      <c r="W118" s="1"/>
    </row>
    <row r="119" spans="1:23" s="4" customFormat="1" ht="15.75" customHeight="1">
      <c r="A119" s="40"/>
      <c r="C119" s="34"/>
      <c r="D119" s="34"/>
      <c r="E119" s="34"/>
      <c r="F119" s="34"/>
      <c r="G119" s="34"/>
      <c r="H119" s="34"/>
      <c r="I119" s="39"/>
      <c r="J119" s="39"/>
      <c r="K119" s="39"/>
      <c r="L119" s="39"/>
      <c r="M119" s="39"/>
      <c r="N119" s="39"/>
      <c r="O119" s="309"/>
      <c r="Q119" s="39"/>
      <c r="R119" s="39"/>
      <c r="S119" s="39"/>
      <c r="T119" s="39"/>
      <c r="U119" s="39"/>
      <c r="V119" s="309"/>
      <c r="W119" s="1"/>
    </row>
    <row r="120" spans="1:23" s="4" customFormat="1" ht="15.75" customHeight="1">
      <c r="A120" s="40"/>
      <c r="C120" s="34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09"/>
      <c r="Q120" s="39"/>
      <c r="R120" s="39"/>
      <c r="S120" s="39"/>
      <c r="T120" s="39"/>
      <c r="U120" s="39"/>
      <c r="V120" s="309"/>
      <c r="W120" s="1"/>
    </row>
    <row r="121" spans="1:23" s="4" customFormat="1" ht="15.75" customHeight="1">
      <c r="A121" s="40"/>
      <c r="C121" s="34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09"/>
      <c r="Q121" s="39"/>
      <c r="R121" s="39"/>
      <c r="S121" s="39"/>
      <c r="T121" s="39"/>
      <c r="U121" s="39"/>
      <c r="V121" s="309"/>
      <c r="W121" s="1"/>
    </row>
    <row r="122" spans="1:23" s="4" customFormat="1" ht="15.75" customHeight="1">
      <c r="A122" s="40"/>
      <c r="C122" s="34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09"/>
      <c r="Q122" s="39"/>
      <c r="R122" s="39"/>
      <c r="S122" s="39"/>
      <c r="T122" s="39"/>
      <c r="U122" s="39"/>
      <c r="V122" s="309"/>
      <c r="W122" s="1"/>
    </row>
    <row r="123" spans="1:23" s="4" customFormat="1" ht="15.75" customHeight="1">
      <c r="A123" s="40"/>
      <c r="C123" s="34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09"/>
      <c r="Q123" s="39"/>
      <c r="R123" s="39"/>
      <c r="S123" s="39"/>
      <c r="T123" s="39"/>
      <c r="U123" s="39"/>
      <c r="V123" s="309"/>
      <c r="W123" s="1"/>
    </row>
    <row r="124" spans="1:23" s="4" customFormat="1" ht="15.75" customHeight="1">
      <c r="A124" s="40"/>
      <c r="C124" s="34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09"/>
      <c r="Q124" s="39"/>
      <c r="R124" s="39"/>
      <c r="S124" s="39"/>
      <c r="T124" s="39"/>
      <c r="U124" s="39"/>
      <c r="V124" s="309"/>
      <c r="W124" s="1"/>
    </row>
    <row r="125" spans="1:23" s="4" customFormat="1" ht="15.75" customHeight="1">
      <c r="A125" s="40"/>
      <c r="C125" s="34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09"/>
      <c r="Q125" s="39"/>
      <c r="R125" s="39"/>
      <c r="S125" s="39"/>
      <c r="T125" s="39"/>
      <c r="U125" s="39"/>
      <c r="V125" s="309"/>
      <c r="W125" s="1"/>
    </row>
    <row r="126" spans="1:23" s="4" customFormat="1" ht="15.75" customHeight="1">
      <c r="A126" s="40"/>
      <c r="C126" s="34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09"/>
      <c r="Q126" s="39"/>
      <c r="R126" s="39"/>
      <c r="S126" s="39"/>
      <c r="T126" s="39"/>
      <c r="U126" s="39"/>
      <c r="V126" s="309"/>
      <c r="W126" s="1"/>
    </row>
    <row r="127" spans="1:23" s="4" customFormat="1" ht="15.75" customHeight="1">
      <c r="A127" s="40"/>
      <c r="C127" s="34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09"/>
      <c r="Q127" s="39"/>
      <c r="R127" s="39"/>
      <c r="S127" s="39"/>
      <c r="T127" s="39"/>
      <c r="U127" s="39"/>
      <c r="V127" s="309"/>
      <c r="W127" s="1"/>
    </row>
    <row r="128" spans="1:23" s="4" customFormat="1" ht="15.75" customHeight="1">
      <c r="A128" s="40"/>
      <c r="C128" s="34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09"/>
      <c r="Q128" s="39"/>
      <c r="R128" s="39"/>
      <c r="S128" s="39"/>
      <c r="T128" s="39"/>
      <c r="U128" s="39"/>
      <c r="V128" s="309"/>
      <c r="W128" s="1"/>
    </row>
  </sheetData>
  <mergeCells count="1">
    <mergeCell ref="B65:E65"/>
  </mergeCells>
  <printOptions horizontalCentered="1"/>
  <pageMargins left="0" right="0" top="0.75" bottom="0.3" header="0.3" footer="0.3"/>
  <pageSetup scale="54" fitToWidth="4" orientation="portrait" r:id="rId1"/>
  <headerFooter scaleWithDoc="0" alignWithMargins="0">
    <oddHeader>&amp;L&amp;"Arial,Regular"&amp;10Avista Corporation
&amp;"Arial,Bold"Natural Gas - Results of Operations (Schedule 1.2)&amp;"Arial,Regular"
Twelve Months Ended December 31, 2011&amp;R&amp;"Arial,Regular"&amp;10Exhibit No. ___ (EJK-2)
Dockets UE-120436 &amp;&amp; UG-120437
Page &amp;P of &amp;N</oddHeader>
  </headerFooter>
  <rowBreaks count="1" manualBreakCount="1">
    <brk id="88" min="2" max="20" man="1"/>
  </rowBreaks>
  <colBreaks count="1" manualBreakCount="1">
    <brk id="12" min="4" max="84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/>
  <sheetData/>
  <pageMargins left="0.7" right="0.7" top="0.75" bottom="0.75" header="0.3" footer="0.3"/>
  <pageSetup paperSize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N111"/>
  <sheetViews>
    <sheetView topLeftCell="A5" zoomScaleNormal="100" workbookViewId="0">
      <pane xSplit="2" ySplit="9" topLeftCell="C41" activePane="bottomRight" state="frozen"/>
      <selection activeCell="D59" sqref="D59"/>
      <selection pane="topRight" activeCell="D59" sqref="D59"/>
      <selection pane="bottomLeft" activeCell="D59" sqref="D59"/>
      <selection pane="bottomRight" activeCell="D59" sqref="D59"/>
    </sheetView>
  </sheetViews>
  <sheetFormatPr defaultRowHeight="15.75" customHeight="1"/>
  <cols>
    <col min="1" max="1" width="5.83203125" style="30" customWidth="1"/>
    <col min="2" max="2" width="40.5" style="6" customWidth="1"/>
    <col min="3" max="3" width="18" style="7" customWidth="1"/>
    <col min="4" max="4" width="14.83203125" style="4" customWidth="1"/>
    <col min="5" max="5" width="16" style="4" customWidth="1"/>
    <col min="6" max="6" width="15.83203125" style="4" customWidth="1"/>
    <col min="7" max="7" width="15.6640625" style="4" customWidth="1"/>
    <col min="8" max="8" width="15.1640625" style="4" customWidth="1"/>
    <col min="9" max="9" width="15.5" style="4" customWidth="1"/>
    <col min="10" max="10" width="14.5" style="4" customWidth="1"/>
    <col min="11" max="11" width="16.1640625" style="4" customWidth="1"/>
    <col min="12" max="12" width="17.33203125" style="4" customWidth="1"/>
    <col min="13" max="13" width="18" style="328" customWidth="1"/>
    <col min="14" max="14" width="10.83203125" style="4" customWidth="1"/>
    <col min="15" max="15" width="10.83203125" style="6"/>
    <col min="16" max="16384" width="9.33203125" style="6"/>
  </cols>
  <sheetData>
    <row r="1" spans="1:14" s="4" customFormat="1" ht="15.75" hidden="1" customHeight="1">
      <c r="D1" s="47"/>
      <c r="E1" s="47" t="s">
        <v>247</v>
      </c>
      <c r="F1" s="662"/>
      <c r="G1" s="665"/>
      <c r="H1" s="47" t="s">
        <v>247</v>
      </c>
      <c r="I1" s="47" t="s">
        <v>247</v>
      </c>
      <c r="J1" s="47" t="s">
        <v>247</v>
      </c>
      <c r="K1" s="47" t="s">
        <v>247</v>
      </c>
      <c r="L1" s="47" t="s">
        <v>247</v>
      </c>
      <c r="M1" s="325" t="s">
        <v>247</v>
      </c>
      <c r="N1" s="4" t="s">
        <v>247</v>
      </c>
    </row>
    <row r="2" spans="1:14" s="4" customFormat="1" ht="15.75" hidden="1" customHeight="1">
      <c r="A2" s="40"/>
      <c r="C2" s="202" t="s">
        <v>183</v>
      </c>
      <c r="D2" s="47" t="s">
        <v>271</v>
      </c>
      <c r="E2" s="47" t="s">
        <v>271</v>
      </c>
      <c r="F2" s="47" t="s">
        <v>271</v>
      </c>
      <c r="G2" s="47"/>
      <c r="H2" s="47" t="s">
        <v>291</v>
      </c>
      <c r="I2" s="47" t="s">
        <v>272</v>
      </c>
      <c r="J2" s="47" t="s">
        <v>296</v>
      </c>
      <c r="K2" s="47" t="s">
        <v>297</v>
      </c>
      <c r="L2" s="47" t="s">
        <v>296</v>
      </c>
      <c r="M2" s="325" t="s">
        <v>271</v>
      </c>
      <c r="N2" s="4" t="s">
        <v>296</v>
      </c>
    </row>
    <row r="3" spans="1:14" s="4" customFormat="1" ht="15.75" hidden="1" customHeight="1">
      <c r="A3" s="40"/>
      <c r="C3" s="202"/>
      <c r="G3" s="47"/>
      <c r="I3" s="47"/>
    </row>
    <row r="4" spans="1:14" s="4" customFormat="1" ht="15.75" hidden="1" customHeight="1" thickBot="1">
      <c r="A4" s="40"/>
      <c r="C4" s="211" t="s">
        <v>168</v>
      </c>
      <c r="D4" s="307" t="s">
        <v>298</v>
      </c>
      <c r="E4" s="307" t="s">
        <v>298</v>
      </c>
      <c r="F4" s="307" t="s">
        <v>299</v>
      </c>
      <c r="G4" s="307"/>
      <c r="H4" s="307" t="s">
        <v>298</v>
      </c>
      <c r="I4" s="307" t="s">
        <v>299</v>
      </c>
      <c r="J4" s="307" t="s">
        <v>298</v>
      </c>
      <c r="K4" s="307" t="s">
        <v>298</v>
      </c>
      <c r="L4" s="307" t="s">
        <v>298</v>
      </c>
      <c r="M4" s="326" t="s">
        <v>298</v>
      </c>
      <c r="N4" s="327" t="s">
        <v>298</v>
      </c>
    </row>
    <row r="5" spans="1:14" ht="15.75" customHeight="1">
      <c r="A5" s="6"/>
      <c r="B5" s="40" t="s">
        <v>371</v>
      </c>
      <c r="C5" s="39"/>
    </row>
    <row r="6" spans="1:14" ht="15.75" customHeight="1">
      <c r="A6" s="46"/>
      <c r="C6" s="6"/>
      <c r="G6" s="674"/>
    </row>
    <row r="7" spans="1:14" ht="15.75" customHeight="1">
      <c r="A7" s="46"/>
      <c r="B7" s="47" t="s">
        <v>1</v>
      </c>
      <c r="C7" s="48" t="s">
        <v>2</v>
      </c>
      <c r="D7" s="329" t="s">
        <v>3</v>
      </c>
      <c r="E7" s="47" t="s">
        <v>4</v>
      </c>
      <c r="F7" s="47" t="s">
        <v>5</v>
      </c>
      <c r="G7" s="47" t="s">
        <v>6</v>
      </c>
      <c r="H7" s="47" t="s">
        <v>7</v>
      </c>
      <c r="I7" s="47" t="s">
        <v>8</v>
      </c>
      <c r="J7" s="47" t="s">
        <v>65</v>
      </c>
      <c r="K7" s="47" t="s">
        <v>66</v>
      </c>
      <c r="L7" s="47" t="s">
        <v>67</v>
      </c>
      <c r="M7" s="47" t="s">
        <v>68</v>
      </c>
      <c r="N7" s="47" t="s">
        <v>69</v>
      </c>
    </row>
    <row r="8" spans="1:14" s="8" customFormat="1" ht="15.75" customHeight="1">
      <c r="A8" s="49"/>
      <c r="B8" s="50"/>
      <c r="C8" s="54"/>
      <c r="D8" s="50"/>
      <c r="E8" s="50"/>
      <c r="F8" s="50"/>
      <c r="G8" s="50"/>
      <c r="H8" s="50"/>
      <c r="I8" s="50"/>
      <c r="J8" s="50"/>
      <c r="K8" s="50"/>
      <c r="L8" s="50"/>
      <c r="M8" s="330"/>
      <c r="N8" s="50"/>
    </row>
    <row r="9" spans="1:14" s="275" customFormat="1" ht="15.75" customHeight="1">
      <c r="B9" s="276"/>
      <c r="C9" s="276"/>
      <c r="D9" s="311">
        <v>3</v>
      </c>
      <c r="E9" s="311">
        <v>3.01</v>
      </c>
      <c r="F9" s="311">
        <v>3.02</v>
      </c>
      <c r="G9" s="311">
        <v>3.03</v>
      </c>
      <c r="H9" s="311">
        <v>3.04</v>
      </c>
      <c r="I9" s="311">
        <v>3.05</v>
      </c>
      <c r="J9" s="311">
        <v>3.06</v>
      </c>
      <c r="K9" s="311">
        <v>4</v>
      </c>
      <c r="L9" s="311">
        <v>4.01</v>
      </c>
      <c r="M9" s="331">
        <v>4.0199999999999996</v>
      </c>
      <c r="N9" s="312">
        <v>4.03</v>
      </c>
    </row>
    <row r="10" spans="1:14" s="8" customFormat="1" ht="15.75" customHeight="1">
      <c r="A10" s="212"/>
      <c r="B10" s="724" t="s">
        <v>400</v>
      </c>
      <c r="C10" s="54" t="s">
        <v>70</v>
      </c>
      <c r="D10" s="54" t="s">
        <v>15</v>
      </c>
      <c r="E10" s="54" t="s">
        <v>15</v>
      </c>
      <c r="F10" s="54" t="s">
        <v>15</v>
      </c>
      <c r="G10" s="54" t="s">
        <v>15</v>
      </c>
      <c r="H10" s="54" t="s">
        <v>15</v>
      </c>
      <c r="I10" s="54" t="s">
        <v>15</v>
      </c>
      <c r="J10" s="50" t="s">
        <v>13</v>
      </c>
      <c r="K10" s="54" t="s">
        <v>225</v>
      </c>
      <c r="L10" s="54" t="s">
        <v>227</v>
      </c>
      <c r="M10" s="332" t="s">
        <v>42</v>
      </c>
      <c r="N10" s="50" t="s">
        <v>230</v>
      </c>
    </row>
    <row r="11" spans="1:14" s="8" customFormat="1" ht="15.75" customHeight="1">
      <c r="A11" s="213" t="s">
        <v>11</v>
      </c>
      <c r="B11" s="3"/>
      <c r="C11" s="54" t="s">
        <v>15</v>
      </c>
      <c r="D11" s="54" t="s">
        <v>101</v>
      </c>
      <c r="E11" s="54" t="s">
        <v>101</v>
      </c>
      <c r="F11" s="54" t="s">
        <v>102</v>
      </c>
      <c r="G11" s="54" t="s">
        <v>103</v>
      </c>
      <c r="H11" s="54" t="s">
        <v>82</v>
      </c>
      <c r="I11" s="54" t="s">
        <v>212</v>
      </c>
      <c r="J11" s="49">
        <v>2011</v>
      </c>
      <c r="K11" s="54" t="s">
        <v>226</v>
      </c>
      <c r="L11" s="54" t="s">
        <v>226</v>
      </c>
      <c r="M11" s="332" t="s">
        <v>229</v>
      </c>
      <c r="N11" s="50" t="s">
        <v>231</v>
      </c>
    </row>
    <row r="12" spans="1:14" s="8" customFormat="1" ht="15.75" customHeight="1">
      <c r="A12" s="213" t="s">
        <v>18</v>
      </c>
      <c r="B12" s="212" t="s">
        <v>19</v>
      </c>
      <c r="C12" s="54" t="s">
        <v>20</v>
      </c>
      <c r="D12" s="54" t="s">
        <v>104</v>
      </c>
      <c r="E12" s="54" t="s">
        <v>105</v>
      </c>
      <c r="F12" s="54" t="s">
        <v>106</v>
      </c>
      <c r="G12" s="54"/>
      <c r="H12" s="54" t="s">
        <v>93</v>
      </c>
      <c r="I12" s="333" t="s">
        <v>213</v>
      </c>
      <c r="J12" s="50" t="s">
        <v>166</v>
      </c>
      <c r="K12" s="587">
        <v>2012</v>
      </c>
      <c r="L12" s="304" t="s">
        <v>228</v>
      </c>
      <c r="M12" s="334"/>
      <c r="N12" s="335"/>
    </row>
    <row r="13" spans="1:14" s="12" customFormat="1" ht="15.75" customHeight="1">
      <c r="A13" s="214"/>
      <c r="B13" s="725" t="s">
        <v>401</v>
      </c>
      <c r="C13" s="215" t="s">
        <v>232</v>
      </c>
      <c r="D13" s="336"/>
      <c r="E13" s="336"/>
      <c r="F13" s="336"/>
      <c r="G13" s="336"/>
      <c r="H13" s="336"/>
      <c r="I13" s="336"/>
      <c r="J13" s="336"/>
      <c r="K13" s="313"/>
      <c r="L13" s="313"/>
      <c r="M13" s="588"/>
      <c r="N13" s="589"/>
    </row>
    <row r="14" spans="1:14" ht="15.75" customHeight="1">
      <c r="A14" s="51"/>
      <c r="B14" s="726" t="s">
        <v>372</v>
      </c>
      <c r="C14" s="34"/>
      <c r="D14" s="39"/>
      <c r="E14" s="39"/>
      <c r="F14" s="39"/>
      <c r="G14" s="39"/>
      <c r="H14" s="39"/>
      <c r="I14" s="39"/>
      <c r="J14" s="39"/>
      <c r="K14" s="39"/>
      <c r="L14" s="39"/>
      <c r="M14" s="337"/>
    </row>
    <row r="15" spans="1:14" ht="15.75" customHeight="1">
      <c r="A15" s="51">
        <v>1</v>
      </c>
      <c r="B15" s="4" t="s">
        <v>28</v>
      </c>
      <c r="C15" s="34"/>
      <c r="D15" s="39"/>
      <c r="E15" s="39"/>
      <c r="F15" s="39"/>
      <c r="G15" s="39"/>
      <c r="H15" s="39"/>
      <c r="I15" s="39"/>
      <c r="J15" s="39"/>
      <c r="K15" s="39"/>
      <c r="L15" s="39"/>
      <c r="M15" s="337"/>
    </row>
    <row r="16" spans="1:14" s="14" customFormat="1" ht="15.75" customHeight="1">
      <c r="A16" s="51">
        <v>2</v>
      </c>
      <c r="B16" s="727" t="s">
        <v>29</v>
      </c>
      <c r="C16" s="55">
        <f>SUM(D16:N16)</f>
        <v>0</v>
      </c>
      <c r="D16" s="305"/>
      <c r="E16" s="305"/>
      <c r="F16" s="305"/>
      <c r="G16" s="305"/>
      <c r="H16" s="305"/>
      <c r="I16" s="305"/>
      <c r="J16" s="305"/>
      <c r="K16" s="305"/>
      <c r="L16" s="305"/>
      <c r="M16" s="338"/>
      <c r="N16" s="21"/>
    </row>
    <row r="17" spans="1:14" ht="15.75" customHeight="1">
      <c r="A17" s="51">
        <v>3</v>
      </c>
      <c r="B17" s="728" t="s">
        <v>31</v>
      </c>
      <c r="C17" s="55">
        <f t="shared" ref="C17:C18" si="0">SUM(D17:N17)</f>
        <v>0</v>
      </c>
      <c r="D17" s="15"/>
      <c r="E17" s="15"/>
      <c r="F17" s="15"/>
      <c r="G17" s="15"/>
      <c r="H17" s="15"/>
      <c r="I17" s="15"/>
      <c r="J17" s="15"/>
      <c r="K17" s="15"/>
      <c r="L17" s="15"/>
      <c r="M17" s="339"/>
    </row>
    <row r="18" spans="1:14" ht="15.75" customHeight="1">
      <c r="A18" s="51">
        <v>4</v>
      </c>
      <c r="B18" s="728" t="s">
        <v>32</v>
      </c>
      <c r="C18" s="280">
        <f t="shared" si="0"/>
        <v>0</v>
      </c>
      <c r="D18" s="19"/>
      <c r="E18" s="19"/>
      <c r="F18" s="19"/>
      <c r="G18" s="19"/>
      <c r="H18" s="19"/>
      <c r="I18" s="19"/>
      <c r="J18" s="19"/>
      <c r="K18" s="19"/>
      <c r="L18" s="19"/>
      <c r="M18" s="340"/>
      <c r="N18" s="341"/>
    </row>
    <row r="19" spans="1:14" ht="15.75" customHeight="1">
      <c r="A19" s="51">
        <v>5</v>
      </c>
      <c r="B19" s="729" t="s">
        <v>34</v>
      </c>
      <c r="C19" s="41">
        <f t="shared" ref="C19:N19" si="1">SUM(C16:C18)</f>
        <v>0</v>
      </c>
      <c r="D19" s="15">
        <f t="shared" si="1"/>
        <v>0</v>
      </c>
      <c r="E19" s="15">
        <f t="shared" si="1"/>
        <v>0</v>
      </c>
      <c r="F19" s="15">
        <f t="shared" si="1"/>
        <v>0</v>
      </c>
      <c r="G19" s="15">
        <f t="shared" si="1"/>
        <v>0</v>
      </c>
      <c r="H19" s="15">
        <f t="shared" si="1"/>
        <v>0</v>
      </c>
      <c r="I19" s="15">
        <f t="shared" si="1"/>
        <v>0</v>
      </c>
      <c r="J19" s="15">
        <f t="shared" si="1"/>
        <v>0</v>
      </c>
      <c r="K19" s="15">
        <f t="shared" si="1"/>
        <v>0</v>
      </c>
      <c r="L19" s="15">
        <f t="shared" si="1"/>
        <v>0</v>
      </c>
      <c r="M19" s="339">
        <f t="shared" si="1"/>
        <v>0</v>
      </c>
      <c r="N19" s="15">
        <f t="shared" si="1"/>
        <v>0</v>
      </c>
    </row>
    <row r="20" spans="1:14" ht="15.75" customHeight="1">
      <c r="A20" s="51">
        <v>6</v>
      </c>
      <c r="B20" s="730"/>
      <c r="C20" s="41"/>
      <c r="D20" s="15"/>
      <c r="E20" s="15"/>
      <c r="F20" s="15"/>
      <c r="G20" s="15"/>
      <c r="H20" s="15"/>
      <c r="I20" s="15"/>
      <c r="J20" s="15"/>
      <c r="K20" s="15"/>
      <c r="L20" s="15"/>
      <c r="M20" s="339"/>
    </row>
    <row r="21" spans="1:14" ht="15.75" customHeight="1">
      <c r="A21" s="51">
        <v>7</v>
      </c>
      <c r="B21" s="4" t="s">
        <v>35</v>
      </c>
      <c r="C21" s="41"/>
      <c r="D21" s="15"/>
      <c r="E21" s="15"/>
      <c r="F21" s="15"/>
      <c r="G21" s="15"/>
      <c r="H21" s="15"/>
      <c r="I21" s="15"/>
      <c r="J21" s="15"/>
      <c r="K21" s="15"/>
      <c r="L21" s="15"/>
      <c r="M21" s="339"/>
    </row>
    <row r="22" spans="1:14" ht="15.75" customHeight="1">
      <c r="A22" s="51">
        <v>8</v>
      </c>
      <c r="B22" s="728" t="s">
        <v>373</v>
      </c>
      <c r="C22" s="41">
        <f>SUM(D22:N22)</f>
        <v>0</v>
      </c>
      <c r="D22" s="15"/>
      <c r="E22" s="15"/>
      <c r="F22" s="15"/>
      <c r="G22" s="15"/>
      <c r="H22" s="15"/>
      <c r="I22" s="15"/>
      <c r="J22" s="15"/>
      <c r="K22" s="15"/>
      <c r="L22" s="15"/>
      <c r="M22" s="339"/>
    </row>
    <row r="23" spans="1:14" ht="15.75" customHeight="1">
      <c r="A23" s="51">
        <v>9</v>
      </c>
      <c r="B23" s="730"/>
      <c r="C23" s="41"/>
      <c r="D23" s="15"/>
      <c r="E23" s="15"/>
      <c r="F23" s="15"/>
      <c r="G23" s="15"/>
      <c r="H23" s="15"/>
      <c r="I23" s="15"/>
      <c r="J23" s="15"/>
      <c r="K23" s="15"/>
      <c r="L23" s="15"/>
      <c r="M23" s="339"/>
    </row>
    <row r="24" spans="1:14" ht="15.75" customHeight="1">
      <c r="A24" s="51">
        <v>10</v>
      </c>
      <c r="B24" s="728" t="s">
        <v>374</v>
      </c>
      <c r="D24" s="15"/>
      <c r="E24" s="15"/>
      <c r="F24" s="15"/>
      <c r="G24" s="15"/>
      <c r="H24" s="15"/>
      <c r="I24" s="15"/>
      <c r="J24" s="15"/>
      <c r="K24" s="15"/>
      <c r="L24" s="15"/>
      <c r="M24" s="339"/>
    </row>
    <row r="25" spans="1:14" ht="15.75" customHeight="1">
      <c r="A25" s="51">
        <v>11</v>
      </c>
      <c r="B25" s="731" t="s">
        <v>36</v>
      </c>
      <c r="C25" s="41">
        <f>SUM(D25:N25)</f>
        <v>0</v>
      </c>
      <c r="D25" s="41"/>
      <c r="E25" s="15"/>
      <c r="F25" s="15"/>
      <c r="G25" s="15"/>
      <c r="H25" s="15"/>
      <c r="I25" s="15"/>
      <c r="J25" s="15"/>
      <c r="K25" s="15"/>
      <c r="L25" s="15"/>
      <c r="M25" s="339"/>
    </row>
    <row r="26" spans="1:14" ht="15.75" customHeight="1">
      <c r="A26" s="51">
        <v>12</v>
      </c>
      <c r="B26" s="731" t="s">
        <v>37</v>
      </c>
      <c r="C26" s="41">
        <f>SUM(D26:N26)</f>
        <v>48</v>
      </c>
      <c r="D26" s="15">
        <f>'Cover-Gas'!I23</f>
        <v>18</v>
      </c>
      <c r="E26" s="15">
        <f>'Cover-Gas'!J23</f>
        <v>-14</v>
      </c>
      <c r="F26" s="15">
        <v>44</v>
      </c>
      <c r="G26" s="15"/>
      <c r="H26" s="15"/>
      <c r="I26" s="15"/>
      <c r="J26" s="15"/>
      <c r="K26" s="15"/>
      <c r="L26" s="15"/>
      <c r="M26" s="339"/>
    </row>
    <row r="27" spans="1:14" ht="15.75" customHeight="1">
      <c r="A27" s="51">
        <v>13</v>
      </c>
      <c r="B27" s="731" t="s">
        <v>38</v>
      </c>
      <c r="C27" s="19">
        <f>SUM(D27:N27)</f>
        <v>0</v>
      </c>
      <c r="D27" s="19"/>
      <c r="E27" s="19"/>
      <c r="F27" s="19"/>
      <c r="G27" s="19"/>
      <c r="H27" s="19"/>
      <c r="I27" s="19"/>
      <c r="J27" s="19"/>
      <c r="K27" s="19"/>
      <c r="L27" s="19"/>
      <c r="M27" s="340"/>
      <c r="N27" s="341"/>
    </row>
    <row r="28" spans="1:14" ht="15.75" customHeight="1">
      <c r="A28" s="51">
        <v>14</v>
      </c>
      <c r="B28" s="732" t="s">
        <v>39</v>
      </c>
      <c r="C28" s="41">
        <f>SUM(C25:C27)</f>
        <v>48</v>
      </c>
      <c r="D28" s="15">
        <f>SUM(D25:D27)</f>
        <v>18</v>
      </c>
      <c r="E28" s="15">
        <f t="shared" ref="E28:K28" si="2">SUM(E25:E27)</f>
        <v>-14</v>
      </c>
      <c r="F28" s="15">
        <f t="shared" si="2"/>
        <v>44</v>
      </c>
      <c r="G28" s="15">
        <f t="shared" si="2"/>
        <v>0</v>
      </c>
      <c r="H28" s="15">
        <f t="shared" si="2"/>
        <v>0</v>
      </c>
      <c r="I28" s="15">
        <f t="shared" si="2"/>
        <v>0</v>
      </c>
      <c r="J28" s="15">
        <f t="shared" si="2"/>
        <v>0</v>
      </c>
      <c r="K28" s="15">
        <f t="shared" si="2"/>
        <v>0</v>
      </c>
      <c r="L28" s="15">
        <f t="shared" ref="L28" si="3">SUM(L25:L27)</f>
        <v>0</v>
      </c>
      <c r="M28" s="339">
        <f t="shared" ref="M28" si="4">SUM(M25:M27)</f>
        <v>0</v>
      </c>
      <c r="N28" s="15">
        <f t="shared" ref="N28" si="5">SUM(N25:N27)</f>
        <v>0</v>
      </c>
    </row>
    <row r="29" spans="1:14" ht="15.75" customHeight="1">
      <c r="A29" s="51">
        <v>15</v>
      </c>
      <c r="B29" s="730"/>
      <c r="C29" s="41"/>
      <c r="D29" s="15"/>
      <c r="E29" s="15"/>
      <c r="F29" s="15"/>
      <c r="G29" s="15"/>
      <c r="H29" s="15"/>
      <c r="I29" s="15"/>
      <c r="J29" s="15"/>
      <c r="K29" s="15"/>
      <c r="L29" s="15"/>
      <c r="M29" s="339"/>
    </row>
    <row r="30" spans="1:14" ht="15.75" customHeight="1">
      <c r="A30" s="51">
        <v>16</v>
      </c>
      <c r="B30" s="728" t="s">
        <v>40</v>
      </c>
      <c r="C30" s="41"/>
      <c r="D30" s="41"/>
      <c r="E30" s="15"/>
      <c r="F30" s="15"/>
      <c r="G30" s="15"/>
      <c r="H30" s="15"/>
      <c r="I30" s="15"/>
      <c r="J30" s="15"/>
      <c r="K30" s="15"/>
      <c r="L30" s="15"/>
      <c r="M30" s="339"/>
    </row>
    <row r="31" spans="1:14" ht="15.75" customHeight="1">
      <c r="A31" s="51">
        <v>17</v>
      </c>
      <c r="B31" s="731" t="s">
        <v>41</v>
      </c>
      <c r="C31" s="41">
        <f>SUM(D31:N31)</f>
        <v>0</v>
      </c>
      <c r="D31" s="15">
        <v>0</v>
      </c>
      <c r="E31" s="15"/>
      <c r="F31" s="15"/>
      <c r="G31" s="15"/>
      <c r="H31" s="15"/>
      <c r="I31" s="15"/>
      <c r="J31" s="15"/>
      <c r="K31" s="15"/>
      <c r="L31" s="15"/>
      <c r="M31" s="339"/>
    </row>
    <row r="32" spans="1:14" ht="15.75" customHeight="1">
      <c r="A32" s="51">
        <v>18</v>
      </c>
      <c r="B32" s="731" t="s">
        <v>42</v>
      </c>
      <c r="C32" s="41">
        <f t="shared" ref="C32:C33" si="6">SUM(D32:N32)</f>
        <v>-63</v>
      </c>
      <c r="D32" s="15"/>
      <c r="E32" s="15"/>
      <c r="F32" s="15"/>
      <c r="G32" s="15"/>
      <c r="H32" s="15"/>
      <c r="I32" s="15"/>
      <c r="J32" s="15">
        <f>'ADJ 3.06'!E27</f>
        <v>0</v>
      </c>
      <c r="K32" s="15">
        <f>'ADJ 4.00'!E27</f>
        <v>0</v>
      </c>
      <c r="L32" s="15">
        <f>'ADJ 4.01'!E27</f>
        <v>0</v>
      </c>
      <c r="M32" s="339">
        <f>'Cover-Gas'!L29</f>
        <v>-63</v>
      </c>
    </row>
    <row r="33" spans="1:14" ht="15.75" customHeight="1">
      <c r="A33" s="51">
        <v>19</v>
      </c>
      <c r="B33" s="731" t="s">
        <v>43</v>
      </c>
      <c r="C33" s="19">
        <f t="shared" si="6"/>
        <v>3</v>
      </c>
      <c r="D33" s="19"/>
      <c r="E33" s="19"/>
      <c r="F33" s="19"/>
      <c r="G33" s="19"/>
      <c r="H33" s="19">
        <f>'3.04'!E28</f>
        <v>3</v>
      </c>
      <c r="I33" s="19"/>
      <c r="J33" s="19"/>
      <c r="K33" s="19"/>
      <c r="L33" s="19"/>
      <c r="M33" s="340"/>
      <c r="N33" s="341"/>
    </row>
    <row r="34" spans="1:14" ht="15.75" customHeight="1">
      <c r="A34" s="51">
        <v>20</v>
      </c>
      <c r="B34" s="732" t="s">
        <v>44</v>
      </c>
      <c r="C34" s="41">
        <f t="shared" ref="C34:N34" si="7">SUM(C31:C33)</f>
        <v>-60</v>
      </c>
      <c r="D34" s="15">
        <f t="shared" si="7"/>
        <v>0</v>
      </c>
      <c r="E34" s="15">
        <f t="shared" si="7"/>
        <v>0</v>
      </c>
      <c r="F34" s="15">
        <f t="shared" si="7"/>
        <v>0</v>
      </c>
      <c r="G34" s="15">
        <f t="shared" si="7"/>
        <v>0</v>
      </c>
      <c r="H34" s="15">
        <f t="shared" si="7"/>
        <v>3</v>
      </c>
      <c r="I34" s="15">
        <f t="shared" si="7"/>
        <v>0</v>
      </c>
      <c r="J34" s="15">
        <f t="shared" si="7"/>
        <v>0</v>
      </c>
      <c r="K34" s="15">
        <f t="shared" si="7"/>
        <v>0</v>
      </c>
      <c r="L34" s="15">
        <f t="shared" si="7"/>
        <v>0</v>
      </c>
      <c r="M34" s="339">
        <f t="shared" si="7"/>
        <v>-63</v>
      </c>
      <c r="N34" s="15">
        <f t="shared" si="7"/>
        <v>0</v>
      </c>
    </row>
    <row r="35" spans="1:14" ht="15.75" customHeight="1">
      <c r="A35" s="51">
        <v>21</v>
      </c>
      <c r="B35" s="730"/>
      <c r="C35" s="41"/>
      <c r="D35" s="15"/>
      <c r="E35" s="15"/>
      <c r="F35" s="15"/>
      <c r="G35" s="15"/>
      <c r="H35" s="15"/>
      <c r="I35" s="15"/>
      <c r="J35" s="15"/>
      <c r="K35" s="15"/>
      <c r="L35" s="15"/>
      <c r="M35" s="339"/>
    </row>
    <row r="36" spans="1:14" ht="15.75" customHeight="1">
      <c r="A36" s="51">
        <v>22</v>
      </c>
      <c r="B36" s="728" t="s">
        <v>45</v>
      </c>
      <c r="C36" s="41"/>
      <c r="D36" s="41"/>
      <c r="E36" s="15"/>
      <c r="F36" s="15"/>
      <c r="G36" s="15"/>
      <c r="H36" s="15"/>
      <c r="I36" s="15"/>
      <c r="J36" s="15"/>
      <c r="K36" s="15"/>
      <c r="L36" s="15"/>
      <c r="M36" s="339"/>
    </row>
    <row r="37" spans="1:14" ht="15.75" customHeight="1">
      <c r="A37" s="51">
        <v>23</v>
      </c>
      <c r="B37" s="731" t="s">
        <v>41</v>
      </c>
      <c r="C37" s="41">
        <f>SUM(D37:N37)</f>
        <v>740</v>
      </c>
      <c r="D37" s="15">
        <f>'Cover-Gas'!I34</f>
        <v>185</v>
      </c>
      <c r="E37" s="15"/>
      <c r="F37" s="15">
        <v>368</v>
      </c>
      <c r="G37" s="15"/>
      <c r="H37" s="15"/>
      <c r="I37" s="15">
        <v>187</v>
      </c>
      <c r="J37" s="15"/>
      <c r="K37" s="15"/>
      <c r="L37" s="15"/>
      <c r="M37" s="339"/>
    </row>
    <row r="38" spans="1:14" ht="15.75" customHeight="1">
      <c r="A38" s="51">
        <v>24</v>
      </c>
      <c r="B38" s="731" t="s">
        <v>42</v>
      </c>
      <c r="C38" s="41">
        <f t="shared" ref="C38:C39" si="8">SUM(D38:N38)</f>
        <v>325</v>
      </c>
      <c r="D38" s="15"/>
      <c r="E38" s="15"/>
      <c r="F38" s="15"/>
      <c r="G38" s="15"/>
      <c r="H38" s="15"/>
      <c r="I38" s="15"/>
      <c r="J38" s="15">
        <f>'ADJ 3.06'!E33</f>
        <v>0</v>
      </c>
      <c r="K38" s="15">
        <f>'ADJ 4.00'!E33</f>
        <v>0</v>
      </c>
      <c r="L38" s="15">
        <f>'ADJ 4.01'!E33</f>
        <v>0</v>
      </c>
      <c r="M38" s="339">
        <f>'Cover-Gas'!L35</f>
        <v>325</v>
      </c>
    </row>
    <row r="39" spans="1:14" ht="15.75" customHeight="1">
      <c r="A39" s="51">
        <v>25</v>
      </c>
      <c r="B39" s="731" t="s">
        <v>43</v>
      </c>
      <c r="C39" s="19">
        <f t="shared" si="8"/>
        <v>57</v>
      </c>
      <c r="D39" s="19"/>
      <c r="E39" s="19"/>
      <c r="F39" s="19"/>
      <c r="G39" s="19"/>
      <c r="H39" s="19">
        <f>'3.04'!E34</f>
        <v>57</v>
      </c>
      <c r="I39" s="19"/>
      <c r="J39" s="19"/>
      <c r="K39" s="19"/>
      <c r="L39" s="19"/>
      <c r="M39" s="340"/>
      <c r="N39" s="341"/>
    </row>
    <row r="40" spans="1:14" ht="15.75" customHeight="1">
      <c r="A40" s="51">
        <v>26</v>
      </c>
      <c r="B40" s="732" t="s">
        <v>46</v>
      </c>
      <c r="C40" s="41">
        <f t="shared" ref="C40:N40" si="9">SUM(C37:C39)</f>
        <v>1122</v>
      </c>
      <c r="D40" s="15">
        <f t="shared" si="9"/>
        <v>185</v>
      </c>
      <c r="E40" s="15">
        <f t="shared" si="9"/>
        <v>0</v>
      </c>
      <c r="F40" s="15">
        <f t="shared" si="9"/>
        <v>368</v>
      </c>
      <c r="G40" s="15">
        <f t="shared" si="9"/>
        <v>0</v>
      </c>
      <c r="H40" s="15">
        <f t="shared" si="9"/>
        <v>57</v>
      </c>
      <c r="I40" s="15">
        <f t="shared" si="9"/>
        <v>187</v>
      </c>
      <c r="J40" s="15">
        <f t="shared" si="9"/>
        <v>0</v>
      </c>
      <c r="K40" s="15">
        <f t="shared" si="9"/>
        <v>0</v>
      </c>
      <c r="L40" s="15">
        <f t="shared" si="9"/>
        <v>0</v>
      </c>
      <c r="M40" s="339">
        <f t="shared" si="9"/>
        <v>325</v>
      </c>
      <c r="N40" s="15">
        <f t="shared" si="9"/>
        <v>0</v>
      </c>
    </row>
    <row r="41" spans="1:14" ht="15.75" customHeight="1">
      <c r="A41" s="51">
        <v>27</v>
      </c>
      <c r="B41" s="730"/>
      <c r="C41" s="41"/>
      <c r="D41" s="15"/>
      <c r="E41" s="15"/>
      <c r="F41" s="15"/>
      <c r="G41" s="15"/>
      <c r="H41" s="15"/>
      <c r="I41" s="15"/>
      <c r="J41" s="15"/>
      <c r="K41" s="15"/>
      <c r="L41" s="15"/>
      <c r="M41" s="339"/>
    </row>
    <row r="42" spans="1:14" ht="15.75" customHeight="1">
      <c r="A42" s="51">
        <v>28</v>
      </c>
      <c r="B42" s="733" t="s">
        <v>47</v>
      </c>
      <c r="C42" s="41">
        <f>SUM(D42:N42)</f>
        <v>333</v>
      </c>
      <c r="D42" s="41">
        <f>'Cover-Gas'!I39</f>
        <v>105</v>
      </c>
      <c r="E42" s="41"/>
      <c r="F42" s="41">
        <v>228</v>
      </c>
      <c r="G42" s="41"/>
      <c r="H42" s="41"/>
      <c r="I42" s="15"/>
      <c r="J42" s="41"/>
      <c r="K42" s="41"/>
      <c r="L42" s="41"/>
      <c r="M42" s="342"/>
    </row>
    <row r="43" spans="1:14" ht="15.75" customHeight="1">
      <c r="A43" s="51">
        <v>29</v>
      </c>
      <c r="B43" s="733" t="s">
        <v>48</v>
      </c>
      <c r="C43" s="41">
        <f t="shared" ref="C43:C50" si="10">SUM(D43:N43)</f>
        <v>29</v>
      </c>
      <c r="D43" s="15">
        <f>'Cover-Gas'!I40</f>
        <v>9</v>
      </c>
      <c r="E43" s="15"/>
      <c r="F43" s="15">
        <v>20</v>
      </c>
      <c r="G43" s="15"/>
      <c r="H43" s="15"/>
      <c r="I43" s="15"/>
      <c r="J43" s="15"/>
      <c r="K43" s="15"/>
      <c r="L43" s="15"/>
      <c r="M43" s="339"/>
    </row>
    <row r="44" spans="1:14" ht="15.75" customHeight="1">
      <c r="A44" s="51">
        <v>30</v>
      </c>
      <c r="B44" s="733" t="s">
        <v>49</v>
      </c>
      <c r="C44" s="41">
        <f t="shared" si="10"/>
        <v>0</v>
      </c>
      <c r="D44" s="15"/>
      <c r="E44" s="15"/>
      <c r="F44" s="15"/>
      <c r="G44" s="15"/>
      <c r="H44" s="15"/>
      <c r="I44" s="15"/>
      <c r="J44" s="15"/>
      <c r="K44" s="15"/>
      <c r="L44" s="15"/>
      <c r="M44" s="339"/>
    </row>
    <row r="45" spans="1:14" ht="15.75" customHeight="1">
      <c r="A45" s="51">
        <v>31</v>
      </c>
      <c r="B45" s="730"/>
      <c r="C45" s="41">
        <f t="shared" si="10"/>
        <v>0</v>
      </c>
      <c r="D45" s="15"/>
      <c r="E45" s="15"/>
      <c r="F45" s="15"/>
      <c r="G45" s="15"/>
      <c r="H45" s="15"/>
      <c r="I45" s="15"/>
      <c r="J45" s="15"/>
      <c r="K45" s="15"/>
      <c r="L45" s="15"/>
      <c r="M45" s="339"/>
    </row>
    <row r="46" spans="1:14" ht="15.75" customHeight="1">
      <c r="A46" s="51">
        <v>32</v>
      </c>
      <c r="B46" s="733" t="s">
        <v>50</v>
      </c>
      <c r="C46" s="41">
        <f t="shared" si="10"/>
        <v>0</v>
      </c>
      <c r="D46" s="15"/>
      <c r="E46" s="15"/>
      <c r="F46" s="15"/>
      <c r="G46" s="15"/>
      <c r="H46" s="15"/>
      <c r="I46" s="15"/>
      <c r="J46" s="15"/>
      <c r="K46" s="15"/>
      <c r="L46" s="15"/>
      <c r="M46" s="339"/>
    </row>
    <row r="47" spans="1:14" ht="15.75" customHeight="1">
      <c r="A47" s="51">
        <v>33</v>
      </c>
      <c r="B47" s="731" t="s">
        <v>41</v>
      </c>
      <c r="C47" s="41">
        <f t="shared" si="10"/>
        <v>149</v>
      </c>
      <c r="D47" s="15">
        <f>'Cover-Gas'!I44</f>
        <v>100</v>
      </c>
      <c r="E47" s="15">
        <f>'Cover-Gas'!J44</f>
        <v>-181</v>
      </c>
      <c r="F47" s="15">
        <v>258</v>
      </c>
      <c r="G47" s="15">
        <v>-28</v>
      </c>
      <c r="H47" s="15"/>
      <c r="I47" s="15"/>
      <c r="J47" s="15"/>
      <c r="K47" s="15"/>
      <c r="L47" s="15"/>
      <c r="M47" s="339"/>
      <c r="N47" s="4">
        <f>'ADJ 4.03'!E42</f>
        <v>0</v>
      </c>
    </row>
    <row r="48" spans="1:14" ht="15.75" customHeight="1">
      <c r="A48" s="51">
        <v>34</v>
      </c>
      <c r="B48" s="731" t="s">
        <v>42</v>
      </c>
      <c r="C48" s="41">
        <f t="shared" si="10"/>
        <v>581</v>
      </c>
      <c r="D48" s="15"/>
      <c r="E48" s="15"/>
      <c r="F48" s="15"/>
      <c r="G48" s="15"/>
      <c r="H48" s="15"/>
      <c r="I48" s="15"/>
      <c r="J48" s="15">
        <f>'ADJ 3.06'!E43</f>
        <v>0</v>
      </c>
      <c r="K48" s="15">
        <f>'ADJ 4.00'!E43</f>
        <v>0</v>
      </c>
      <c r="L48" s="15">
        <f>'ADJ 4.01'!E43</f>
        <v>0</v>
      </c>
      <c r="M48" s="339">
        <f>'Cover-Gas'!L45</f>
        <v>581</v>
      </c>
    </row>
    <row r="49" spans="1:14" ht="15.75" customHeight="1">
      <c r="A49" s="51">
        <v>35</v>
      </c>
      <c r="B49" s="731" t="s">
        <v>224</v>
      </c>
      <c r="C49" s="41">
        <f t="shared" si="10"/>
        <v>0</v>
      </c>
      <c r="D49" s="15"/>
      <c r="E49" s="15"/>
      <c r="F49" s="15"/>
      <c r="G49" s="15"/>
      <c r="H49" s="15"/>
      <c r="I49" s="15"/>
      <c r="J49" s="15"/>
      <c r="K49" s="15"/>
      <c r="L49" s="15"/>
      <c r="M49" s="339"/>
    </row>
    <row r="50" spans="1:14" ht="15.75" customHeight="1">
      <c r="A50" s="51">
        <v>36</v>
      </c>
      <c r="B50" s="731" t="s">
        <v>43</v>
      </c>
      <c r="C50" s="19">
        <f t="shared" si="10"/>
        <v>1</v>
      </c>
      <c r="D50" s="19"/>
      <c r="E50" s="19"/>
      <c r="F50" s="19"/>
      <c r="G50" s="19"/>
      <c r="H50" s="19">
        <f>'3.04'!E45</f>
        <v>1</v>
      </c>
      <c r="I50" s="19"/>
      <c r="J50" s="19"/>
      <c r="K50" s="19"/>
      <c r="L50" s="19"/>
      <c r="M50" s="340"/>
      <c r="N50" s="341"/>
    </row>
    <row r="51" spans="1:14" ht="15.75" customHeight="1">
      <c r="A51" s="51">
        <v>37</v>
      </c>
      <c r="B51" s="732" t="s">
        <v>51</v>
      </c>
      <c r="C51" s="19">
        <f t="shared" ref="C51:N51" si="11">SUM(C47:C50)</f>
        <v>731</v>
      </c>
      <c r="D51" s="19">
        <f t="shared" si="11"/>
        <v>100</v>
      </c>
      <c r="E51" s="19">
        <f t="shared" si="11"/>
        <v>-181</v>
      </c>
      <c r="F51" s="19">
        <f t="shared" si="11"/>
        <v>258</v>
      </c>
      <c r="G51" s="19">
        <f t="shared" si="11"/>
        <v>-28</v>
      </c>
      <c r="H51" s="19">
        <f t="shared" si="11"/>
        <v>1</v>
      </c>
      <c r="I51" s="19">
        <f t="shared" si="11"/>
        <v>0</v>
      </c>
      <c r="J51" s="19">
        <f t="shared" si="11"/>
        <v>0</v>
      </c>
      <c r="K51" s="19">
        <f t="shared" si="11"/>
        <v>0</v>
      </c>
      <c r="L51" s="19">
        <f t="shared" si="11"/>
        <v>0</v>
      </c>
      <c r="M51" s="340">
        <f t="shared" si="11"/>
        <v>581</v>
      </c>
      <c r="N51" s="19">
        <f t="shared" si="11"/>
        <v>0</v>
      </c>
    </row>
    <row r="52" spans="1:14" ht="15.75" customHeight="1">
      <c r="A52" s="51">
        <v>38</v>
      </c>
      <c r="B52" s="730"/>
      <c r="C52" s="41"/>
      <c r="D52" s="42"/>
      <c r="E52" s="15"/>
      <c r="F52" s="15"/>
      <c r="G52" s="15"/>
      <c r="H52" s="15"/>
      <c r="I52" s="15"/>
      <c r="J52" s="15"/>
      <c r="K52" s="15"/>
      <c r="L52" s="15"/>
      <c r="M52" s="339"/>
    </row>
    <row r="53" spans="1:14" ht="15.75" customHeight="1">
      <c r="A53" s="51">
        <v>39</v>
      </c>
      <c r="B53" s="4" t="s">
        <v>52</v>
      </c>
      <c r="C53" s="19">
        <f>C22+C28+C34+C40+C42+C43+C44+C51</f>
        <v>2203</v>
      </c>
      <c r="D53" s="19">
        <f>D22+D28+D34+D40+D42+D43+D44+D51</f>
        <v>417</v>
      </c>
      <c r="E53" s="19">
        <f t="shared" ref="E53:N53" si="12">E22+E28+E34+E40+E42+E43+E44+E51</f>
        <v>-195</v>
      </c>
      <c r="F53" s="19">
        <f t="shared" si="12"/>
        <v>918</v>
      </c>
      <c r="G53" s="19">
        <f t="shared" si="12"/>
        <v>-28</v>
      </c>
      <c r="H53" s="19">
        <f t="shared" si="12"/>
        <v>61</v>
      </c>
      <c r="I53" s="19">
        <f>I22+I28+I34+I40+I42+I43+I44+I51</f>
        <v>187</v>
      </c>
      <c r="J53" s="19">
        <f t="shared" si="12"/>
        <v>0</v>
      </c>
      <c r="K53" s="19">
        <f t="shared" si="12"/>
        <v>0</v>
      </c>
      <c r="L53" s="19">
        <f t="shared" si="12"/>
        <v>0</v>
      </c>
      <c r="M53" s="340">
        <f t="shared" si="12"/>
        <v>843</v>
      </c>
      <c r="N53" s="19">
        <f t="shared" si="12"/>
        <v>0</v>
      </c>
    </row>
    <row r="54" spans="1:14" ht="15.75" customHeight="1">
      <c r="A54" s="51">
        <v>40</v>
      </c>
      <c r="B54" s="730"/>
      <c r="C54" s="41"/>
      <c r="D54" s="15"/>
      <c r="E54" s="15"/>
      <c r="F54" s="15"/>
      <c r="G54" s="15"/>
      <c r="H54" s="15"/>
      <c r="I54" s="15"/>
      <c r="J54" s="15"/>
      <c r="K54" s="15"/>
      <c r="L54" s="15"/>
      <c r="M54" s="339"/>
    </row>
    <row r="55" spans="1:14" ht="15.75" customHeight="1">
      <c r="A55" s="51">
        <v>41</v>
      </c>
      <c r="B55" s="4" t="s">
        <v>376</v>
      </c>
      <c r="C55" s="41">
        <f t="shared" ref="C55:N55" si="13">C19-C53</f>
        <v>-2203</v>
      </c>
      <c r="D55" s="15">
        <f t="shared" si="13"/>
        <v>-417</v>
      </c>
      <c r="E55" s="15">
        <f t="shared" si="13"/>
        <v>195</v>
      </c>
      <c r="F55" s="15">
        <f t="shared" si="13"/>
        <v>-918</v>
      </c>
      <c r="G55" s="15">
        <f t="shared" ref="G55" si="14">G19-G53</f>
        <v>28</v>
      </c>
      <c r="H55" s="15">
        <f>H19-H53</f>
        <v>-61</v>
      </c>
      <c r="I55" s="15">
        <f>I19-I53</f>
        <v>-187</v>
      </c>
      <c r="J55" s="15">
        <f t="shared" si="13"/>
        <v>0</v>
      </c>
      <c r="K55" s="15">
        <f t="shared" si="13"/>
        <v>0</v>
      </c>
      <c r="L55" s="15">
        <f t="shared" si="13"/>
        <v>0</v>
      </c>
      <c r="M55" s="339">
        <f t="shared" si="13"/>
        <v>-843</v>
      </c>
      <c r="N55" s="15">
        <f t="shared" si="13"/>
        <v>0</v>
      </c>
    </row>
    <row r="56" spans="1:14" ht="15.75" customHeight="1">
      <c r="A56" s="51">
        <v>42</v>
      </c>
      <c r="B56" s="4"/>
      <c r="C56" s="41"/>
      <c r="D56" s="15"/>
      <c r="E56" s="15"/>
      <c r="F56" s="15"/>
      <c r="G56" s="15"/>
      <c r="H56" s="15"/>
      <c r="I56" s="15"/>
      <c r="J56" s="15"/>
      <c r="K56" s="15"/>
      <c r="L56" s="15"/>
      <c r="M56" s="339"/>
    </row>
    <row r="57" spans="1:14" ht="15.75" customHeight="1">
      <c r="A57" s="51">
        <v>43</v>
      </c>
      <c r="B57" s="4" t="s">
        <v>377</v>
      </c>
      <c r="C57" s="41"/>
      <c r="D57" s="15"/>
      <c r="E57" s="15"/>
      <c r="F57" s="15"/>
      <c r="G57" s="15"/>
      <c r="H57" s="15"/>
      <c r="I57" s="15"/>
      <c r="J57" s="15"/>
      <c r="K57" s="15"/>
      <c r="L57" s="15"/>
      <c r="M57" s="339"/>
    </row>
    <row r="58" spans="1:14" s="14" customFormat="1" ht="15.75" customHeight="1">
      <c r="A58" s="51">
        <v>44</v>
      </c>
      <c r="B58" s="728" t="s">
        <v>53</v>
      </c>
      <c r="C58" s="41">
        <f>SUM(D58:N58)</f>
        <v>-770</v>
      </c>
      <c r="D58" s="15">
        <f>+D110</f>
        <v>-146</v>
      </c>
      <c r="E58" s="15">
        <f t="shared" ref="E58:N58" si="15">+E110</f>
        <v>68</v>
      </c>
      <c r="F58" s="15">
        <f t="shared" si="15"/>
        <v>-321</v>
      </c>
      <c r="G58" s="15">
        <f t="shared" si="15"/>
        <v>10</v>
      </c>
      <c r="H58" s="15">
        <f t="shared" si="15"/>
        <v>-21</v>
      </c>
      <c r="I58" s="15">
        <f t="shared" si="15"/>
        <v>-65</v>
      </c>
      <c r="J58" s="15">
        <f t="shared" si="15"/>
        <v>0</v>
      </c>
      <c r="K58" s="15">
        <f t="shared" si="15"/>
        <v>0</v>
      </c>
      <c r="L58" s="15">
        <f t="shared" si="15"/>
        <v>0</v>
      </c>
      <c r="M58" s="15">
        <f t="shared" si="15"/>
        <v>-295</v>
      </c>
      <c r="N58" s="15">
        <f t="shared" si="15"/>
        <v>0</v>
      </c>
    </row>
    <row r="59" spans="1:14" s="14" customFormat="1" ht="15.75" customHeight="1">
      <c r="A59" s="51">
        <v>45</v>
      </c>
      <c r="B59" s="728" t="s">
        <v>217</v>
      </c>
      <c r="C59" s="41">
        <f t="shared" ref="C59:C61" si="16">SUM(D59:N59)</f>
        <v>0</v>
      </c>
      <c r="D59" s="15">
        <f>ROUND((D85*' Sch 4 CC'!$I$16)*-0.35,0)</f>
        <v>0</v>
      </c>
      <c r="E59" s="15">
        <f>ROUND((E85*' Sch 4 CC'!$I$16)*-0.35,0)</f>
        <v>0</v>
      </c>
      <c r="F59" s="15">
        <f>ROUND((F85*' Sch 4 CC'!$I$16)*-0.35,0)</f>
        <v>0</v>
      </c>
      <c r="G59" s="15">
        <f>ROUND((G85*' Sch 4 CC'!$I$16)*-0.35,0)</f>
        <v>0</v>
      </c>
      <c r="H59" s="15">
        <f>ROUND((H85*' Sch 4 CC'!$I$16)*-0.35,0)</f>
        <v>0</v>
      </c>
      <c r="I59" s="15">
        <f>ROUND((I85*' Sch 4 CC'!$I$16)*-0.35,0)</f>
        <v>0</v>
      </c>
      <c r="J59" s="15">
        <f>ROUND((J85*' Sch 4 CC'!$I$16)*-0.35,0)</f>
        <v>0</v>
      </c>
      <c r="K59" s="15">
        <f>ROUND((K85*' Sch 4 CC'!$I$16)*-0.35,0)</f>
        <v>0</v>
      </c>
      <c r="L59" s="15">
        <f>ROUND((L85*' Sch 4 CC'!$I$16)*-0.35,0)</f>
        <v>0</v>
      </c>
      <c r="M59" s="15">
        <f>ROUND((M85*' Sch 4 CC'!$I$16)*-0.35,0)</f>
        <v>0</v>
      </c>
      <c r="N59" s="15">
        <f>ROUND((N85*' Sch 4 CC'!$I$16)*-0.35,0)</f>
        <v>0</v>
      </c>
    </row>
    <row r="60" spans="1:14" ht="15.75" customHeight="1">
      <c r="A60" s="51">
        <v>46</v>
      </c>
      <c r="B60" s="728" t="s">
        <v>54</v>
      </c>
      <c r="C60" s="41">
        <f t="shared" si="16"/>
        <v>0</v>
      </c>
      <c r="D60" s="15"/>
      <c r="E60" s="15"/>
      <c r="F60" s="15"/>
      <c r="G60" s="15"/>
      <c r="H60" s="15"/>
      <c r="I60" s="15"/>
      <c r="J60" s="15"/>
      <c r="K60" s="15"/>
      <c r="L60" s="15"/>
      <c r="M60" s="339"/>
    </row>
    <row r="61" spans="1:14" ht="15.75" customHeight="1">
      <c r="A61" s="51">
        <v>47</v>
      </c>
      <c r="B61" s="728" t="s">
        <v>55</v>
      </c>
      <c r="C61" s="19">
        <f t="shared" si="16"/>
        <v>0</v>
      </c>
      <c r="D61" s="19"/>
      <c r="E61" s="19"/>
      <c r="F61" s="19"/>
      <c r="G61" s="19"/>
      <c r="H61" s="19"/>
      <c r="I61" s="19"/>
      <c r="J61" s="19"/>
      <c r="K61" s="19"/>
      <c r="L61" s="19"/>
      <c r="M61" s="340"/>
      <c r="N61" s="341"/>
    </row>
    <row r="62" spans="1:14" ht="15.75" customHeight="1">
      <c r="A62" s="51">
        <v>48</v>
      </c>
      <c r="B62" s="731" t="s">
        <v>402</v>
      </c>
      <c r="C62" s="41">
        <f>SUM(C58:C61)</f>
        <v>-770</v>
      </c>
      <c r="D62" s="41">
        <f t="shared" ref="D62:N62" si="17">SUM(D58:D61)</f>
        <v>-146</v>
      </c>
      <c r="E62" s="41">
        <f t="shared" si="17"/>
        <v>68</v>
      </c>
      <c r="F62" s="41">
        <f t="shared" si="17"/>
        <v>-321</v>
      </c>
      <c r="G62" s="41">
        <f t="shared" si="17"/>
        <v>10</v>
      </c>
      <c r="H62" s="41">
        <f t="shared" si="17"/>
        <v>-21</v>
      </c>
      <c r="I62" s="41">
        <f t="shared" si="17"/>
        <v>-65</v>
      </c>
      <c r="J62" s="41">
        <f t="shared" si="17"/>
        <v>0</v>
      </c>
      <c r="K62" s="41">
        <f t="shared" si="17"/>
        <v>0</v>
      </c>
      <c r="L62" s="41">
        <f t="shared" si="17"/>
        <v>0</v>
      </c>
      <c r="M62" s="342">
        <f t="shared" si="17"/>
        <v>-295</v>
      </c>
      <c r="N62" s="41">
        <f t="shared" si="17"/>
        <v>0</v>
      </c>
    </row>
    <row r="63" spans="1:14" ht="15.75" customHeight="1">
      <c r="A63" s="51">
        <v>49</v>
      </c>
      <c r="B63" s="4"/>
      <c r="C63" s="34"/>
      <c r="D63" s="39"/>
      <c r="E63" s="39"/>
      <c r="F63" s="39"/>
      <c r="G63" s="39"/>
      <c r="H63" s="39"/>
      <c r="I63" s="39"/>
      <c r="J63" s="39"/>
      <c r="K63" s="39"/>
      <c r="L63" s="39"/>
      <c r="M63" s="337"/>
    </row>
    <row r="64" spans="1:14" ht="15.75" customHeight="1" thickBot="1">
      <c r="A64" s="51">
        <v>50</v>
      </c>
      <c r="B64" s="21" t="s">
        <v>56</v>
      </c>
      <c r="C64" s="265">
        <f>C55-SUM(C58:C61)</f>
        <v>-1433</v>
      </c>
      <c r="D64" s="317">
        <f t="shared" ref="D64:H64" si="18">D55-SUM(D58:D61)</f>
        <v>-271</v>
      </c>
      <c r="E64" s="317">
        <f t="shared" si="18"/>
        <v>127</v>
      </c>
      <c r="F64" s="317">
        <f t="shared" si="18"/>
        <v>-597</v>
      </c>
      <c r="G64" s="317">
        <f t="shared" si="18"/>
        <v>18</v>
      </c>
      <c r="H64" s="317">
        <f t="shared" si="18"/>
        <v>-40</v>
      </c>
      <c r="I64" s="317">
        <f>I55-SUM(I58:I61)</f>
        <v>-122</v>
      </c>
      <c r="J64" s="317">
        <f t="shared" ref="J64:N64" si="19">J55-SUM(J58:J61)</f>
        <v>0</v>
      </c>
      <c r="K64" s="317">
        <f t="shared" si="19"/>
        <v>0</v>
      </c>
      <c r="L64" s="317">
        <f t="shared" si="19"/>
        <v>0</v>
      </c>
      <c r="M64" s="343">
        <f t="shared" si="19"/>
        <v>-548</v>
      </c>
      <c r="N64" s="317">
        <f t="shared" si="19"/>
        <v>0</v>
      </c>
    </row>
    <row r="65" spans="1:14" ht="15.75" customHeight="1" thickTop="1">
      <c r="A65" s="51">
        <v>51</v>
      </c>
      <c r="B65" s="749"/>
      <c r="C65" s="750"/>
      <c r="D65" s="750"/>
      <c r="E65" s="750"/>
      <c r="F65" s="39"/>
      <c r="G65" s="39"/>
      <c r="H65" s="39"/>
      <c r="I65" s="39"/>
      <c r="J65" s="39"/>
      <c r="K65" s="39"/>
      <c r="L65" s="39"/>
      <c r="M65" s="337"/>
    </row>
    <row r="66" spans="1:14" ht="15.75" customHeight="1">
      <c r="A66" s="51">
        <v>52</v>
      </c>
      <c r="B66" s="726" t="s">
        <v>57</v>
      </c>
      <c r="C66" s="34"/>
      <c r="D66" s="39"/>
      <c r="E66" s="39"/>
      <c r="F66" s="39"/>
      <c r="G66" s="39"/>
      <c r="H66" s="39"/>
      <c r="I66" s="39"/>
      <c r="J66" s="39"/>
      <c r="K66" s="39"/>
      <c r="L66" s="39"/>
      <c r="M66" s="337"/>
    </row>
    <row r="67" spans="1:14" ht="15.75" customHeight="1">
      <c r="A67" s="51">
        <v>53</v>
      </c>
      <c r="B67" s="4" t="s">
        <v>58</v>
      </c>
      <c r="C67" s="34"/>
      <c r="D67" s="20"/>
      <c r="E67" s="20"/>
      <c r="F67" s="20"/>
      <c r="G67" s="20"/>
      <c r="H67" s="20"/>
      <c r="I67" s="20"/>
      <c r="J67" s="20"/>
      <c r="K67" s="20"/>
      <c r="L67" s="20"/>
      <c r="M67" s="344"/>
    </row>
    <row r="68" spans="1:14" ht="15.75" customHeight="1">
      <c r="A68" s="51">
        <v>54</v>
      </c>
      <c r="B68" s="728" t="s">
        <v>40</v>
      </c>
      <c r="C68" s="56">
        <f>SUM(D68:N68)</f>
        <v>0</v>
      </c>
      <c r="D68" s="305"/>
      <c r="E68" s="305"/>
      <c r="F68" s="305"/>
      <c r="G68" s="305"/>
      <c r="H68" s="305"/>
      <c r="I68" s="15"/>
      <c r="J68" s="521">
        <f>'ADJ 3.06'!E61</f>
        <v>0</v>
      </c>
      <c r="K68" s="521">
        <f>'ADJ 4.00'!E61</f>
        <v>0</v>
      </c>
      <c r="L68" s="521">
        <f>'ADJ 4.01'!E61</f>
        <v>0</v>
      </c>
      <c r="M68" s="338"/>
    </row>
    <row r="69" spans="1:14" ht="15.75" customHeight="1">
      <c r="A69" s="51">
        <v>55</v>
      </c>
      <c r="B69" s="728" t="s">
        <v>59</v>
      </c>
      <c r="C69" s="56">
        <f t="shared" ref="C69:C70" si="20">SUM(D69:N69)</f>
        <v>0</v>
      </c>
      <c r="D69" s="15"/>
      <c r="E69" s="15"/>
      <c r="F69" s="15"/>
      <c r="G69" s="15"/>
      <c r="H69" s="15"/>
      <c r="I69" s="15"/>
      <c r="J69" s="15">
        <f>'ADJ 3.06'!E62</f>
        <v>0</v>
      </c>
      <c r="K69" s="15">
        <f>'ADJ 4.00'!E68</f>
        <v>0</v>
      </c>
      <c r="L69" s="15">
        <f>'ADJ 4.01'!E68</f>
        <v>0</v>
      </c>
      <c r="M69" s="339"/>
    </row>
    <row r="70" spans="1:14" ht="15.75" customHeight="1">
      <c r="A70" s="51">
        <v>56</v>
      </c>
      <c r="B70" s="728" t="s">
        <v>60</v>
      </c>
      <c r="C70" s="281">
        <f t="shared" si="20"/>
        <v>0</v>
      </c>
      <c r="D70" s="19"/>
      <c r="E70" s="19"/>
      <c r="F70" s="19"/>
      <c r="G70" s="19"/>
      <c r="H70" s="19"/>
      <c r="I70" s="19"/>
      <c r="J70" s="19">
        <f>'ADJ 3.06'!E69</f>
        <v>0</v>
      </c>
      <c r="K70" s="19">
        <f>'ADJ 4.00'!E69</f>
        <v>0</v>
      </c>
      <c r="L70" s="19">
        <f>'ADJ 4.01'!E69</f>
        <v>0</v>
      </c>
      <c r="M70" s="340"/>
      <c r="N70" s="341"/>
    </row>
    <row r="71" spans="1:14" ht="15.75" customHeight="1">
      <c r="A71" s="51">
        <v>57</v>
      </c>
      <c r="B71" s="731" t="s">
        <v>61</v>
      </c>
      <c r="C71" s="41">
        <f t="shared" ref="C71:N71" si="21">SUM(C68:C70)</f>
        <v>0</v>
      </c>
      <c r="D71" s="15">
        <f t="shared" si="21"/>
        <v>0</v>
      </c>
      <c r="E71" s="15">
        <f t="shared" si="21"/>
        <v>0</v>
      </c>
      <c r="F71" s="15">
        <f t="shared" si="21"/>
        <v>0</v>
      </c>
      <c r="G71" s="15">
        <f t="shared" si="21"/>
        <v>0</v>
      </c>
      <c r="H71" s="15">
        <f t="shared" si="21"/>
        <v>0</v>
      </c>
      <c r="I71" s="15">
        <f>SUM(I68:I70)</f>
        <v>0</v>
      </c>
      <c r="J71" s="15">
        <f t="shared" si="21"/>
        <v>0</v>
      </c>
      <c r="K71" s="15">
        <f t="shared" si="21"/>
        <v>0</v>
      </c>
      <c r="L71" s="15">
        <f t="shared" si="21"/>
        <v>0</v>
      </c>
      <c r="M71" s="339">
        <f t="shared" si="21"/>
        <v>0</v>
      </c>
      <c r="N71" s="15">
        <f t="shared" si="21"/>
        <v>0</v>
      </c>
    </row>
    <row r="72" spans="1:14" ht="15.75" customHeight="1">
      <c r="A72" s="51">
        <v>58</v>
      </c>
      <c r="B72" s="731"/>
      <c r="C72" s="41"/>
      <c r="D72" s="15"/>
      <c r="E72" s="15"/>
      <c r="F72" s="15"/>
      <c r="G72" s="15"/>
      <c r="H72" s="15"/>
      <c r="I72" s="15"/>
      <c r="J72" s="15"/>
      <c r="K72" s="15"/>
      <c r="L72" s="15"/>
      <c r="M72" s="339"/>
    </row>
    <row r="73" spans="1:14" ht="15.75" customHeight="1">
      <c r="A73" s="51">
        <v>59</v>
      </c>
      <c r="B73" s="730" t="s">
        <v>62</v>
      </c>
      <c r="C73" s="41"/>
      <c r="D73" s="15"/>
      <c r="E73" s="15"/>
      <c r="F73" s="15"/>
      <c r="G73" s="15"/>
      <c r="H73" s="15"/>
      <c r="I73" s="15"/>
      <c r="J73" s="15"/>
      <c r="K73" s="15"/>
      <c r="L73" s="15"/>
      <c r="M73" s="339"/>
    </row>
    <row r="74" spans="1:14" s="10" customFormat="1" ht="15.75" customHeight="1">
      <c r="A74" s="51">
        <v>60</v>
      </c>
      <c r="B74" s="728" t="s">
        <v>40</v>
      </c>
      <c r="C74" s="41">
        <f>SUM(D74:N74)</f>
        <v>0</v>
      </c>
      <c r="D74" s="15"/>
      <c r="E74" s="15"/>
      <c r="F74" s="15"/>
      <c r="G74" s="15"/>
      <c r="H74" s="15"/>
      <c r="I74" s="15"/>
      <c r="J74" s="15">
        <f>'ADJ 3.06'!E67</f>
        <v>0</v>
      </c>
      <c r="K74" s="15">
        <f>'ADJ 4.00'!E67</f>
        <v>0</v>
      </c>
      <c r="L74" s="15">
        <f>'ADJ 4.01'!E67</f>
        <v>0</v>
      </c>
      <c r="M74" s="339"/>
      <c r="N74" s="3"/>
    </row>
    <row r="75" spans="1:14" ht="15.75" customHeight="1">
      <c r="A75" s="51">
        <v>61</v>
      </c>
      <c r="B75" s="728" t="s">
        <v>59</v>
      </c>
      <c r="C75" s="41">
        <f t="shared" ref="C75:C76" si="22">SUM(D75:N75)</f>
        <v>0</v>
      </c>
      <c r="D75" s="15"/>
      <c r="E75" s="15"/>
      <c r="F75" s="15"/>
      <c r="G75" s="15"/>
      <c r="H75" s="15"/>
      <c r="I75" s="15"/>
      <c r="J75" s="15">
        <f>'ADJ 3.06'!E68</f>
        <v>0</v>
      </c>
      <c r="K75" s="15">
        <f>'ADJ 4.00'!E68</f>
        <v>0</v>
      </c>
      <c r="L75" s="15">
        <f>'ADJ 4.01'!E68</f>
        <v>0</v>
      </c>
      <c r="M75" s="339"/>
    </row>
    <row r="76" spans="1:14" ht="15.75" customHeight="1">
      <c r="A76" s="51">
        <v>62</v>
      </c>
      <c r="B76" s="728" t="s">
        <v>60</v>
      </c>
      <c r="C76" s="19">
        <f t="shared" si="22"/>
        <v>0</v>
      </c>
      <c r="D76" s="15"/>
      <c r="E76" s="15"/>
      <c r="F76" s="15"/>
      <c r="G76" s="15"/>
      <c r="H76" s="15"/>
      <c r="I76" s="15"/>
      <c r="J76" s="15">
        <f>'ADJ 3.06'!E69</f>
        <v>0</v>
      </c>
      <c r="K76" s="15">
        <f>'ADJ 4.00'!E69</f>
        <v>0</v>
      </c>
      <c r="L76" s="15">
        <f>'ADJ 4.01'!E69</f>
        <v>0</v>
      </c>
      <c r="M76" s="339"/>
    </row>
    <row r="77" spans="1:14" ht="15.75" customHeight="1">
      <c r="A77" s="51">
        <v>63</v>
      </c>
      <c r="B77" s="731" t="s">
        <v>379</v>
      </c>
      <c r="C77" s="42">
        <f t="shared" ref="C77:N77" si="23">SUM(C74:C76)</f>
        <v>0</v>
      </c>
      <c r="D77" s="42">
        <f t="shared" si="23"/>
        <v>0</v>
      </c>
      <c r="E77" s="42">
        <f t="shared" si="23"/>
        <v>0</v>
      </c>
      <c r="F77" s="42">
        <f t="shared" si="23"/>
        <v>0</v>
      </c>
      <c r="G77" s="42">
        <f t="shared" si="23"/>
        <v>0</v>
      </c>
      <c r="H77" s="42">
        <f t="shared" si="23"/>
        <v>0</v>
      </c>
      <c r="I77" s="42">
        <f>SUM(I74:I76)</f>
        <v>0</v>
      </c>
      <c r="J77" s="42">
        <f t="shared" si="23"/>
        <v>0</v>
      </c>
      <c r="K77" s="42">
        <f t="shared" si="23"/>
        <v>0</v>
      </c>
      <c r="L77" s="42">
        <f t="shared" si="23"/>
        <v>0</v>
      </c>
      <c r="M77" s="345">
        <f t="shared" si="23"/>
        <v>0</v>
      </c>
      <c r="N77" s="42">
        <f t="shared" si="23"/>
        <v>0</v>
      </c>
    </row>
    <row r="78" spans="1:14" ht="15.75" customHeight="1">
      <c r="A78" s="51">
        <v>64</v>
      </c>
      <c r="B78" s="73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342"/>
    </row>
    <row r="79" spans="1:14" s="14" customFormat="1" ht="15.75" customHeight="1">
      <c r="A79" s="51">
        <v>65</v>
      </c>
      <c r="B79" s="734" t="s">
        <v>54</v>
      </c>
      <c r="C79" s="41">
        <f>SUM(D79:N79)</f>
        <v>0</v>
      </c>
      <c r="D79" s="41"/>
      <c r="E79" s="41"/>
      <c r="F79" s="41"/>
      <c r="G79" s="41"/>
      <c r="H79" s="41"/>
      <c r="I79" s="41"/>
      <c r="J79" s="41">
        <f>'ADJ 3.06'!E72</f>
        <v>0</v>
      </c>
      <c r="K79" s="41">
        <f>'ADJ 4.00'!E72</f>
        <v>0</v>
      </c>
      <c r="L79" s="41">
        <f>'ADJ 4.01'!E72</f>
        <v>0</v>
      </c>
      <c r="M79" s="342"/>
      <c r="N79" s="21"/>
    </row>
    <row r="80" spans="1:14" ht="15.75" customHeight="1">
      <c r="A80" s="51">
        <v>66</v>
      </c>
      <c r="B80" s="730" t="s">
        <v>115</v>
      </c>
      <c r="C80" s="41">
        <f t="shared" ref="C80:C83" si="24">SUM(D80:N80)</f>
        <v>0</v>
      </c>
      <c r="D80" s="15"/>
      <c r="E80" s="15"/>
      <c r="F80" s="15"/>
      <c r="G80" s="15"/>
      <c r="H80" s="15"/>
      <c r="I80" s="15"/>
      <c r="J80" s="15"/>
      <c r="K80" s="15"/>
      <c r="L80" s="15"/>
      <c r="M80" s="339"/>
    </row>
    <row r="81" spans="1:14" ht="15.75" customHeight="1">
      <c r="A81" s="51">
        <v>67</v>
      </c>
      <c r="B81" s="730" t="s">
        <v>380</v>
      </c>
      <c r="C81" s="41">
        <f t="shared" si="24"/>
        <v>0</v>
      </c>
      <c r="D81" s="41"/>
      <c r="E81" s="41"/>
      <c r="F81" s="41"/>
      <c r="G81" s="41"/>
      <c r="H81" s="41"/>
      <c r="I81" s="41"/>
      <c r="J81" s="41"/>
      <c r="K81" s="41"/>
      <c r="L81" s="41"/>
      <c r="M81" s="342"/>
    </row>
    <row r="82" spans="1:14" ht="15.75" customHeight="1">
      <c r="A82" s="51">
        <v>68</v>
      </c>
      <c r="B82" s="6" t="s">
        <v>32</v>
      </c>
      <c r="C82" s="41">
        <f t="shared" si="24"/>
        <v>0</v>
      </c>
      <c r="D82" s="15"/>
      <c r="E82" s="15"/>
      <c r="F82" s="15"/>
      <c r="G82" s="15"/>
      <c r="H82" s="15"/>
      <c r="I82" s="15"/>
      <c r="J82" s="15"/>
      <c r="K82" s="15"/>
      <c r="L82" s="15"/>
      <c r="M82" s="339"/>
    </row>
    <row r="83" spans="1:14" ht="15.75" customHeight="1">
      <c r="A83" s="51">
        <v>69</v>
      </c>
      <c r="B83" s="730" t="s">
        <v>167</v>
      </c>
      <c r="C83" s="19">
        <f t="shared" si="24"/>
        <v>0</v>
      </c>
      <c r="D83" s="341"/>
      <c r="E83" s="341"/>
      <c r="F83" s="341"/>
      <c r="G83" s="341"/>
      <c r="H83" s="341"/>
      <c r="I83" s="341"/>
      <c r="J83" s="341"/>
      <c r="K83" s="341"/>
      <c r="L83" s="341"/>
      <c r="M83" s="346"/>
      <c r="N83" s="341"/>
    </row>
    <row r="84" spans="1:14" ht="15.75" customHeight="1">
      <c r="A84" s="51">
        <v>70</v>
      </c>
      <c r="B84" s="4"/>
      <c r="C84" s="34"/>
      <c r="D84" s="39"/>
      <c r="E84" s="39"/>
      <c r="F84" s="39"/>
      <c r="G84" s="39"/>
      <c r="H84" s="39"/>
      <c r="I84" s="39"/>
      <c r="J84" s="39"/>
      <c r="K84" s="39"/>
      <c r="L84" s="39"/>
      <c r="M84" s="337"/>
    </row>
    <row r="85" spans="1:14" ht="15.75" customHeight="1" thickBot="1">
      <c r="A85" s="51">
        <v>71</v>
      </c>
      <c r="B85" s="735" t="s">
        <v>63</v>
      </c>
      <c r="C85" s="265">
        <f>C71-C77+C79+C80+C81+C82</f>
        <v>0</v>
      </c>
      <c r="D85" s="317">
        <f t="shared" ref="D85:J85" si="25">D71-D77+D79+D80+D81</f>
        <v>0</v>
      </c>
      <c r="E85" s="317">
        <f t="shared" si="25"/>
        <v>0</v>
      </c>
      <c r="F85" s="317">
        <f t="shared" si="25"/>
        <v>0</v>
      </c>
      <c r="G85" s="317">
        <f t="shared" si="25"/>
        <v>0</v>
      </c>
      <c r="H85" s="265">
        <f t="shared" si="25"/>
        <v>0</v>
      </c>
      <c r="I85" s="317">
        <f t="shared" si="25"/>
        <v>0</v>
      </c>
      <c r="J85" s="317">
        <f t="shared" si="25"/>
        <v>0</v>
      </c>
      <c r="K85" s="317">
        <f t="shared" ref="K85:N85" si="26">K71-K77+K79+K80+K81</f>
        <v>0</v>
      </c>
      <c r="L85" s="317">
        <f t="shared" si="26"/>
        <v>0</v>
      </c>
      <c r="M85" s="343">
        <f t="shared" si="26"/>
        <v>0</v>
      </c>
      <c r="N85" s="317">
        <f t="shared" si="26"/>
        <v>0</v>
      </c>
    </row>
    <row r="86" spans="1:14" s="4" customFormat="1" ht="15.75" customHeight="1" thickTop="1">
      <c r="A86" s="51"/>
      <c r="B86" s="3"/>
      <c r="C86" s="53"/>
      <c r="D86" s="39"/>
      <c r="E86" s="39"/>
      <c r="F86" s="39"/>
      <c r="G86" s="39"/>
      <c r="H86" s="39"/>
      <c r="I86" s="39"/>
      <c r="J86" s="39"/>
      <c r="K86" s="39"/>
      <c r="L86" s="39"/>
      <c r="M86" s="337"/>
    </row>
    <row r="87" spans="1:14" s="4" customFormat="1" ht="15.75" customHeight="1">
      <c r="A87" s="200"/>
      <c r="B87" s="2"/>
      <c r="C87" s="2"/>
      <c r="D87" s="39"/>
      <c r="E87" s="39"/>
      <c r="F87" s="39"/>
      <c r="G87" s="39"/>
      <c r="H87" s="39"/>
      <c r="I87" s="39"/>
      <c r="J87" s="39"/>
      <c r="K87" s="39"/>
      <c r="L87" s="39"/>
      <c r="M87" s="337"/>
    </row>
    <row r="88" spans="1:14" s="4" customFormat="1" ht="15.75" customHeight="1">
      <c r="A88" s="201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37"/>
    </row>
    <row r="89" spans="1:14" s="4" customFormat="1" ht="15.75" customHeight="1">
      <c r="A89" s="51">
        <v>1</v>
      </c>
      <c r="B89" s="726" t="s">
        <v>385</v>
      </c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347"/>
    </row>
    <row r="90" spans="1:14" s="4" customFormat="1" ht="15.75" customHeight="1">
      <c r="A90" s="51">
        <v>2</v>
      </c>
      <c r="B90" s="736" t="s">
        <v>148</v>
      </c>
      <c r="C90" s="55">
        <f t="shared" ref="C90:N90" si="27">+C19</f>
        <v>0</v>
      </c>
      <c r="D90" s="55">
        <f t="shared" si="27"/>
        <v>0</v>
      </c>
      <c r="E90" s="55">
        <f t="shared" si="27"/>
        <v>0</v>
      </c>
      <c r="F90" s="55">
        <f t="shared" ref="F90:G90" si="28">+F19</f>
        <v>0</v>
      </c>
      <c r="G90" s="55">
        <f t="shared" si="28"/>
        <v>0</v>
      </c>
      <c r="H90" s="55">
        <f t="shared" ref="H90" si="29">+H19</f>
        <v>0</v>
      </c>
      <c r="I90" s="55">
        <f>+I19</f>
        <v>0</v>
      </c>
      <c r="J90" s="55">
        <f t="shared" si="27"/>
        <v>0</v>
      </c>
      <c r="K90" s="55">
        <f t="shared" si="27"/>
        <v>0</v>
      </c>
      <c r="L90" s="55">
        <f t="shared" si="27"/>
        <v>0</v>
      </c>
      <c r="M90" s="348">
        <f t="shared" si="27"/>
        <v>0</v>
      </c>
      <c r="N90" s="55">
        <f t="shared" si="27"/>
        <v>0</v>
      </c>
    </row>
    <row r="91" spans="1:14" s="4" customFormat="1" ht="15.75" customHeight="1">
      <c r="A91" s="51">
        <v>3</v>
      </c>
      <c r="B91" s="736" t="s">
        <v>97</v>
      </c>
      <c r="C91" s="41">
        <f>-C53</f>
        <v>-2203</v>
      </c>
      <c r="D91" s="41">
        <f t="shared" ref="D91:N91" si="30">-D53</f>
        <v>-417</v>
      </c>
      <c r="E91" s="41">
        <f t="shared" si="30"/>
        <v>195</v>
      </c>
      <c r="F91" s="41">
        <f t="shared" ref="F91:G91" si="31">-F53</f>
        <v>-918</v>
      </c>
      <c r="G91" s="41">
        <f t="shared" si="31"/>
        <v>28</v>
      </c>
      <c r="H91" s="41">
        <f t="shared" ref="H91" si="32">-H53</f>
        <v>-61</v>
      </c>
      <c r="I91" s="41">
        <f>-I53</f>
        <v>-187</v>
      </c>
      <c r="J91" s="41">
        <f t="shared" si="30"/>
        <v>0</v>
      </c>
      <c r="K91" s="41">
        <f t="shared" si="30"/>
        <v>0</v>
      </c>
      <c r="L91" s="41">
        <f t="shared" si="30"/>
        <v>0</v>
      </c>
      <c r="M91" s="342">
        <f t="shared" si="30"/>
        <v>-843</v>
      </c>
      <c r="N91" s="41">
        <f t="shared" si="30"/>
        <v>0</v>
      </c>
    </row>
    <row r="92" spans="1:14" s="4" customFormat="1" ht="15.75" customHeight="1">
      <c r="A92" s="51">
        <v>4</v>
      </c>
      <c r="B92" s="736" t="s">
        <v>386</v>
      </c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340"/>
      <c r="N92" s="341"/>
    </row>
    <row r="93" spans="1:14" s="4" customFormat="1" ht="15.75" customHeight="1">
      <c r="A93" s="51">
        <v>5</v>
      </c>
      <c r="B93" s="737" t="s">
        <v>403</v>
      </c>
      <c r="C93" s="41">
        <f>SUM(C90:C92)</f>
        <v>-2203</v>
      </c>
      <c r="D93" s="41">
        <f t="shared" ref="D93:N93" si="33">SUM(D90:D92)</f>
        <v>-417</v>
      </c>
      <c r="E93" s="41">
        <f t="shared" si="33"/>
        <v>195</v>
      </c>
      <c r="F93" s="41">
        <f t="shared" ref="F93:G93" si="34">SUM(F90:F92)</f>
        <v>-918</v>
      </c>
      <c r="G93" s="41">
        <f t="shared" si="34"/>
        <v>28</v>
      </c>
      <c r="H93" s="41">
        <f t="shared" ref="H93" si="35">SUM(H90:H92)</f>
        <v>-61</v>
      </c>
      <c r="I93" s="41">
        <f t="shared" si="33"/>
        <v>-187</v>
      </c>
      <c r="J93" s="41">
        <f t="shared" si="33"/>
        <v>0</v>
      </c>
      <c r="K93" s="41">
        <f t="shared" si="33"/>
        <v>0</v>
      </c>
      <c r="L93" s="41">
        <f t="shared" si="33"/>
        <v>0</v>
      </c>
      <c r="M93" s="342">
        <f t="shared" si="33"/>
        <v>-843</v>
      </c>
      <c r="N93" s="41">
        <f t="shared" si="33"/>
        <v>0</v>
      </c>
    </row>
    <row r="94" spans="1:14" ht="15.75" customHeight="1">
      <c r="A94" s="51">
        <v>6</v>
      </c>
      <c r="B94" s="10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342"/>
    </row>
    <row r="95" spans="1:14" ht="15.75" customHeight="1">
      <c r="A95" s="51">
        <v>7</v>
      </c>
      <c r="B95" s="719" t="s">
        <v>388</v>
      </c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349"/>
    </row>
    <row r="96" spans="1:14" ht="15.75" customHeight="1">
      <c r="A96" s="51">
        <v>8</v>
      </c>
      <c r="B96" s="717" t="s">
        <v>389</v>
      </c>
      <c r="C96" s="24"/>
      <c r="D96" s="44"/>
      <c r="E96" s="44"/>
      <c r="F96" s="44"/>
      <c r="G96" s="44"/>
      <c r="H96" s="44"/>
      <c r="I96" s="44"/>
      <c r="J96" s="44"/>
      <c r="K96" s="44"/>
      <c r="L96" s="44"/>
      <c r="M96" s="349"/>
    </row>
    <row r="97" spans="1:14" ht="15.75" customHeight="1">
      <c r="A97" s="51">
        <v>9</v>
      </c>
      <c r="B97" s="717" t="s">
        <v>390</v>
      </c>
      <c r="C97" s="24"/>
      <c r="D97" s="41"/>
      <c r="E97" s="41"/>
      <c r="F97" s="41"/>
      <c r="G97" s="41"/>
      <c r="H97" s="41"/>
      <c r="I97" s="41"/>
      <c r="J97" s="41"/>
      <c r="K97" s="41"/>
      <c r="L97" s="41"/>
      <c r="M97" s="342"/>
    </row>
    <row r="98" spans="1:14" ht="15.75" customHeight="1">
      <c r="A98" s="51">
        <v>10</v>
      </c>
      <c r="B98" s="717" t="s">
        <v>384</v>
      </c>
      <c r="C98" s="24"/>
      <c r="D98" s="41"/>
      <c r="E98" s="41"/>
      <c r="F98" s="41"/>
      <c r="G98" s="41"/>
      <c r="H98" s="41"/>
      <c r="I98" s="41"/>
      <c r="J98" s="41"/>
      <c r="K98" s="41"/>
      <c r="L98" s="41"/>
      <c r="M98" s="342"/>
    </row>
    <row r="99" spans="1:14" ht="15.75" customHeight="1">
      <c r="A99" s="51">
        <v>11</v>
      </c>
      <c r="B99" s="718" t="s">
        <v>391</v>
      </c>
      <c r="C99" s="31">
        <f t="shared" ref="C99:N99" si="36">SUM(C96:C98)</f>
        <v>0</v>
      </c>
      <c r="D99" s="31">
        <f t="shared" si="36"/>
        <v>0</v>
      </c>
      <c r="E99" s="31">
        <f t="shared" si="36"/>
        <v>0</v>
      </c>
      <c r="F99" s="31">
        <f t="shared" ref="F99:G99" si="37">SUM(F96:F98)</f>
        <v>0</v>
      </c>
      <c r="G99" s="31">
        <f t="shared" si="37"/>
        <v>0</v>
      </c>
      <c r="H99" s="31">
        <f t="shared" ref="H99" si="38">SUM(H96:H98)</f>
        <v>0</v>
      </c>
      <c r="I99" s="31">
        <f t="shared" si="36"/>
        <v>0</v>
      </c>
      <c r="J99" s="31">
        <f t="shared" si="36"/>
        <v>0</v>
      </c>
      <c r="K99" s="31">
        <f t="shared" si="36"/>
        <v>0</v>
      </c>
      <c r="L99" s="31">
        <f t="shared" si="36"/>
        <v>0</v>
      </c>
      <c r="M99" s="350">
        <f t="shared" si="36"/>
        <v>0</v>
      </c>
      <c r="N99" s="31">
        <f t="shared" si="36"/>
        <v>0</v>
      </c>
    </row>
    <row r="100" spans="1:14" ht="15.75" customHeight="1">
      <c r="A100" s="51">
        <v>12</v>
      </c>
      <c r="B100" s="10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342"/>
    </row>
    <row r="101" spans="1:14" ht="15.75" customHeight="1">
      <c r="A101" s="51">
        <v>13</v>
      </c>
      <c r="B101" s="719" t="s">
        <v>392</v>
      </c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349"/>
    </row>
    <row r="102" spans="1:14" ht="15.75" customHeight="1">
      <c r="A102" s="51">
        <v>14</v>
      </c>
      <c r="B102" s="717" t="s">
        <v>404</v>
      </c>
      <c r="C102" s="24"/>
      <c r="D102" s="41"/>
      <c r="E102" s="41">
        <v>0</v>
      </c>
      <c r="F102" s="41">
        <v>0</v>
      </c>
      <c r="G102" s="41">
        <v>0</v>
      </c>
      <c r="H102" s="41">
        <v>0</v>
      </c>
      <c r="I102" s="41">
        <v>0</v>
      </c>
      <c r="J102" s="41">
        <v>0</v>
      </c>
      <c r="K102" s="41">
        <v>0</v>
      </c>
      <c r="L102" s="41"/>
      <c r="M102" s="342"/>
    </row>
    <row r="103" spans="1:14" ht="15.75" customHeight="1">
      <c r="A103" s="51">
        <v>15</v>
      </c>
      <c r="B103" s="717" t="s">
        <v>405</v>
      </c>
      <c r="C103" s="24"/>
      <c r="D103" s="41"/>
      <c r="E103" s="41">
        <v>0</v>
      </c>
      <c r="F103" s="41">
        <v>0</v>
      </c>
      <c r="G103" s="41">
        <v>0</v>
      </c>
      <c r="H103" s="41">
        <v>0</v>
      </c>
      <c r="I103" s="41">
        <v>0</v>
      </c>
      <c r="J103" s="41">
        <v>0</v>
      </c>
      <c r="K103" s="41">
        <v>0</v>
      </c>
      <c r="L103" s="41"/>
      <c r="M103" s="342"/>
    </row>
    <row r="104" spans="1:14" ht="15.75" customHeight="1">
      <c r="A104" s="51">
        <v>16</v>
      </c>
      <c r="B104" s="717" t="s">
        <v>395</v>
      </c>
      <c r="C104" s="45">
        <f t="shared" ref="C104:N104" si="39">SUM(C102:C103)</f>
        <v>0</v>
      </c>
      <c r="D104" s="31">
        <f t="shared" si="39"/>
        <v>0</v>
      </c>
      <c r="E104" s="31">
        <f t="shared" si="39"/>
        <v>0</v>
      </c>
      <c r="F104" s="31">
        <f t="shared" ref="F104:G104" si="40">SUM(F102:F103)</f>
        <v>0</v>
      </c>
      <c r="G104" s="31">
        <f t="shared" si="40"/>
        <v>0</v>
      </c>
      <c r="H104" s="31">
        <f t="shared" ref="H104" si="41">SUM(H102:H103)</f>
        <v>0</v>
      </c>
      <c r="I104" s="31">
        <f t="shared" si="39"/>
        <v>0</v>
      </c>
      <c r="J104" s="31">
        <f t="shared" si="39"/>
        <v>0</v>
      </c>
      <c r="K104" s="31">
        <f t="shared" si="39"/>
        <v>0</v>
      </c>
      <c r="L104" s="31">
        <f t="shared" si="39"/>
        <v>0</v>
      </c>
      <c r="M104" s="350">
        <f t="shared" si="39"/>
        <v>0</v>
      </c>
      <c r="N104" s="31">
        <f t="shared" si="39"/>
        <v>0</v>
      </c>
    </row>
    <row r="105" spans="1:14" ht="15.75" customHeight="1">
      <c r="A105" s="51">
        <v>17</v>
      </c>
      <c r="B105" s="10"/>
      <c r="C105" s="43"/>
      <c r="D105" s="44"/>
      <c r="E105" s="44"/>
      <c r="F105" s="44"/>
      <c r="G105" s="44"/>
      <c r="H105" s="44"/>
      <c r="I105" s="44"/>
      <c r="J105" s="44"/>
      <c r="K105" s="44"/>
      <c r="L105" s="44"/>
      <c r="M105" s="349"/>
    </row>
    <row r="106" spans="1:14" ht="15.75" customHeight="1">
      <c r="A106" s="51">
        <v>18</v>
      </c>
      <c r="B106" s="721" t="s">
        <v>396</v>
      </c>
      <c r="C106" s="41">
        <f>C93+C99-C104</f>
        <v>-2203</v>
      </c>
      <c r="D106" s="41">
        <f t="shared" ref="D106:N106" si="42">D93+D99-D104</f>
        <v>-417</v>
      </c>
      <c r="E106" s="41">
        <f t="shared" si="42"/>
        <v>195</v>
      </c>
      <c r="F106" s="41">
        <f t="shared" si="42"/>
        <v>-918</v>
      </c>
      <c r="G106" s="41">
        <f t="shared" si="42"/>
        <v>28</v>
      </c>
      <c r="H106" s="41">
        <f t="shared" si="42"/>
        <v>-61</v>
      </c>
      <c r="I106" s="41">
        <f t="shared" si="42"/>
        <v>-187</v>
      </c>
      <c r="J106" s="41">
        <f t="shared" si="42"/>
        <v>0</v>
      </c>
      <c r="K106" s="41">
        <f t="shared" si="42"/>
        <v>0</v>
      </c>
      <c r="L106" s="41">
        <f t="shared" si="42"/>
        <v>0</v>
      </c>
      <c r="M106" s="41">
        <f t="shared" si="42"/>
        <v>-843</v>
      </c>
      <c r="N106" s="41">
        <f t="shared" si="42"/>
        <v>0</v>
      </c>
    </row>
    <row r="107" spans="1:14" s="278" customFormat="1" ht="15.75" customHeight="1">
      <c r="A107" s="279">
        <v>19</v>
      </c>
      <c r="B107" s="738" t="s">
        <v>397</v>
      </c>
      <c r="C107" s="277">
        <v>0.35</v>
      </c>
      <c r="D107" s="277">
        <f t="shared" ref="D107:H107" si="43">+C107</f>
        <v>0.35</v>
      </c>
      <c r="E107" s="277">
        <f t="shared" si="43"/>
        <v>0.35</v>
      </c>
      <c r="F107" s="277">
        <f t="shared" si="43"/>
        <v>0.35</v>
      </c>
      <c r="G107" s="277">
        <f t="shared" si="43"/>
        <v>0.35</v>
      </c>
      <c r="H107" s="277">
        <f t="shared" si="43"/>
        <v>0.35</v>
      </c>
      <c r="I107" s="277">
        <f t="shared" ref="I107" si="44">+E107</f>
        <v>0.35</v>
      </c>
      <c r="J107" s="277">
        <f>+I107</f>
        <v>0.35</v>
      </c>
      <c r="K107" s="277">
        <f t="shared" ref="K107:N107" si="45">+J107</f>
        <v>0.35</v>
      </c>
      <c r="L107" s="277">
        <f t="shared" si="45"/>
        <v>0.35</v>
      </c>
      <c r="M107" s="351">
        <f t="shared" si="45"/>
        <v>0.35</v>
      </c>
      <c r="N107" s="277">
        <f t="shared" si="45"/>
        <v>0.35</v>
      </c>
    </row>
    <row r="108" spans="1:14" ht="15.75" customHeight="1">
      <c r="A108" s="51">
        <v>20</v>
      </c>
      <c r="B108" s="719" t="s">
        <v>377</v>
      </c>
      <c r="C108" s="41">
        <f>ROUND(C106*C107,0)</f>
        <v>-771</v>
      </c>
      <c r="D108" s="41">
        <f>ROUND(D106*D107,0)</f>
        <v>-146</v>
      </c>
      <c r="E108" s="41">
        <f t="shared" ref="E108:N108" si="46">ROUND(E106*E107,0)</f>
        <v>68</v>
      </c>
      <c r="F108" s="41">
        <f t="shared" si="46"/>
        <v>-321</v>
      </c>
      <c r="G108" s="41">
        <f t="shared" si="46"/>
        <v>10</v>
      </c>
      <c r="H108" s="41">
        <f t="shared" si="46"/>
        <v>-21</v>
      </c>
      <c r="I108" s="41">
        <f t="shared" si="46"/>
        <v>-65</v>
      </c>
      <c r="J108" s="41">
        <f t="shared" si="46"/>
        <v>0</v>
      </c>
      <c r="K108" s="41">
        <f t="shared" si="46"/>
        <v>0</v>
      </c>
      <c r="L108" s="41">
        <f t="shared" si="46"/>
        <v>0</v>
      </c>
      <c r="M108" s="41">
        <f t="shared" si="46"/>
        <v>-295</v>
      </c>
      <c r="N108" s="41">
        <f t="shared" si="46"/>
        <v>0</v>
      </c>
    </row>
    <row r="109" spans="1:14" ht="15.75" customHeight="1">
      <c r="A109" s="51">
        <v>21</v>
      </c>
      <c r="B109" s="721" t="s">
        <v>398</v>
      </c>
      <c r="C109" s="19">
        <v>-3050.0540000000001</v>
      </c>
      <c r="D109" s="19">
        <v>0</v>
      </c>
      <c r="E109" s="19"/>
      <c r="F109" s="19"/>
      <c r="G109" s="19"/>
      <c r="H109" s="19"/>
      <c r="I109" s="19"/>
      <c r="J109" s="19">
        <v>0</v>
      </c>
      <c r="K109" s="19"/>
      <c r="L109" s="41"/>
      <c r="M109" s="342"/>
    </row>
    <row r="110" spans="1:14" ht="15.75" customHeight="1">
      <c r="A110" s="51">
        <v>22</v>
      </c>
      <c r="B110" s="722" t="s">
        <v>399</v>
      </c>
      <c r="C110" s="57">
        <f>+C108+C109</f>
        <v>-3821.0540000000001</v>
      </c>
      <c r="D110" s="280">
        <f t="shared" ref="D110:N110" si="47">+D108+D109</f>
        <v>-146</v>
      </c>
      <c r="E110" s="280">
        <f t="shared" si="47"/>
        <v>68</v>
      </c>
      <c r="F110" s="280">
        <f t="shared" si="47"/>
        <v>-321</v>
      </c>
      <c r="G110" s="280">
        <f t="shared" si="47"/>
        <v>10</v>
      </c>
      <c r="H110" s="280">
        <f t="shared" si="47"/>
        <v>-21</v>
      </c>
      <c r="I110" s="280">
        <f t="shared" si="47"/>
        <v>-65</v>
      </c>
      <c r="J110" s="280">
        <f t="shared" si="47"/>
        <v>0</v>
      </c>
      <c r="K110" s="280">
        <f t="shared" si="47"/>
        <v>0</v>
      </c>
      <c r="L110" s="280">
        <f t="shared" si="47"/>
        <v>0</v>
      </c>
      <c r="M110" s="280">
        <f t="shared" si="47"/>
        <v>-295</v>
      </c>
      <c r="N110" s="280">
        <f t="shared" si="47"/>
        <v>0</v>
      </c>
    </row>
    <row r="111" spans="1:14" ht="15.75" customHeight="1">
      <c r="A111" s="27"/>
    </row>
  </sheetData>
  <mergeCells count="1">
    <mergeCell ref="B65:E65"/>
  </mergeCells>
  <printOptions horizontalCentered="1"/>
  <pageMargins left="0" right="0" top="0.75" bottom="0.3" header="0.3" footer="0.3"/>
  <pageSetup scale="54" fitToWidth="3" orientation="portrait" r:id="rId1"/>
  <headerFooter scaleWithDoc="0" alignWithMargins="0">
    <oddHeader>&amp;L&amp;"Arial,Regular"&amp;10Avista Corporation
&amp;"Arial,Bold"Natural Gas - Results of Operations (Schedule 1.3)&amp;"Arial,Regular"
Twelve Months Ended December 31, 2011&amp;R&amp;"Arial,Regular"&amp;10Exhibit No. ___ (EJK-2)
Dockets UE-120436 &amp;&amp; UG-120437
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Q79"/>
  <sheetViews>
    <sheetView topLeftCell="A25" zoomScale="80" zoomScaleNormal="80" workbookViewId="0">
      <selection activeCell="D59" sqref="D59"/>
    </sheetView>
  </sheetViews>
  <sheetFormatPr defaultRowHeight="15.75" customHeight="1"/>
  <cols>
    <col min="1" max="1" width="6.33203125" style="70" customWidth="1"/>
    <col min="2" max="2" width="41.5" style="70" bestFit="1" customWidth="1"/>
    <col min="3" max="3" width="10.33203125" style="70" bestFit="1" customWidth="1"/>
    <col min="4" max="4" width="33.6640625" style="70" customWidth="1"/>
    <col min="5" max="5" width="22.5" style="70" hidden="1" customWidth="1"/>
    <col min="6" max="6" width="15.6640625" style="70" hidden="1" customWidth="1"/>
    <col min="7" max="7" width="16.1640625" style="70" bestFit="1" customWidth="1"/>
    <col min="8" max="8" width="2.33203125" style="68" customWidth="1"/>
    <col min="9" max="9" width="10" style="68" bestFit="1" customWidth="1"/>
    <col min="10" max="10" width="11.83203125" style="68" bestFit="1" customWidth="1"/>
    <col min="11" max="11" width="10.83203125" style="68" hidden="1" customWidth="1"/>
    <col min="12" max="12" width="27.6640625" style="68" hidden="1" customWidth="1"/>
    <col min="13" max="13" width="40.83203125" style="68" bestFit="1" customWidth="1"/>
    <col min="14" max="14" width="2.33203125" style="68" customWidth="1"/>
    <col min="15" max="15" width="13.33203125" style="68" bestFit="1" customWidth="1"/>
    <col min="16" max="16" width="10.33203125" style="70" bestFit="1" customWidth="1"/>
    <col min="17" max="17" width="10.1640625" style="70" bestFit="1" customWidth="1"/>
    <col min="18" max="16384" width="9.33203125" style="68"/>
  </cols>
  <sheetData>
    <row r="1" spans="1:17" s="70" customFormat="1" ht="15.75" customHeight="1">
      <c r="E1" s="659"/>
      <c r="F1" s="664"/>
      <c r="P1" s="72"/>
      <c r="Q1" s="72"/>
    </row>
    <row r="2" spans="1:17" s="70" customFormat="1" ht="15.75" customHeight="1">
      <c r="E2" s="659"/>
      <c r="F2" s="664"/>
      <c r="P2" s="72"/>
      <c r="Q2" s="72"/>
    </row>
    <row r="3" spans="1:17" ht="15.75" customHeight="1">
      <c r="B3" s="284" t="s">
        <v>107</v>
      </c>
      <c r="C3" s="237"/>
      <c r="E3" s="237"/>
      <c r="F3" s="237"/>
      <c r="G3" s="237"/>
      <c r="H3" s="216"/>
      <c r="I3" s="216"/>
      <c r="J3" s="217"/>
      <c r="K3" s="216"/>
      <c r="O3" s="216"/>
      <c r="P3" s="72"/>
      <c r="Q3" s="72"/>
    </row>
    <row r="4" spans="1:17" ht="15.75" customHeight="1">
      <c r="A4" s="300"/>
      <c r="C4" s="237"/>
      <c r="D4" s="237"/>
      <c r="E4" s="237"/>
      <c r="F4" s="237"/>
      <c r="G4" s="237"/>
      <c r="H4" s="216"/>
      <c r="I4" s="216"/>
      <c r="J4" s="216"/>
      <c r="K4" s="216"/>
      <c r="O4" s="216"/>
      <c r="P4" s="72"/>
      <c r="Q4" s="72"/>
    </row>
    <row r="5" spans="1:17" ht="15.75" customHeight="1">
      <c r="B5" s="62" t="s">
        <v>1</v>
      </c>
      <c r="C5" s="62" t="s">
        <v>2</v>
      </c>
      <c r="D5" s="62" t="s">
        <v>3</v>
      </c>
      <c r="E5" s="657" t="s">
        <v>177</v>
      </c>
      <c r="F5" s="657"/>
      <c r="G5" s="285" t="s">
        <v>4</v>
      </c>
      <c r="H5" s="61"/>
      <c r="I5" s="62" t="s">
        <v>5</v>
      </c>
      <c r="J5" s="62" t="s">
        <v>6</v>
      </c>
      <c r="K5" s="752" t="s">
        <v>177</v>
      </c>
      <c r="L5" s="752"/>
      <c r="M5" s="218" t="s">
        <v>7</v>
      </c>
      <c r="N5" s="218"/>
      <c r="O5" s="62" t="s">
        <v>8</v>
      </c>
      <c r="P5" s="72"/>
      <c r="Q5" s="72"/>
    </row>
    <row r="6" spans="1:17" ht="15.75" customHeight="1">
      <c r="B6" s="62"/>
      <c r="C6" s="62"/>
      <c r="D6" s="62"/>
      <c r="E6" s="285"/>
      <c r="F6" s="285"/>
      <c r="G6" s="285"/>
      <c r="H6" s="61"/>
      <c r="I6" s="62"/>
      <c r="J6" s="62"/>
      <c r="K6" s="219"/>
      <c r="L6" s="219"/>
      <c r="M6" s="218"/>
      <c r="N6" s="218"/>
      <c r="O6" s="62"/>
      <c r="P6" s="72"/>
      <c r="Q6" s="72"/>
    </row>
    <row r="7" spans="1:17" ht="15.75" customHeight="1">
      <c r="A7" s="301" t="s">
        <v>11</v>
      </c>
      <c r="B7" s="62"/>
      <c r="C7" s="62"/>
      <c r="D7" s="62"/>
      <c r="E7" s="285"/>
      <c r="F7" s="668"/>
      <c r="G7" s="285"/>
      <c r="H7" s="61"/>
      <c r="I7" s="62"/>
      <c r="J7" s="62"/>
      <c r="K7" s="219"/>
      <c r="L7" s="219"/>
      <c r="M7" s="218"/>
      <c r="N7" s="218"/>
      <c r="O7" s="62"/>
      <c r="P7" s="72"/>
      <c r="Q7" s="72"/>
    </row>
    <row r="8" spans="1:17" ht="15.75" customHeight="1">
      <c r="A8" s="302" t="s">
        <v>18</v>
      </c>
      <c r="B8" s="286"/>
      <c r="C8" s="753" t="s">
        <v>0</v>
      </c>
      <c r="D8" s="753"/>
      <c r="E8" s="753"/>
      <c r="F8" s="753"/>
      <c r="G8" s="753"/>
      <c r="H8" s="216"/>
      <c r="I8" s="754" t="s">
        <v>100</v>
      </c>
      <c r="J8" s="754"/>
      <c r="K8" s="754"/>
      <c r="L8" s="754"/>
      <c r="M8" s="754"/>
      <c r="N8" s="220"/>
      <c r="O8" s="227" t="s">
        <v>108</v>
      </c>
      <c r="P8" s="72"/>
      <c r="Q8" s="72"/>
    </row>
    <row r="9" spans="1:17" ht="15.75" customHeight="1">
      <c r="C9" s="229" t="s">
        <v>110</v>
      </c>
      <c r="D9" s="195" t="s">
        <v>111</v>
      </c>
      <c r="E9" s="195" t="s">
        <v>110</v>
      </c>
      <c r="F9" s="195" t="s">
        <v>91</v>
      </c>
      <c r="G9" s="229" t="s">
        <v>186</v>
      </c>
      <c r="H9" s="73"/>
      <c r="I9" s="197" t="s">
        <v>110</v>
      </c>
      <c r="J9" s="229" t="s">
        <v>91</v>
      </c>
      <c r="K9" s="195" t="s">
        <v>110</v>
      </c>
      <c r="L9" s="195" t="s">
        <v>91</v>
      </c>
      <c r="M9" s="196" t="s">
        <v>185</v>
      </c>
      <c r="N9" s="62"/>
      <c r="O9" s="232" t="s">
        <v>186</v>
      </c>
      <c r="P9" s="72"/>
      <c r="Q9" s="72"/>
    </row>
    <row r="10" spans="1:17" ht="15.75" customHeight="1">
      <c r="A10" s="62">
        <v>1</v>
      </c>
      <c r="B10" s="287" t="s">
        <v>112</v>
      </c>
      <c r="C10" s="85">
        <f>+' Sch1.1 RoO'!C59</f>
        <v>12580</v>
      </c>
      <c r="D10" s="281">
        <f>+' Sch1.1 RoO'!C79</f>
        <v>196579</v>
      </c>
      <c r="E10" s="288">
        <f>-C10/' Sch 3 RCF '!F25</f>
        <v>-20259.247509062712</v>
      </c>
      <c r="F10" s="19">
        <f>+D10*G63/' Sch 3 RCF '!F25</f>
        <v>26117.628444112335</v>
      </c>
      <c r="G10" s="85">
        <f>SUM(E10:F10)</f>
        <v>5858.3809350496231</v>
      </c>
      <c r="H10" s="73"/>
      <c r="I10" s="228">
        <f>+C10</f>
        <v>12580</v>
      </c>
      <c r="J10" s="230">
        <f>+D10</f>
        <v>196579</v>
      </c>
      <c r="K10" s="19">
        <f>-I10/' Sch 3 RCF '!F25</f>
        <v>-20259.247509062712</v>
      </c>
      <c r="L10" s="19">
        <f>+J10*G63/' Sch 3 RCF '!F25</f>
        <v>26117.628444112335</v>
      </c>
      <c r="M10" s="231">
        <f>SUM(K10:L10)</f>
        <v>5858.3809350496231</v>
      </c>
      <c r="N10" s="41"/>
      <c r="O10" s="67" t="s">
        <v>113</v>
      </c>
      <c r="P10" s="72"/>
      <c r="Q10" s="72"/>
    </row>
    <row r="11" spans="1:17" ht="15.75" customHeight="1">
      <c r="A11" s="303">
        <v>2</v>
      </c>
      <c r="B11" s="679"/>
      <c r="C11" s="19"/>
      <c r="D11" s="19"/>
      <c r="E11" s="19"/>
      <c r="F11" s="19"/>
      <c r="G11" s="19"/>
      <c r="H11" s="73"/>
      <c r="I11" s="18"/>
      <c r="J11" s="18"/>
      <c r="K11" s="18"/>
      <c r="L11" s="18"/>
      <c r="M11" s="18"/>
      <c r="N11" s="24"/>
      <c r="O11" s="66"/>
      <c r="P11" s="72"/>
      <c r="Q11" s="72"/>
    </row>
    <row r="12" spans="1:17" ht="15.75" customHeight="1">
      <c r="A12" s="303">
        <v>3</v>
      </c>
      <c r="B12" s="70" t="s">
        <v>114</v>
      </c>
      <c r="C12" s="41">
        <v>-3</v>
      </c>
      <c r="D12" s="87">
        <v>-297</v>
      </c>
      <c r="E12" s="41">
        <f>-C12/' Sch 3 RCF '!$F$25</f>
        <v>4.8312990880117752</v>
      </c>
      <c r="F12" s="41">
        <f>+D12*$G$63/' Sch 3 RCF '!$F$25</f>
        <v>-39.459635301336178</v>
      </c>
      <c r="G12" s="88">
        <f t="shared" ref="G12:G29" si="0">+E12+F12</f>
        <v>-34.628336213324403</v>
      </c>
      <c r="H12" s="73"/>
      <c r="I12" s="282">
        <f>+'Sch 1.2 RsA '!$D64</f>
        <v>-3</v>
      </c>
      <c r="J12" s="282">
        <f>'Sch 1.2 RsA '!D85</f>
        <v>-297</v>
      </c>
      <c r="K12" s="41">
        <f>-I12/' Sch 3 RCF '!$F$25</f>
        <v>4.8312990880117752</v>
      </c>
      <c r="L12" s="41">
        <f>+J12*$G$63/' Sch 3 RCF '!$F$25</f>
        <v>-39.459635301336178</v>
      </c>
      <c r="M12" s="88">
        <f>+K12+L12</f>
        <v>-34.628336213324403</v>
      </c>
      <c r="N12" s="41"/>
      <c r="O12" s="71">
        <f t="shared" ref="O12:O31" si="1">ROUND(+M12-G12,0)</f>
        <v>0</v>
      </c>
      <c r="P12" s="72"/>
      <c r="Q12" s="72"/>
    </row>
    <row r="13" spans="1:17" ht="15.75" customHeight="1">
      <c r="A13" s="62">
        <v>4</v>
      </c>
      <c r="B13" s="680" t="s">
        <v>233</v>
      </c>
      <c r="C13" s="41">
        <v>-29</v>
      </c>
      <c r="D13" s="71">
        <v>12</v>
      </c>
      <c r="E13" s="41">
        <f>-C13/' Sch 3 RCF '!$F$25</f>
        <v>46.702557850780494</v>
      </c>
      <c r="F13" s="41">
        <f>+D13*$G$63/' Sch 3 RCF '!$F$25</f>
        <v>1.5943286990438859</v>
      </c>
      <c r="G13" s="52">
        <f t="shared" si="0"/>
        <v>48.296886549824379</v>
      </c>
      <c r="H13" s="73"/>
      <c r="I13" s="264">
        <f>+'Sch 1.2 RsA '!$E64</f>
        <v>-29</v>
      </c>
      <c r="J13" s="264">
        <f>'Sch 1.2 RsA '!E85</f>
        <v>12</v>
      </c>
      <c r="K13" s="41">
        <f>-I13/' Sch 3 RCF '!$F$25</f>
        <v>46.702557850780494</v>
      </c>
      <c r="L13" s="41">
        <f>+J13*$G$63/' Sch 3 RCF '!$F$25</f>
        <v>1.5943286990438859</v>
      </c>
      <c r="M13" s="52">
        <f t="shared" ref="M13:M29" si="2">+K13+L13</f>
        <v>48.296886549824379</v>
      </c>
      <c r="N13" s="41"/>
      <c r="O13" s="71">
        <f t="shared" si="1"/>
        <v>0</v>
      </c>
      <c r="P13" s="72"/>
      <c r="Q13" s="72"/>
    </row>
    <row r="14" spans="1:17" ht="15.75" customHeight="1">
      <c r="A14" s="303">
        <v>5</v>
      </c>
      <c r="B14" s="70" t="s">
        <v>234</v>
      </c>
      <c r="C14" s="41">
        <v>-123</v>
      </c>
      <c r="D14" s="71">
        <v>649</v>
      </c>
      <c r="E14" s="41">
        <f>-C14/' Sch 3 RCF '!$F$25</f>
        <v>198.08326260848278</v>
      </c>
      <c r="F14" s="41">
        <f>+D14*$G$63/' Sch 3 RCF '!$F$25</f>
        <v>86.226610473290165</v>
      </c>
      <c r="G14" s="52">
        <f t="shared" si="0"/>
        <v>284.30987308177293</v>
      </c>
      <c r="H14" s="73"/>
      <c r="I14" s="264">
        <f>'Sch 1.2 RsA '!F64</f>
        <v>-173</v>
      </c>
      <c r="J14" s="264">
        <f>'Sch 1.2 RsA '!F85</f>
        <v>-10773</v>
      </c>
      <c r="K14" s="41">
        <f>-I14/' Sch 3 RCF '!$F$25</f>
        <v>278.60491407534573</v>
      </c>
      <c r="L14" s="41">
        <f>+J14*$G$63/' Sch 3 RCF '!$F$25</f>
        <v>-1431.3085895666486</v>
      </c>
      <c r="M14" s="52">
        <f t="shared" si="2"/>
        <v>-1152.7036754913029</v>
      </c>
      <c r="N14" s="41"/>
      <c r="O14" s="71">
        <f t="shared" si="1"/>
        <v>-1437</v>
      </c>
      <c r="P14" s="72"/>
      <c r="Q14" s="72"/>
    </row>
    <row r="15" spans="1:17" ht="15.75" customHeight="1">
      <c r="A15" s="303">
        <v>6</v>
      </c>
      <c r="B15" s="70" t="s">
        <v>307</v>
      </c>
      <c r="C15" s="41">
        <v>0</v>
      </c>
      <c r="D15" s="71">
        <v>0</v>
      </c>
      <c r="E15" s="41">
        <v>0</v>
      </c>
      <c r="F15" s="41">
        <v>0</v>
      </c>
      <c r="G15" s="52">
        <v>0</v>
      </c>
      <c r="H15" s="73"/>
      <c r="I15" s="264">
        <f>'Sch 1.2 RsA '!G64</f>
        <v>20</v>
      </c>
      <c r="J15" s="264">
        <f>'Sch 1.2 RsA '!G85</f>
        <v>0</v>
      </c>
      <c r="K15" s="41">
        <f>-I15/' Sch 3 RCF '!$F$25</f>
        <v>-32.208660586745168</v>
      </c>
      <c r="L15" s="41">
        <f>+J15*$G$63/' Sch 3 RCF '!$F$25</f>
        <v>0</v>
      </c>
      <c r="M15" s="52">
        <f t="shared" si="2"/>
        <v>-32.208660586745168</v>
      </c>
      <c r="N15" s="41"/>
      <c r="O15" s="71">
        <f t="shared" si="1"/>
        <v>-32</v>
      </c>
      <c r="P15" s="72"/>
      <c r="Q15" s="72"/>
    </row>
    <row r="16" spans="1:17" ht="15.75" customHeight="1">
      <c r="A16" s="62">
        <v>7</v>
      </c>
      <c r="B16" s="70" t="s">
        <v>167</v>
      </c>
      <c r="C16" s="41">
        <v>0</v>
      </c>
      <c r="D16" s="71">
        <v>0</v>
      </c>
      <c r="E16" s="41">
        <v>0</v>
      </c>
      <c r="F16" s="41">
        <v>0</v>
      </c>
      <c r="G16" s="52">
        <v>0</v>
      </c>
      <c r="H16" s="73"/>
      <c r="I16" s="264">
        <f>'Sch 1.2 RsA '!H64</f>
        <v>38</v>
      </c>
      <c r="J16" s="264">
        <f>'Sch 1.2 RsA '!H85</f>
        <v>3568</v>
      </c>
      <c r="K16" s="41">
        <f>-I16/' Sch 3 RCF '!$F$25</f>
        <v>-61.196455114815819</v>
      </c>
      <c r="L16" s="41">
        <f>+J16*$G$63/' Sch 3 RCF '!$F$25</f>
        <v>474.04706651571541</v>
      </c>
      <c r="M16" s="52">
        <f t="shared" si="2"/>
        <v>412.8506114008996</v>
      </c>
      <c r="N16" s="41"/>
      <c r="O16" s="71">
        <f t="shared" si="1"/>
        <v>413</v>
      </c>
      <c r="P16" s="72"/>
      <c r="Q16" s="72"/>
    </row>
    <row r="17" spans="1:17" ht="15.75" customHeight="1">
      <c r="A17" s="303">
        <v>8</v>
      </c>
      <c r="B17" s="70" t="s">
        <v>235</v>
      </c>
      <c r="C17" s="41">
        <v>1541</v>
      </c>
      <c r="D17" s="71">
        <v>0</v>
      </c>
      <c r="E17" s="41">
        <f>-C17/' Sch 3 RCF '!$F$25</f>
        <v>-2481.677298208715</v>
      </c>
      <c r="F17" s="41">
        <f>+D17*$G$63/' Sch 3 RCF '!$F$25</f>
        <v>0</v>
      </c>
      <c r="G17" s="52">
        <f t="shared" ref="G17" si="3">+E17+F17</f>
        <v>-2481.677298208715</v>
      </c>
      <c r="H17" s="73"/>
      <c r="I17" s="264">
        <f>'Sch 1.2 RsA '!I64</f>
        <v>1540</v>
      </c>
      <c r="J17" s="264">
        <f>'Sch 1.2 RsA '!I85</f>
        <v>0</v>
      </c>
      <c r="K17" s="41">
        <f>-I17/' Sch 3 RCF '!$F$25</f>
        <v>-2480.0668651793781</v>
      </c>
      <c r="L17" s="41">
        <f>+J17*$G$63/' Sch 3 RCF '!$F$25</f>
        <v>0</v>
      </c>
      <c r="M17" s="52">
        <f t="shared" ref="M17" si="4">+K17+L17</f>
        <v>-2480.0668651793781</v>
      </c>
      <c r="N17" s="41"/>
      <c r="O17" s="71">
        <f t="shared" si="1"/>
        <v>2</v>
      </c>
      <c r="P17" s="72"/>
      <c r="Q17" s="72"/>
    </row>
    <row r="18" spans="1:17" ht="15.75" customHeight="1">
      <c r="A18" s="303">
        <v>9</v>
      </c>
      <c r="B18" s="289" t="s">
        <v>236</v>
      </c>
      <c r="C18" s="41">
        <v>-5</v>
      </c>
      <c r="D18" s="71">
        <v>0</v>
      </c>
      <c r="E18" s="41">
        <f>-C18/' Sch 3 RCF '!$F$25</f>
        <v>8.052165146686292</v>
      </c>
      <c r="F18" s="41">
        <f>+D18*$G$63/' Sch 3 RCF '!$F$25</f>
        <v>0</v>
      </c>
      <c r="G18" s="52">
        <f t="shared" si="0"/>
        <v>8.052165146686292</v>
      </c>
      <c r="H18" s="73"/>
      <c r="I18" s="264">
        <f>'Sch 1.2 RsA '!J64</f>
        <v>-5</v>
      </c>
      <c r="J18" s="264">
        <f>'Sch 1.2 RsA '!J85</f>
        <v>0</v>
      </c>
      <c r="K18" s="41">
        <f>-I18/' Sch 3 RCF '!$F$25</f>
        <v>8.052165146686292</v>
      </c>
      <c r="L18" s="41">
        <f>+J18*$G$63/' Sch 3 RCF '!$F$25</f>
        <v>0</v>
      </c>
      <c r="M18" s="52">
        <f t="shared" si="2"/>
        <v>8.052165146686292</v>
      </c>
      <c r="N18" s="41"/>
      <c r="O18" s="71">
        <f t="shared" si="1"/>
        <v>0</v>
      </c>
      <c r="P18" s="72"/>
      <c r="Q18" s="72"/>
    </row>
    <row r="19" spans="1:17" ht="15.75" customHeight="1">
      <c r="A19" s="62">
        <v>10</v>
      </c>
      <c r="B19" s="289" t="s">
        <v>237</v>
      </c>
      <c r="C19" s="41">
        <v>237</v>
      </c>
      <c r="D19" s="71">
        <v>0</v>
      </c>
      <c r="E19" s="41">
        <f>-C19/' Sch 3 RCF '!$F$25</f>
        <v>-381.67262795293027</v>
      </c>
      <c r="F19" s="41">
        <f>+D19*$G$63/' Sch 3 RCF '!$F$25</f>
        <v>0</v>
      </c>
      <c r="G19" s="52">
        <f t="shared" ref="G19" si="5">+E19+F19</f>
        <v>-381.67262795293027</v>
      </c>
      <c r="H19" s="73"/>
      <c r="I19" s="264">
        <f>'Sch 1.2 RsA '!K64</f>
        <v>237</v>
      </c>
      <c r="J19" s="264">
        <f>'Sch 1.2 RsA '!K85</f>
        <v>0</v>
      </c>
      <c r="K19" s="41">
        <f>-I19/' Sch 3 RCF '!$F$25</f>
        <v>-381.67262795293027</v>
      </c>
      <c r="L19" s="41">
        <f>+J19*$G$63/' Sch 3 RCF '!$F$25</f>
        <v>0</v>
      </c>
      <c r="M19" s="52">
        <f t="shared" ref="M19" si="6">+K19+L19</f>
        <v>-381.67262795293027</v>
      </c>
      <c r="N19" s="41"/>
      <c r="O19" s="71">
        <f t="shared" si="1"/>
        <v>0</v>
      </c>
      <c r="P19" s="72"/>
      <c r="Q19" s="72"/>
    </row>
    <row r="20" spans="1:17" ht="15.75" customHeight="1">
      <c r="A20" s="303">
        <v>11</v>
      </c>
      <c r="B20" s="70" t="s">
        <v>238</v>
      </c>
      <c r="C20" s="41">
        <v>-29</v>
      </c>
      <c r="D20" s="71">
        <v>0</v>
      </c>
      <c r="E20" s="41">
        <f>-C20/' Sch 3 RCF '!$F$25</f>
        <v>46.702557850780494</v>
      </c>
      <c r="F20" s="41">
        <f>+D20*$G$63/' Sch 3 RCF '!$F$25</f>
        <v>0</v>
      </c>
      <c r="G20" s="52">
        <f t="shared" si="0"/>
        <v>46.702557850780494</v>
      </c>
      <c r="H20" s="73"/>
      <c r="I20" s="264">
        <f>'Sch 1.2 RsA '!L64</f>
        <v>-29</v>
      </c>
      <c r="J20" s="264">
        <f>'Sch 1.2 RsA '!L85</f>
        <v>0</v>
      </c>
      <c r="K20" s="41">
        <f>-I20/' Sch 3 RCF '!$F$25</f>
        <v>46.702557850780494</v>
      </c>
      <c r="L20" s="41">
        <f>+J20*$G$63/' Sch 3 RCF '!$F$25</f>
        <v>0</v>
      </c>
      <c r="M20" s="52">
        <f t="shared" si="2"/>
        <v>46.702557850780494</v>
      </c>
      <c r="N20" s="41"/>
      <c r="O20" s="71">
        <f t="shared" si="1"/>
        <v>0</v>
      </c>
      <c r="P20" s="72"/>
      <c r="Q20" s="72"/>
    </row>
    <row r="21" spans="1:17" ht="15.75" customHeight="1">
      <c r="A21" s="303">
        <v>12</v>
      </c>
      <c r="B21" s="70" t="s">
        <v>116</v>
      </c>
      <c r="C21" s="41">
        <v>-121</v>
      </c>
      <c r="D21" s="71">
        <v>0</v>
      </c>
      <c r="E21" s="41">
        <f>-C21/' Sch 3 RCF '!$F$25</f>
        <v>194.86239654980827</v>
      </c>
      <c r="F21" s="41">
        <f>+D21*$G$63/' Sch 3 RCF '!$F$25</f>
        <v>0</v>
      </c>
      <c r="G21" s="52">
        <f t="shared" si="0"/>
        <v>194.86239654980827</v>
      </c>
      <c r="H21" s="73"/>
      <c r="I21" s="264">
        <f>'Sch 1.2 RsA '!M64</f>
        <v>-121</v>
      </c>
      <c r="J21" s="264">
        <f>'Sch 1.2 RsA '!M85</f>
        <v>0</v>
      </c>
      <c r="K21" s="41">
        <f>-I21/' Sch 3 RCF '!$F$25</f>
        <v>194.86239654980827</v>
      </c>
      <c r="L21" s="41">
        <f>+J21*$G$63/' Sch 3 RCF '!$F$25</f>
        <v>0</v>
      </c>
      <c r="M21" s="52">
        <f>+K21+L21</f>
        <v>194.86239654980827</v>
      </c>
      <c r="N21" s="41"/>
      <c r="O21" s="71">
        <f t="shared" si="1"/>
        <v>0</v>
      </c>
      <c r="P21" s="72"/>
      <c r="Q21" s="72"/>
    </row>
    <row r="22" spans="1:17" ht="15.75" customHeight="1">
      <c r="A22" s="62">
        <v>13</v>
      </c>
      <c r="B22" s="70" t="s">
        <v>239</v>
      </c>
      <c r="C22" s="41">
        <v>10</v>
      </c>
      <c r="D22" s="71">
        <v>0</v>
      </c>
      <c r="E22" s="41">
        <f>-C22/' Sch 3 RCF '!$F$25</f>
        <v>-16.104330293372584</v>
      </c>
      <c r="F22" s="41">
        <f>+D22*$G$63/' Sch 3 RCF '!$F$25</f>
        <v>0</v>
      </c>
      <c r="G22" s="52">
        <f t="shared" si="0"/>
        <v>-16.104330293372584</v>
      </c>
      <c r="H22" s="73"/>
      <c r="I22" s="264">
        <f>'Sch 1.2 RsA '!N64</f>
        <v>10</v>
      </c>
      <c r="J22" s="264">
        <f>'Sch 1.2 RsA '!N85</f>
        <v>0</v>
      </c>
      <c r="K22" s="41">
        <f>-I22/' Sch 3 RCF '!$F$25</f>
        <v>-16.104330293372584</v>
      </c>
      <c r="L22" s="41">
        <f>+J22*$G$63/' Sch 3 RCF '!$F$25</f>
        <v>0</v>
      </c>
      <c r="M22" s="52">
        <f t="shared" si="2"/>
        <v>-16.104330293372584</v>
      </c>
      <c r="N22" s="41"/>
      <c r="O22" s="71">
        <f t="shared" si="1"/>
        <v>0</v>
      </c>
      <c r="P22" s="72"/>
      <c r="Q22" s="72"/>
    </row>
    <row r="23" spans="1:17" ht="15.75" customHeight="1">
      <c r="A23" s="303">
        <v>14</v>
      </c>
      <c r="B23" s="70" t="s">
        <v>240</v>
      </c>
      <c r="C23" s="41">
        <v>2</v>
      </c>
      <c r="D23" s="71">
        <v>0</v>
      </c>
      <c r="E23" s="41">
        <f>-C23/' Sch 3 RCF '!$F$25</f>
        <v>-3.2208660586745168</v>
      </c>
      <c r="F23" s="41">
        <f>+D23*$G$63/' Sch 3 RCF '!$F$25</f>
        <v>0</v>
      </c>
      <c r="G23" s="52">
        <f t="shared" si="0"/>
        <v>-3.2208660586745168</v>
      </c>
      <c r="H23" s="73"/>
      <c r="I23" s="264">
        <f>'Sch 1.2 RsA '!O64</f>
        <v>2</v>
      </c>
      <c r="J23" s="264">
        <f>'Sch 1.2 RsA '!O85</f>
        <v>0</v>
      </c>
      <c r="K23" s="41">
        <f>-I23/' Sch 3 RCF '!$F$25</f>
        <v>-3.2208660586745168</v>
      </c>
      <c r="L23" s="41">
        <f>+J23*$G$63/' Sch 3 RCF '!$F$25</f>
        <v>0</v>
      </c>
      <c r="M23" s="52">
        <f t="shared" si="2"/>
        <v>-3.2208660586745168</v>
      </c>
      <c r="N23" s="41"/>
      <c r="O23" s="71">
        <f t="shared" si="1"/>
        <v>0</v>
      </c>
      <c r="P23" s="72"/>
      <c r="Q23" s="72"/>
    </row>
    <row r="24" spans="1:17" ht="15.75" customHeight="1">
      <c r="A24" s="303">
        <v>15</v>
      </c>
      <c r="B24" s="70" t="s">
        <v>117</v>
      </c>
      <c r="C24" s="549"/>
      <c r="D24" s="550"/>
      <c r="E24" s="41">
        <f>-C24/' Sch 3 RCF '!$F$25</f>
        <v>0</v>
      </c>
      <c r="F24" s="41">
        <f>+D24*$G$63/' Sch 3 RCF '!$F$25</f>
        <v>0</v>
      </c>
      <c r="G24" s="52">
        <f t="shared" si="0"/>
        <v>0</v>
      </c>
      <c r="H24" s="551"/>
      <c r="I24" s="264">
        <f>'Sch 1.2 RsA '!O65</f>
        <v>0</v>
      </c>
      <c r="J24" s="264">
        <f>'Sch 1.2 RsA '!O86</f>
        <v>0</v>
      </c>
      <c r="K24" s="41">
        <f>-I24/' Sch 3 RCF '!$F$25</f>
        <v>0</v>
      </c>
      <c r="L24" s="41">
        <f>+J24*$G$63/' Sch 3 RCF '!$F$25</f>
        <v>0</v>
      </c>
      <c r="M24" s="52">
        <f t="shared" si="2"/>
        <v>0</v>
      </c>
      <c r="N24" s="551"/>
      <c r="O24" s="71">
        <f t="shared" si="1"/>
        <v>0</v>
      </c>
    </row>
    <row r="25" spans="1:17" ht="15.75" customHeight="1">
      <c r="A25" s="62">
        <v>16</v>
      </c>
      <c r="B25" s="70" t="s">
        <v>118</v>
      </c>
      <c r="C25" s="41">
        <v>1</v>
      </c>
      <c r="D25" s="71">
        <v>0</v>
      </c>
      <c r="E25" s="41">
        <f>-C25/' Sch 3 RCF '!$F$25</f>
        <v>-1.6104330293372584</v>
      </c>
      <c r="F25" s="41">
        <f>+D25*$G$63/' Sch 3 RCF '!$F$25</f>
        <v>0</v>
      </c>
      <c r="G25" s="52">
        <f t="shared" si="0"/>
        <v>-1.6104330293372584</v>
      </c>
      <c r="H25" s="73"/>
      <c r="I25" s="264">
        <f>'Sch 1.2 RsA '!Q64</f>
        <v>1</v>
      </c>
      <c r="J25" s="264">
        <f>'Sch 1.2 RsA '!Q85</f>
        <v>0</v>
      </c>
      <c r="K25" s="41">
        <f>-I25/' Sch 3 RCF '!$F$25</f>
        <v>-1.6104330293372584</v>
      </c>
      <c r="L25" s="41">
        <f>+J25*$G$63/' Sch 3 RCF '!$F$25</f>
        <v>0</v>
      </c>
      <c r="M25" s="52">
        <f t="shared" si="2"/>
        <v>-1.6104330293372584</v>
      </c>
      <c r="N25" s="41"/>
      <c r="O25" s="71">
        <f t="shared" si="1"/>
        <v>0</v>
      </c>
      <c r="P25" s="72"/>
      <c r="Q25" s="72"/>
    </row>
    <row r="26" spans="1:17" ht="15.75" customHeight="1">
      <c r="A26" s="303">
        <v>17</v>
      </c>
      <c r="B26" s="70" t="s">
        <v>119</v>
      </c>
      <c r="C26" s="41">
        <v>-1</v>
      </c>
      <c r="D26" s="71">
        <v>0</v>
      </c>
      <c r="E26" s="41">
        <f>-C26/' Sch 3 RCF '!$F$25</f>
        <v>1.6104330293372584</v>
      </c>
      <c r="F26" s="41">
        <f>+D26*$G$63/' Sch 3 RCF '!$F$25</f>
        <v>0</v>
      </c>
      <c r="G26" s="52">
        <f t="shared" si="0"/>
        <v>1.6104330293372584</v>
      </c>
      <c r="H26" s="73"/>
      <c r="I26" s="264">
        <f>'Sch 1.2 RsA '!R64</f>
        <v>-1</v>
      </c>
      <c r="J26" s="264">
        <f>'Sch 1.2 RsA '!R85</f>
        <v>0</v>
      </c>
      <c r="K26" s="41">
        <f>-I26/' Sch 3 RCF '!$F$25</f>
        <v>1.6104330293372584</v>
      </c>
      <c r="L26" s="41">
        <f>+J26*$G$63/' Sch 3 RCF '!$F$25</f>
        <v>0</v>
      </c>
      <c r="M26" s="52">
        <f t="shared" si="2"/>
        <v>1.6104330293372584</v>
      </c>
      <c r="N26" s="41"/>
      <c r="O26" s="71">
        <f t="shared" si="1"/>
        <v>0</v>
      </c>
      <c r="P26" s="72"/>
      <c r="Q26" s="72"/>
    </row>
    <row r="27" spans="1:17" ht="15.75" customHeight="1">
      <c r="A27" s="303">
        <v>18</v>
      </c>
      <c r="B27" s="70" t="s">
        <v>120</v>
      </c>
      <c r="C27" s="41">
        <v>16</v>
      </c>
      <c r="D27" s="71">
        <v>0</v>
      </c>
      <c r="E27" s="41">
        <f>-C27/' Sch 3 RCF '!$F$25</f>
        <v>-25.766928469396134</v>
      </c>
      <c r="F27" s="41">
        <f>+D27*$G$63/' Sch 3 RCF '!$F$25</f>
        <v>0</v>
      </c>
      <c r="G27" s="52">
        <f t="shared" si="0"/>
        <v>-25.766928469396134</v>
      </c>
      <c r="H27" s="73"/>
      <c r="I27" s="264">
        <f>'Sch 1.2 RsA '!S64</f>
        <v>58</v>
      </c>
      <c r="J27" s="264">
        <f>'Sch 1.2 RsA '!S85</f>
        <v>0</v>
      </c>
      <c r="K27" s="41">
        <f>-I27/' Sch 3 RCF '!$F$25</f>
        <v>-93.405115701560987</v>
      </c>
      <c r="L27" s="41">
        <f>+J27*$G$63/' Sch 3 RCF '!$F$25</f>
        <v>0</v>
      </c>
      <c r="M27" s="52">
        <f t="shared" si="2"/>
        <v>-93.405115701560987</v>
      </c>
      <c r="N27" s="41"/>
      <c r="O27" s="71">
        <f t="shared" si="1"/>
        <v>-68</v>
      </c>
      <c r="P27" s="72"/>
      <c r="Q27" s="72"/>
    </row>
    <row r="28" spans="1:17" ht="15.75" customHeight="1">
      <c r="A28" s="62">
        <v>19</v>
      </c>
      <c r="B28" s="70" t="s">
        <v>211</v>
      </c>
      <c r="C28" s="41">
        <v>-132</v>
      </c>
      <c r="D28" s="71">
        <v>0</v>
      </c>
      <c r="E28" s="41">
        <f>-C28/' Sch 3 RCF '!$F$25</f>
        <v>212.57715987251811</v>
      </c>
      <c r="F28" s="41">
        <f>+D28*$G$63/' Sch 3 RCF '!$F$25</f>
        <v>0</v>
      </c>
      <c r="G28" s="52">
        <f t="shared" si="0"/>
        <v>212.57715987251811</v>
      </c>
      <c r="H28" s="73"/>
      <c r="I28" s="264">
        <f>'Sch 1.2 RsA '!T64</f>
        <v>-43</v>
      </c>
      <c r="J28" s="264">
        <f>'Sch 1.2 RsA '!T85</f>
        <v>0</v>
      </c>
      <c r="K28" s="41">
        <f>-I28/' Sch 3 RCF '!$F$25</f>
        <v>69.248620261502111</v>
      </c>
      <c r="L28" s="41">
        <f>+J28*$G$63/' Sch 3 RCF '!$F$25</f>
        <v>0</v>
      </c>
      <c r="M28" s="52">
        <f t="shared" si="2"/>
        <v>69.248620261502111</v>
      </c>
      <c r="N28" s="41"/>
      <c r="O28" s="71">
        <f t="shared" si="1"/>
        <v>-143</v>
      </c>
      <c r="P28" s="72"/>
      <c r="Q28" s="72"/>
    </row>
    <row r="29" spans="1:17" ht="15.75" customHeight="1">
      <c r="A29" s="303">
        <v>20</v>
      </c>
      <c r="B29" s="70" t="s">
        <v>121</v>
      </c>
      <c r="C29" s="41">
        <v>22</v>
      </c>
      <c r="D29" s="71">
        <v>0</v>
      </c>
      <c r="E29" s="41">
        <f>-C29/' Sch 3 RCF '!$F$25</f>
        <v>-35.429526645419685</v>
      </c>
      <c r="F29" s="41">
        <f>+D29*$G$63/' Sch 3 RCF '!$F$25</f>
        <v>0</v>
      </c>
      <c r="G29" s="52">
        <f t="shared" si="0"/>
        <v>-35.429526645419685</v>
      </c>
      <c r="H29" s="73"/>
      <c r="I29" s="264">
        <f>'Sch 1.2 RsA '!U64</f>
        <v>98</v>
      </c>
      <c r="J29" s="264">
        <f>'Sch 1.2 RsA '!U85</f>
        <v>0</v>
      </c>
      <c r="K29" s="41">
        <f>-I29/' Sch 3 RCF '!$F$25</f>
        <v>-157.82243687505132</v>
      </c>
      <c r="L29" s="41">
        <f>+J29*$G$63/' Sch 3 RCF '!$F$25</f>
        <v>0</v>
      </c>
      <c r="M29" s="52">
        <f t="shared" si="2"/>
        <v>-157.82243687505132</v>
      </c>
      <c r="N29" s="41"/>
      <c r="O29" s="71">
        <f t="shared" si="1"/>
        <v>-122</v>
      </c>
      <c r="P29" s="72"/>
      <c r="Q29" s="72"/>
    </row>
    <row r="30" spans="1:17" ht="15.75" customHeight="1">
      <c r="A30" s="303">
        <v>21</v>
      </c>
      <c r="B30" s="70" t="s">
        <v>305</v>
      </c>
      <c r="C30" s="41"/>
      <c r="D30" s="71">
        <v>0</v>
      </c>
      <c r="E30" s="41">
        <f>-C30/' Sch 3 RCF '!$F$25</f>
        <v>0</v>
      </c>
      <c r="F30" s="41">
        <f>+D30*$G$63/' Sch 3 RCF '!$F$25</f>
        <v>0</v>
      </c>
      <c r="G30" s="52">
        <f>+E30+F30</f>
        <v>0</v>
      </c>
      <c r="H30" s="73"/>
      <c r="I30" s="264">
        <f>'Sch 1.2 RsA '!V64</f>
        <v>200</v>
      </c>
      <c r="J30" s="264">
        <f>'Sch 1.2 RsA '!V85</f>
        <v>0</v>
      </c>
      <c r="K30" s="41">
        <f>-I30/' Sch 3 RCF '!$F$25</f>
        <v>-322.08660586745168</v>
      </c>
      <c r="L30" s="41">
        <f>+J30*$G$63/' Sch 3 RCF '!$F$25</f>
        <v>0</v>
      </c>
      <c r="M30" s="52">
        <f>+K30+L30</f>
        <v>-322.08660586745168</v>
      </c>
      <c r="N30" s="41"/>
      <c r="O30" s="71">
        <f t="shared" si="1"/>
        <v>-322</v>
      </c>
      <c r="P30" s="72"/>
      <c r="Q30" s="72"/>
    </row>
    <row r="31" spans="1:17" ht="15.75" customHeight="1">
      <c r="A31" s="62">
        <v>22</v>
      </c>
      <c r="C31" s="41"/>
      <c r="D31" s="71"/>
      <c r="E31" s="41"/>
      <c r="F31" s="41"/>
      <c r="G31" s="231"/>
      <c r="H31" s="73"/>
      <c r="I31" s="85"/>
      <c r="J31" s="85"/>
      <c r="K31" s="41"/>
      <c r="L31" s="41"/>
      <c r="M31" s="231"/>
      <c r="N31" s="41"/>
      <c r="O31" s="71">
        <f t="shared" si="1"/>
        <v>0</v>
      </c>
      <c r="P31" s="221"/>
      <c r="Q31" s="72"/>
    </row>
    <row r="32" spans="1:17" ht="15.75" customHeight="1">
      <c r="A32" s="303">
        <v>23</v>
      </c>
      <c r="B32" s="273"/>
      <c r="C32" s="290">
        <f>SUM(C12:C30)</f>
        <v>1386</v>
      </c>
      <c r="D32" s="84">
        <f>SUM(D12:D30)</f>
        <v>364</v>
      </c>
      <c r="E32" s="291">
        <f>SUM(E12:E31)</f>
        <v>-2232.0601786614397</v>
      </c>
      <c r="F32" s="84">
        <f>SUM(F12:F30)</f>
        <v>48.361303870997872</v>
      </c>
      <c r="G32" s="84">
        <f>SUM(G12:G30)</f>
        <v>-2183.698874790442</v>
      </c>
      <c r="H32" s="73"/>
      <c r="I32" s="84">
        <f>SUM(I12:I30)</f>
        <v>1800</v>
      </c>
      <c r="J32" s="84">
        <f>SUM(J12:J30)</f>
        <v>-7490</v>
      </c>
      <c r="K32" s="84">
        <f>SUM(K12:K30)</f>
        <v>-2898.7794528070654</v>
      </c>
      <c r="L32" s="84">
        <f>SUM(L12:L30)</f>
        <v>-995.12682965322551</v>
      </c>
      <c r="M32" s="84">
        <f>SUM(M12:M31)</f>
        <v>-3893.9062824602906</v>
      </c>
      <c r="N32" s="41"/>
      <c r="O32" s="84">
        <f>SUM(O12:O30)</f>
        <v>-1709</v>
      </c>
      <c r="P32" s="72"/>
      <c r="Q32" s="72"/>
    </row>
    <row r="33" spans="1:17" ht="15.75" customHeight="1">
      <c r="A33" s="303">
        <v>24</v>
      </c>
      <c r="C33" s="41"/>
      <c r="D33" s="41"/>
      <c r="E33" s="41"/>
      <c r="F33" s="41"/>
      <c r="G33" s="41"/>
      <c r="H33" s="73"/>
      <c r="I33" s="41"/>
      <c r="J33" s="41"/>
      <c r="K33" s="41"/>
      <c r="L33" s="41"/>
      <c r="M33" s="41"/>
      <c r="N33" s="41"/>
      <c r="O33" s="41"/>
      <c r="P33" s="72"/>
      <c r="Q33" s="72"/>
    </row>
    <row r="34" spans="1:17" ht="15.75" customHeight="1">
      <c r="A34" s="62">
        <v>25</v>
      </c>
      <c r="B34" s="273"/>
      <c r="C34" s="19">
        <f>+C10+C32</f>
        <v>13966</v>
      </c>
      <c r="D34" s="19">
        <f>+D10+D32</f>
        <v>196943</v>
      </c>
      <c r="E34" s="19">
        <f>+E10+E32</f>
        <v>-22491.307687724151</v>
      </c>
      <c r="F34" s="19">
        <f>+F10+F32</f>
        <v>26165.989747983334</v>
      </c>
      <c r="G34" s="19">
        <f>+G10+G32</f>
        <v>3674.6820602591811</v>
      </c>
      <c r="H34" s="73"/>
      <c r="I34" s="19">
        <f>+I10+I32</f>
        <v>14380</v>
      </c>
      <c r="J34" s="19">
        <f>+J10+J32</f>
        <v>189089</v>
      </c>
      <c r="K34" s="19">
        <f>+K10+K32</f>
        <v>-23158.026961869778</v>
      </c>
      <c r="L34" s="19">
        <f>+L10+L32</f>
        <v>25122.50161445911</v>
      </c>
      <c r="M34" s="19">
        <f>M10+M32</f>
        <v>1964.4746525893324</v>
      </c>
      <c r="N34" s="41"/>
      <c r="O34" s="41"/>
      <c r="P34" s="72"/>
      <c r="Q34" s="72"/>
    </row>
    <row r="35" spans="1:17" ht="15.75" customHeight="1">
      <c r="A35" s="303">
        <v>26</v>
      </c>
      <c r="H35" s="73"/>
      <c r="I35" s="70"/>
      <c r="J35" s="70"/>
      <c r="K35" s="70"/>
      <c r="L35" s="70"/>
      <c r="M35" s="70"/>
      <c r="N35" s="70"/>
      <c r="O35" s="70"/>
      <c r="P35" s="72"/>
      <c r="Q35" s="72"/>
    </row>
    <row r="36" spans="1:17" ht="15.75" customHeight="1">
      <c r="A36" s="303">
        <v>27</v>
      </c>
      <c r="B36" s="679"/>
      <c r="C36" s="82"/>
      <c r="D36" s="82"/>
      <c r="E36" s="82"/>
      <c r="F36" s="82"/>
      <c r="G36" s="82"/>
      <c r="H36" s="73"/>
      <c r="I36" s="82"/>
      <c r="J36" s="82"/>
      <c r="K36" s="82"/>
      <c r="L36" s="82"/>
      <c r="M36" s="82"/>
      <c r="N36" s="70"/>
      <c r="O36" s="70"/>
      <c r="P36" s="72"/>
      <c r="Q36" s="72"/>
    </row>
    <row r="37" spans="1:17" ht="15.75" customHeight="1">
      <c r="A37" s="62">
        <v>28</v>
      </c>
      <c r="B37" s="70" t="s">
        <v>122</v>
      </c>
      <c r="C37" s="41">
        <v>-382</v>
      </c>
      <c r="D37" s="87">
        <v>0</v>
      </c>
      <c r="E37" s="41">
        <f>-C37/' Sch 3 RCF '!$F$25</f>
        <v>615.18541720683277</v>
      </c>
      <c r="F37" s="41">
        <f>+D37*$G$63/' Sch 3 RCF '!$F$25</f>
        <v>0</v>
      </c>
      <c r="G37" s="41">
        <f t="shared" ref="G37:G38" si="7">+E37+F37</f>
        <v>615.18541720683277</v>
      </c>
      <c r="H37" s="64"/>
      <c r="I37" s="41">
        <f>+'Sch 1.3 PfA '!$D$64</f>
        <v>-271</v>
      </c>
      <c r="J37" s="87">
        <f>+'Sch 1.3 PfA '!$D$85</f>
        <v>0</v>
      </c>
      <c r="K37" s="41">
        <f>-I37/' Sch 3 RCF '!$F$25</f>
        <v>436.42735095039706</v>
      </c>
      <c r="L37" s="41">
        <f>+J37*$G$63/' Sch 3 RCF '!$F$25</f>
        <v>0</v>
      </c>
      <c r="M37" s="41">
        <f t="shared" ref="M37:M38" si="8">+K37+L37</f>
        <v>436.42735095039706</v>
      </c>
      <c r="N37" s="676"/>
      <c r="O37" s="87">
        <f t="shared" ref="O37:O47" si="9">ROUND(+M37-G37,0)</f>
        <v>-179</v>
      </c>
      <c r="P37" s="72"/>
      <c r="Q37" s="72"/>
    </row>
    <row r="38" spans="1:17" ht="15.75" customHeight="1">
      <c r="A38" s="303">
        <v>29</v>
      </c>
      <c r="B38" s="70" t="s">
        <v>123</v>
      </c>
      <c r="C38" s="41">
        <v>8</v>
      </c>
      <c r="D38" s="71">
        <v>0</v>
      </c>
      <c r="E38" s="41">
        <f>-C38/' Sch 3 RCF '!$F$25</f>
        <v>-12.883464234698067</v>
      </c>
      <c r="F38" s="41">
        <f>+D38*$G$63/' Sch 3 RCF '!$F$25</f>
        <v>0</v>
      </c>
      <c r="G38" s="41">
        <f t="shared" si="7"/>
        <v>-12.883464234698067</v>
      </c>
      <c r="H38" s="64"/>
      <c r="I38" s="41">
        <f>+'Sch 1.3 PfA '!$E$64</f>
        <v>127</v>
      </c>
      <c r="J38" s="71">
        <f>+'Sch 1.3 PfA '!$E$85</f>
        <v>0</v>
      </c>
      <c r="K38" s="41">
        <f>-I38/' Sch 3 RCF '!$F$25</f>
        <v>-204.52499472583182</v>
      </c>
      <c r="L38" s="41">
        <f>+J38*$G$63/' Sch 3 RCF '!$F$25</f>
        <v>0</v>
      </c>
      <c r="M38" s="41">
        <f t="shared" si="8"/>
        <v>-204.52499472583182</v>
      </c>
      <c r="N38" s="676"/>
      <c r="O38" s="71">
        <f t="shared" si="9"/>
        <v>-192</v>
      </c>
      <c r="P38" s="72"/>
      <c r="Q38" s="72"/>
    </row>
    <row r="39" spans="1:17" ht="15.75" customHeight="1">
      <c r="A39" s="303">
        <v>30</v>
      </c>
      <c r="B39" s="70" t="s">
        <v>214</v>
      </c>
      <c r="C39" s="41">
        <v>-597</v>
      </c>
      <c r="D39" s="71">
        <v>0</v>
      </c>
      <c r="E39" s="41">
        <f>-C39/' Sch 3 RCF '!$F$25</f>
        <v>961.4285185143433</v>
      </c>
      <c r="F39" s="41">
        <f>+D39*$G$63/' Sch 3 RCF '!$F$25</f>
        <v>0</v>
      </c>
      <c r="G39" s="41">
        <f>+E39+F39</f>
        <v>961.4285185143433</v>
      </c>
      <c r="H39" s="64"/>
      <c r="I39" s="41">
        <f>+'Sch 1.3 PfA '!$F$64</f>
        <v>-597</v>
      </c>
      <c r="J39" s="264">
        <f>+'Sch 1.3 PfA '!$F$85</f>
        <v>0</v>
      </c>
      <c r="K39" s="41">
        <f>-I39/' Sch 3 RCF '!$F$25</f>
        <v>961.4285185143433</v>
      </c>
      <c r="L39" s="41">
        <f>+J39*$G$63/' Sch 3 RCF '!$F$25</f>
        <v>0</v>
      </c>
      <c r="M39" s="41">
        <f>+K39+L39</f>
        <v>961.4285185143433</v>
      </c>
      <c r="N39" s="676"/>
      <c r="O39" s="71">
        <f t="shared" si="9"/>
        <v>0</v>
      </c>
      <c r="P39" s="72"/>
      <c r="Q39" s="72"/>
    </row>
    <row r="40" spans="1:17" ht="15.75" customHeight="1">
      <c r="A40" s="62">
        <v>31</v>
      </c>
      <c r="B40" s="70" t="s">
        <v>215</v>
      </c>
      <c r="C40" s="41">
        <v>18</v>
      </c>
      <c r="D40" s="71">
        <v>0</v>
      </c>
      <c r="E40" s="41">
        <f>-C40/' Sch 3 RCF '!$F$25</f>
        <v>-28.987794528070651</v>
      </c>
      <c r="F40" s="41">
        <f>+D40*$G$63/' Sch 3 RCF '!$F$25</f>
        <v>0</v>
      </c>
      <c r="G40" s="41">
        <f>+E40+F40</f>
        <v>-28.987794528070651</v>
      </c>
      <c r="H40" s="64"/>
      <c r="I40" s="41">
        <f>+'Sch 1.3 PfA '!$G$64</f>
        <v>18</v>
      </c>
      <c r="J40" s="264">
        <f>+'Sch 1.3 PfA '!$G$85</f>
        <v>0</v>
      </c>
      <c r="K40" s="41">
        <f>-I40/' Sch 3 RCF '!$F$25</f>
        <v>-28.987794528070651</v>
      </c>
      <c r="L40" s="41">
        <f>+J40*$G$63/' Sch 3 RCF '!$F$25</f>
        <v>0</v>
      </c>
      <c r="M40" s="41">
        <f>+K40+L40</f>
        <v>-28.987794528070651</v>
      </c>
      <c r="N40" s="676"/>
      <c r="O40" s="71">
        <f t="shared" si="9"/>
        <v>0</v>
      </c>
      <c r="P40" s="72"/>
      <c r="Q40" s="72"/>
    </row>
    <row r="41" spans="1:17" ht="15.75" customHeight="1">
      <c r="A41" s="303">
        <v>32</v>
      </c>
      <c r="B41" s="70" t="s">
        <v>241</v>
      </c>
      <c r="C41" s="41">
        <v>-182</v>
      </c>
      <c r="D41" s="71">
        <v>0</v>
      </c>
      <c r="E41" s="41">
        <f>-C41/' Sch 3 RCF '!$F$25</f>
        <v>293.09881133938103</v>
      </c>
      <c r="F41" s="41">
        <f>+D41*$G$63/' Sch 3 RCF '!$F$25</f>
        <v>0</v>
      </c>
      <c r="G41" s="41">
        <f>+E41+F41</f>
        <v>293.09881133938103</v>
      </c>
      <c r="H41" s="64"/>
      <c r="I41" s="41">
        <f>+'Sch 1.3 PfA '!H64</f>
        <v>-40</v>
      </c>
      <c r="J41" s="71">
        <f>+'Sch 1.3 PfA '!H85</f>
        <v>0</v>
      </c>
      <c r="K41" s="41">
        <f>-I41/' Sch 3 RCF '!$F$25</f>
        <v>64.417321173490336</v>
      </c>
      <c r="L41" s="41">
        <f>+J41*$G$63/' Sch 3 RCF '!$F$25</f>
        <v>0</v>
      </c>
      <c r="M41" s="41">
        <f>+K41+L41</f>
        <v>64.417321173490336</v>
      </c>
      <c r="N41" s="676"/>
      <c r="O41" s="71">
        <f t="shared" si="9"/>
        <v>-229</v>
      </c>
      <c r="P41" s="72"/>
      <c r="Q41" s="72"/>
    </row>
    <row r="42" spans="1:17" ht="15.75" customHeight="1">
      <c r="A42" s="303">
        <v>33</v>
      </c>
      <c r="B42" s="70" t="s">
        <v>216</v>
      </c>
      <c r="C42" s="41">
        <v>-122</v>
      </c>
      <c r="D42" s="71">
        <v>0</v>
      </c>
      <c r="E42" s="41">
        <f>-C42/' Sch 3 RCF '!$F$25</f>
        <v>196.47282957914553</v>
      </c>
      <c r="F42" s="41">
        <f>+D42*$G$63/' Sch 3 RCF '!$F$25</f>
        <v>0</v>
      </c>
      <c r="G42" s="41">
        <f>+E42+F42</f>
        <v>196.47282957914553</v>
      </c>
      <c r="H42" s="64"/>
      <c r="I42" s="41">
        <f>+'Sch 1.3 PfA '!I64</f>
        <v>-122</v>
      </c>
      <c r="J42" s="264">
        <f>+'Sch 1.3 PfA '!I85</f>
        <v>0</v>
      </c>
      <c r="K42" s="41">
        <f>-I42/' Sch 3 RCF '!$F$25</f>
        <v>196.47282957914553</v>
      </c>
      <c r="L42" s="41">
        <f>+J42*$G$63/' Sch 3 RCF '!$F$25</f>
        <v>0</v>
      </c>
      <c r="M42" s="41">
        <f>+K42+L42</f>
        <v>196.47282957914553</v>
      </c>
      <c r="N42" s="676"/>
      <c r="O42" s="71">
        <f t="shared" si="9"/>
        <v>0</v>
      </c>
      <c r="P42" s="72"/>
      <c r="Q42" s="72"/>
    </row>
    <row r="43" spans="1:17" ht="15.75" customHeight="1">
      <c r="A43" s="62">
        <v>34</v>
      </c>
      <c r="B43" s="70" t="s">
        <v>242</v>
      </c>
      <c r="C43" s="41">
        <v>-156</v>
      </c>
      <c r="D43" s="71">
        <v>7165</v>
      </c>
      <c r="E43" s="41">
        <f>-C43/' Sch 3 RCF '!$F$25</f>
        <v>251.22755257661231</v>
      </c>
      <c r="F43" s="41">
        <f>+D43*$G$63/' Sch 3 RCF '!$F$25</f>
        <v>951.94709405412027</v>
      </c>
      <c r="G43" s="41">
        <f>+E43+F43</f>
        <v>1203.1746466307327</v>
      </c>
      <c r="H43" s="64"/>
      <c r="I43" s="41">
        <f>+'Sch 1.3 PfA '!J64</f>
        <v>0</v>
      </c>
      <c r="J43" s="264">
        <f>+'Sch 1.3 PfA '!J85</f>
        <v>0</v>
      </c>
      <c r="K43" s="41">
        <f>-I43/' Sch 3 RCF '!$F$25</f>
        <v>0</v>
      </c>
      <c r="L43" s="41">
        <f>+J43*$G$63/' Sch 3 RCF '!$F$25</f>
        <v>0</v>
      </c>
      <c r="M43" s="41">
        <f>+K43+L43</f>
        <v>0</v>
      </c>
      <c r="N43" s="676"/>
      <c r="O43" s="71">
        <f t="shared" si="9"/>
        <v>-1203</v>
      </c>
      <c r="P43" s="72"/>
      <c r="Q43" s="72"/>
    </row>
    <row r="44" spans="1:17" ht="15.75" customHeight="1">
      <c r="A44" s="303">
        <v>35</v>
      </c>
      <c r="B44" s="70" t="s">
        <v>243</v>
      </c>
      <c r="C44" s="41">
        <v>-905</v>
      </c>
      <c r="D44" s="71">
        <v>5255</v>
      </c>
      <c r="E44" s="41">
        <f>-C44/' Sch 3 RCF '!$F$25</f>
        <v>1457.4418915502188</v>
      </c>
      <c r="F44" s="41">
        <f>+D44*$G$63/' Sch 3 RCF '!$F$25</f>
        <v>698.18310945630174</v>
      </c>
      <c r="G44" s="41">
        <f t="shared" ref="G44:G47" si="10">+E44+F44</f>
        <v>2155.6250010065205</v>
      </c>
      <c r="H44" s="64"/>
      <c r="I44" s="56">
        <f>'Sch 1.3 PfA '!K64</f>
        <v>0</v>
      </c>
      <c r="J44" s="264">
        <f>'Sch 1.3 PfA '!K85</f>
        <v>0</v>
      </c>
      <c r="K44" s="41">
        <f>-I44/' Sch 3 RCF '!$F$25</f>
        <v>0</v>
      </c>
      <c r="L44" s="41">
        <f>+J44*$G$63/' Sch 3 RCF '!$F$25</f>
        <v>0</v>
      </c>
      <c r="M44" s="41">
        <f t="shared" ref="M44:M47" si="11">+K44+L44</f>
        <v>0</v>
      </c>
      <c r="N44" s="676"/>
      <c r="O44" s="71">
        <f t="shared" si="9"/>
        <v>-2156</v>
      </c>
      <c r="P44" s="72"/>
      <c r="Q44" s="72"/>
    </row>
    <row r="45" spans="1:17" ht="15.75" customHeight="1">
      <c r="A45" s="303">
        <v>36</v>
      </c>
      <c r="B45" s="70" t="s">
        <v>244</v>
      </c>
      <c r="C45" s="41">
        <v>-270</v>
      </c>
      <c r="D45" s="71">
        <v>641</v>
      </c>
      <c r="E45" s="41">
        <f>-C45/' Sch 3 RCF '!$F$25</f>
        <v>434.81691792105977</v>
      </c>
      <c r="F45" s="41">
        <f>+D45*$G$63/' Sch 3 RCF '!$F$25</f>
        <v>85.163724673927575</v>
      </c>
      <c r="G45" s="41">
        <f t="shared" si="10"/>
        <v>519.98064259498733</v>
      </c>
      <c r="H45" s="64"/>
      <c r="I45" s="56">
        <f>'Sch 1.3 PfA '!L64</f>
        <v>0</v>
      </c>
      <c r="J45" s="264">
        <f>'Sch 1.3 PfA '!L85</f>
        <v>0</v>
      </c>
      <c r="K45" s="41">
        <f>-I45/' Sch 3 RCF '!$F$25</f>
        <v>0</v>
      </c>
      <c r="L45" s="41">
        <f>+J45*$G$63/' Sch 3 RCF '!$F$25</f>
        <v>0</v>
      </c>
      <c r="M45" s="41">
        <f t="shared" si="11"/>
        <v>0</v>
      </c>
      <c r="N45" s="676"/>
      <c r="O45" s="71">
        <f t="shared" si="9"/>
        <v>-520</v>
      </c>
      <c r="P45" s="72"/>
      <c r="Q45" s="72"/>
    </row>
    <row r="46" spans="1:17" ht="15.75" customHeight="1">
      <c r="A46" s="62">
        <v>37</v>
      </c>
      <c r="B46" s="70" t="s">
        <v>245</v>
      </c>
      <c r="C46" s="41">
        <v>-326</v>
      </c>
      <c r="D46" s="71">
        <v>0</v>
      </c>
      <c r="E46" s="41">
        <f>-C46/' Sch 3 RCF '!$F$25</f>
        <v>525.0011675639463</v>
      </c>
      <c r="F46" s="41">
        <f>+D46*$G$63/' Sch 3 RCF '!$F$25</f>
        <v>0</v>
      </c>
      <c r="G46" s="41">
        <f t="shared" si="10"/>
        <v>525.0011675639463</v>
      </c>
      <c r="H46" s="64"/>
      <c r="I46" s="56">
        <f>'Sch 1.3 PfA '!M64</f>
        <v>-548</v>
      </c>
      <c r="J46" s="264">
        <f>'Sch 1.3 PfA '!M85</f>
        <v>0</v>
      </c>
      <c r="K46" s="41">
        <f>-I46/' Sch 3 RCF '!$F$25</f>
        <v>882.51730007681761</v>
      </c>
      <c r="L46" s="41">
        <f>+J46*$G$63/' Sch 3 RCF '!$F$25</f>
        <v>0</v>
      </c>
      <c r="M46" s="41">
        <f t="shared" si="11"/>
        <v>882.51730007681761</v>
      </c>
      <c r="N46" s="676"/>
      <c r="O46" s="71">
        <f t="shared" si="9"/>
        <v>358</v>
      </c>
      <c r="P46" s="72"/>
      <c r="Q46" s="72"/>
    </row>
    <row r="47" spans="1:17" ht="15.75" customHeight="1">
      <c r="A47" s="303">
        <v>38</v>
      </c>
      <c r="B47" s="70" t="s">
        <v>246</v>
      </c>
      <c r="C47" s="41">
        <v>8</v>
      </c>
      <c r="D47" s="85">
        <v>0</v>
      </c>
      <c r="E47" s="41">
        <f>-C47/' Sch 3 RCF '!$F$25</f>
        <v>-12.883464234698067</v>
      </c>
      <c r="F47" s="41">
        <f>+D47*$G$63/' Sch 3 RCF '!$F$25</f>
        <v>0</v>
      </c>
      <c r="G47" s="41">
        <f t="shared" si="10"/>
        <v>-12.883464234698067</v>
      </c>
      <c r="H47" s="64"/>
      <c r="I47" s="56">
        <f>'Sch 1.3 PfA '!N64</f>
        <v>0</v>
      </c>
      <c r="J47" s="283">
        <f>'Sch 1.3 PfA '!N85</f>
        <v>0</v>
      </c>
      <c r="K47" s="41">
        <f>-I47/' Sch 3 RCF '!$F$25</f>
        <v>0</v>
      </c>
      <c r="L47" s="41">
        <f>+J47*$G$63/' Sch 3 RCF '!$F$25</f>
        <v>0</v>
      </c>
      <c r="M47" s="41">
        <f t="shared" si="11"/>
        <v>0</v>
      </c>
      <c r="N47" s="676"/>
      <c r="O47" s="85">
        <f t="shared" si="9"/>
        <v>13</v>
      </c>
      <c r="P47" s="72"/>
      <c r="Q47" s="72"/>
    </row>
    <row r="48" spans="1:17" ht="15.75" customHeight="1">
      <c r="A48" s="303">
        <v>39</v>
      </c>
      <c r="B48" s="273"/>
      <c r="C48" s="84">
        <f>SUM(C37:C47)</f>
        <v>-2906</v>
      </c>
      <c r="D48" s="84">
        <f>SUM(D37:D47)</f>
        <v>13061</v>
      </c>
      <c r="E48" s="84">
        <f>SUM(E37:E47)</f>
        <v>4679.918383254073</v>
      </c>
      <c r="F48" s="84">
        <f>SUM(F37:F47)</f>
        <v>1735.2939281843496</v>
      </c>
      <c r="G48" s="84">
        <f>SUM(G37:G47)</f>
        <v>6415.2123114384221</v>
      </c>
      <c r="H48" s="73"/>
      <c r="I48" s="86">
        <f t="shared" ref="I48:O48" si="12">SUM(I37:I47)</f>
        <v>-1433</v>
      </c>
      <c r="J48" s="86">
        <f t="shared" si="12"/>
        <v>0</v>
      </c>
      <c r="K48" s="86">
        <f t="shared" si="12"/>
        <v>2307.7505310402912</v>
      </c>
      <c r="L48" s="86">
        <f t="shared" si="12"/>
        <v>0</v>
      </c>
      <c r="M48" s="86">
        <f t="shared" si="12"/>
        <v>2307.7505310402912</v>
      </c>
      <c r="N48" s="24"/>
      <c r="O48" s="230">
        <f t="shared" si="12"/>
        <v>-4108</v>
      </c>
      <c r="P48" s="72"/>
      <c r="Q48" s="72"/>
    </row>
    <row r="49" spans="1:17" ht="15.75" customHeight="1">
      <c r="A49" s="62">
        <v>40</v>
      </c>
      <c r="B49" s="273"/>
      <c r="C49" s="62"/>
      <c r="D49" s="62"/>
      <c r="H49" s="73"/>
      <c r="I49" s="62"/>
      <c r="J49" s="62"/>
      <c r="P49" s="72"/>
      <c r="Q49" s="72"/>
    </row>
    <row r="50" spans="1:17" ht="15.75" customHeight="1">
      <c r="A50" s="303">
        <v>41</v>
      </c>
      <c r="B50" s="273"/>
      <c r="C50" s="82">
        <f>+C34+C48</f>
        <v>11060</v>
      </c>
      <c r="D50" s="82">
        <f>+D34+D48</f>
        <v>210004</v>
      </c>
      <c r="E50" s="82">
        <f>+E48+E34</f>
        <v>-17811.389304470078</v>
      </c>
      <c r="F50" s="82">
        <f>+F48+F34</f>
        <v>27901.283676167684</v>
      </c>
      <c r="G50" s="82">
        <f>+G48+G34</f>
        <v>10089.894371697603</v>
      </c>
      <c r="H50" s="73"/>
      <c r="I50" s="82">
        <f>+I34+I48</f>
        <v>12947</v>
      </c>
      <c r="J50" s="82">
        <f>+J34+J48</f>
        <v>189089</v>
      </c>
      <c r="K50" s="82">
        <f>+K48+K34</f>
        <v>-20850.276430829486</v>
      </c>
      <c r="L50" s="82">
        <f>+L48+L34</f>
        <v>25122.50161445911</v>
      </c>
      <c r="M50" s="82">
        <f>M48+M34</f>
        <v>4272.2251836296236</v>
      </c>
      <c r="N50" s="70"/>
      <c r="O50" s="82">
        <f>+O48+O32</f>
        <v>-5817</v>
      </c>
      <c r="P50" s="72"/>
      <c r="Q50" s="72"/>
    </row>
    <row r="51" spans="1:17" ht="15.75" customHeight="1">
      <c r="A51" s="303">
        <v>42</v>
      </c>
      <c r="H51" s="73"/>
      <c r="J51" s="677" t="s">
        <v>187</v>
      </c>
      <c r="K51" s="70"/>
      <c r="L51" s="70"/>
      <c r="M51" s="233">
        <f>+P78</f>
        <v>-3137</v>
      </c>
      <c r="N51" s="233"/>
      <c r="O51" s="70">
        <f>+M51</f>
        <v>-3137</v>
      </c>
      <c r="P51" s="72"/>
      <c r="Q51" s="72"/>
    </row>
    <row r="52" spans="1:17" ht="15.75" customHeight="1">
      <c r="A52" s="62">
        <v>43</v>
      </c>
      <c r="G52" s="273"/>
      <c r="I52" s="756" t="s">
        <v>188</v>
      </c>
      <c r="J52" s="756"/>
      <c r="L52" s="89" t="s">
        <v>109</v>
      </c>
      <c r="M52" s="222">
        <f>M50+M51</f>
        <v>1135.2251836296236</v>
      </c>
      <c r="N52" s="222"/>
      <c r="O52" s="222">
        <f>+O50+O51</f>
        <v>-8954</v>
      </c>
      <c r="P52" s="72"/>
      <c r="Q52" s="72"/>
    </row>
    <row r="53" spans="1:17" ht="15.75" customHeight="1" thickBot="1">
      <c r="A53" s="303">
        <v>44</v>
      </c>
      <c r="G53" s="273"/>
      <c r="I53" s="89"/>
      <c r="J53" s="89"/>
      <c r="L53" s="89"/>
      <c r="M53" s="222"/>
      <c r="N53" s="222"/>
      <c r="O53" s="222"/>
      <c r="P53" s="72"/>
      <c r="Q53" s="72"/>
    </row>
    <row r="54" spans="1:17" ht="15.75" customHeight="1" thickBot="1">
      <c r="A54" s="303">
        <v>45</v>
      </c>
      <c r="H54" s="28"/>
      <c r="M54" s="234">
        <f>' Sch1.1 RoO'!K10</f>
        <v>8.0021093985337619E-3</v>
      </c>
      <c r="N54" s="235"/>
      <c r="O54" s="236" t="s">
        <v>182</v>
      </c>
      <c r="P54" s="72"/>
      <c r="Q54" s="72"/>
    </row>
    <row r="55" spans="1:17" ht="15.75" customHeight="1">
      <c r="A55" s="62">
        <v>46</v>
      </c>
      <c r="H55" s="28"/>
      <c r="P55" s="72"/>
      <c r="Q55" s="72"/>
    </row>
    <row r="56" spans="1:17" ht="15.75" customHeight="1">
      <c r="A56" s="303">
        <v>47</v>
      </c>
      <c r="B56" s="292"/>
      <c r="D56" s="293" t="s">
        <v>178</v>
      </c>
      <c r="M56" s="223" t="s">
        <v>370</v>
      </c>
      <c r="N56" s="223"/>
      <c r="P56" s="72"/>
      <c r="Q56" s="72"/>
    </row>
    <row r="57" spans="1:17" ht="15.75" customHeight="1">
      <c r="A57" s="303">
        <v>48</v>
      </c>
      <c r="P57" s="72"/>
      <c r="Q57" s="72"/>
    </row>
    <row r="58" spans="1:17" ht="15.75" customHeight="1">
      <c r="A58" s="62">
        <v>49</v>
      </c>
      <c r="B58" s="294"/>
      <c r="C58" s="224" t="s">
        <v>124</v>
      </c>
      <c r="D58" s="285"/>
      <c r="E58" s="62"/>
      <c r="F58" s="62"/>
      <c r="G58" s="224" t="s">
        <v>125</v>
      </c>
      <c r="J58" s="224" t="s">
        <v>124</v>
      </c>
      <c r="M58" s="216"/>
      <c r="N58" s="216"/>
      <c r="O58" s="224" t="s">
        <v>125</v>
      </c>
      <c r="P58" s="72"/>
      <c r="Q58" s="72"/>
    </row>
    <row r="59" spans="1:17" ht="15.75" customHeight="1">
      <c r="A59" s="303">
        <v>50</v>
      </c>
      <c r="B59" s="292"/>
      <c r="C59" s="295" t="s">
        <v>126</v>
      </c>
      <c r="D59" s="295" t="s">
        <v>127</v>
      </c>
      <c r="E59" s="296"/>
      <c r="F59" s="296"/>
      <c r="G59" s="295" t="s">
        <v>127</v>
      </c>
      <c r="J59" s="75" t="s">
        <v>126</v>
      </c>
      <c r="K59" s="66"/>
      <c r="L59" s="66"/>
      <c r="M59" s="75" t="s">
        <v>127</v>
      </c>
      <c r="N59" s="75"/>
      <c r="O59" s="75" t="s">
        <v>127</v>
      </c>
      <c r="P59" s="72"/>
      <c r="Q59" s="72"/>
    </row>
    <row r="60" spans="1:17" ht="15.75" customHeight="1">
      <c r="A60" s="303">
        <v>51</v>
      </c>
      <c r="B60" s="297" t="s">
        <v>128</v>
      </c>
      <c r="C60" s="225">
        <v>0.51600000000000001</v>
      </c>
      <c r="D60" s="226">
        <v>5.7599999999999998E-2</v>
      </c>
      <c r="G60" s="225">
        <f>ROUND(+C60*D60,4)</f>
        <v>2.9700000000000001E-2</v>
      </c>
      <c r="J60" s="225">
        <f>+' Sch 4 CC'!E16</f>
        <v>0.54</v>
      </c>
      <c r="K60" s="70"/>
      <c r="L60" s="70"/>
      <c r="M60" s="226">
        <f>+debt</f>
        <v>5.7000000000000002E-2</v>
      </c>
      <c r="N60" s="226"/>
      <c r="O60" s="225">
        <f>ROUND(+J60*M60,4)</f>
        <v>3.0800000000000001E-2</v>
      </c>
      <c r="P60" s="72"/>
      <c r="Q60" s="72"/>
    </row>
    <row r="61" spans="1:17" ht="15.75" customHeight="1">
      <c r="A61" s="62">
        <v>52</v>
      </c>
      <c r="B61" s="297" t="s">
        <v>189</v>
      </c>
      <c r="C61" s="38"/>
      <c r="D61" s="226"/>
      <c r="G61" s="225"/>
      <c r="J61" s="38">
        <f>+' Sch 4 CC'!E17</f>
        <v>0</v>
      </c>
      <c r="K61" s="70"/>
      <c r="L61" s="70"/>
      <c r="M61" s="226">
        <f>+' Sch 4 CC'!G17</f>
        <v>0</v>
      </c>
      <c r="N61" s="226"/>
      <c r="O61" s="225">
        <f>+J61*M61</f>
        <v>0</v>
      </c>
      <c r="P61" s="72"/>
      <c r="Q61" s="72"/>
    </row>
    <row r="62" spans="1:17" ht="15.75" customHeight="1">
      <c r="A62" s="303">
        <v>53</v>
      </c>
      <c r="B62" s="297" t="s">
        <v>129</v>
      </c>
      <c r="C62" s="238">
        <v>0.48399999999999999</v>
      </c>
      <c r="D62" s="226">
        <v>0.109</v>
      </c>
      <c r="G62" s="239">
        <f>ROUND(+C62*D62,4)</f>
        <v>5.28E-2</v>
      </c>
      <c r="J62" s="238">
        <f>+' Sch 4 CC'!E18</f>
        <v>0.46</v>
      </c>
      <c r="K62" s="70"/>
      <c r="L62" s="70"/>
      <c r="M62" s="226">
        <f>+' Sch 4 CC'!G18</f>
        <v>0.09</v>
      </c>
      <c r="N62" s="226"/>
      <c r="O62" s="239">
        <f>ROUND(+J62*M62,4)</f>
        <v>4.1399999999999999E-2</v>
      </c>
      <c r="P62" s="72"/>
      <c r="Q62" s="72"/>
    </row>
    <row r="63" spans="1:17" ht="15.75" customHeight="1">
      <c r="A63" s="303">
        <v>54</v>
      </c>
      <c r="B63" s="297" t="s">
        <v>9</v>
      </c>
      <c r="C63" s="239">
        <f>SUM(C60:C62)</f>
        <v>1</v>
      </c>
      <c r="D63" s="237"/>
      <c r="G63" s="238">
        <f>ROUND(SUM(G60:G62),4)</f>
        <v>8.2500000000000004E-2</v>
      </c>
      <c r="J63" s="239">
        <f>SUM(J60:J62)</f>
        <v>1</v>
      </c>
      <c r="K63" s="70"/>
      <c r="L63" s="70"/>
      <c r="M63" s="237"/>
      <c r="N63" s="237"/>
      <c r="O63" s="238">
        <f>ROUND(SUM(O60:O62),4)</f>
        <v>7.22E-2</v>
      </c>
      <c r="P63" s="72"/>
      <c r="Q63" s="72"/>
    </row>
    <row r="64" spans="1:17" ht="15.75" customHeight="1">
      <c r="A64" s="62">
        <v>55</v>
      </c>
      <c r="B64" s="297"/>
      <c r="C64" s="225"/>
      <c r="D64" s="237"/>
      <c r="G64" s="298"/>
      <c r="J64" s="80"/>
      <c r="M64" s="216"/>
      <c r="N64" s="216"/>
      <c r="O64" s="81"/>
      <c r="P64" s="72"/>
      <c r="Q64" s="72"/>
    </row>
    <row r="65" spans="1:17" ht="15.75" customHeight="1">
      <c r="A65" s="303">
        <v>56</v>
      </c>
      <c r="B65" s="739" t="s">
        <v>406</v>
      </c>
      <c r="C65" s="740"/>
      <c r="D65" s="740"/>
      <c r="E65" s="740"/>
      <c r="F65" s="741"/>
      <c r="G65" s="741"/>
      <c r="H65" s="741"/>
      <c r="I65" s="741"/>
      <c r="J65" s="80"/>
      <c r="M65" s="216"/>
      <c r="N65" s="216"/>
      <c r="O65" s="81"/>
      <c r="P65" s="72"/>
      <c r="Q65" s="72"/>
    </row>
    <row r="66" spans="1:17" ht="15.75" customHeight="1">
      <c r="A66" s="303">
        <v>57</v>
      </c>
      <c r="B66" s="750"/>
      <c r="C66" s="750"/>
      <c r="D66" s="750"/>
      <c r="P66" s="72"/>
      <c r="Q66" s="72"/>
    </row>
    <row r="67" spans="1:17" ht="15.75" customHeight="1">
      <c r="A67" s="62">
        <v>58</v>
      </c>
      <c r="B67" s="299"/>
      <c r="C67" s="299"/>
      <c r="D67" s="299"/>
      <c r="P67" s="72"/>
      <c r="Q67" s="72"/>
    </row>
    <row r="68" spans="1:17" ht="15.75" customHeight="1">
      <c r="A68" s="303">
        <v>59</v>
      </c>
      <c r="B68" s="678"/>
      <c r="C68" s="299"/>
      <c r="D68" s="299"/>
      <c r="P68" s="72"/>
      <c r="Q68" s="72"/>
    </row>
    <row r="69" spans="1:17" ht="15.75" customHeight="1">
      <c r="A69" s="303">
        <v>60</v>
      </c>
      <c r="H69" s="72"/>
      <c r="I69" s="72"/>
      <c r="J69" s="72"/>
      <c r="K69" s="72"/>
      <c r="L69" s="72"/>
      <c r="M69" s="72"/>
      <c r="N69" s="72"/>
      <c r="O69" s="72"/>
      <c r="P69" s="72"/>
      <c r="Q69" s="72"/>
    </row>
    <row r="70" spans="1:17" ht="15.75" customHeight="1">
      <c r="A70" s="62">
        <v>61</v>
      </c>
      <c r="H70" s="72"/>
      <c r="I70" s="72"/>
      <c r="J70" s="72"/>
      <c r="K70" s="72"/>
      <c r="L70" s="72"/>
      <c r="M70" s="72"/>
      <c r="N70" s="72"/>
      <c r="O70" s="72"/>
      <c r="P70" s="72"/>
      <c r="Q70" s="72"/>
    </row>
    <row r="71" spans="1:17" ht="15.75" customHeight="1">
      <c r="A71" s="303">
        <v>62</v>
      </c>
      <c r="H71" s="72"/>
      <c r="I71" s="72"/>
      <c r="J71" s="72"/>
      <c r="K71" s="72"/>
      <c r="L71" s="72"/>
      <c r="M71" s="755" t="s">
        <v>130</v>
      </c>
      <c r="N71" s="755"/>
      <c r="O71" s="755"/>
      <c r="P71" s="755"/>
      <c r="Q71" s="72"/>
    </row>
    <row r="72" spans="1:17" ht="15.75" customHeight="1">
      <c r="A72" s="303">
        <v>63</v>
      </c>
      <c r="H72" s="72"/>
      <c r="I72" s="72"/>
      <c r="J72" s="72"/>
      <c r="K72" s="72"/>
      <c r="L72" s="72"/>
      <c r="M72" s="751" t="s">
        <v>131</v>
      </c>
      <c r="N72" s="751"/>
      <c r="O72" s="751"/>
      <c r="P72" s="36">
        <f>+O63</f>
        <v>7.22E-2</v>
      </c>
      <c r="Q72" s="72"/>
    </row>
    <row r="73" spans="1:17" ht="15.75" customHeight="1">
      <c r="A73" s="62">
        <v>64</v>
      </c>
      <c r="H73" s="72"/>
      <c r="I73" s="72"/>
      <c r="J73" s="72"/>
      <c r="K73" s="72"/>
      <c r="L73" s="72"/>
      <c r="M73" s="751" t="s">
        <v>132</v>
      </c>
      <c r="N73" s="751"/>
      <c r="O73" s="751"/>
      <c r="P73" s="36">
        <f>+G63</f>
        <v>8.2500000000000004E-2</v>
      </c>
      <c r="Q73" s="72"/>
    </row>
    <row r="74" spans="1:17" ht="15.75" customHeight="1">
      <c r="A74" s="303">
        <v>65</v>
      </c>
      <c r="H74" s="72"/>
      <c r="I74" s="72"/>
      <c r="J74" s="72"/>
      <c r="K74" s="72"/>
      <c r="L74" s="72"/>
      <c r="M74" s="751" t="s">
        <v>133</v>
      </c>
      <c r="N74" s="751"/>
      <c r="O74" s="751"/>
      <c r="P74" s="262">
        <f>+P72-P73</f>
        <v>-1.0300000000000004E-2</v>
      </c>
      <c r="Q74" s="72"/>
    </row>
    <row r="75" spans="1:17" ht="15.75" customHeight="1">
      <c r="A75" s="303">
        <v>66</v>
      </c>
      <c r="H75" s="72"/>
      <c r="I75" s="72"/>
      <c r="J75" s="72"/>
      <c r="K75" s="72"/>
      <c r="L75" s="72"/>
      <c r="M75" s="751" t="s">
        <v>134</v>
      </c>
      <c r="N75" s="751"/>
      <c r="O75" s="751"/>
      <c r="P75" s="72">
        <f>+J50</f>
        <v>189089</v>
      </c>
      <c r="Q75" s="72"/>
    </row>
    <row r="76" spans="1:17" ht="15.75" customHeight="1">
      <c r="A76" s="62">
        <v>67</v>
      </c>
      <c r="H76" s="72"/>
      <c r="I76" s="72"/>
      <c r="J76" s="72"/>
      <c r="K76" s="72"/>
      <c r="L76" s="72"/>
      <c r="M76" s="751" t="s">
        <v>135</v>
      </c>
      <c r="N76" s="751"/>
      <c r="O76" s="751"/>
      <c r="P76" s="72">
        <f>+P74*P75</f>
        <v>-1947.6167000000007</v>
      </c>
      <c r="Q76" s="72"/>
    </row>
    <row r="77" spans="1:17" ht="15.75" customHeight="1">
      <c r="A77" s="303">
        <v>68</v>
      </c>
      <c r="H77" s="72"/>
      <c r="I77" s="72"/>
      <c r="J77" s="72"/>
      <c r="K77" s="72"/>
      <c r="L77" s="72"/>
      <c r="M77" s="751" t="s">
        <v>136</v>
      </c>
      <c r="N77" s="751"/>
      <c r="O77" s="751"/>
      <c r="P77" s="36">
        <f>+' Sch 3 RCF '!F25</f>
        <v>0.62095100000000003</v>
      </c>
      <c r="Q77" s="72"/>
    </row>
    <row r="78" spans="1:17" ht="15.75" customHeight="1">
      <c r="A78" s="303">
        <v>69</v>
      </c>
      <c r="H78" s="72"/>
      <c r="I78" s="72"/>
      <c r="J78" s="72"/>
      <c r="K78" s="72"/>
      <c r="L78" s="72"/>
      <c r="M78" s="751" t="s">
        <v>137</v>
      </c>
      <c r="N78" s="751"/>
      <c r="O78" s="751"/>
      <c r="P78" s="72">
        <f>ROUND(P76/P77,0)</f>
        <v>-3137</v>
      </c>
      <c r="Q78" s="72"/>
    </row>
    <row r="79" spans="1:17" ht="15.75" customHeight="1">
      <c r="A79" s="62">
        <v>70</v>
      </c>
      <c r="H79" s="72"/>
      <c r="I79" s="72"/>
      <c r="J79" s="72"/>
      <c r="K79" s="72"/>
      <c r="L79" s="72"/>
      <c r="M79" s="72"/>
      <c r="N79" s="72"/>
      <c r="O79" s="72"/>
      <c r="P79" s="72"/>
      <c r="Q79" s="72"/>
    </row>
  </sheetData>
  <mergeCells count="13">
    <mergeCell ref="K5:L5"/>
    <mergeCell ref="C8:G8"/>
    <mergeCell ref="I8:M8"/>
    <mergeCell ref="M71:P71"/>
    <mergeCell ref="I52:J52"/>
    <mergeCell ref="B66:D66"/>
    <mergeCell ref="M78:O78"/>
    <mergeCell ref="M72:O72"/>
    <mergeCell ref="M73:O73"/>
    <mergeCell ref="M74:O74"/>
    <mergeCell ref="M75:O75"/>
    <mergeCell ref="M76:O76"/>
    <mergeCell ref="M77:O77"/>
  </mergeCells>
  <printOptions horizontalCentered="1"/>
  <pageMargins left="0" right="0" top="0.75" bottom="0.3" header="0.3" footer="0.3"/>
  <pageSetup scale="52" orientation="portrait" r:id="rId1"/>
  <headerFooter scaleWithDoc="0" alignWithMargins="0">
    <oddHeader>&amp;L&amp;"Arial,Regular"&amp;10Avista Corporation
&amp;"Arial,Bold"Natural Gas - Results of Operations (Schedule 1.4)&amp;"Arial,Regular"
Twelve Months Ended December 31, 2011&amp;R&amp;"Arial,Regular"&amp;10Exhibit No. ___ (EJK-2)
Dockets UE-120436 &amp;&amp; UG-120437
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65"/>
  <sheetViews>
    <sheetView topLeftCell="A49" zoomScaleNormal="100" workbookViewId="0">
      <selection activeCell="D59" sqref="D59"/>
    </sheetView>
  </sheetViews>
  <sheetFormatPr defaultColWidth="13.5" defaultRowHeight="15.75" customHeight="1"/>
  <cols>
    <col min="1" max="1" width="7.5" style="91" customWidth="1"/>
    <col min="2" max="2" width="44.1640625" style="91" bestFit="1" customWidth="1"/>
    <col min="3" max="3" width="2.33203125" style="91" customWidth="1"/>
    <col min="4" max="4" width="14" style="98" bestFit="1" customWidth="1"/>
    <col min="5" max="5" width="2.33203125" style="91" customWidth="1"/>
    <col min="6" max="6" width="15.6640625" style="91" customWidth="1"/>
    <col min="7" max="7" width="2.33203125" style="91" customWidth="1"/>
    <col min="8" max="8" width="7" style="91" customWidth="1"/>
    <col min="9" max="9" width="24.5" style="91" bestFit="1" customWidth="1"/>
    <col min="10" max="10" width="24.6640625" style="91" bestFit="1" customWidth="1"/>
    <col min="11" max="16384" width="13.5" style="91"/>
  </cols>
  <sheetData>
    <row r="1" spans="1:13" ht="15.75" customHeight="1">
      <c r="C1" s="95"/>
      <c r="D1" s="180"/>
      <c r="E1" s="661"/>
      <c r="F1" s="30"/>
      <c r="G1" s="92"/>
      <c r="H1" s="124"/>
      <c r="I1" s="124"/>
      <c r="J1" s="124"/>
      <c r="K1" s="125"/>
      <c r="M1" s="6"/>
    </row>
    <row r="2" spans="1:13" ht="15.75" customHeight="1">
      <c r="A2" s="96"/>
      <c r="C2" s="95"/>
      <c r="D2" s="60"/>
      <c r="E2" s="92"/>
      <c r="F2" s="92"/>
      <c r="G2" s="92"/>
      <c r="H2" s="124"/>
      <c r="I2" s="243" t="s">
        <v>190</v>
      </c>
      <c r="J2" s="124"/>
      <c r="K2" s="125"/>
      <c r="M2" s="6"/>
    </row>
    <row r="3" spans="1:13" ht="15.75" customHeight="1">
      <c r="G3" s="92"/>
      <c r="H3" s="124"/>
      <c r="I3" s="124"/>
      <c r="J3" s="124"/>
      <c r="K3" s="125"/>
      <c r="M3" s="6"/>
    </row>
    <row r="4" spans="1:13" ht="15.75" customHeight="1">
      <c r="H4" s="241"/>
      <c r="I4" s="241"/>
      <c r="J4" s="241"/>
      <c r="K4" s="125"/>
      <c r="M4" s="6"/>
    </row>
    <row r="5" spans="1:13" ht="15.75" customHeight="1">
      <c r="G5" s="101"/>
      <c r="H5" s="241"/>
      <c r="I5" s="241"/>
      <c r="J5" s="241"/>
      <c r="K5" s="125"/>
      <c r="M5" s="6"/>
    </row>
    <row r="6" spans="1:13" ht="15.75" customHeight="1">
      <c r="G6" s="99"/>
      <c r="H6" s="241"/>
      <c r="I6" s="241"/>
      <c r="J6" s="241"/>
      <c r="K6" s="125"/>
    </row>
    <row r="7" spans="1:13" ht="15.75" customHeight="1">
      <c r="G7" s="105"/>
      <c r="H7" s="131"/>
      <c r="I7" s="131"/>
      <c r="J7" s="131"/>
      <c r="K7" s="125"/>
    </row>
    <row r="8" spans="1:13" ht="15.75" customHeight="1">
      <c r="A8" s="97" t="s">
        <v>11</v>
      </c>
      <c r="B8" s="92"/>
      <c r="C8" s="92"/>
      <c r="D8" s="93"/>
      <c r="E8" s="92"/>
      <c r="F8" s="92"/>
      <c r="G8" s="106"/>
      <c r="H8" s="131"/>
      <c r="I8" s="758" t="s">
        <v>23</v>
      </c>
      <c r="J8" s="758"/>
      <c r="K8" s="125"/>
    </row>
    <row r="9" spans="1:13" ht="15.75" customHeight="1">
      <c r="A9" s="240" t="s">
        <v>18</v>
      </c>
      <c r="F9" s="98"/>
      <c r="G9" s="108"/>
      <c r="H9" s="131"/>
      <c r="I9" s="251" t="s">
        <v>191</v>
      </c>
      <c r="J9" s="252" t="s">
        <v>192</v>
      </c>
      <c r="K9" s="125"/>
    </row>
    <row r="10" spans="1:13" ht="15.75" customHeight="1">
      <c r="A10" s="100">
        <v>1</v>
      </c>
      <c r="B10" s="757" t="s">
        <v>138</v>
      </c>
      <c r="C10" s="757"/>
      <c r="D10" s="757"/>
      <c r="E10" s="757"/>
      <c r="F10" s="757"/>
      <c r="G10" s="108"/>
      <c r="H10" s="131"/>
      <c r="I10" s="187"/>
      <c r="J10" s="244"/>
      <c r="K10" s="125"/>
    </row>
    <row r="11" spans="1:13" ht="15.75" customHeight="1">
      <c r="A11" s="100">
        <v>2</v>
      </c>
      <c r="B11" s="102"/>
      <c r="C11" s="102"/>
      <c r="D11" s="103"/>
      <c r="E11" s="104"/>
      <c r="F11" s="673"/>
      <c r="G11" s="108"/>
      <c r="H11" s="131"/>
      <c r="I11" s="187" t="s">
        <v>366</v>
      </c>
      <c r="J11" s="244"/>
      <c r="K11" s="125"/>
    </row>
    <row r="12" spans="1:13" ht="15.75" customHeight="1">
      <c r="A12" s="100">
        <v>3</v>
      </c>
      <c r="B12" s="102"/>
      <c r="C12" s="102"/>
      <c r="D12" s="103"/>
      <c r="F12" s="105" t="s">
        <v>139</v>
      </c>
      <c r="G12" s="111"/>
      <c r="H12" s="131"/>
      <c r="I12" s="187" t="s">
        <v>194</v>
      </c>
      <c r="J12" s="244"/>
      <c r="K12" s="125"/>
    </row>
    <row r="13" spans="1:13" ht="15.75" customHeight="1">
      <c r="A13" s="100">
        <v>4</v>
      </c>
      <c r="B13" s="682"/>
      <c r="C13" s="102"/>
      <c r="D13" s="103"/>
      <c r="F13" s="33" t="s">
        <v>15</v>
      </c>
      <c r="G13" s="113"/>
      <c r="H13" s="131"/>
      <c r="I13" s="187" t="s">
        <v>193</v>
      </c>
      <c r="J13" s="244"/>
      <c r="K13" s="125"/>
    </row>
    <row r="14" spans="1:13" ht="15.75" customHeight="1">
      <c r="A14" s="100">
        <v>5</v>
      </c>
      <c r="B14" s="102"/>
      <c r="C14" s="102"/>
      <c r="D14" s="103"/>
      <c r="F14" s="107" t="s">
        <v>10</v>
      </c>
      <c r="G14" s="114"/>
      <c r="H14" s="131"/>
      <c r="I14" s="187"/>
      <c r="J14" s="244"/>
      <c r="K14" s="125"/>
    </row>
    <row r="15" spans="1:13" ht="15.75" customHeight="1">
      <c r="A15" s="100">
        <v>6</v>
      </c>
      <c r="B15" s="109"/>
      <c r="C15" s="109"/>
      <c r="D15" s="103"/>
      <c r="F15" s="109"/>
      <c r="G15" s="108"/>
      <c r="H15" s="131"/>
      <c r="I15" s="187" t="s">
        <v>367</v>
      </c>
      <c r="J15" s="244"/>
      <c r="K15" s="125"/>
    </row>
    <row r="16" spans="1:13" ht="15.75" customHeight="1">
      <c r="A16" s="100">
        <v>7</v>
      </c>
      <c r="B16" s="110" t="s">
        <v>198</v>
      </c>
      <c r="C16" s="110"/>
      <c r="D16" s="103"/>
      <c r="F16" s="121">
        <f>+' Sch1.1 RoO'!G79</f>
        <v>189089</v>
      </c>
      <c r="H16" s="131"/>
      <c r="I16" s="242"/>
      <c r="J16" s="244"/>
      <c r="K16" s="125"/>
    </row>
    <row r="17" spans="1:11" ht="15.75" customHeight="1">
      <c r="A17" s="100">
        <v>8</v>
      </c>
      <c r="B17" s="110" t="s">
        <v>140</v>
      </c>
      <c r="C17" s="110"/>
      <c r="D17" s="103"/>
      <c r="F17" s="122">
        <f>+' Sch 4 CC'!I19</f>
        <v>7.22E-2</v>
      </c>
      <c r="G17" s="115"/>
      <c r="H17" s="131"/>
      <c r="I17" s="187" t="s">
        <v>193</v>
      </c>
      <c r="J17" s="244"/>
      <c r="K17" s="125"/>
    </row>
    <row r="18" spans="1:11" ht="15.75" customHeight="1">
      <c r="A18" s="100">
        <v>9</v>
      </c>
      <c r="B18" s="110" t="s">
        <v>141</v>
      </c>
      <c r="C18" s="110"/>
      <c r="D18" s="103" t="s">
        <v>171</v>
      </c>
      <c r="F18" s="112">
        <f>ROUND(+F16*F17,0)</f>
        <v>13652</v>
      </c>
      <c r="G18" s="114"/>
      <c r="H18" s="131"/>
      <c r="I18" s="187"/>
      <c r="J18" s="244"/>
      <c r="K18" s="125"/>
    </row>
    <row r="19" spans="1:11" ht="15.75" customHeight="1">
      <c r="A19" s="100">
        <v>10</v>
      </c>
      <c r="B19" s="110"/>
      <c r="C19" s="110"/>
      <c r="D19" s="103"/>
      <c r="F19" s="114"/>
      <c r="G19" s="116"/>
      <c r="H19" s="131"/>
      <c r="I19" s="187" t="s">
        <v>195</v>
      </c>
      <c r="J19" s="244"/>
      <c r="K19" s="125"/>
    </row>
    <row r="20" spans="1:11" ht="15.75" customHeight="1">
      <c r="A20" s="100">
        <v>11</v>
      </c>
      <c r="B20" s="110" t="s">
        <v>142</v>
      </c>
      <c r="C20" s="110"/>
      <c r="D20" s="103"/>
      <c r="F20" s="121">
        <f>+' Sch1.1 RoO'!G59</f>
        <v>12947</v>
      </c>
      <c r="H20" s="131"/>
      <c r="I20" s="242"/>
      <c r="J20" s="244"/>
      <c r="K20" s="125"/>
    </row>
    <row r="21" spans="1:11" ht="15.75" customHeight="1">
      <c r="A21" s="100">
        <v>12</v>
      </c>
      <c r="G21" s="118"/>
      <c r="H21" s="131"/>
      <c r="I21" s="187" t="s">
        <v>193</v>
      </c>
      <c r="J21" s="244" t="s">
        <v>197</v>
      </c>
      <c r="K21" s="125"/>
    </row>
    <row r="22" spans="1:11" ht="15.75" customHeight="1">
      <c r="A22" s="100">
        <v>13</v>
      </c>
      <c r="B22" s="110" t="s">
        <v>143</v>
      </c>
      <c r="C22" s="110"/>
      <c r="D22" s="103" t="s">
        <v>172</v>
      </c>
      <c r="F22" s="115">
        <f>+F18-F20</f>
        <v>705</v>
      </c>
      <c r="H22" s="131"/>
      <c r="I22" s="242"/>
      <c r="J22" s="244"/>
      <c r="K22" s="125"/>
    </row>
    <row r="23" spans="1:11" ht="15.75" customHeight="1">
      <c r="A23" s="100">
        <v>14</v>
      </c>
      <c r="B23" s="110"/>
      <c r="C23" s="110"/>
      <c r="D23" s="103"/>
      <c r="F23" s="114"/>
      <c r="G23" s="17"/>
      <c r="H23" s="131"/>
      <c r="I23" s="263" t="s">
        <v>196</v>
      </c>
      <c r="J23" s="245"/>
      <c r="K23" s="125"/>
    </row>
    <row r="24" spans="1:11" ht="15.75" customHeight="1">
      <c r="A24" s="100">
        <v>15</v>
      </c>
      <c r="B24" s="110" t="s">
        <v>144</v>
      </c>
      <c r="C24" s="110"/>
      <c r="D24" s="103"/>
      <c r="F24" s="123">
        <f>+' Sch 3 RCF '!F25</f>
        <v>0.62095100000000003</v>
      </c>
      <c r="G24" s="118"/>
      <c r="H24" s="131"/>
      <c r="I24" s="187" t="s">
        <v>193</v>
      </c>
      <c r="J24" s="244"/>
      <c r="K24" s="125"/>
    </row>
    <row r="25" spans="1:11" ht="15.75" customHeight="1">
      <c r="A25" s="100">
        <v>16</v>
      </c>
      <c r="H25" s="131"/>
      <c r="I25" s="242"/>
      <c r="J25" s="244"/>
      <c r="K25" s="125"/>
    </row>
    <row r="26" spans="1:11" ht="15.75" customHeight="1">
      <c r="A26" s="100">
        <v>17</v>
      </c>
      <c r="B26" s="110" t="s">
        <v>145</v>
      </c>
      <c r="C26" s="110"/>
      <c r="D26" s="103" t="s">
        <v>173</v>
      </c>
      <c r="F26" s="117">
        <f>+F22/F24</f>
        <v>1135.3552856827671</v>
      </c>
      <c r="H26" s="242"/>
      <c r="I26" s="242"/>
      <c r="J26" s="244"/>
      <c r="K26" s="125"/>
    </row>
    <row r="27" spans="1:11" ht="15.75" customHeight="1">
      <c r="A27" s="100">
        <v>18</v>
      </c>
      <c r="H27" s="125"/>
      <c r="I27" s="125"/>
      <c r="J27" s="125"/>
      <c r="K27" s="125"/>
    </row>
    <row r="28" spans="1:11" ht="15.75" customHeight="1">
      <c r="A28" s="100">
        <v>19</v>
      </c>
      <c r="B28" s="110" t="s">
        <v>146</v>
      </c>
      <c r="C28" s="110"/>
      <c r="D28" s="103"/>
      <c r="F28" s="17">
        <v>10088</v>
      </c>
      <c r="H28" s="125"/>
      <c r="I28" s="125"/>
      <c r="J28" s="125"/>
      <c r="K28" s="125"/>
    </row>
    <row r="29" spans="1:11" ht="15.75" customHeight="1" thickBot="1">
      <c r="A29" s="100">
        <v>20</v>
      </c>
      <c r="B29" s="110" t="s">
        <v>108</v>
      </c>
      <c r="C29" s="110"/>
      <c r="D29" s="103" t="s">
        <v>174</v>
      </c>
      <c r="F29" s="119">
        <f>+F26-F28</f>
        <v>-8952.6447143172336</v>
      </c>
      <c r="H29" s="125"/>
      <c r="I29" s="125"/>
      <c r="J29" s="125"/>
      <c r="K29" s="125"/>
    </row>
    <row r="30" spans="1:11" ht="15.75" customHeight="1" thickTop="1">
      <c r="A30" s="100">
        <v>21</v>
      </c>
      <c r="H30" s="125"/>
      <c r="I30" s="125"/>
      <c r="J30" s="125"/>
      <c r="K30" s="125"/>
    </row>
    <row r="31" spans="1:11" ht="15.75" customHeight="1">
      <c r="A31" s="100">
        <v>22</v>
      </c>
      <c r="H31" s="125"/>
      <c r="I31" s="125"/>
      <c r="J31" s="125"/>
      <c r="K31" s="125"/>
    </row>
    <row r="32" spans="1:11" ht="15.75" customHeight="1">
      <c r="A32" s="100">
        <v>23</v>
      </c>
      <c r="H32" s="125"/>
      <c r="I32" s="125"/>
      <c r="J32" s="125"/>
      <c r="K32" s="125"/>
    </row>
    <row r="33" spans="1:11" ht="15.75" customHeight="1">
      <c r="A33" s="100">
        <v>24</v>
      </c>
      <c r="H33" s="125"/>
      <c r="I33" s="125"/>
      <c r="J33" s="125"/>
      <c r="K33" s="125"/>
    </row>
    <row r="34" spans="1:11" ht="15.75" customHeight="1">
      <c r="A34" s="100">
        <v>25</v>
      </c>
      <c r="H34" s="125"/>
      <c r="I34" s="125"/>
      <c r="J34" s="125"/>
      <c r="K34" s="125"/>
    </row>
    <row r="35" spans="1:11" ht="15.75" customHeight="1">
      <c r="A35" s="100">
        <v>26</v>
      </c>
    </row>
    <row r="36" spans="1:11" ht="15.75" customHeight="1">
      <c r="A36" s="100">
        <v>27</v>
      </c>
    </row>
    <row r="37" spans="1:11" ht="15.75" customHeight="1">
      <c r="A37" s="100">
        <v>28</v>
      </c>
    </row>
    <row r="64" spans="2:10" ht="15.75" customHeight="1">
      <c r="B64" s="743"/>
      <c r="C64" s="743"/>
      <c r="D64" s="744"/>
      <c r="E64" s="743"/>
      <c r="F64" s="743"/>
      <c r="G64" s="743"/>
      <c r="H64" s="743"/>
      <c r="I64" s="743"/>
      <c r="J64" s="743"/>
    </row>
    <row r="65" spans="2:10" ht="15.75" customHeight="1">
      <c r="B65" s="749"/>
      <c r="C65" s="750"/>
      <c r="D65" s="750"/>
      <c r="E65" s="750"/>
      <c r="F65" s="743"/>
      <c r="G65" s="743"/>
      <c r="H65" s="743"/>
      <c r="I65" s="743"/>
      <c r="J65" s="743"/>
    </row>
  </sheetData>
  <mergeCells count="3">
    <mergeCell ref="B10:F10"/>
    <mergeCell ref="I8:J8"/>
    <mergeCell ref="B65:E65"/>
  </mergeCells>
  <printOptions horizontalCentered="1"/>
  <pageMargins left="0" right="0" top="0.75" bottom="0.3" header="0.3" footer="0.3"/>
  <pageSetup orientation="portrait" r:id="rId1"/>
  <headerFooter scaleWithDoc="0" alignWithMargins="0">
    <oddHeader>&amp;L&amp;"Arial,Regular"&amp;10Avista Corporation
&amp;"Arial,Bold"Natural Gas - Results of Operations (Schedule 2.0)&amp;"Arial,Regular"
Twelve Months Ended December 31, 2011&amp;R&amp;"Arial,Regular"&amp;10Exhibit No. ___ (EJK-2)
Dockets UE-120436 &amp;&amp; UG-120437
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65"/>
  <sheetViews>
    <sheetView topLeftCell="A46" zoomScaleNormal="100" workbookViewId="0">
      <selection activeCell="D59" sqref="D59"/>
    </sheetView>
  </sheetViews>
  <sheetFormatPr defaultColWidth="13.5" defaultRowHeight="15.75" customHeight="1"/>
  <cols>
    <col min="1" max="1" width="5.5" style="155" customWidth="1"/>
    <col min="2" max="2" width="37.1640625" style="91" bestFit="1" customWidth="1"/>
    <col min="3" max="3" width="2.33203125" style="91" customWidth="1"/>
    <col min="4" max="4" width="27.33203125" style="91" bestFit="1" customWidth="1"/>
    <col min="5" max="5" width="2.33203125" style="91" customWidth="1"/>
    <col min="6" max="6" width="15.6640625" style="91" customWidth="1"/>
    <col min="7" max="7" width="11.5" style="91" customWidth="1"/>
    <col min="8" max="8" width="9.33203125" style="91" customWidth="1"/>
    <col min="9" max="9" width="36.5" style="91" bestFit="1" customWidth="1"/>
    <col min="10" max="10" width="16" style="91" bestFit="1" customWidth="1"/>
    <col min="11" max="11" width="9.33203125" style="91" customWidth="1"/>
    <col min="12" max="12" width="17.33203125" style="91" customWidth="1"/>
    <col min="13" max="16384" width="13.5" style="91"/>
  </cols>
  <sheetData>
    <row r="1" spans="1:12" ht="15.75" customHeight="1">
      <c r="C1" s="92"/>
      <c r="D1" s="92"/>
      <c r="E1" s="658"/>
      <c r="F1" s="98"/>
      <c r="G1" s="92"/>
      <c r="H1" s="124"/>
      <c r="I1" s="124"/>
      <c r="J1" s="124"/>
      <c r="K1" s="124"/>
      <c r="L1" s="125"/>
    </row>
    <row r="2" spans="1:12" ht="15.75" customHeight="1">
      <c r="A2" s="156"/>
      <c r="D2" s="92"/>
      <c r="E2" s="92"/>
      <c r="F2" s="92"/>
      <c r="G2" s="92"/>
      <c r="H2" s="124"/>
      <c r="I2" s="124"/>
      <c r="J2" s="124"/>
      <c r="K2" s="124"/>
      <c r="L2" s="125"/>
    </row>
    <row r="3" spans="1:12" ht="15.75" customHeight="1">
      <c r="H3" s="124"/>
      <c r="I3" s="124"/>
      <c r="J3" s="124"/>
      <c r="K3" s="124"/>
      <c r="L3" s="125"/>
    </row>
    <row r="4" spans="1:12" ht="15.75" customHeight="1">
      <c r="H4" s="128"/>
      <c r="I4" s="128"/>
      <c r="J4" s="128"/>
      <c r="K4" s="128"/>
      <c r="L4" s="125"/>
    </row>
    <row r="5" spans="1:12" ht="15.75" customHeight="1">
      <c r="G5" s="92"/>
      <c r="H5" s="129"/>
      <c r="I5" s="125"/>
      <c r="J5" s="125"/>
      <c r="K5" s="129"/>
      <c r="L5" s="125"/>
    </row>
    <row r="6" spans="1:12" ht="15.75" customHeight="1">
      <c r="G6" s="114"/>
      <c r="H6" s="131"/>
      <c r="I6" s="241"/>
      <c r="J6" s="241"/>
      <c r="K6" s="131"/>
      <c r="L6" s="132" t="s">
        <v>208</v>
      </c>
    </row>
    <row r="7" spans="1:12" ht="15.75" customHeight="1" thickBot="1">
      <c r="G7" s="114"/>
      <c r="H7" s="133"/>
      <c r="I7" s="760" t="s">
        <v>23</v>
      </c>
      <c r="J7" s="760"/>
      <c r="K7" s="133"/>
      <c r="L7" s="132" t="s">
        <v>43</v>
      </c>
    </row>
    <row r="8" spans="1:12" ht="15.75" customHeight="1">
      <c r="A8" s="157" t="s">
        <v>11</v>
      </c>
      <c r="G8" s="114"/>
      <c r="H8" s="135"/>
      <c r="I8" s="247" t="s">
        <v>191</v>
      </c>
      <c r="J8" s="248" t="s">
        <v>192</v>
      </c>
      <c r="K8" s="135"/>
      <c r="L8" s="136">
        <f>+' Sch1.1 RoO'!H11</f>
        <v>1135.3552856827671</v>
      </c>
    </row>
    <row r="9" spans="1:12" ht="15.75" customHeight="1">
      <c r="A9" s="246" t="s">
        <v>18</v>
      </c>
      <c r="B9" s="127"/>
      <c r="C9" s="127"/>
      <c r="F9" s="98"/>
      <c r="G9" s="114"/>
      <c r="H9" s="653"/>
      <c r="I9" s="653"/>
      <c r="J9" s="249"/>
      <c r="K9" s="139"/>
      <c r="L9" s="140"/>
    </row>
    <row r="10" spans="1:12" ht="15.75" customHeight="1">
      <c r="A10" s="158">
        <v>1</v>
      </c>
      <c r="B10" s="759" t="s">
        <v>179</v>
      </c>
      <c r="C10" s="759"/>
      <c r="D10" s="759"/>
      <c r="E10" s="759"/>
      <c r="F10" s="759"/>
      <c r="H10" s="142"/>
      <c r="I10" s="150" t="s">
        <v>209</v>
      </c>
      <c r="J10" s="249"/>
      <c r="K10" s="142"/>
      <c r="L10" s="140">
        <f>+$L$8*F17</f>
        <v>4.925171229291843</v>
      </c>
    </row>
    <row r="11" spans="1:12" ht="15.75" customHeight="1">
      <c r="A11" s="158">
        <v>2</v>
      </c>
      <c r="B11" s="130"/>
      <c r="C11" s="130"/>
      <c r="D11" s="114"/>
      <c r="E11" s="114"/>
      <c r="F11" s="672"/>
      <c r="H11" s="142"/>
      <c r="I11" s="150" t="s">
        <v>199</v>
      </c>
      <c r="J11" s="249"/>
      <c r="K11" s="142"/>
      <c r="L11" s="140">
        <f>+$L$8*F15</f>
        <v>2.2707105713655342</v>
      </c>
    </row>
    <row r="12" spans="1:12" ht="15.75" customHeight="1">
      <c r="A12" s="158">
        <v>3</v>
      </c>
      <c r="B12" s="130"/>
      <c r="C12" s="130"/>
      <c r="D12" s="114"/>
      <c r="E12" s="114"/>
      <c r="F12" s="114"/>
      <c r="H12" s="142"/>
      <c r="I12" s="150" t="s">
        <v>196</v>
      </c>
      <c r="J12" s="249"/>
      <c r="K12" s="142"/>
      <c r="L12" s="140">
        <f>+$L$8*F16</f>
        <v>43.544168008747867</v>
      </c>
    </row>
    <row r="13" spans="1:12" ht="15.75" customHeight="1">
      <c r="A13" s="158">
        <v>4</v>
      </c>
      <c r="B13" s="681" t="s">
        <v>148</v>
      </c>
      <c r="C13" s="127"/>
      <c r="D13" s="104"/>
      <c r="E13" s="104"/>
      <c r="F13" s="134">
        <v>1</v>
      </c>
      <c r="H13" s="142"/>
      <c r="I13" s="150"/>
      <c r="J13" s="249"/>
      <c r="K13" s="142"/>
      <c r="L13" s="145">
        <f>+$L$8*F18</f>
        <v>50.740049809405249</v>
      </c>
    </row>
    <row r="14" spans="1:12" ht="15.75" customHeight="1">
      <c r="A14" s="158">
        <v>5</v>
      </c>
      <c r="H14" s="142"/>
      <c r="I14" s="150"/>
      <c r="J14" s="249"/>
      <c r="K14" s="142"/>
      <c r="L14" s="145"/>
    </row>
    <row r="15" spans="1:12" ht="15.75" customHeight="1">
      <c r="A15" s="158">
        <v>6</v>
      </c>
      <c r="B15" s="127" t="s">
        <v>149</v>
      </c>
      <c r="C15" s="127"/>
      <c r="D15" s="141"/>
      <c r="E15" s="141"/>
      <c r="F15" s="134">
        <v>2E-3</v>
      </c>
      <c r="H15" s="142"/>
      <c r="I15" s="150"/>
      <c r="J15" s="249"/>
      <c r="K15" s="142"/>
      <c r="L15" s="145">
        <f>+L8-L13</f>
        <v>1084.6152358733618</v>
      </c>
    </row>
    <row r="16" spans="1:12" ht="15.75" customHeight="1">
      <c r="A16" s="158">
        <v>7</v>
      </c>
      <c r="B16" s="127" t="s">
        <v>150</v>
      </c>
      <c r="C16" s="127"/>
      <c r="D16" s="141" t="s">
        <v>207</v>
      </c>
      <c r="E16" s="141"/>
      <c r="F16" s="134">
        <f>0.03852-(F17*0.03852)</f>
        <v>3.8352900240000001E-2</v>
      </c>
      <c r="H16" s="142"/>
      <c r="I16" s="150"/>
      <c r="J16" s="249"/>
      <c r="K16" s="142"/>
      <c r="L16" s="140"/>
    </row>
    <row r="17" spans="1:12" ht="15.75" customHeight="1">
      <c r="A17" s="158">
        <v>8</v>
      </c>
      <c r="B17" s="127" t="s">
        <v>147</v>
      </c>
      <c r="C17" s="127"/>
      <c r="D17" s="141"/>
      <c r="E17" s="141"/>
      <c r="F17" s="134">
        <v>4.3379999999999998E-3</v>
      </c>
      <c r="H17" s="142"/>
      <c r="I17" s="150"/>
      <c r="J17" s="249"/>
      <c r="K17" s="142"/>
      <c r="L17" s="146"/>
    </row>
    <row r="18" spans="1:12" ht="15.75" customHeight="1">
      <c r="A18" s="158">
        <v>9</v>
      </c>
      <c r="B18" s="143" t="s">
        <v>151</v>
      </c>
      <c r="C18" s="143"/>
      <c r="D18" s="141" t="s">
        <v>152</v>
      </c>
      <c r="E18" s="141"/>
      <c r="F18" s="144">
        <f>SUM(F15:F17)</f>
        <v>4.4690900240000005E-2</v>
      </c>
      <c r="H18" s="142"/>
      <c r="I18" s="150"/>
      <c r="J18" s="249"/>
      <c r="K18" s="142"/>
      <c r="L18" s="145">
        <f>+L15*0.35</f>
        <v>379.61533255567662</v>
      </c>
    </row>
    <row r="19" spans="1:12" ht="15.75" customHeight="1">
      <c r="A19" s="158">
        <v>10</v>
      </c>
      <c r="B19" s="143"/>
      <c r="C19" s="143"/>
      <c r="D19" s="141"/>
      <c r="E19" s="141"/>
      <c r="F19" s="134"/>
      <c r="H19" s="142"/>
      <c r="I19" s="150"/>
      <c r="J19" s="249"/>
      <c r="K19" s="142"/>
      <c r="L19" s="148"/>
    </row>
    <row r="20" spans="1:12" ht="15.75" customHeight="1" thickBot="1">
      <c r="A20" s="158">
        <v>11</v>
      </c>
      <c r="B20" s="127" t="s">
        <v>153</v>
      </c>
      <c r="C20" s="127"/>
      <c r="D20" s="141" t="s">
        <v>154</v>
      </c>
      <c r="E20" s="141"/>
      <c r="F20" s="134">
        <f>+F13-F18</f>
        <v>0.95530909976</v>
      </c>
      <c r="H20" s="142"/>
      <c r="I20" s="150"/>
      <c r="J20" s="249" t="s">
        <v>200</v>
      </c>
      <c r="K20" s="142"/>
      <c r="L20" s="149">
        <f>+L15-L18</f>
        <v>704.99990331768527</v>
      </c>
    </row>
    <row r="21" spans="1:12" ht="15.75" customHeight="1" thickTop="1">
      <c r="A21" s="158">
        <v>12</v>
      </c>
      <c r="B21" s="127"/>
      <c r="C21" s="127"/>
      <c r="D21" s="98"/>
      <c r="E21" s="98"/>
      <c r="F21" s="138"/>
      <c r="H21" s="142"/>
      <c r="I21" s="150"/>
      <c r="J21" s="150"/>
      <c r="K21" s="142"/>
      <c r="L21" s="150"/>
    </row>
    <row r="22" spans="1:12" ht="15.75" customHeight="1">
      <c r="A22" s="158">
        <v>13</v>
      </c>
      <c r="B22" s="127" t="s">
        <v>155</v>
      </c>
      <c r="C22" s="127"/>
      <c r="D22" s="141" t="s">
        <v>169</v>
      </c>
      <c r="E22" s="141"/>
      <c r="F22" s="134">
        <f>+F20*0.35</f>
        <v>0.334358184916</v>
      </c>
      <c r="H22" s="142"/>
      <c r="I22" s="150"/>
      <c r="J22" s="150"/>
      <c r="K22" s="142"/>
      <c r="L22" s="150"/>
    </row>
    <row r="23" spans="1:12" ht="15.75" customHeight="1" thickBot="1">
      <c r="A23" s="158">
        <v>14</v>
      </c>
      <c r="B23" s="127" t="s">
        <v>156</v>
      </c>
      <c r="C23" s="127"/>
      <c r="D23" s="141" t="s">
        <v>157</v>
      </c>
      <c r="E23" s="141"/>
      <c r="F23" s="147">
        <f>+F18+F22</f>
        <v>0.379049085156</v>
      </c>
      <c r="G23" s="151"/>
      <c r="H23" s="152"/>
      <c r="I23" s="250"/>
      <c r="J23" s="250"/>
      <c r="K23" s="152"/>
      <c r="L23" s="125"/>
    </row>
    <row r="24" spans="1:12" ht="15.75" customHeight="1" thickTop="1">
      <c r="A24" s="158">
        <v>15</v>
      </c>
      <c r="B24" s="137"/>
      <c r="C24" s="137"/>
      <c r="D24" s="141"/>
      <c r="E24" s="141"/>
      <c r="F24" s="138"/>
      <c r="G24" s="92"/>
      <c r="H24" s="129"/>
      <c r="I24" s="125"/>
      <c r="J24" s="125"/>
      <c r="K24" s="129"/>
      <c r="L24" s="125"/>
    </row>
    <row r="25" spans="1:12" ht="15.75" customHeight="1">
      <c r="A25" s="158">
        <v>16</v>
      </c>
      <c r="B25" s="143" t="s">
        <v>144</v>
      </c>
      <c r="C25" s="143"/>
      <c r="D25" s="141" t="s">
        <v>170</v>
      </c>
      <c r="E25" s="141"/>
      <c r="F25" s="144">
        <f>ROUND(1-(+F23/F13),6)</f>
        <v>0.62095100000000003</v>
      </c>
      <c r="H25" s="129"/>
      <c r="I25" s="125"/>
      <c r="J25" s="125"/>
      <c r="K25" s="129"/>
      <c r="L25" s="125"/>
    </row>
    <row r="26" spans="1:12" ht="15.75" customHeight="1">
      <c r="A26" s="158">
        <v>17</v>
      </c>
      <c r="H26" s="129"/>
      <c r="I26" s="125"/>
      <c r="J26" s="125"/>
      <c r="K26" s="129"/>
      <c r="L26" s="125"/>
    </row>
    <row r="27" spans="1:12" ht="15.75" customHeight="1">
      <c r="A27" s="158">
        <v>18</v>
      </c>
      <c r="H27" s="129"/>
      <c r="I27" s="125"/>
      <c r="J27" s="125"/>
      <c r="K27" s="129"/>
      <c r="L27" s="125"/>
    </row>
    <row r="28" spans="1:12" ht="15.75" customHeight="1">
      <c r="A28" s="158">
        <v>19</v>
      </c>
      <c r="B28" s="137"/>
      <c r="C28" s="137"/>
      <c r="D28" s="99"/>
      <c r="E28" s="99"/>
      <c r="F28" s="137"/>
      <c r="H28" s="129"/>
      <c r="I28" s="125"/>
      <c r="J28" s="125"/>
      <c r="K28" s="129"/>
      <c r="L28" s="125"/>
    </row>
    <row r="29" spans="1:12" ht="15.75" customHeight="1">
      <c r="A29" s="158">
        <v>20</v>
      </c>
      <c r="D29" s="92"/>
      <c r="E29" s="92"/>
      <c r="F29" s="153"/>
      <c r="H29" s="125"/>
      <c r="I29" s="125"/>
      <c r="J29" s="125"/>
      <c r="K29" s="125"/>
      <c r="L29" s="125"/>
    </row>
    <row r="30" spans="1:12" ht="15.75" customHeight="1">
      <c r="A30" s="158">
        <v>21</v>
      </c>
      <c r="F30" s="154"/>
      <c r="H30" s="125"/>
      <c r="I30" s="125"/>
      <c r="J30" s="125"/>
      <c r="K30" s="125"/>
      <c r="L30" s="125"/>
    </row>
    <row r="31" spans="1:12" ht="15.75" customHeight="1">
      <c r="A31" s="159"/>
      <c r="H31" s="125"/>
      <c r="I31" s="125"/>
      <c r="J31" s="125"/>
      <c r="K31" s="125"/>
      <c r="L31" s="125"/>
    </row>
    <row r="32" spans="1:12" ht="15.75" customHeight="1">
      <c r="A32" s="159"/>
      <c r="H32" s="125"/>
      <c r="I32" s="125"/>
      <c r="J32" s="125"/>
      <c r="K32" s="125"/>
      <c r="L32" s="125"/>
    </row>
    <row r="33" spans="1:12" ht="15.75" customHeight="1">
      <c r="A33" s="159"/>
      <c r="H33" s="125"/>
      <c r="I33" s="125"/>
      <c r="J33" s="125"/>
      <c r="K33" s="125"/>
      <c r="L33" s="125"/>
    </row>
    <row r="34" spans="1:12" ht="15.75" customHeight="1">
      <c r="A34" s="159"/>
      <c r="H34" s="125"/>
      <c r="I34" s="125"/>
      <c r="J34" s="125"/>
      <c r="K34" s="125"/>
      <c r="L34" s="125"/>
    </row>
    <row r="35" spans="1:12" ht="15.75" customHeight="1">
      <c r="A35" s="159"/>
      <c r="H35" s="125"/>
      <c r="I35" s="125"/>
      <c r="J35" s="125"/>
      <c r="K35" s="125"/>
      <c r="L35" s="125"/>
    </row>
    <row r="36" spans="1:12" ht="15.75" customHeight="1">
      <c r="A36" s="159"/>
      <c r="H36" s="125"/>
      <c r="I36" s="125"/>
      <c r="J36" s="125"/>
      <c r="K36" s="125"/>
      <c r="L36" s="125"/>
    </row>
    <row r="65" spans="2:9" ht="15.75" customHeight="1">
      <c r="B65" s="749"/>
      <c r="C65" s="750"/>
      <c r="D65" s="750"/>
      <c r="E65" s="750"/>
      <c r="F65" s="743"/>
      <c r="G65" s="743"/>
      <c r="H65" s="743"/>
      <c r="I65" s="743"/>
    </row>
  </sheetData>
  <mergeCells count="3">
    <mergeCell ref="B10:F10"/>
    <mergeCell ref="I7:J7"/>
    <mergeCell ref="B65:E65"/>
  </mergeCells>
  <printOptions horizontalCentered="1"/>
  <pageMargins left="0" right="0" top="0.75" bottom="0.3" header="0.3" footer="0.3"/>
  <pageSetup orientation="portrait" r:id="rId1"/>
  <headerFooter scaleWithDoc="0" alignWithMargins="0">
    <oddHeader>&amp;L&amp;"Arial,Regular"&amp;10Avista Corporation
&amp;"Arial,Bold"Natural Gas - Results of Operations (Schedule 3.0)&amp;"Arial,Regular"
Twelve Months Ended December 31, 2011&amp;R&amp;"Arial,Regular"&amp;10Exhibit No. ___ (EJK-2)
Dockets UE-120436 &amp;&amp; UG-120437
Page &amp;P of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N65"/>
  <sheetViews>
    <sheetView zoomScaleNormal="100" workbookViewId="0">
      <selection activeCell="D59" sqref="D59"/>
    </sheetView>
  </sheetViews>
  <sheetFormatPr defaultColWidth="10.33203125" defaultRowHeight="15.75" customHeight="1"/>
  <cols>
    <col min="1" max="1" width="6.5" style="59" bestFit="1" customWidth="1"/>
    <col min="2" max="2" width="9.6640625" style="59" customWidth="1"/>
    <col min="3" max="3" width="19.5" style="160" bestFit="1" customWidth="1"/>
    <col min="4" max="4" width="2.33203125" style="160" customWidth="1"/>
    <col min="5" max="5" width="14.5" style="160" customWidth="1"/>
    <col min="6" max="6" width="15.6640625" style="160" customWidth="1"/>
    <col min="7" max="7" width="12" style="59" customWidth="1"/>
    <col min="8" max="8" width="2.33203125" style="59" customWidth="1"/>
    <col min="9" max="9" width="17.83203125" style="59" customWidth="1"/>
    <col min="10" max="10" width="14" style="59" customWidth="1"/>
    <col min="11" max="11" width="11" style="167" bestFit="1" customWidth="1"/>
    <col min="12" max="14" width="11" style="167" customWidth="1"/>
    <col min="15" max="15" width="11.1640625" style="59" customWidth="1"/>
    <col min="16" max="16384" width="10.33203125" style="59"/>
  </cols>
  <sheetData>
    <row r="1" spans="1:14" ht="15.75" customHeight="1">
      <c r="C1" s="5"/>
      <c r="E1" s="660"/>
      <c r="F1" s="60"/>
      <c r="K1" s="162"/>
      <c r="L1" s="162"/>
      <c r="M1" s="162"/>
      <c r="N1" s="162"/>
    </row>
    <row r="2" spans="1:14" ht="15.75" customHeight="1">
      <c r="C2" s="59"/>
      <c r="K2" s="162"/>
      <c r="L2" s="162"/>
      <c r="M2" s="162"/>
      <c r="N2" s="162"/>
    </row>
    <row r="3" spans="1:14" ht="15.75" customHeight="1">
      <c r="K3" s="162"/>
      <c r="L3" s="162"/>
      <c r="M3" s="162"/>
      <c r="N3" s="162"/>
    </row>
    <row r="4" spans="1:14" ht="15.75" customHeight="1">
      <c r="K4" s="162"/>
      <c r="L4" s="162"/>
      <c r="M4" s="162"/>
      <c r="N4" s="162"/>
    </row>
    <row r="5" spans="1:14" ht="15.75" customHeight="1">
      <c r="K5" s="162"/>
      <c r="L5" s="162"/>
      <c r="M5" s="162"/>
      <c r="N5" s="162"/>
    </row>
    <row r="6" spans="1:14" ht="15.75" customHeight="1">
      <c r="K6" s="162"/>
      <c r="L6" s="162"/>
      <c r="M6" s="162"/>
      <c r="N6" s="162"/>
    </row>
    <row r="7" spans="1:14" ht="15.75" customHeight="1">
      <c r="A7" s="63" t="s">
        <v>11</v>
      </c>
      <c r="B7" s="759" t="s">
        <v>181</v>
      </c>
      <c r="C7" s="759"/>
      <c r="D7" s="759"/>
      <c r="E7" s="759"/>
      <c r="F7" s="759"/>
      <c r="G7" s="759"/>
      <c r="H7" s="759"/>
      <c r="I7" s="759"/>
      <c r="K7" s="162"/>
      <c r="L7" s="162"/>
      <c r="M7" s="162"/>
      <c r="N7" s="162"/>
    </row>
    <row r="8" spans="1:14" ht="15.75" customHeight="1">
      <c r="A8" s="65" t="s">
        <v>18</v>
      </c>
      <c r="B8" s="126"/>
      <c r="C8" s="59"/>
      <c r="D8" s="59"/>
      <c r="F8" s="667"/>
      <c r="J8" s="164"/>
      <c r="K8" s="162"/>
      <c r="L8" s="761" t="s">
        <v>23</v>
      </c>
      <c r="M8" s="761"/>
      <c r="N8" s="162"/>
    </row>
    <row r="9" spans="1:14" ht="15.75" customHeight="1">
      <c r="A9" s="165">
        <v>1</v>
      </c>
      <c r="J9" s="164"/>
      <c r="K9" s="162"/>
      <c r="L9" s="254" t="s">
        <v>191</v>
      </c>
      <c r="M9" s="255" t="s">
        <v>192</v>
      </c>
      <c r="N9" s="162"/>
    </row>
    <row r="10" spans="1:14" ht="15.75" customHeight="1">
      <c r="A10" s="165">
        <v>2</v>
      </c>
      <c r="B10" s="120"/>
      <c r="C10" s="166"/>
      <c r="D10" s="166"/>
      <c r="F10" s="671"/>
      <c r="G10" s="167"/>
      <c r="H10" s="167"/>
      <c r="I10" s="167"/>
      <c r="J10" s="168"/>
      <c r="K10" s="162"/>
      <c r="L10" s="162"/>
      <c r="M10" s="253"/>
      <c r="N10" s="162"/>
    </row>
    <row r="11" spans="1:14" ht="15.75" customHeight="1">
      <c r="A11" s="165">
        <v>3</v>
      </c>
      <c r="B11" s="120"/>
      <c r="C11" s="166"/>
      <c r="D11" s="166"/>
      <c r="G11" s="167"/>
      <c r="H11" s="167"/>
      <c r="I11" s="167"/>
      <c r="J11" s="168"/>
      <c r="K11" s="162"/>
      <c r="L11" s="162"/>
      <c r="M11" s="253"/>
      <c r="N11" s="162"/>
    </row>
    <row r="12" spans="1:14" ht="15.75" customHeight="1">
      <c r="A12" s="165">
        <v>4</v>
      </c>
      <c r="B12" s="120"/>
      <c r="C12" s="166"/>
      <c r="D12" s="166"/>
      <c r="G12" s="167"/>
      <c r="H12" s="167"/>
      <c r="I12" s="167"/>
      <c r="J12" s="168"/>
      <c r="K12" s="162"/>
      <c r="L12" s="162"/>
      <c r="M12" s="253"/>
      <c r="N12" s="162"/>
    </row>
    <row r="13" spans="1:14" ht="15.75" customHeight="1">
      <c r="A13" s="165">
        <v>5</v>
      </c>
      <c r="B13" s="170" t="s">
        <v>140</v>
      </c>
      <c r="C13" s="675"/>
      <c r="D13" s="76"/>
      <c r="H13" s="167"/>
      <c r="J13" s="164"/>
      <c r="K13" s="162"/>
      <c r="L13" s="162"/>
      <c r="M13" s="253"/>
      <c r="N13" s="162"/>
    </row>
    <row r="14" spans="1:14" ht="15.75" customHeight="1">
      <c r="A14" s="165">
        <v>6</v>
      </c>
      <c r="B14" s="120"/>
      <c r="C14" s="169"/>
      <c r="D14" s="169"/>
      <c r="E14" s="74" t="s">
        <v>124</v>
      </c>
      <c r="F14" s="74"/>
      <c r="H14" s="167"/>
      <c r="I14" s="74" t="s">
        <v>125</v>
      </c>
      <c r="J14" s="164"/>
      <c r="K14" s="162"/>
      <c r="L14" s="162"/>
      <c r="M14" s="253"/>
      <c r="N14" s="162"/>
    </row>
    <row r="15" spans="1:14" ht="15.75" customHeight="1">
      <c r="A15" s="165">
        <v>7</v>
      </c>
      <c r="B15" s="120"/>
      <c r="C15" s="58"/>
      <c r="D15" s="58"/>
      <c r="E15" s="75" t="s">
        <v>126</v>
      </c>
      <c r="F15" s="61"/>
      <c r="G15" s="75" t="s">
        <v>127</v>
      </c>
      <c r="H15" s="167"/>
      <c r="I15" s="75" t="s">
        <v>127</v>
      </c>
      <c r="J15" s="164"/>
      <c r="K15" s="162"/>
      <c r="L15" s="162"/>
      <c r="M15" s="253"/>
      <c r="N15" s="162"/>
    </row>
    <row r="16" spans="1:14" ht="15.75" customHeight="1">
      <c r="A16" s="165">
        <v>8</v>
      </c>
      <c r="B16" s="120"/>
      <c r="C16" s="170" t="s">
        <v>175</v>
      </c>
      <c r="D16" s="170"/>
      <c r="E16" s="77">
        <v>0.54</v>
      </c>
      <c r="F16" s="77"/>
      <c r="G16" s="90">
        <v>5.7000000000000002E-2</v>
      </c>
      <c r="H16" s="167"/>
      <c r="I16" s="171">
        <f>ROUND(+E16*G16,4)</f>
        <v>3.0800000000000001E-2</v>
      </c>
      <c r="J16" s="164"/>
      <c r="K16" s="162"/>
      <c r="L16" s="162"/>
      <c r="M16" s="253"/>
      <c r="N16" s="162"/>
    </row>
    <row r="17" spans="1:14" ht="15.75" customHeight="1">
      <c r="A17" s="165">
        <v>9</v>
      </c>
      <c r="B17" s="120"/>
      <c r="C17" s="170" t="s">
        <v>201</v>
      </c>
      <c r="D17" s="170"/>
      <c r="E17" s="78"/>
      <c r="F17" s="78"/>
      <c r="G17" s="90"/>
      <c r="H17" s="167"/>
      <c r="I17" s="171"/>
      <c r="J17" s="164"/>
      <c r="K17" s="162"/>
      <c r="L17" s="162"/>
      <c r="M17" s="162"/>
      <c r="N17" s="162"/>
    </row>
    <row r="18" spans="1:14" ht="15.75" customHeight="1">
      <c r="A18" s="165">
        <v>10</v>
      </c>
      <c r="B18" s="69"/>
      <c r="C18" s="170" t="s">
        <v>176</v>
      </c>
      <c r="D18" s="170"/>
      <c r="E18" s="90">
        <v>0.46</v>
      </c>
      <c r="F18" s="90"/>
      <c r="G18" s="90">
        <v>0.09</v>
      </c>
      <c r="H18" s="167"/>
      <c r="I18" s="171">
        <f>ROUND(+E18*G18,4)</f>
        <v>4.1399999999999999E-2</v>
      </c>
      <c r="J18" s="164"/>
      <c r="K18" s="162"/>
      <c r="L18" s="162"/>
      <c r="M18" s="162"/>
      <c r="N18" s="162"/>
    </row>
    <row r="19" spans="1:14" ht="15.75" customHeight="1" thickBot="1">
      <c r="A19" s="165">
        <v>11</v>
      </c>
      <c r="B19" s="69"/>
      <c r="C19" s="79" t="s">
        <v>9</v>
      </c>
      <c r="D19" s="79"/>
      <c r="E19" s="172">
        <v>1</v>
      </c>
      <c r="F19" s="80"/>
      <c r="H19" s="167"/>
      <c r="I19" s="173">
        <f>ROUND(SUM(I16:I18),4)</f>
        <v>7.22E-2</v>
      </c>
      <c r="J19" s="164"/>
      <c r="K19" s="162"/>
      <c r="L19" s="162"/>
      <c r="M19" s="162"/>
      <c r="N19" s="162"/>
    </row>
    <row r="20" spans="1:14" ht="15.75" customHeight="1" thickTop="1">
      <c r="A20" s="165">
        <v>12</v>
      </c>
      <c r="B20" s="69"/>
      <c r="J20" s="164"/>
      <c r="K20" s="162"/>
      <c r="L20" s="162"/>
      <c r="M20" s="162"/>
      <c r="N20" s="162"/>
    </row>
    <row r="21" spans="1:14" ht="15.75" customHeight="1">
      <c r="A21" s="165">
        <v>13</v>
      </c>
      <c r="B21" s="69"/>
      <c r="J21" s="164"/>
      <c r="K21" s="162"/>
      <c r="L21" s="162"/>
      <c r="M21" s="162"/>
      <c r="N21" s="162"/>
    </row>
    <row r="22" spans="1:14" ht="15.75" customHeight="1">
      <c r="A22" s="165">
        <v>14</v>
      </c>
      <c r="B22" s="69"/>
      <c r="E22" s="59"/>
      <c r="F22" s="59"/>
      <c r="H22" s="167"/>
      <c r="J22" s="164"/>
      <c r="K22" s="162"/>
      <c r="L22" s="162"/>
      <c r="M22" s="162"/>
      <c r="N22" s="162"/>
    </row>
    <row r="23" spans="1:14" ht="15.75" customHeight="1">
      <c r="A23" s="165">
        <v>15</v>
      </c>
      <c r="B23" s="69"/>
      <c r="E23" s="59"/>
      <c r="F23" s="59"/>
      <c r="H23" s="167"/>
      <c r="J23" s="164"/>
      <c r="K23" s="162"/>
      <c r="L23" s="162"/>
      <c r="M23" s="162"/>
      <c r="N23" s="162"/>
    </row>
    <row r="24" spans="1:14" ht="15.75" customHeight="1">
      <c r="A24" s="165">
        <v>16</v>
      </c>
      <c r="B24" s="69"/>
      <c r="E24" s="59"/>
      <c r="F24" s="59"/>
      <c r="H24" s="167"/>
      <c r="J24" s="164"/>
      <c r="K24" s="162"/>
      <c r="L24" s="162"/>
      <c r="M24" s="162"/>
      <c r="N24" s="162"/>
    </row>
    <row r="25" spans="1:14" ht="15.75" customHeight="1">
      <c r="A25" s="165">
        <v>17</v>
      </c>
      <c r="B25" s="69"/>
      <c r="E25" s="59"/>
      <c r="F25" s="59"/>
      <c r="H25" s="167"/>
      <c r="J25" s="164"/>
      <c r="K25" s="162"/>
      <c r="L25" s="162"/>
      <c r="M25" s="162"/>
      <c r="N25" s="162"/>
    </row>
    <row r="26" spans="1:14" ht="15.75" customHeight="1">
      <c r="A26" s="165">
        <v>18</v>
      </c>
      <c r="B26" s="69"/>
      <c r="C26" s="174"/>
      <c r="D26" s="174"/>
      <c r="E26" s="59"/>
      <c r="F26" s="59"/>
      <c r="H26" s="167"/>
      <c r="J26" s="164"/>
    </row>
    <row r="27" spans="1:14" ht="15.75" customHeight="1">
      <c r="A27" s="165">
        <v>19</v>
      </c>
      <c r="B27" s="69"/>
      <c r="E27" s="59"/>
      <c r="F27" s="59"/>
      <c r="H27" s="167"/>
      <c r="J27" s="164"/>
    </row>
    <row r="28" spans="1:14" ht="15.75" customHeight="1">
      <c r="A28" s="165">
        <v>20</v>
      </c>
      <c r="B28" s="69"/>
      <c r="E28" s="59"/>
      <c r="F28" s="59"/>
      <c r="H28" s="167"/>
      <c r="J28" s="164"/>
    </row>
    <row r="29" spans="1:14" ht="15.75" customHeight="1">
      <c r="A29" s="165">
        <v>21</v>
      </c>
      <c r="B29" s="69"/>
      <c r="E29" s="59"/>
      <c r="F29" s="59"/>
      <c r="H29" s="167"/>
      <c r="J29" s="164"/>
    </row>
    <row r="30" spans="1:14" ht="15.75" customHeight="1">
      <c r="A30" s="167"/>
      <c r="B30" s="167"/>
      <c r="C30" s="174"/>
      <c r="D30" s="174"/>
      <c r="E30" s="174"/>
      <c r="F30" s="174"/>
      <c r="G30" s="167"/>
      <c r="H30" s="167"/>
      <c r="I30" s="167"/>
      <c r="J30" s="167"/>
    </row>
    <row r="31" spans="1:14" ht="15.75" customHeight="1">
      <c r="A31" s="167"/>
      <c r="B31" s="167"/>
      <c r="C31" s="174"/>
      <c r="D31" s="174"/>
      <c r="E31" s="174"/>
      <c r="F31" s="174"/>
      <c r="G31" s="167"/>
      <c r="H31" s="167"/>
      <c r="I31" s="167"/>
      <c r="J31" s="167"/>
    </row>
    <row r="32" spans="1:14" ht="15.75" customHeight="1">
      <c r="B32" s="167"/>
    </row>
    <row r="33" spans="2:2" ht="15.75" customHeight="1">
      <c r="B33" s="167"/>
    </row>
    <row r="34" spans="2:2" ht="15.75" customHeight="1">
      <c r="B34" s="167"/>
    </row>
    <row r="35" spans="2:2" ht="15.75" customHeight="1">
      <c r="B35" s="167"/>
    </row>
    <row r="36" spans="2:2" ht="15.75" customHeight="1">
      <c r="B36" s="167"/>
    </row>
    <row r="37" spans="2:2" ht="15.75" customHeight="1">
      <c r="B37" s="167"/>
    </row>
    <row r="38" spans="2:2" ht="15.75" customHeight="1">
      <c r="B38" s="167"/>
    </row>
    <row r="65" spans="2:9" ht="15.75" customHeight="1">
      <c r="B65" s="749"/>
      <c r="C65" s="750"/>
      <c r="D65" s="750"/>
      <c r="E65" s="750"/>
      <c r="F65" s="174"/>
      <c r="G65" s="167"/>
      <c r="H65" s="167"/>
      <c r="I65" s="167"/>
    </row>
  </sheetData>
  <mergeCells count="3">
    <mergeCell ref="B7:I7"/>
    <mergeCell ref="L8:M8"/>
    <mergeCell ref="B65:E65"/>
  </mergeCells>
  <printOptions horizontalCentered="1"/>
  <pageMargins left="0" right="0" top="0.75" bottom="0.3" header="0.3" footer="0.3"/>
  <pageSetup scale="94" orientation="portrait" r:id="rId1"/>
  <headerFooter scaleWithDoc="0" alignWithMargins="0">
    <oddHeader>&amp;L&amp;"Arial,Regular"&amp;10Avista Corporation
&amp;"Arial,Bold"Natural Gas - Results of Operations (Schedule 4.0)&amp;"Arial,Regular"
Twelve Months Ended December 31, 2011&amp;R&amp;"Arial,Regular"&amp;10Exhibit No. ___ (EJK-2)
Dockets UE-120436 &amp;&amp; UG-120437
Page &amp;P of 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"/>
  <sheetViews>
    <sheetView zoomScaleNormal="100" workbookViewId="0">
      <selection activeCell="I35" sqref="I35"/>
    </sheetView>
  </sheetViews>
  <sheetFormatPr defaultRowHeight="12"/>
  <cols>
    <col min="1" max="16384" width="9.33203125" style="256"/>
  </cols>
  <sheetData/>
  <printOptions horizontalCentered="1"/>
  <pageMargins left="0.75" right="0.75" top="1.5" bottom="1" header="0.5" footer="0.5"/>
  <pageSetup orientation="portrait" r:id="rId1"/>
  <headerFooter scaleWithDoc="0" alignWithMargins="0">
    <oddHeader>&amp;L&amp;"Arial,Regular"&amp;10Avista Corporation
Twelve Months Ended December 31, 2009&amp;R&amp;"Arial,Regular"&amp;10Exhibit No. _____(AMCL-3)
Docket UE-100467  UG-100468
Page &amp;P of 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M35"/>
  <sheetViews>
    <sheetView zoomScaleNormal="100" workbookViewId="0">
      <selection activeCell="C35" sqref="C35"/>
    </sheetView>
  </sheetViews>
  <sheetFormatPr defaultRowHeight="15.75" customHeight="1"/>
  <cols>
    <col min="1" max="1" width="6" style="189" customWidth="1"/>
    <col min="2" max="2" width="3" style="59" customWidth="1"/>
    <col min="3" max="3" width="28.83203125" style="59" customWidth="1"/>
    <col min="4" max="4" width="2.33203125" style="59" customWidth="1"/>
    <col min="5" max="5" width="13.6640625" style="59" customWidth="1"/>
    <col min="6" max="6" width="2.33203125" style="59" customWidth="1"/>
    <col min="7" max="7" width="14.5" style="59" bestFit="1" customWidth="1"/>
    <col min="8" max="9" width="2.33203125" style="59" customWidth="1"/>
    <col min="10" max="10" width="48.5" style="167" bestFit="1" customWidth="1"/>
    <col min="11" max="11" width="13.83203125" style="167" customWidth="1"/>
    <col min="12" max="12" width="32.1640625" style="167" customWidth="1"/>
    <col min="13" max="16384" width="9.33203125" style="59"/>
  </cols>
  <sheetData>
    <row r="1" spans="1:13" ht="15.75" customHeight="1">
      <c r="C1" s="83" t="s">
        <v>107</v>
      </c>
      <c r="I1" s="162"/>
      <c r="J1" s="162"/>
      <c r="K1" s="162"/>
      <c r="L1" s="162"/>
      <c r="M1" s="162"/>
    </row>
    <row r="2" spans="1:13" ht="15.75" customHeight="1">
      <c r="C2" s="83"/>
      <c r="I2" s="162"/>
      <c r="J2" s="185" t="s">
        <v>202</v>
      </c>
      <c r="K2" s="162"/>
      <c r="L2" s="162"/>
      <c r="M2" s="162"/>
    </row>
    <row r="3" spans="1:13" ht="15.75" customHeight="1">
      <c r="C3" s="83"/>
      <c r="I3" s="162"/>
      <c r="J3" s="162"/>
      <c r="K3" s="162"/>
      <c r="L3" s="162"/>
      <c r="M3" s="162"/>
    </row>
    <row r="4" spans="1:13" ht="15.75" customHeight="1">
      <c r="A4" s="156" t="s">
        <v>11</v>
      </c>
      <c r="B4" s="94"/>
      <c r="I4" s="162"/>
      <c r="J4" s="162"/>
      <c r="K4" s="162"/>
      <c r="L4" s="162"/>
      <c r="M4" s="162"/>
    </row>
    <row r="5" spans="1:13" ht="15.75" customHeight="1">
      <c r="A5" s="261" t="s">
        <v>18</v>
      </c>
      <c r="B5" s="94"/>
      <c r="I5" s="162"/>
      <c r="J5" s="162"/>
      <c r="K5" s="162"/>
      <c r="L5" s="162"/>
      <c r="M5" s="162"/>
    </row>
    <row r="6" spans="1:13" ht="15.75" customHeight="1">
      <c r="A6" s="158">
        <v>1</v>
      </c>
      <c r="B6" s="762" t="s">
        <v>180</v>
      </c>
      <c r="C6" s="763"/>
      <c r="D6" s="763"/>
      <c r="E6" s="763"/>
      <c r="F6" s="763"/>
      <c r="G6" s="763"/>
      <c r="H6" s="763"/>
      <c r="I6" s="258"/>
      <c r="J6" s="162"/>
      <c r="K6" s="162"/>
      <c r="L6" s="162"/>
      <c r="M6" s="162"/>
    </row>
    <row r="7" spans="1:13" ht="15.75" customHeight="1">
      <c r="A7" s="158">
        <v>2</v>
      </c>
      <c r="B7" s="762" t="s">
        <v>358</v>
      </c>
      <c r="C7" s="763"/>
      <c r="D7" s="763"/>
      <c r="E7" s="763"/>
      <c r="F7" s="763"/>
      <c r="G7" s="763"/>
      <c r="H7" s="763"/>
      <c r="I7" s="258"/>
      <c r="J7" s="162"/>
      <c r="K7" s="162"/>
      <c r="L7" s="162"/>
      <c r="M7" s="162"/>
    </row>
    <row r="8" spans="1:13" ht="15.75" customHeight="1">
      <c r="A8" s="158">
        <v>3</v>
      </c>
      <c r="C8" s="163"/>
      <c r="D8" s="163"/>
      <c r="E8" s="163"/>
      <c r="F8" s="198"/>
      <c r="G8" s="163"/>
      <c r="H8" s="163"/>
      <c r="I8" s="259"/>
      <c r="J8" s="162"/>
      <c r="K8" s="162"/>
      <c r="L8" s="162"/>
      <c r="M8" s="162"/>
    </row>
    <row r="9" spans="1:13" ht="15.75" customHeight="1">
      <c r="A9" s="158">
        <v>4</v>
      </c>
      <c r="B9" s="63"/>
      <c r="H9" s="175"/>
      <c r="I9" s="162"/>
      <c r="J9" s="162"/>
      <c r="K9" s="162"/>
      <c r="L9" s="162"/>
      <c r="M9" s="162"/>
    </row>
    <row r="10" spans="1:13" ht="15.75" customHeight="1">
      <c r="A10" s="158">
        <v>5</v>
      </c>
      <c r="B10" s="126"/>
      <c r="C10" s="33"/>
      <c r="D10" s="33"/>
      <c r="E10" s="33"/>
      <c r="F10" s="33"/>
      <c r="G10" s="33"/>
      <c r="I10" s="162"/>
      <c r="J10" s="760" t="s">
        <v>23</v>
      </c>
      <c r="K10" s="760"/>
      <c r="L10" s="162"/>
      <c r="M10" s="162"/>
    </row>
    <row r="11" spans="1:13" ht="15.75" customHeight="1">
      <c r="A11" s="158">
        <v>6</v>
      </c>
      <c r="B11" s="120"/>
      <c r="C11" s="176"/>
      <c r="D11" s="176"/>
      <c r="E11" s="63"/>
      <c r="F11" s="63"/>
      <c r="H11" s="63"/>
      <c r="I11" s="162"/>
      <c r="J11" s="254" t="s">
        <v>191</v>
      </c>
      <c r="K11" s="255" t="s">
        <v>192</v>
      </c>
      <c r="L11" s="162"/>
      <c r="M11" s="162"/>
    </row>
    <row r="12" spans="1:13" ht="15.75" customHeight="1">
      <c r="A12" s="158">
        <v>7</v>
      </c>
      <c r="B12" s="120"/>
      <c r="C12" s="33" t="s">
        <v>158</v>
      </c>
      <c r="E12" s="33" t="s">
        <v>159</v>
      </c>
      <c r="F12" s="33"/>
      <c r="G12" s="33" t="s">
        <v>94</v>
      </c>
      <c r="I12" s="162"/>
      <c r="J12" s="162"/>
      <c r="K12" s="260"/>
      <c r="L12" s="162"/>
      <c r="M12" s="162"/>
    </row>
    <row r="13" spans="1:13" ht="15.75" customHeight="1">
      <c r="A13" s="158">
        <v>8</v>
      </c>
      <c r="B13" s="120"/>
      <c r="C13" s="33"/>
      <c r="E13" s="33"/>
      <c r="F13" s="33"/>
      <c r="I13" s="162"/>
      <c r="J13" s="186"/>
      <c r="K13" s="260"/>
      <c r="L13" s="162"/>
      <c r="M13" s="162"/>
    </row>
    <row r="14" spans="1:13" ht="15.75" customHeight="1">
      <c r="A14" s="158">
        <v>9</v>
      </c>
      <c r="B14" s="120"/>
      <c r="C14" s="180" t="s">
        <v>359</v>
      </c>
      <c r="E14" s="352">
        <f>' Sch1.1 RoO'!C79</f>
        <v>196579</v>
      </c>
      <c r="F14" s="183"/>
      <c r="I14" s="162"/>
      <c r="J14" s="187" t="s">
        <v>360</v>
      </c>
      <c r="K14" s="260"/>
      <c r="L14" s="162"/>
      <c r="M14" s="162"/>
    </row>
    <row r="15" spans="1:13" ht="15.75" customHeight="1">
      <c r="A15" s="158">
        <v>10</v>
      </c>
      <c r="B15" s="120"/>
      <c r="C15" s="180"/>
      <c r="I15" s="162"/>
      <c r="J15" s="186"/>
      <c r="K15" s="260"/>
      <c r="L15" s="162"/>
      <c r="M15" s="162"/>
    </row>
    <row r="16" spans="1:13" ht="15.75" customHeight="1">
      <c r="A16" s="158">
        <v>11</v>
      </c>
      <c r="B16" s="120"/>
      <c r="C16" s="180" t="s">
        <v>160</v>
      </c>
      <c r="E16" s="177">
        <f>' Sch 4 CC'!I17+' Sch 4 CC'!I16</f>
        <v>3.0800000000000001E-2</v>
      </c>
      <c r="F16" s="177"/>
      <c r="I16" s="162"/>
      <c r="J16" s="187" t="s">
        <v>203</v>
      </c>
      <c r="K16" s="260"/>
      <c r="L16" s="162"/>
      <c r="M16" s="162"/>
    </row>
    <row r="17" spans="1:13" ht="15.75" customHeight="1">
      <c r="A17" s="158">
        <v>12</v>
      </c>
      <c r="B17" s="120"/>
      <c r="C17" s="180"/>
      <c r="E17" s="178"/>
      <c r="F17" s="216"/>
      <c r="I17" s="162"/>
      <c r="J17" s="186"/>
      <c r="K17" s="260"/>
      <c r="L17" s="162"/>
      <c r="M17" s="162"/>
    </row>
    <row r="18" spans="1:13" ht="15.75" customHeight="1" thickBot="1">
      <c r="A18" s="158">
        <v>13</v>
      </c>
      <c r="B18" s="120"/>
      <c r="C18" s="180" t="s">
        <v>161</v>
      </c>
      <c r="E18" s="179">
        <f>ROUND(E16*E14,0)</f>
        <v>6055</v>
      </c>
      <c r="F18" s="216"/>
      <c r="G18" s="59">
        <f>+E18</f>
        <v>6055</v>
      </c>
      <c r="I18" s="162"/>
      <c r="J18" s="186" t="s">
        <v>204</v>
      </c>
      <c r="K18" s="260"/>
      <c r="L18" s="162"/>
      <c r="M18" s="162"/>
    </row>
    <row r="19" spans="1:13" ht="15.75" customHeight="1" thickTop="1">
      <c r="A19" s="158">
        <v>14</v>
      </c>
      <c r="B19" s="120"/>
      <c r="C19" s="161"/>
      <c r="I19" s="162"/>
      <c r="J19" s="186"/>
      <c r="K19" s="260"/>
      <c r="L19" s="162"/>
      <c r="M19" s="162"/>
    </row>
    <row r="20" spans="1:13" ht="15.75" customHeight="1">
      <c r="A20" s="158">
        <v>15</v>
      </c>
      <c r="B20" s="120"/>
      <c r="C20" s="180"/>
      <c r="D20" s="181"/>
      <c r="E20" s="181"/>
      <c r="F20" s="181"/>
      <c r="G20" s="178"/>
      <c r="I20" s="162"/>
      <c r="J20" s="186"/>
      <c r="K20" s="260"/>
      <c r="L20" s="162"/>
      <c r="M20" s="162"/>
    </row>
    <row r="21" spans="1:13" ht="15.75" customHeight="1">
      <c r="A21" s="158">
        <v>16</v>
      </c>
      <c r="B21" s="120"/>
      <c r="E21" s="161" t="s">
        <v>162</v>
      </c>
      <c r="F21" s="161"/>
      <c r="G21" s="59">
        <f>+G18+G20</f>
        <v>6055</v>
      </c>
      <c r="I21" s="162"/>
      <c r="J21" s="186" t="s">
        <v>193</v>
      </c>
      <c r="K21" s="260"/>
      <c r="L21" s="162"/>
      <c r="M21" s="162"/>
    </row>
    <row r="22" spans="1:13" ht="15.75" customHeight="1">
      <c r="A22" s="158">
        <v>17</v>
      </c>
      <c r="B22" s="120"/>
      <c r="I22" s="162"/>
      <c r="J22" s="186"/>
      <c r="K22" s="260"/>
      <c r="L22" s="162"/>
      <c r="M22" s="162"/>
    </row>
    <row r="23" spans="1:13" ht="15.75" customHeight="1">
      <c r="A23" s="158">
        <v>18</v>
      </c>
      <c r="B23" s="120"/>
      <c r="I23" s="162"/>
      <c r="J23" s="186"/>
      <c r="K23" s="260"/>
      <c r="L23" s="162"/>
      <c r="M23" s="162"/>
    </row>
    <row r="24" spans="1:13" ht="15.75" customHeight="1">
      <c r="A24" s="158">
        <v>19</v>
      </c>
      <c r="B24" s="120"/>
      <c r="C24" s="190"/>
      <c r="D24" s="94"/>
      <c r="E24" s="191" t="s">
        <v>163</v>
      </c>
      <c r="F24" s="257"/>
      <c r="G24" s="184">
        <v>5775</v>
      </c>
      <c r="I24" s="162"/>
      <c r="J24" s="186" t="s">
        <v>196</v>
      </c>
      <c r="K24" s="260"/>
      <c r="L24" s="162"/>
      <c r="M24" s="162"/>
    </row>
    <row r="25" spans="1:13" ht="15.75" customHeight="1">
      <c r="A25" s="158">
        <v>20</v>
      </c>
      <c r="B25" s="120"/>
      <c r="C25" s="192"/>
      <c r="D25" s="94"/>
      <c r="E25" s="193"/>
      <c r="F25" s="193"/>
      <c r="I25" s="162"/>
      <c r="J25" s="186"/>
      <c r="K25" s="260"/>
      <c r="L25" s="162"/>
      <c r="M25" s="162"/>
    </row>
    <row r="26" spans="1:13" ht="15.75" customHeight="1" thickBot="1">
      <c r="A26" s="158">
        <v>21</v>
      </c>
      <c r="B26" s="120"/>
      <c r="C26" s="190"/>
      <c r="D26" s="94"/>
      <c r="E26" s="169" t="s">
        <v>164</v>
      </c>
      <c r="F26" s="169"/>
      <c r="G26" s="182">
        <f>+G21-G24</f>
        <v>280</v>
      </c>
      <c r="I26" s="162"/>
      <c r="J26" s="186" t="s">
        <v>205</v>
      </c>
      <c r="K26" s="253"/>
      <c r="L26" s="162"/>
      <c r="M26" s="162"/>
    </row>
    <row r="27" spans="1:13" ht="15.75" customHeight="1" thickTop="1">
      <c r="A27" s="158">
        <v>22</v>
      </c>
      <c r="B27" s="120"/>
      <c r="C27" s="192"/>
      <c r="D27" s="94"/>
      <c r="E27" s="190"/>
      <c r="F27" s="190"/>
      <c r="I27" s="162"/>
      <c r="J27" s="186"/>
      <c r="K27" s="253"/>
      <c r="L27" s="162"/>
      <c r="M27" s="162"/>
    </row>
    <row r="28" spans="1:13" ht="15.75" customHeight="1" thickBot="1">
      <c r="A28" s="158">
        <v>23</v>
      </c>
      <c r="B28" s="120"/>
      <c r="C28" s="192"/>
      <c r="D28" s="94"/>
      <c r="E28" s="58" t="s">
        <v>165</v>
      </c>
      <c r="F28" s="58"/>
      <c r="G28" s="182">
        <f>-G26*0.35</f>
        <v>-98</v>
      </c>
      <c r="I28" s="162"/>
      <c r="J28" s="188" t="s">
        <v>206</v>
      </c>
      <c r="K28" s="253"/>
      <c r="L28" s="162"/>
      <c r="M28" s="162"/>
    </row>
    <row r="29" spans="1:13" ht="15.75" customHeight="1" thickTop="1">
      <c r="A29" s="158">
        <v>24</v>
      </c>
      <c r="B29" s="120"/>
      <c r="C29" s="161"/>
      <c r="I29" s="162"/>
      <c r="J29" s="162"/>
      <c r="K29" s="253"/>
      <c r="L29" s="162"/>
      <c r="M29" s="162"/>
    </row>
    <row r="30" spans="1:13" ht="15.75" customHeight="1">
      <c r="A30" s="158">
        <v>25</v>
      </c>
      <c r="B30" s="120"/>
      <c r="I30" s="162"/>
      <c r="J30" s="162"/>
      <c r="K30" s="253"/>
      <c r="L30" s="162"/>
      <c r="M30" s="162"/>
    </row>
    <row r="31" spans="1:13" ht="15.75" customHeight="1">
      <c r="A31" s="158">
        <v>26</v>
      </c>
      <c r="B31" s="120"/>
      <c r="I31" s="162"/>
      <c r="J31" s="162"/>
      <c r="K31" s="162"/>
      <c r="L31" s="162"/>
      <c r="M31" s="162"/>
    </row>
    <row r="32" spans="1:13" ht="15.75" customHeight="1">
      <c r="A32" s="158">
        <v>27</v>
      </c>
      <c r="I32" s="162"/>
      <c r="J32" s="162"/>
      <c r="K32" s="162"/>
      <c r="L32" s="162"/>
      <c r="M32" s="162"/>
    </row>
    <row r="33" spans="9:13" ht="15.75" customHeight="1">
      <c r="I33" s="162"/>
      <c r="J33" s="162"/>
      <c r="K33" s="162"/>
      <c r="L33" s="162"/>
      <c r="M33" s="162"/>
    </row>
    <row r="34" spans="9:13" ht="15.75" customHeight="1">
      <c r="I34" s="162"/>
      <c r="J34" s="162"/>
      <c r="K34" s="162"/>
      <c r="L34" s="162"/>
      <c r="M34" s="162"/>
    </row>
    <row r="35" spans="9:13" ht="15.75" customHeight="1">
      <c r="I35" s="162"/>
      <c r="J35" s="162"/>
      <c r="K35" s="162"/>
      <c r="L35" s="162"/>
      <c r="M35" s="162"/>
    </row>
  </sheetData>
  <mergeCells count="3">
    <mergeCell ref="B6:H6"/>
    <mergeCell ref="B7:H7"/>
    <mergeCell ref="J10:K10"/>
  </mergeCells>
  <printOptions horizontalCentered="1"/>
  <pageMargins left="0.75" right="0.75" top="1.5" bottom="1" header="0.5" footer="0.5"/>
  <pageSetup orientation="portrait" r:id="rId1"/>
  <headerFooter scaleWithDoc="0" alignWithMargins="0">
    <oddHeader>&amp;L&amp;"Arial,Regular"&amp;10Avista Corporation
&amp;"Arial,Bold"Natural Gas - Interest Adjustment (Schedule 5.0)&amp;"Arial,Regular"
Twelve Months Ended December 31, 2011&amp;R&amp;"Arial,Regular"&amp;10Exhibit No. ___ (EJK-5)
Docket UE-120436 &amp; UG-120437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EEBBBECEF4A9741925D1E0FF525C9BE" ma:contentTypeVersion="139" ma:contentTypeDescription="" ma:contentTypeScope="" ma:versionID="e1c2431b48247bef897b70fc6688e99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2012-04-02T07:00:00+00:00</OpenedDate>
    <Date1 xmlns="dc463f71-b30c-4ab2-9473-d307f9d35888">2012-09-19T07:00:00+00:00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120436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6C1C8B97-FE5C-4E07-A0CE-5D23C15750F3}"/>
</file>

<file path=customXml/itemProps2.xml><?xml version="1.0" encoding="utf-8"?>
<ds:datastoreItem xmlns:ds="http://schemas.openxmlformats.org/officeDocument/2006/customXml" ds:itemID="{92AB67E4-7268-44A9-8226-E5DF8639E2B6}"/>
</file>

<file path=customXml/itemProps3.xml><?xml version="1.0" encoding="utf-8"?>
<ds:datastoreItem xmlns:ds="http://schemas.openxmlformats.org/officeDocument/2006/customXml" ds:itemID="{29C60592-5406-4012-8802-5AC9EBF4A207}"/>
</file>

<file path=customXml/itemProps4.xml><?xml version="1.0" encoding="utf-8"?>
<ds:datastoreItem xmlns:ds="http://schemas.openxmlformats.org/officeDocument/2006/customXml" ds:itemID="{84C40402-4372-4B38-B223-A82054E5AF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14</vt:i4>
      </vt:variant>
    </vt:vector>
  </HeadingPairs>
  <TitlesOfParts>
    <vt:vector size="34" baseType="lpstr">
      <vt:lpstr> Sch1.1 RoO</vt:lpstr>
      <vt:lpstr>Sch 1.2 RsA </vt:lpstr>
      <vt:lpstr>Sch 1.3 PfA </vt:lpstr>
      <vt:lpstr> Sch 1.4 Summary</vt:lpstr>
      <vt:lpstr> Sch 2 RR </vt:lpstr>
      <vt:lpstr> Sch 3 RCF </vt:lpstr>
      <vt:lpstr> Sch 4 CC</vt:lpstr>
      <vt:lpstr>END RR Model</vt:lpstr>
      <vt:lpstr>Int Sch 5</vt:lpstr>
      <vt:lpstr>ADJ 1.04</vt:lpstr>
      <vt:lpstr>ADJ 1.05</vt:lpstr>
      <vt:lpstr>Cover-Gas</vt:lpstr>
      <vt:lpstr>2.11</vt:lpstr>
      <vt:lpstr>ADJ 2.14</vt:lpstr>
      <vt:lpstr>3.04</vt:lpstr>
      <vt:lpstr>ADJ 3.06</vt:lpstr>
      <vt:lpstr>ADJ 4.00</vt:lpstr>
      <vt:lpstr>ADJ 4.01</vt:lpstr>
      <vt:lpstr>ADJ 4.03</vt:lpstr>
      <vt:lpstr>Sheet1</vt:lpstr>
      <vt:lpstr>debt</vt:lpstr>
      <vt:lpstr>' Sch 1.4 Summary'!Print_Area</vt:lpstr>
      <vt:lpstr>' Sch 2 RR '!Print_Area</vt:lpstr>
      <vt:lpstr>' Sch 3 RCF '!Print_Area</vt:lpstr>
      <vt:lpstr>' Sch 4 CC'!Print_Area</vt:lpstr>
      <vt:lpstr>' Sch1.1 RoO'!Print_Area</vt:lpstr>
      <vt:lpstr>'2.11'!Print_Area</vt:lpstr>
      <vt:lpstr>'Int Sch 5'!Print_Area</vt:lpstr>
      <vt:lpstr>'Sch 1.2 RsA '!Print_Area</vt:lpstr>
      <vt:lpstr>'Sch 1.3 PfA '!Print_Area</vt:lpstr>
      <vt:lpstr>' Sch1.1 RoO'!Print_Titles</vt:lpstr>
      <vt:lpstr>'Sch 1.2 RsA '!Print_Titles</vt:lpstr>
      <vt:lpstr>'Sch 1.3 PfA '!Print_Titles</vt:lpstr>
      <vt:lpstr>roe</vt:lpstr>
    </vt:vector>
  </TitlesOfParts>
  <Company>Washington Utilities and Transportation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dkermode</dc:creator>
  <cp:lastModifiedBy>Krista Gross</cp:lastModifiedBy>
  <cp:lastPrinted>2012-09-17T22:39:24Z</cp:lastPrinted>
  <dcterms:created xsi:type="dcterms:W3CDTF">2009-11-03T18:34:33Z</dcterms:created>
  <dcterms:modified xsi:type="dcterms:W3CDTF">2012-09-17T23:04:10Z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0x0101006E56B4D1795A2E4DB2F0B01679ED314A00DEEBBBECEF4A9741925D1E0FF525C9BE</vt:lpwstr>
  </property>
  <property fmtid="{D5CDD505-2E9C-101B-9397-08002B2CF9AE}" pid="3" name="_docset_NoMedatataSyncRequired">
    <vt:lpwstr>False</vt:lpwstr>
  </property>
</Properties>
</file>