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860" yWindow="315" windowWidth="15330" windowHeight="11715" firstSheet="3" activeTab="14"/>
  </bookViews>
  <sheets>
    <sheet name="OCC" sheetId="1" r:id="rId1"/>
    <sheet name="COE" sheetId="2" r:id="rId2"/>
    <sheet name="COMPCO" sheetId="3" r:id="rId3"/>
    <sheet name="Compco2" sheetId="4" r:id="rId4"/>
    <sheet name="SP DCF" sheetId="5" r:id="rId5"/>
    <sheet name="DCF" sheetId="6" r:id="rId6"/>
    <sheet name="DCF2" sheetId="7" r:id="rId7"/>
    <sheet name="EXTFIN" sheetId="8" r:id="rId8"/>
    <sheet name="extfin2" sheetId="9" r:id="rId9"/>
    <sheet name="Infrp" sheetId="10" r:id="rId10"/>
    <sheet name="Rpremsum" sheetId="11" r:id="rId11"/>
    <sheet name="Rprems" sheetId="12" r:id="rId12"/>
    <sheet name="Actcs" sheetId="13" r:id="rId13"/>
    <sheet name="capstbondrtg" sheetId="14" r:id="rId14"/>
    <sheet name="VDWIndco" sheetId="15" r:id="rId15"/>
    <sheet name="INPUT" sheetId="16" r:id="rId16"/>
  </sheets>
  <externalReferences>
    <externalReference r:id="rId19"/>
    <externalReference r:id="rId20"/>
    <externalReference r:id="rId21"/>
  </externalReferences>
  <definedNames>
    <definedName name="alldcfh">#REF!</definedName>
    <definedName name="alldcfl">#REF!</definedName>
    <definedName name="cdcfcomph">#REF!</definedName>
    <definedName name="cdcfcompl">#REF!</definedName>
    <definedName name="cdcfcowith">#REF!</definedName>
    <definedName name="cdcfcowitl">#REF!</definedName>
    <definedName name="cdcfh">#REF!</definedName>
    <definedName name="cdcfl">#REF!</definedName>
    <definedName name="cgcoe">#REF!</definedName>
    <definedName name="codcfh">#REF!</definedName>
    <definedName name="codcfl">#REF!</definedName>
    <definedName name="company">#REF!</definedName>
    <definedName name="corrh">#REF!</definedName>
    <definedName name="corrl">#REF!</definedName>
    <definedName name="csadj">#REF!</definedName>
    <definedName name="cscomp">#REF!</definedName>
    <definedName name="epsrec">#REF!</definedName>
    <definedName name="exproe">#REF!</definedName>
    <definedName name="growth">'EXTFIN'!#REF!</definedName>
    <definedName name="nfgh">#REF!</definedName>
    <definedName name="nfgl">#REF!</definedName>
    <definedName name="occ">#REF!</definedName>
    <definedName name="parent">#REF!</definedName>
    <definedName name="_xlnm.Print_Area" localSheetId="13">'capstbondrtg'!$A$1:$L$47</definedName>
    <definedName name="_xlnm.Print_Area" localSheetId="1">'COE'!$A$1:$F$56</definedName>
    <definedName name="_xlnm.Print_Area" localSheetId="2">'COMPCO'!$A$1:$AT$74</definedName>
    <definedName name="_xlnm.Print_Area" localSheetId="5">'DCF'!$A$1:$M$50</definedName>
    <definedName name="_xlnm.Print_Area" localSheetId="6">'DCF2'!$A$1:$M$102</definedName>
    <definedName name="_xlnm.Print_Area" localSheetId="7">'EXTFIN'!$A$1:$M$23</definedName>
    <definedName name="_xlnm.Print_Area" localSheetId="8">'extfin2'!$A$1:$O$55</definedName>
    <definedName name="_xlnm.Print_Area" localSheetId="9">'Infrp'!$A$1:$L$35</definedName>
    <definedName name="_xlnm.Print_Area" localSheetId="0">'OCC'!$A$1:$L$54</definedName>
    <definedName name="_xlnm.Print_Area" localSheetId="11">'Rprems'!$A$1:$BE$101</definedName>
    <definedName name="_xlnm.Print_Area" localSheetId="10">'Rpremsum'!$A$1:$T$86</definedName>
    <definedName name="_xlnm.Print_Area" localSheetId="4">'SP DCF'!$A$1:$O$25</definedName>
    <definedName name="rcoe">#REF!</definedName>
    <definedName name="roelst">#REF!</definedName>
    <definedName name="roerec">#REF!</definedName>
    <definedName name="scdcfh">#REF!</definedName>
    <definedName name="scdcfl">#REF!</definedName>
    <definedName name="sdcfcomph">#REF!</definedName>
    <definedName name="sdcfcompl">#REF!</definedName>
    <definedName name="sdcfcowith">#REF!</definedName>
    <definedName name="sdcfcowitl">#REF!</definedName>
    <definedName name="sdcfdyh">#REF!</definedName>
    <definedName name="sdcfdyl">#REF!</definedName>
    <definedName name="sdcfh">#REF!</definedName>
    <definedName name="sdcfl">#REF!</definedName>
    <definedName name="sdyldh">#REF!</definedName>
    <definedName name="sdyldl">#REF!</definedName>
    <definedName name="source">'EXTFIN'!$I$2:$L$2</definedName>
    <definedName name="srrh">#REF!</definedName>
    <definedName name="srr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<sst xmlns="http://schemas.openxmlformats.org/spreadsheetml/2006/main" count="1378" uniqueCount="639">
  <si>
    <t>Schedule JAR 10, P. 6</t>
  </si>
  <si>
    <t>Overall Cost of Capital</t>
  </si>
  <si>
    <t>Recommended Result</t>
  </si>
  <si>
    <t>Weighted</t>
  </si>
  <si>
    <t>Type of Capital</t>
  </si>
  <si>
    <t>Ratios</t>
  </si>
  <si>
    <t>Cost Rate</t>
  </si>
  <si>
    <t>[E]</t>
  </si>
  <si>
    <t>[A]</t>
  </si>
  <si>
    <t>Long-term Debt</t>
  </si>
  <si>
    <t>[B]</t>
  </si>
  <si>
    <t>[C]</t>
  </si>
  <si>
    <t>Common Equity</t>
  </si>
  <si>
    <t>[D]</t>
  </si>
  <si>
    <t>Source:</t>
  </si>
  <si>
    <t>Total</t>
  </si>
  <si>
    <t>Y/E</t>
  </si>
  <si>
    <t>Average</t>
  </si>
  <si>
    <t>Dividend Yield</t>
  </si>
  <si>
    <t>COST OF EQUITY SUMMARY</t>
  </si>
  <si>
    <t>[F]</t>
  </si>
  <si>
    <t>Lowest</t>
  </si>
  <si>
    <t>Highest</t>
  </si>
  <si>
    <t>Rate</t>
  </si>
  <si>
    <t>DISCOUNTED CASH FLOW (DCF)  INDICATED COST OF EQUITY</t>
  </si>
  <si>
    <t>BASED ON AVERAGE</t>
  </si>
  <si>
    <t>BASED UPON</t>
  </si>
  <si>
    <t xml:space="preserve">MARKET PRICE </t>
  </si>
  <si>
    <t>MARKET PRICE</t>
  </si>
  <si>
    <t>FOR</t>
  </si>
  <si>
    <t>AS OF</t>
  </si>
  <si>
    <t>Dividend Yield On Market Price</t>
  </si>
  <si>
    <t>Retention Ratio:</t>
  </si>
  <si>
    <t>a)</t>
  </si>
  <si>
    <t>Market-to-book</t>
  </si>
  <si>
    <t>b)</t>
  </si>
  <si>
    <t>Div. Yld on Book</t>
  </si>
  <si>
    <t>c)</t>
  </si>
  <si>
    <t>Return on Equity</t>
  </si>
  <si>
    <t>d)</t>
  </si>
  <si>
    <t>Retention Rate</t>
  </si>
  <si>
    <t>Reinvestment Growth</t>
  </si>
  <si>
    <t>New Financing Growth</t>
  </si>
  <si>
    <t>Total Estimate of Investor</t>
  </si>
  <si>
    <t>[G]</t>
  </si>
  <si>
    <t>Anticipated Growth</t>
  </si>
  <si>
    <t>Increment to Dividend Yield</t>
  </si>
  <si>
    <t>[H]</t>
  </si>
  <si>
    <t>for Growth to Next Year</t>
  </si>
  <si>
    <t>Indicated Cost of Equity</t>
  </si>
  <si>
    <t>[I]</t>
  </si>
  <si>
    <t>Expectation Derived from Zack's Consensus Growth Rate</t>
  </si>
  <si>
    <t xml:space="preserve">Earned Return on Equity in </t>
  </si>
  <si>
    <t>Line 1 x  Line 2a</t>
  </si>
  <si>
    <t>1- Line 2b/Line 2c</t>
  </si>
  <si>
    <t>Line 2c x Line 2d</t>
  </si>
  <si>
    <t xml:space="preserve">Estimated impact of dilution or premium due to sale of equity at other than book value.  Computed based upon </t>
  </si>
  <si>
    <t>mathematically derived  result based upon the Value Line forecasted external financing rate.</t>
  </si>
  <si>
    <t>[M/B X (Ext. Fin Rate+1]/(M/B + Ext. Fin. Rate-1)</t>
  </si>
  <si>
    <t>Ext. Fin. rate used =</t>
  </si>
  <si>
    <t>[J]</t>
  </si>
  <si>
    <t>Line 3 + Line 4</t>
  </si>
  <si>
    <t>Line 1 x one-half of line 5</t>
  </si>
  <si>
    <t>Line 1 + Line 5 + Line 6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</si>
  <si>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</si>
  <si>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</si>
  <si>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</si>
  <si>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</si>
  <si>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</si>
  <si>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</si>
  <si>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</si>
  <si>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</si>
  <si>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</si>
  <si>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</si>
  <si>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</si>
  <si>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</si>
  <si>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Year</t>
  </si>
  <si>
    <t>Earnings</t>
  </si>
  <si>
    <t>Book</t>
  </si>
  <si>
    <t>Equity</t>
  </si>
  <si>
    <t>Div.</t>
  </si>
  <si>
    <t>AVERAGE</t>
  </si>
  <si>
    <t>Value Line</t>
  </si>
  <si>
    <t>DPL Inc.</t>
  </si>
  <si>
    <t>RETURN ON EQUITY IMPLIED IN</t>
  </si>
  <si>
    <t>SELECTED FINANCIAL DATA</t>
  </si>
  <si>
    <t>EARNINGS PER SHARE AND RETURN ON EQUITY</t>
  </si>
  <si>
    <t>ZACK'S CONSENSUS GROWTH RATES</t>
  </si>
  <si>
    <t xml:space="preserve">        Market     Price</t>
  </si>
  <si>
    <t>Market to Book</t>
  </si>
  <si>
    <t>EPS</t>
  </si>
  <si>
    <t>Return</t>
  </si>
  <si>
    <t>Return on</t>
  </si>
  <si>
    <t>Dividends</t>
  </si>
  <si>
    <t>Zack's</t>
  </si>
  <si>
    <t>Y/E Book</t>
  </si>
  <si>
    <t xml:space="preserve">VL </t>
  </si>
  <si>
    <t>Per Sh.</t>
  </si>
  <si>
    <t>At</t>
  </si>
  <si>
    <t>High for</t>
  </si>
  <si>
    <t>Low for</t>
  </si>
  <si>
    <t>Avg.</t>
  </si>
  <si>
    <t>on Eq.</t>
  </si>
  <si>
    <t>Future Exp.</t>
  </si>
  <si>
    <t>Consensus</t>
  </si>
  <si>
    <t>in</t>
  </si>
  <si>
    <t>Issue</t>
  </si>
  <si>
    <t>for</t>
  </si>
  <si>
    <t>Return on Eq.</t>
  </si>
  <si>
    <t>5 Year</t>
  </si>
  <si>
    <t>at</t>
  </si>
  <si>
    <t>to achieve</t>
  </si>
  <si>
    <t>Growth Rate</t>
  </si>
  <si>
    <t xml:space="preserve">at Zack's </t>
  </si>
  <si>
    <t>Growth</t>
  </si>
  <si>
    <t>Sources:</t>
  </si>
  <si>
    <t>[A]  Value Line</t>
  </si>
  <si>
    <t>Projected return on equity is obtained by escalating both dividends and earnings per share by the</t>
  </si>
  <si>
    <t xml:space="preserve">[B]   Earnings Per Share divded by average book value.  Book value shown on </t>
  </si>
  <si>
    <t xml:space="preserve">stated growth rate, and adding earnings and subtracting </t>
  </si>
  <si>
    <t>Market price divided by book value</t>
  </si>
  <si>
    <t>dividends in each year to determine the book value.</t>
  </si>
  <si>
    <t>Dividend rate divided by market price</t>
  </si>
  <si>
    <t>EXTERNAL FINANCING RATE</t>
  </si>
  <si>
    <t>(Millions of Shares)</t>
  </si>
  <si>
    <t>Compound</t>
  </si>
  <si>
    <t>Common Stock Outstanding</t>
  </si>
  <si>
    <t>Annual</t>
  </si>
  <si>
    <t>Round to</t>
  </si>
  <si>
    <t>Premium</t>
  </si>
  <si>
    <t>Source</t>
  </si>
  <si>
    <t>Schedule JAR 1</t>
  </si>
  <si>
    <t>Schedule 1, P. 1</t>
  </si>
  <si>
    <t>Financial Data on Subject Company</t>
  </si>
  <si>
    <t>Schedule 2, P. 2</t>
  </si>
  <si>
    <t>Cost of Equity Summary</t>
  </si>
  <si>
    <t>Schedule 1, P. 2</t>
  </si>
  <si>
    <t>Summary of bxr and alternative approaches to DCF</t>
  </si>
  <si>
    <t>Simple DCF of Comparative Companies</t>
  </si>
  <si>
    <t>Schedule 3, P. 1</t>
  </si>
  <si>
    <t>Simple DCF of Company Witness Companies</t>
  </si>
  <si>
    <t>Schedule 3, P. 2</t>
  </si>
  <si>
    <t>Simple DCF of Subject Company</t>
  </si>
  <si>
    <t>Schedule 2, P. 1</t>
  </si>
  <si>
    <t>Complex DC F on Comparative Co. for Y/E data</t>
  </si>
  <si>
    <t>Schedule 3, P. 4</t>
  </si>
  <si>
    <t>Complex DC F on Comparative Co. for Avg. data</t>
  </si>
  <si>
    <t>Schedule 3, P. 3</t>
  </si>
  <si>
    <t>Input for Complex DCF</t>
  </si>
  <si>
    <t>Schedule JAR 5, P. 3</t>
  </si>
  <si>
    <t>Schedule JAR 5, P. 4</t>
  </si>
  <si>
    <t>Complex DC F on Comparative Co. Witness Companies for Avg. data</t>
  </si>
  <si>
    <t>Schedule 3, P. 5</t>
  </si>
  <si>
    <t>Complex DC F on Comparative Co. Witness Companies for Y/E data</t>
  </si>
  <si>
    <t>Schedule 3, P. 6</t>
  </si>
  <si>
    <t>Complex DC F on Subject Co. for Y/E data</t>
  </si>
  <si>
    <t>Schedule 2, P. 3</t>
  </si>
  <si>
    <t>Complex DC F on Subject Co. for Average data</t>
  </si>
  <si>
    <t>Schedule 2, P. 4</t>
  </si>
  <si>
    <t>Historic and Projected Dividend Growth</t>
  </si>
  <si>
    <t>Schecule JAR 6</t>
  </si>
  <si>
    <t>Historic and Projected Earnings Growth</t>
  </si>
  <si>
    <t>Selected Financial Data, Comp. Companies</t>
  </si>
  <si>
    <t>Schedule JAR 7, P. 1</t>
  </si>
  <si>
    <t>Schedule 4,  P. 1</t>
  </si>
  <si>
    <t>Earnings Per Share and ROE</t>
  </si>
  <si>
    <t>Schedule JAR 7, P. 2</t>
  </si>
  <si>
    <t>Schedule 4, P. 2</t>
  </si>
  <si>
    <t>Zack's Consensus Growth Rates</t>
  </si>
  <si>
    <t>Schedule JAR 7, P. 3</t>
  </si>
  <si>
    <t>Schedule 3, P. 7</t>
  </si>
  <si>
    <t>Capital Structure</t>
  </si>
  <si>
    <t>Schedule JAR 8</t>
  </si>
  <si>
    <t>Schedule  4, P. 3</t>
  </si>
  <si>
    <t>External Financing Rate</t>
  </si>
  <si>
    <t>Schedule  5</t>
  </si>
  <si>
    <t>Risk Premium, Part 1</t>
  </si>
  <si>
    <t>Schedule JAR 10, P. 1</t>
  </si>
  <si>
    <t>Risk Premium, Part 2</t>
  </si>
  <si>
    <t xml:space="preserve"> </t>
  </si>
  <si>
    <t>Schedule JAR 10, P. 2</t>
  </si>
  <si>
    <t>Leverage</t>
  </si>
  <si>
    <t>Schedule JAR 11</t>
  </si>
  <si>
    <t>Schedule 7</t>
  </si>
  <si>
    <t>SEC Study</t>
  </si>
  <si>
    <t>Schedule 9</t>
  </si>
  <si>
    <t>Name of Company</t>
  </si>
  <si>
    <t>Atlantic City Electric Company</t>
  </si>
  <si>
    <t>Name of Parent</t>
  </si>
  <si>
    <t>Atlantic Energy</t>
  </si>
  <si>
    <t>Date of Stock Pricing</t>
  </si>
  <si>
    <t>History of Dow Jones</t>
  </si>
  <si>
    <t>Schedule 8, Page 1</t>
  </si>
  <si>
    <t>Risk of Dow Jones vs Water Companies</t>
  </si>
  <si>
    <t>Schedule 8, Page 3</t>
  </si>
  <si>
    <t>Color code:</t>
  </si>
  <si>
    <t>Means number is from another schedule in this set</t>
  </si>
  <si>
    <t>Means number is input on this schedule</t>
  </si>
  <si>
    <t>Investment</t>
  </si>
  <si>
    <t xml:space="preserve">Returns on </t>
  </si>
  <si>
    <t>Bonds</t>
  </si>
  <si>
    <t>Esc. at</t>
  </si>
  <si>
    <t>Pub. Ut. Geom. Average</t>
  </si>
  <si>
    <t>Pub. Ut. Arithmetic Average</t>
  </si>
  <si>
    <t>Arithmetic Mean</t>
  </si>
  <si>
    <t>Geometric</t>
  </si>
  <si>
    <t>Mean</t>
  </si>
  <si>
    <t>e</t>
  </si>
  <si>
    <t>Idacorp, Inc.</t>
  </si>
  <si>
    <t>DPL</t>
  </si>
  <si>
    <t>IDA</t>
  </si>
  <si>
    <t>FPL Group, Inc.</t>
  </si>
  <si>
    <t>Pinnacle West</t>
  </si>
  <si>
    <t>Dec. 00</t>
  </si>
  <si>
    <t>PNW</t>
  </si>
  <si>
    <t>Cascade Natural Gas</t>
  </si>
  <si>
    <t>Nicor</t>
  </si>
  <si>
    <t>N.W. Natural Gas</t>
  </si>
  <si>
    <t>Peoples Energy</t>
  </si>
  <si>
    <t>Piedmont Natural Gas</t>
  </si>
  <si>
    <t>South Jersey Industries</t>
  </si>
  <si>
    <t>Southwest Gas</t>
  </si>
  <si>
    <t>WGL Holdings</t>
  </si>
  <si>
    <t>Note:  Providence Gas was excluded because it was purchased by Southern Union</t>
  </si>
  <si>
    <t>CGC</t>
  </si>
  <si>
    <t>GAS</t>
  </si>
  <si>
    <t>NWN</t>
  </si>
  <si>
    <t>PGL</t>
  </si>
  <si>
    <t>PNY</t>
  </si>
  <si>
    <t>SJI</t>
  </si>
  <si>
    <t>SWX</t>
  </si>
  <si>
    <t>WGL</t>
  </si>
  <si>
    <t>COMPARATIVE COMPANIES</t>
  </si>
  <si>
    <t>GAS COMPANIES</t>
  </si>
  <si>
    <t>e= Estimated by Value Line</t>
  </si>
  <si>
    <t>American States Water Co.</t>
  </si>
  <si>
    <t>AWR</t>
  </si>
  <si>
    <t>California Water Service</t>
  </si>
  <si>
    <t>CWT</t>
  </si>
  <si>
    <t>Philadelphia Suburban</t>
  </si>
  <si>
    <t>PSC</t>
  </si>
  <si>
    <t>BETA</t>
  </si>
  <si>
    <t xml:space="preserve">VALUE </t>
  </si>
  <si>
    <t>LINE</t>
  </si>
  <si>
    <t>Large</t>
  </si>
  <si>
    <t>Company</t>
  </si>
  <si>
    <t>Stocks</t>
  </si>
  <si>
    <t>Long-Term</t>
  </si>
  <si>
    <t>Corporate</t>
  </si>
  <si>
    <t xml:space="preserve">Long-term </t>
  </si>
  <si>
    <t>Government</t>
  </si>
  <si>
    <t>U.S.</t>
  </si>
  <si>
    <t>Treasury</t>
  </si>
  <si>
    <t>Intermediate</t>
  </si>
  <si>
    <t>Term</t>
  </si>
  <si>
    <t>Bills</t>
  </si>
  <si>
    <t>Inflation</t>
  </si>
  <si>
    <t>Large Stocks</t>
  </si>
  <si>
    <t>vs.</t>
  </si>
  <si>
    <t>vs</t>
  </si>
  <si>
    <t>Value of $100 invested at end of of 1925</t>
  </si>
  <si>
    <t xml:space="preserve">Risk </t>
  </si>
  <si>
    <t>30 Year Moving Average</t>
  </si>
  <si>
    <t xml:space="preserve">RISK PREMIUM BASED UPON ANALYSIS OF </t>
  </si>
  <si>
    <t>HISTORIC RETURNS</t>
  </si>
  <si>
    <t>Large Common Stocks</t>
  </si>
  <si>
    <t>Corporate Bonds</t>
  </si>
  <si>
    <t>Long-term U.S. Treasury Bonds</t>
  </si>
  <si>
    <t>Intermediate Term U.S. Treasury Bonds</t>
  </si>
  <si>
    <t>U.S. Treasury Bills</t>
  </si>
  <si>
    <t>Average diference from Long-term U.S. Treasury Bonds:</t>
  </si>
  <si>
    <t>Common Stock Risk Premium Consistent With Current Market Environment:</t>
  </si>
  <si>
    <t xml:space="preserve">or less.  </t>
  </si>
  <si>
    <t>Risk premium on large common stocks minus average differnce from corporate bonds per above table.</t>
  </si>
  <si>
    <t>COST OF EQ</t>
  </si>
  <si>
    <t>Based on Long-term Treasury Bonds</t>
  </si>
  <si>
    <t>Based on Corporate Bonds</t>
  </si>
  <si>
    <t>Applicable Risk Premium</t>
  </si>
  <si>
    <t>Based on Intermediate Term U.S Treasury Bonds</t>
  </si>
  <si>
    <t>Based on U.S. Treasury Bills</t>
  </si>
  <si>
    <t>Interest on 90 day U.S. Treasury Bills</t>
  </si>
  <si>
    <t>COST OF EQUITY INDICATED BY</t>
  </si>
  <si>
    <t>INFLATION RISK PREMIUM METHOD</t>
  </si>
  <si>
    <t>Difference</t>
  </si>
  <si>
    <t>Line 1 minus Line 2</t>
  </si>
  <si>
    <t>Historic Return on Common Stocks</t>
  </si>
  <si>
    <t>to</t>
  </si>
  <si>
    <t>Net of Inflation</t>
  </si>
  <si>
    <t>Inflation expectation</t>
  </si>
  <si>
    <t>Line 4</t>
  </si>
  <si>
    <t>Inflation Risk Premium Indicated Cost of</t>
  </si>
  <si>
    <t>Mid-point</t>
  </si>
  <si>
    <t xml:space="preserve">Risk Premiuim/CAPM </t>
  </si>
  <si>
    <t>SUMMARY OF INDICATED RISK PREMIUM FOR EQUITY WITH AVERAGE RISK</t>
  </si>
  <si>
    <t>EQUITY FOR COMMON STOCK :</t>
  </si>
  <si>
    <t>Average Risk</t>
  </si>
  <si>
    <t xml:space="preserve">Risk Premium </t>
  </si>
  <si>
    <t>Adjustment</t>
  </si>
  <si>
    <t>Low end of Range</t>
  </si>
  <si>
    <t>High end of Range</t>
  </si>
  <si>
    <t xml:space="preserve">RISK PREMIUM/CAPM METHOD </t>
  </si>
  <si>
    <t>FPL</t>
  </si>
  <si>
    <t>Interest rate on 30 year treasury bonds</t>
  </si>
  <si>
    <t xml:space="preserve">Interest rate on inflation indexed 30 year </t>
  </si>
  <si>
    <t>Interest rate on 20 year treasury bonds</t>
  </si>
  <si>
    <t>Intereset on 10 year U.S. Treasury Bonds</t>
  </si>
  <si>
    <t>Schedule JAR 7</t>
  </si>
  <si>
    <t>Schedule JAR 10, P. 4</t>
  </si>
  <si>
    <t>Ameren</t>
  </si>
  <si>
    <t>AEE</t>
  </si>
  <si>
    <t>Cleco Corporation</t>
  </si>
  <si>
    <t>CNL</t>
  </si>
  <si>
    <t>Con Edison</t>
  </si>
  <si>
    <t>ED</t>
  </si>
  <si>
    <t>DQE Inc.</t>
  </si>
  <si>
    <t>DQE</t>
  </si>
  <si>
    <t>DTE Energy Co.</t>
  </si>
  <si>
    <t>DTE</t>
  </si>
  <si>
    <t>Energy East (NYSEG, CMP, CT Natural and So. Ct. Gas)</t>
  </si>
  <si>
    <t>EAS</t>
  </si>
  <si>
    <t>IPALCO Enterprises</t>
  </si>
  <si>
    <t>Nstar (Boston Edison)</t>
  </si>
  <si>
    <t>NST</t>
  </si>
  <si>
    <t>Potomac Electric Power</t>
  </si>
  <si>
    <t>POM</t>
  </si>
  <si>
    <t>Puget Energy, Inc.</t>
  </si>
  <si>
    <t>PSD</t>
  </si>
  <si>
    <t>UIL Holdings</t>
  </si>
  <si>
    <t>UIL</t>
  </si>
  <si>
    <t>WATER COMPANIES COVERED BY VALUE LINE</t>
  </si>
  <si>
    <t>Based upon Average Return over inflation</t>
  </si>
  <si>
    <t>PGN</t>
  </si>
  <si>
    <t>Progress Energy (CP&amp;L+Florida Progress)</t>
  </si>
  <si>
    <t>NMF</t>
  </si>
  <si>
    <t>Short-term Debt</t>
  </si>
  <si>
    <t>Bell South</t>
  </si>
  <si>
    <t>SBC Communications</t>
  </si>
  <si>
    <t>Verizon</t>
  </si>
  <si>
    <t>VZ</t>
  </si>
  <si>
    <t>SBC</t>
  </si>
  <si>
    <t>BLS</t>
  </si>
  <si>
    <t>Bellsouth</t>
  </si>
  <si>
    <t>Schedule JAR 5, P. 5</t>
  </si>
  <si>
    <t xml:space="preserve">ELECTRIC COMPANIES </t>
  </si>
  <si>
    <t xml:space="preserve">As of </t>
  </si>
  <si>
    <t>Dec. 02</t>
  </si>
  <si>
    <t>Dec. 01</t>
  </si>
  <si>
    <t>Median</t>
  </si>
  <si>
    <t>Most current Value Line at time of prep. of schedule.</t>
  </si>
  <si>
    <t xml:space="preserve">Source of data:  </t>
  </si>
  <si>
    <t>Ibbotson Associates Stocks, Bonds, Bills, and Inflation 2002 Yearbook</t>
  </si>
  <si>
    <t>Yahoo Finance</t>
  </si>
  <si>
    <t>Dec. 03</t>
  </si>
  <si>
    <t>N/A</t>
  </si>
  <si>
    <t>MEDIAN</t>
  </si>
  <si>
    <r>
      <t xml:space="preserve">Page 12 of </t>
    </r>
    <r>
      <rPr>
        <u val="single"/>
        <sz val="10"/>
        <rFont val="Arial"/>
        <family val="2"/>
      </rPr>
      <t>Stocks for the Long Run</t>
    </r>
    <r>
      <rPr>
        <sz val="10"/>
        <rFont val="Arial"/>
        <family val="2"/>
      </rPr>
      <t>, Third Edition, by Jeremy J. Siegel, 2002, McGraw Hill.</t>
    </r>
  </si>
  <si>
    <t>Federal Reserve Statistical Release, 1/2/04  AAA Rated.  Week Ending December 26th rate.</t>
  </si>
  <si>
    <t>Amount in last column determined by multiplying the amount in the first column by the beta.</t>
  </si>
  <si>
    <t xml:space="preserve">The amount in the middle column is the difference between the amount in the first column and the amount I the </t>
  </si>
  <si>
    <t>last column.  Used AAA Corporate bonds.</t>
  </si>
  <si>
    <t>In all major sub-peroids from 1802 through 2001</t>
  </si>
  <si>
    <t>(Manor sub-peroids are 1802-1870, 1871-1925, and 1926- 2001)</t>
  </si>
  <si>
    <t>Schedule JAR 3, Page 2</t>
  </si>
  <si>
    <t>Schedule JAR 3, Page 3</t>
  </si>
  <si>
    <t>BellSouth</t>
  </si>
  <si>
    <t>Value Line Expectation Average for 3 RBOC's</t>
  </si>
  <si>
    <t>Value Line Expectation for Telecom Industry</t>
  </si>
  <si>
    <t>Page 719 of July 2, 2004 Value Line</t>
  </si>
  <si>
    <t>2007-09</t>
  </si>
  <si>
    <t>Ibbotson Associates Stocks, Bonds, Bills, and Inflation 2004 Yearbook</t>
  </si>
  <si>
    <t>Federal Reserve Statistical Release, 7/15/04</t>
  </si>
  <si>
    <t>See text.</t>
  </si>
  <si>
    <t>Standard &amp; Poor's 500</t>
  </si>
  <si>
    <t>Discounted Cash Flow Analysis</t>
  </si>
  <si>
    <t>Based Upon Analysts' Consensus</t>
  </si>
  <si>
    <t>Dividend Yield of S&amp;P 500</t>
  </si>
  <si>
    <t>Consensus Growth Rate:</t>
  </si>
  <si>
    <t>Forecasted Price of S&amp;P 500 for 6/30/05</t>
  </si>
  <si>
    <t>Page 109 of June 28, 2004 Business Week</t>
  </si>
  <si>
    <t>Consensus Estimate from 34 Firms</t>
  </si>
  <si>
    <t xml:space="preserve">Actual Price at time of Forecast </t>
  </si>
  <si>
    <t>as of June 15, 2004</t>
  </si>
  <si>
    <t xml:space="preserve">Annual rate of increase from </t>
  </si>
  <si>
    <t>Copy of Consensus Included with Testimony as Appendix</t>
  </si>
  <si>
    <t>In "Business Week Midyear Economic Forecast Survey for 2004-2005"</t>
  </si>
  <si>
    <t>Average Risk Premium/CAPM result</t>
  </si>
  <si>
    <t>Per text discussion, average capial structure for A rated industrial company.</t>
  </si>
  <si>
    <t xml:space="preserve">Based upon Verizon's stated  recent cost of 1.14%, rounded up and then increased to 2.5% to allow for higher short-term interest rates that existed in March 2002.  </t>
  </si>
  <si>
    <t>Per bondsonline, interest rate on A rated industrial bonds is .74% higher than rate on long-term treasury bonds.</t>
  </si>
  <si>
    <t>Yield on long-term treasury bonds in March 2003 was 5.64%.  5.64%+0.74%=6.38%.   After considering financing costs, this confirms that the 6.60% recommended by Ms. Murray is reasonable.</t>
  </si>
  <si>
    <t>See text</t>
  </si>
  <si>
    <t>Coverage ratio</t>
  </si>
  <si>
    <t>New York Times 1/8/02</t>
  </si>
  <si>
    <t>June 15, 2004 to June 30, 2005</t>
  </si>
  <si>
    <t>Telecommunication Companies</t>
  </si>
  <si>
    <t>S&amp;P 500</t>
  </si>
  <si>
    <t>through 2003</t>
  </si>
  <si>
    <t>through 001</t>
  </si>
  <si>
    <t>Compound annual returns from 1926 through 2001:</t>
  </si>
  <si>
    <t xml:space="preserve">     Using premium over long-term treasury bonds</t>
  </si>
  <si>
    <t xml:space="preserve">     Using premium over long-term corporate bonds</t>
  </si>
  <si>
    <t>Bond Rating</t>
  </si>
  <si>
    <t>Number of</t>
  </si>
  <si>
    <t>Percent of</t>
  </si>
  <si>
    <t>Percent at</t>
  </si>
  <si>
    <t>Percent</t>
  </si>
  <si>
    <t>Companies</t>
  </si>
  <si>
    <t>Companies at or</t>
  </si>
  <si>
    <t>Rating</t>
  </si>
  <si>
    <t>Wtd</t>
  </si>
  <si>
    <t>Higher than Rating</t>
  </si>
  <si>
    <t>AAA</t>
  </si>
  <si>
    <t>AA</t>
  </si>
  <si>
    <t>A</t>
  </si>
  <si>
    <t>BBB</t>
  </si>
  <si>
    <t>BB</t>
  </si>
  <si>
    <t>B</t>
  </si>
  <si>
    <t>CCC</t>
  </si>
  <si>
    <t>CAPITAL STRUCTURE AND BOND RATINGS OF INDUSTRIAL COMPANIES</t>
  </si>
  <si>
    <t>Overall Average Common Equity Ratio</t>
  </si>
  <si>
    <t>Round up to</t>
  </si>
  <si>
    <t>YAHOO FINANCE COVERING BROKER'S GROWTH RATES</t>
  </si>
  <si>
    <t>Analyst</t>
  </si>
  <si>
    <t>Analysts'</t>
  </si>
  <si>
    <t>10/</t>
  </si>
  <si>
    <t>Investement Grade Vertically Integrated Electric Companies</t>
  </si>
  <si>
    <t>Cinergy</t>
  </si>
  <si>
    <t>CIN</t>
  </si>
  <si>
    <t>Dominion Resources</t>
  </si>
  <si>
    <t>D</t>
  </si>
  <si>
    <t>DPL, Inc.</t>
  </si>
  <si>
    <t>Empire District Electric</t>
  </si>
  <si>
    <t>EDE</t>
  </si>
  <si>
    <t>Entergy Corp.</t>
  </si>
  <si>
    <t>ETR</t>
  </si>
  <si>
    <t>Great Plains Energy</t>
  </si>
  <si>
    <t>GXP</t>
  </si>
  <si>
    <t>Green Mountain Power</t>
  </si>
  <si>
    <t>GMP</t>
  </si>
  <si>
    <t>Hawaiian Electric</t>
  </si>
  <si>
    <t>HE</t>
  </si>
  <si>
    <t>Northeast Utilities</t>
  </si>
  <si>
    <t>NU</t>
  </si>
  <si>
    <t>Progress Energy</t>
  </si>
  <si>
    <t>Southern Co.</t>
  </si>
  <si>
    <t>SO</t>
  </si>
  <si>
    <t xml:space="preserve">Gas Distribution Companies </t>
  </si>
  <si>
    <t>AGL Resources</t>
  </si>
  <si>
    <t>ATG</t>
  </si>
  <si>
    <t>Atmos Energy</t>
  </si>
  <si>
    <t>ATO</t>
  </si>
  <si>
    <t>Energen Corp.</t>
  </si>
  <si>
    <t>EGN</t>
  </si>
  <si>
    <t>Keyspan Corp.</t>
  </si>
  <si>
    <t>KSE</t>
  </si>
  <si>
    <t>Laclede Group</t>
  </si>
  <si>
    <t>LG</t>
  </si>
  <si>
    <t>New Jersey Resources</t>
  </si>
  <si>
    <t>NJR</t>
  </si>
  <si>
    <t>Nicor, Inc.</t>
  </si>
  <si>
    <t>UGI Corp.</t>
  </si>
  <si>
    <t>UGI</t>
  </si>
  <si>
    <t>Yahoo Finance website</t>
  </si>
  <si>
    <t>[A]  Most current Value Line at time of prep. of schedule.</t>
  </si>
  <si>
    <t>Yahoo Finance -- Historical Prices</t>
  </si>
  <si>
    <t xml:space="preserve">[B]  Earnings Per Share divded by average book value.  Book value shown on </t>
  </si>
  <si>
    <t>Yahoo Finance -- Key Statistics.  Most Recent Quarter X 4.  Note:  If left blank then N/A</t>
  </si>
  <si>
    <t>Yahoo Finance -- Key Statistics</t>
  </si>
  <si>
    <t>Market price divided by book value.  Note:  Only used 2003 for Companies not in Value Line</t>
  </si>
  <si>
    <t>Adjusted For</t>
  </si>
  <si>
    <t>Change</t>
  </si>
  <si>
    <t>Electric Companies Selected by Company Witness</t>
  </si>
  <si>
    <t>Puget Energy, Inc</t>
  </si>
  <si>
    <t>External Financing Rate Adjusted for Change in Common Equity Ratio</t>
  </si>
  <si>
    <t>Gas Distribution Companies Selected by Company Witness</t>
  </si>
  <si>
    <t>Electric Companies</t>
  </si>
  <si>
    <t>Year Ending 8/31/04</t>
  </si>
  <si>
    <t>Some of the Considerations for determining Future Expected Return on Equity:</t>
  </si>
  <si>
    <t>Value Line Expectation</t>
  </si>
  <si>
    <t>Return on Equity to Achieve Zacks' Growth</t>
  </si>
  <si>
    <t>Gas Companies</t>
  </si>
  <si>
    <t>Year Ending8/31/04</t>
  </si>
  <si>
    <t>Yahoo Finance Website</t>
  </si>
  <si>
    <t>Average for Y/E</t>
  </si>
  <si>
    <t>Cost of equity based upon DCF</t>
  </si>
  <si>
    <t>Integrated Electric Companies</t>
  </si>
  <si>
    <t>Gas Distrubiton Companies</t>
  </si>
  <si>
    <t>Recommended Cost of Equity for Verizon Washington</t>
  </si>
  <si>
    <t>Quantity</t>
  </si>
  <si>
    <t>Percentage</t>
  </si>
  <si>
    <t>% Common Equity</t>
  </si>
  <si>
    <t>($000,000s)</t>
  </si>
  <si>
    <t>LT Debt</t>
  </si>
  <si>
    <t>ST Debt</t>
  </si>
  <si>
    <t>Pfd Stock</t>
  </si>
  <si>
    <t>Equity Ratio</t>
  </si>
  <si>
    <t>Average Without</t>
  </si>
  <si>
    <t>Total Debt</t>
  </si>
  <si>
    <t>Capital</t>
  </si>
  <si>
    <t>With ST Debt</t>
  </si>
  <si>
    <t>Short Term Debt</t>
  </si>
  <si>
    <t>Telecom</t>
  </si>
  <si>
    <t>Source: Most Current Value Line at Time of Preparation</t>
  </si>
  <si>
    <t>Total Debt Minus Long-Term Debt</t>
  </si>
  <si>
    <t>The amount of equity was calculated by using the following information provided by Value Line:</t>
  </si>
  <si>
    <t>Source:  Value Line except for Verizon Communications, Inc.</t>
  </si>
  <si>
    <t xml:space="preserve">%E: </t>
  </si>
  <si>
    <t>% of equity in the capital structure without short-term debt</t>
  </si>
  <si>
    <t>Verizon Communications Inc. is actual data obtained from 2004 2nd quarter 10Q report.</t>
  </si>
  <si>
    <t xml:space="preserve">LT: </t>
  </si>
  <si>
    <t>Amount of Long-Term Debt in the Capital Structure</t>
  </si>
  <si>
    <t>PS:</t>
  </si>
  <si>
    <t>Amount of Preferred Stock in the Capital Structure</t>
  </si>
  <si>
    <t>We know the % of equity provided by value line can be expressed algebraically:</t>
  </si>
  <si>
    <t xml:space="preserve">        Note:  E is defined as the amount of equity in the Capital Structure</t>
  </si>
  <si>
    <t>Step 1:      E = (%E) X (E + LT + PS)</t>
  </si>
  <si>
    <t>Step 2:      E = %E X E + %E X LT + %E X PS</t>
  </si>
  <si>
    <t>Step 3:      E - %E X E = %E X LT + %E X PS</t>
  </si>
  <si>
    <t>Step 4:      E - %E X E = %E X ( LT + PS)</t>
  </si>
  <si>
    <t>Step 5:      E X (1 - %E) = %E X ( LT + PS)</t>
  </si>
  <si>
    <t xml:space="preserve">Step 6:      E = %E X ( LT + PS) / (1 - %E) </t>
  </si>
  <si>
    <t>Therefore we are able to solve for the amount of equity in the capital structure with the information</t>
  </si>
  <si>
    <t>provided by Value Line.  As the formula in Step 6 shows, the amount of equity is equal to</t>
  </si>
  <si>
    <t>the % of equity in the capital structure without short-term debt times the sum of Long-term debt</t>
  </si>
  <si>
    <t>and Preferred Stock all divided by 1 minus the % of equity in the capital structure.</t>
  </si>
  <si>
    <t>Sum of Long-Term Debt, Short-Term Debt, Preferred Stock and Equity</t>
  </si>
  <si>
    <t>Quantities in columns L through O Divided by Total Capital in Column P</t>
  </si>
  <si>
    <t>Wall Street Journal 9/1/04</t>
  </si>
  <si>
    <t>Verizon Northwest, Inc.</t>
  </si>
  <si>
    <t>was 1.115%.  I increased this rate to 2.00% to allow for changes in short-term debt rates.</t>
  </si>
  <si>
    <t>Page MW38 of September 27,2004 issue of Barron's</t>
  </si>
  <si>
    <t xml:space="preserve">DCF Indicated Cost of Equity </t>
  </si>
  <si>
    <t>Result based upon risk premium over long-term treasury and long-term corporate bonds.</t>
  </si>
  <si>
    <t xml:space="preserve"> Results from shorter maturities woiuld be materially lower, but were not relied upon in this point of the</t>
  </si>
  <si>
    <t>Industrial Companies Selected by Company Witness</t>
  </si>
  <si>
    <t>Auto Data Products</t>
  </si>
  <si>
    <t>Avery Dennison</t>
  </si>
  <si>
    <t>Gannett Co.</t>
  </si>
  <si>
    <t>Illinois Tool Works</t>
  </si>
  <si>
    <t xml:space="preserve">IMS Health </t>
  </si>
  <si>
    <t>Lee Enterprises</t>
  </si>
  <si>
    <t>Liz Claiborne</t>
  </si>
  <si>
    <t>Pitney Bowes</t>
  </si>
  <si>
    <t>Polaris Indus.</t>
  </si>
  <si>
    <t>Sherwin-Williams</t>
  </si>
  <si>
    <t>Wyeth</t>
  </si>
  <si>
    <t>GCI</t>
  </si>
  <si>
    <t>ADP</t>
  </si>
  <si>
    <t>AVY</t>
  </si>
  <si>
    <t>ITW</t>
  </si>
  <si>
    <t>RX</t>
  </si>
  <si>
    <t>LEE</t>
  </si>
  <si>
    <t>LIZ</t>
  </si>
  <si>
    <t>PBI</t>
  </si>
  <si>
    <t>PII</t>
  </si>
  <si>
    <t>SHW</t>
  </si>
  <si>
    <t>WYE</t>
  </si>
  <si>
    <t>Source:  Standard &amp; Poors "Corporate Rating Criteria", p.50</t>
  </si>
  <si>
    <t xml:space="preserve">Capital struture data is 2000-2002 medians. </t>
  </si>
  <si>
    <t>Data obtained from page 50 of response to Data Request No. 34</t>
  </si>
  <si>
    <t>CAPITAL STRUCTURE AND BOND RATINGS OF UTILITY COMPANIES</t>
  </si>
  <si>
    <t>Percent equity obtaind by subtracting "total debt/capital" from 100%.</t>
  </si>
  <si>
    <t>Date of</t>
  </si>
  <si>
    <t>Last Value Line</t>
  </si>
  <si>
    <t>Forecast</t>
  </si>
  <si>
    <t>DPS</t>
  </si>
  <si>
    <t>Rate Used by</t>
  </si>
  <si>
    <t>DR. Vander Weide</t>
  </si>
  <si>
    <t>in his DCF analysis</t>
  </si>
  <si>
    <t>Diebold</t>
  </si>
  <si>
    <t>First Data Corp.</t>
  </si>
  <si>
    <t>Fortune Brands</t>
  </si>
  <si>
    <t>Johnson Controls</t>
  </si>
  <si>
    <t>DBD</t>
  </si>
  <si>
    <t>FDC</t>
  </si>
  <si>
    <t>FO</t>
  </si>
  <si>
    <t>JCI</t>
  </si>
  <si>
    <t>W/O IMS</t>
  </si>
  <si>
    <t>Exhibit ____(JAR-3)</t>
  </si>
  <si>
    <t>Based upon analysis of historic returns from 1926-2003:</t>
  </si>
  <si>
    <t>Response to Staff Data Request Attachment 490, VZNW Embedded Cost of LTD</t>
  </si>
  <si>
    <t>CAPITAL STRUCTURES</t>
  </si>
  <si>
    <t>Docket No. UT-040788</t>
  </si>
  <si>
    <t>Exhibit___(JAR-3) Schedule 6, P. 1</t>
  </si>
  <si>
    <t>Exhibit ___ (JAR-3) Schedule 2</t>
  </si>
  <si>
    <t>Exhibit ___(JAR-3) Schedule 1</t>
  </si>
  <si>
    <t>Exhibit ___(JAR-3) Schedule 4, P. 1</t>
  </si>
  <si>
    <t>Exhibit___ (JAR 3) Schedule 3, P. 1</t>
  </si>
  <si>
    <t>Exhibit____(JAR 3) Schedule 3, P.2</t>
  </si>
  <si>
    <t>Exhibit ___(JAR-3) Schedule 4, P. 2</t>
  </si>
  <si>
    <t>Exhibit ___(JAR-3) Schedule 4, P. 3</t>
  </si>
  <si>
    <t>Exhibit ___(JAR-3) Schedule 5</t>
  </si>
  <si>
    <t>Exhibit ___(JAR-3) Schedule 6, P. 2</t>
  </si>
  <si>
    <t>Exhibit ___(JAR-3) Schedule 6, P. 3</t>
  </si>
  <si>
    <t>Exhibit ___(JAR-3) Schedule 7</t>
  </si>
  <si>
    <t>Exhibit ___(JAR-3) Schedule 8</t>
  </si>
  <si>
    <t>Exhibit ___(JAR-3) Schedule 9</t>
  </si>
  <si>
    <t>Exhibit ___(JAR-3) Schedule 10, P. 1</t>
  </si>
  <si>
    <t>Exhibit ___(JAR-3) Schedule 10, P. 3</t>
  </si>
  <si>
    <t>Exhibit ___(JAR-3) Schedule 10, P. 4</t>
  </si>
  <si>
    <t>Exhibit ___(JAR-3) Schedule 11, P. 1</t>
  </si>
  <si>
    <t>Exhibit ___(JAR-3) Schedule 11, P. 2</t>
  </si>
  <si>
    <t>Exhibit ___(JAR-3) Schedule 12</t>
  </si>
  <si>
    <t>Exhibit ___(JAR-3) Schedule 13, P. 1</t>
  </si>
  <si>
    <t>Exhibit ___(JAR-3) Schedule 13, P. 2</t>
  </si>
  <si>
    <t>Exhibit ___(JAR-3) Schedule 10, P. 2</t>
  </si>
  <si>
    <t>economic cycle because actions by the Fed to stimultae the economy have provided some distortion in the normal yield curve.</t>
  </si>
  <si>
    <t>Year Ending 8/30/04</t>
  </si>
  <si>
    <t>Telecommunications Companies</t>
  </si>
  <si>
    <t>treasury bonds maturing April 2032</t>
  </si>
  <si>
    <t>Value Line, July 2004</t>
  </si>
  <si>
    <t>Per response to WUTC Staff Data Request #30, Attachment 30, most currently provided cost of short-term debt to Verizon NW</t>
  </si>
  <si>
    <t>Page 1 of 24</t>
  </si>
  <si>
    <t>Page 2 of 24</t>
  </si>
  <si>
    <t>Page 3 of 24</t>
  </si>
  <si>
    <t>Page 4 of 24</t>
  </si>
  <si>
    <t>Page 5 of 24</t>
  </si>
  <si>
    <t>Page 6 of 24</t>
  </si>
  <si>
    <t>Page 7 of 24</t>
  </si>
  <si>
    <t>Page 8 of 24</t>
  </si>
  <si>
    <t>Page 9 of 24</t>
  </si>
  <si>
    <t>Page 10 of 24</t>
  </si>
  <si>
    <t>Page 11 of 24</t>
  </si>
  <si>
    <t>Page 12 of 24</t>
  </si>
  <si>
    <t>Page 13 of 24</t>
  </si>
  <si>
    <t>Page 14 of 24</t>
  </si>
  <si>
    <t>Page 15 of 24</t>
  </si>
  <si>
    <t>Page 16 of 24</t>
  </si>
  <si>
    <t>Page 17 of 24</t>
  </si>
  <si>
    <t>Page 18 of 24</t>
  </si>
  <si>
    <t>Page 19 of 24</t>
  </si>
  <si>
    <t>Page 20 of 24</t>
  </si>
  <si>
    <t>Page 21 of 24</t>
  </si>
  <si>
    <t>Page 22 of 24</t>
  </si>
  <si>
    <t>Page 23 of 24</t>
  </si>
  <si>
    <t>Page 24 of 24</t>
  </si>
  <si>
    <t>Exhibit ___(JAR-3) Schedule 3, P 3</t>
  </si>
  <si>
    <t>Applicable to Telecom Beta of</t>
  </si>
  <si>
    <t>CAUTION: Risk Premium Based on Short-term Treasury Bonds Too Low Due to Federal Reserve Stimulus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</si>
</sst>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\)"/>
    <numFmt numFmtId="166" formatCode="0.0"/>
    <numFmt numFmtId="167" formatCode="&quot;$&quot;#,##0.000\ ;\(&quot;$&quot;#,##0.00\)"/>
    <numFmt numFmtId="168" formatCode="#,##0.0000"/>
    <numFmt numFmtId="169" formatCode="0.000"/>
    <numFmt numFmtId="170" formatCode="0.0000"/>
    <numFmt numFmtId="171" formatCode="&quot;$&quot;#,##0.00_);[Red]\(&quot;$&quot;#,##0.0\)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#,##0.0"/>
    <numFmt numFmtId="178" formatCode="&quot;$&quot;0\ ;\(&quot;$&quot;0\)"/>
    <numFmt numFmtId="179" formatCode="&quot;$&quot;#,##0.0_);[Red]\(&quot;$&quot;#,##0.0\)"/>
    <numFmt numFmtId="180" formatCode="0.0000000"/>
    <numFmt numFmtId="181" formatCode="0.00000000"/>
    <numFmt numFmtId="182" formatCode="0.000000"/>
    <numFmt numFmtId="183" formatCode="0.00000"/>
    <numFmt numFmtId="184" formatCode="_(* #,##0.0_);_(* \(#,##0.0\);_(* &quot;-&quot;??_);_(@_)"/>
    <numFmt numFmtId="185" formatCode="#,##0.000"/>
    <numFmt numFmtId="186" formatCode="0.0000000000"/>
    <numFmt numFmtId="187" formatCode="0.000000000"/>
    <numFmt numFmtId="188" formatCode="&quot;$&quot;#,##0.0_);\(&quot;$&quot;#,##0.0\)"/>
    <numFmt numFmtId="189" formatCode="&quot;$&quot;#,##0.000_);\(&quot;$&quot;#,##0.000\)"/>
    <numFmt numFmtId="190" formatCode="&quot;$&quot;#,##0.000_);[Red]\(&quot;$&quot;#,##0.000\)"/>
    <numFmt numFmtId="191" formatCode="mm/dd/yy"/>
    <numFmt numFmtId="192" formatCode="&quot;$&quot;#,##0.0000_);[Red]\(&quot;$&quot;#,##0.0000\)"/>
    <numFmt numFmtId="193" formatCode="&quot;$&quot;#,##0.00000_);[Red]\(&quot;$&quot;#,##0.00000\)"/>
    <numFmt numFmtId="194" formatCode="&quot;$&quot;#,##0.000000_);[Red]\(&quot;$&quot;#,##0.000000\)"/>
    <numFmt numFmtId="195" formatCode="0_)"/>
    <numFmt numFmtId="196" formatCode="0.00_)"/>
    <numFmt numFmtId="197" formatCode="0.0_)"/>
    <numFmt numFmtId="198" formatCode="_(&quot;$&quot;* #,##0.0_);_(&quot;$&quot;* \(#,##0.0\);_(&quot;$&quot;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00000000000000%"/>
    <numFmt numFmtId="204" formatCode="0.0000000000000000%"/>
    <numFmt numFmtId="205" formatCode="dd\-mmm\-yy"/>
    <numFmt numFmtId="206" formatCode="0.00;[Red]0.00"/>
    <numFmt numFmtId="207" formatCode="0.0000000000000%"/>
    <numFmt numFmtId="208" formatCode="#,##0.00000000"/>
    <numFmt numFmtId="209" formatCode="&quot;$&quot;#,##0.0000_);\(&quot;$&quot;#,##0.0000\)"/>
    <numFmt numFmtId="210" formatCode="&quot;$&quot;#,##0.00000_);\(&quot;$&quot;#,##0.00000\)"/>
    <numFmt numFmtId="211" formatCode="0.000000000000000%"/>
    <numFmt numFmtId="212" formatCode="0.00000000000000%"/>
    <numFmt numFmtId="213" formatCode="0.00000000%"/>
    <numFmt numFmtId="214" formatCode="0.000000000000000000%"/>
    <numFmt numFmtId="215" formatCode="0.0000000000000000000%"/>
    <numFmt numFmtId="216" formatCode="0.00000000000000000000%"/>
    <numFmt numFmtId="217" formatCode="_(&quot;$&quot;* #,##0_);_(&quot;$&quot;* \(#,##0\);_(&quot;$&quot;* &quot;-&quot;??_);_(@_)"/>
    <numFmt numFmtId="218" formatCode="0.000000000000%"/>
    <numFmt numFmtId="219" formatCode="0.00000000000%"/>
    <numFmt numFmtId="220" formatCode="0.0000000000%"/>
    <numFmt numFmtId="221" formatCode="0.000000000%"/>
    <numFmt numFmtId="222" formatCode="_(* #,##0.000000_);_(* \(#,##0.000000\);_(* &quot;-&quot;??_);_(@_)"/>
    <numFmt numFmtId="223" formatCode="_(&quot;$&quot;* #,##0.000_);_(&quot;$&quot;* \(#,##0.000\);_(&quot;$&quot;* &quot;-&quot;??_);_(@_)"/>
    <numFmt numFmtId="224" formatCode="[$-409]dddd\,\ mmmm\ dd\,\ yyyy"/>
    <numFmt numFmtId="225" formatCode="[$-409]mmmm\-yy;@"/>
    <numFmt numFmtId="226" formatCode="[$-409]mmmm\ d\,\ yyyy;@"/>
  </numFmts>
  <fonts count="30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7.5"/>
      <name val="Fusion"/>
      <family val="0"/>
    </font>
    <font>
      <sz val="10"/>
      <name val="MS Sans Serif"/>
      <family val="0"/>
    </font>
    <font>
      <sz val="7"/>
      <name val="Galaxy"/>
      <family val="0"/>
    </font>
    <font>
      <sz val="8"/>
      <name val="Helv"/>
      <family val="0"/>
    </font>
    <font>
      <sz val="8"/>
      <name val="Galaxy"/>
      <family val="0"/>
    </font>
    <font>
      <sz val="9"/>
      <name val="Galaxy"/>
      <family val="0"/>
    </font>
    <font>
      <sz val="6"/>
      <name val="Arial"/>
      <family val="2"/>
    </font>
    <font>
      <sz val="8"/>
      <color indexed="14"/>
      <name val="Arial"/>
      <family val="2"/>
    </font>
    <font>
      <sz val="8"/>
      <color indexed="56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7"/>
      <color indexed="14"/>
      <name val="Arial"/>
      <family val="2"/>
    </font>
    <font>
      <sz val="10"/>
      <color indexed="14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10" fontId="8" fillId="0" borderId="0" xfId="0" applyNumberFormat="1" applyFont="1" applyAlignment="1">
      <alignment/>
    </xf>
    <xf numFmtId="10" fontId="8" fillId="0" borderId="2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center"/>
    </xf>
    <xf numFmtId="10" fontId="9" fillId="0" borderId="0" xfId="0" applyNumberFormat="1" applyFont="1" applyAlignment="1">
      <alignment/>
    </xf>
    <xf numFmtId="0" fontId="13" fillId="0" borderId="0" xfId="0" applyFont="1" applyAlignment="1">
      <alignment/>
    </xf>
    <xf numFmtId="10" fontId="5" fillId="0" borderId="3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22" applyFont="1" applyAlignment="1" applyProtection="1">
      <alignment horizontal="left"/>
      <protection locked="0"/>
    </xf>
    <xf numFmtId="0" fontId="0" fillId="0" borderId="0" xfId="22" applyFont="1" applyProtection="1">
      <alignment/>
      <protection locked="0"/>
    </xf>
    <xf numFmtId="0" fontId="7" fillId="0" borderId="0" xfId="22" applyFont="1" applyAlignment="1" applyProtection="1">
      <alignment horizontal="left"/>
      <protection locked="0"/>
    </xf>
    <xf numFmtId="0" fontId="0" fillId="0" borderId="0" xfId="22" applyFont="1">
      <alignment/>
      <protection/>
    </xf>
    <xf numFmtId="0" fontId="7" fillId="0" borderId="0" xfId="22" applyFont="1" applyProtection="1">
      <alignment/>
      <protection locked="0"/>
    </xf>
    <xf numFmtId="0" fontId="7" fillId="0" borderId="0" xfId="22" applyFont="1" applyAlignment="1">
      <alignment horizontal="right"/>
      <protection/>
    </xf>
    <xf numFmtId="2" fontId="0" fillId="0" borderId="0" xfId="22" applyNumberFormat="1" applyFont="1" applyProtection="1">
      <alignment/>
      <protection locked="0"/>
    </xf>
    <xf numFmtId="10" fontId="0" fillId="0" borderId="0" xfId="22" applyNumberFormat="1" applyFont="1" applyProtection="1">
      <alignment/>
      <protection locked="0"/>
    </xf>
    <xf numFmtId="2" fontId="0" fillId="0" borderId="0" xfId="22" applyNumberFormat="1" applyFont="1" applyAlignment="1" applyProtection="1">
      <alignment horizontal="left"/>
      <protection locked="0"/>
    </xf>
    <xf numFmtId="10" fontId="0" fillId="0" borderId="0" xfId="22" applyNumberFormat="1" applyFont="1">
      <alignment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/>
    </xf>
    <xf numFmtId="10" fontId="0" fillId="0" borderId="0" xfId="25" applyNumberFormat="1" applyFont="1" applyAlignment="1">
      <alignment/>
    </xf>
    <xf numFmtId="10" fontId="0" fillId="0" borderId="0" xfId="25" applyNumberFormat="1" applyAlignment="1">
      <alignment/>
    </xf>
    <xf numFmtId="10" fontId="0" fillId="0" borderId="3" xfId="25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0" fontId="0" fillId="0" borderId="0" xfId="25" applyNumberFormat="1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15" applyAlignment="1">
      <alignment/>
    </xf>
    <xf numFmtId="4" fontId="0" fillId="0" borderId="0" xfId="15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/>
    </xf>
    <xf numFmtId="10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10" fontId="5" fillId="2" borderId="3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 horizontal="center"/>
    </xf>
    <xf numFmtId="10" fontId="17" fillId="3" borderId="0" xfId="0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4" fontId="17" fillId="3" borderId="0" xfId="15" applyFont="1" applyFill="1" applyAlignment="1">
      <alignment/>
    </xf>
    <xf numFmtId="4" fontId="18" fillId="0" borderId="0" xfId="15" applyFont="1" applyAlignment="1">
      <alignment/>
    </xf>
    <xf numFmtId="10" fontId="18" fillId="0" borderId="0" xfId="25" applyNumberFormat="1" applyFont="1" applyAlignment="1">
      <alignment/>
    </xf>
    <xf numFmtId="10" fontId="20" fillId="3" borderId="0" xfId="0" applyNumberFormat="1" applyFont="1" applyFill="1" applyAlignment="1">
      <alignment horizontal="center"/>
    </xf>
    <xf numFmtId="4" fontId="20" fillId="3" borderId="0" xfId="15" applyFont="1" applyFill="1" applyAlignment="1">
      <alignment horizontal="center"/>
    </xf>
    <xf numFmtId="0" fontId="20" fillId="3" borderId="0" xfId="0" applyFont="1" applyFill="1" applyAlignment="1">
      <alignment horizontal="left"/>
    </xf>
    <xf numFmtId="10" fontId="21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/>
    </xf>
    <xf numFmtId="2" fontId="22" fillId="3" borderId="0" xfId="22" applyNumberFormat="1" applyFont="1" applyFill="1" applyProtection="1">
      <alignment/>
      <protection locked="0"/>
    </xf>
    <xf numFmtId="2" fontId="22" fillId="3" borderId="0" xfId="22" applyNumberFormat="1" applyFont="1" applyFill="1" applyAlignment="1">
      <alignment horizontal="right"/>
      <protection/>
    </xf>
    <xf numFmtId="10" fontId="0" fillId="0" borderId="10" xfId="22" applyNumberFormat="1" applyFont="1" applyBorder="1" applyProtection="1">
      <alignment/>
      <protection locked="0"/>
    </xf>
    <xf numFmtId="10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0" fontId="17" fillId="3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0" fontId="0" fillId="0" borderId="0" xfId="25" applyNumberFormat="1" applyAlignment="1">
      <alignment horizontal="center"/>
    </xf>
    <xf numFmtId="0" fontId="22" fillId="0" borderId="0" xfId="0" applyFont="1" applyAlignment="1">
      <alignment/>
    </xf>
    <xf numFmtId="10" fontId="21" fillId="0" borderId="0" xfId="25" applyNumberFormat="1" applyFont="1" applyAlignment="1">
      <alignment/>
    </xf>
    <xf numFmtId="14" fontId="22" fillId="0" borderId="0" xfId="0" applyNumberFormat="1" applyFont="1" applyAlignment="1">
      <alignment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3" xfId="24" applyFont="1" applyBorder="1">
      <alignment/>
      <protection/>
    </xf>
    <xf numFmtId="17" fontId="0" fillId="0" borderId="0" xfId="24" applyNumberFormat="1" applyFont="1" applyAlignment="1">
      <alignment horizontal="center"/>
      <protection/>
    </xf>
    <xf numFmtId="14" fontId="0" fillId="0" borderId="0" xfId="24" applyNumberFormat="1" applyFont="1" applyAlignment="1">
      <alignment horizontal="center"/>
      <protection/>
    </xf>
    <xf numFmtId="0" fontId="0" fillId="0" borderId="0" xfId="0" applyFont="1" applyAlignment="1">
      <alignment/>
    </xf>
    <xf numFmtId="7" fontId="0" fillId="0" borderId="0" xfId="24" applyNumberFormat="1" applyFont="1" applyAlignment="1">
      <alignment horizontal="center"/>
      <protection/>
    </xf>
    <xf numFmtId="10" fontId="0" fillId="0" borderId="0" xfId="24" applyNumberFormat="1" applyFont="1">
      <alignment/>
      <protection/>
    </xf>
    <xf numFmtId="7" fontId="22" fillId="3" borderId="0" xfId="24" applyNumberFormat="1" applyFont="1" applyFill="1" applyAlignment="1">
      <alignment/>
      <protection/>
    </xf>
    <xf numFmtId="2" fontId="0" fillId="0" borderId="0" xfId="24" applyNumberFormat="1" applyFont="1" applyAlignment="1">
      <alignment horizontal="center"/>
      <protection/>
    </xf>
    <xf numFmtId="7" fontId="22" fillId="3" borderId="0" xfId="24" applyNumberFormat="1" applyFont="1" applyFill="1" applyAlignment="1">
      <alignment horizontal="center"/>
      <protection/>
    </xf>
    <xf numFmtId="10" fontId="0" fillId="0" borderId="0" xfId="24" applyNumberFormat="1" applyFont="1" applyAlignment="1">
      <alignment horizontal="center"/>
      <protection/>
    </xf>
    <xf numFmtId="10" fontId="0" fillId="0" borderId="0" xfId="24" applyNumberFormat="1" applyFont="1" applyAlignment="1">
      <alignment horizontal="left"/>
      <protection/>
    </xf>
    <xf numFmtId="7" fontId="22" fillId="3" borderId="0" xfId="24" applyNumberFormat="1" applyFont="1" applyFill="1" applyAlignment="1">
      <alignment horizontal="left"/>
      <protection/>
    </xf>
    <xf numFmtId="10" fontId="22" fillId="0" borderId="0" xfId="24" applyNumberFormat="1" applyFont="1" applyAlignment="1">
      <alignment horizontal="center"/>
      <protection/>
    </xf>
    <xf numFmtId="10" fontId="22" fillId="3" borderId="0" xfId="24" applyNumberFormat="1" applyFont="1" applyFill="1" applyAlignment="1">
      <alignment horizontal="center"/>
      <protection/>
    </xf>
    <xf numFmtId="7" fontId="0" fillId="0" borderId="0" xfId="24" applyNumberFormat="1" applyFont="1">
      <alignment/>
      <protection/>
    </xf>
    <xf numFmtId="7" fontId="22" fillId="3" borderId="3" xfId="24" applyNumberFormat="1" applyFont="1" applyFill="1" applyBorder="1" applyAlignment="1">
      <alignment/>
      <protection/>
    </xf>
    <xf numFmtId="0" fontId="22" fillId="3" borderId="3" xfId="24" applyFont="1" applyFill="1" applyBorder="1" applyAlignment="1">
      <alignment/>
      <protection/>
    </xf>
    <xf numFmtId="7" fontId="22" fillId="3" borderId="3" xfId="24" applyNumberFormat="1" applyFont="1" applyFill="1" applyBorder="1" applyAlignment="1">
      <alignment horizontal="center"/>
      <protection/>
    </xf>
    <xf numFmtId="10" fontId="0" fillId="0" borderId="3" xfId="24" applyNumberFormat="1" applyFont="1" applyBorder="1" applyAlignment="1">
      <alignment horizontal="center"/>
      <protection/>
    </xf>
    <xf numFmtId="10" fontId="0" fillId="0" borderId="0" xfId="24" applyNumberFormat="1" applyFont="1" applyBorder="1">
      <alignment/>
      <protection/>
    </xf>
    <xf numFmtId="7" fontId="0" fillId="0" borderId="0" xfId="24" applyNumberFormat="1" applyFont="1" applyAlignment="1">
      <alignment/>
      <protection/>
    </xf>
    <xf numFmtId="2" fontId="0" fillId="0" borderId="11" xfId="24" applyNumberFormat="1" applyFont="1" applyBorder="1" applyAlignment="1">
      <alignment horizontal="center"/>
      <protection/>
    </xf>
    <xf numFmtId="2" fontId="0" fillId="0" borderId="9" xfId="24" applyNumberFormat="1" applyFont="1" applyBorder="1" applyAlignment="1">
      <alignment horizontal="center"/>
      <protection/>
    </xf>
    <xf numFmtId="10" fontId="0" fillId="0" borderId="11" xfId="24" applyNumberFormat="1" applyFont="1" applyBorder="1" applyAlignment="1">
      <alignment horizontal="center"/>
      <protection/>
    </xf>
    <xf numFmtId="10" fontId="0" fillId="0" borderId="9" xfId="24" applyNumberFormat="1" applyFont="1" applyBorder="1" applyAlignment="1">
      <alignment horizontal="center"/>
      <protection/>
    </xf>
    <xf numFmtId="7" fontId="0" fillId="0" borderId="0" xfId="24" applyNumberFormat="1" applyFont="1" applyAlignment="1">
      <alignment horizontal="left"/>
      <protection/>
    </xf>
    <xf numFmtId="10" fontId="0" fillId="0" borderId="1" xfId="24" applyNumberFormat="1" applyFont="1" applyBorder="1" applyAlignment="1">
      <alignment horizontal="center"/>
      <protection/>
    </xf>
    <xf numFmtId="7" fontId="0" fillId="0" borderId="0" xfId="24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24" applyNumberFormat="1" applyFont="1" applyBorder="1" applyAlignment="1">
      <alignment horizontal="center"/>
      <protection/>
    </xf>
    <xf numFmtId="10" fontId="0" fillId="0" borderId="0" xfId="25" applyNumberFormat="1" applyFont="1" applyBorder="1" applyAlignment="1">
      <alignment horizontal="center"/>
    </xf>
    <xf numFmtId="10" fontId="0" fillId="0" borderId="0" xfId="24" applyNumberFormat="1" applyFont="1" applyBorder="1" applyAlignment="1">
      <alignment horizontal="center"/>
      <protection/>
    </xf>
    <xf numFmtId="10" fontId="0" fillId="0" borderId="0" xfId="0" applyNumberFormat="1" applyFont="1" applyBorder="1" applyAlignment="1">
      <alignment/>
    </xf>
    <xf numFmtId="8" fontId="0" fillId="0" borderId="0" xfId="17" applyFont="1" applyBorder="1" applyAlignment="1">
      <alignment/>
    </xf>
    <xf numFmtId="0" fontId="0" fillId="0" borderId="0" xfId="24" applyFont="1">
      <alignment/>
      <protection/>
    </xf>
    <xf numFmtId="0" fontId="7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7" fontId="0" fillId="0" borderId="0" xfId="24" applyNumberFormat="1" applyFont="1" applyBorder="1">
      <alignment/>
      <protection/>
    </xf>
    <xf numFmtId="10" fontId="7" fillId="0" borderId="0" xfId="24" applyNumberFormat="1" applyFont="1" applyBorder="1" applyAlignment="1">
      <alignment horizontal="left"/>
      <protection/>
    </xf>
    <xf numFmtId="7" fontId="0" fillId="0" borderId="0" xfId="24" applyNumberFormat="1" applyFont="1" applyBorder="1" applyAlignment="1">
      <alignment horizontal="left"/>
      <protection/>
    </xf>
    <xf numFmtId="0" fontId="0" fillId="0" borderId="0" xfId="24" applyFont="1" applyBorder="1" applyAlignment="1">
      <alignment horizontal="center"/>
      <protection/>
    </xf>
    <xf numFmtId="10" fontId="0" fillId="0" borderId="0" xfId="24" applyNumberFormat="1" applyFont="1" applyBorder="1" applyAlignment="1">
      <alignment horizontal="left"/>
      <protection/>
    </xf>
    <xf numFmtId="7" fontId="0" fillId="0" borderId="0" xfId="24" applyNumberFormat="1" applyFont="1" applyBorder="1" applyAlignment="1">
      <alignment/>
      <protection/>
    </xf>
    <xf numFmtId="7" fontId="0" fillId="0" borderId="0" xfId="0" applyNumberFormat="1" applyFont="1" applyBorder="1" applyAlignment="1">
      <alignment/>
    </xf>
    <xf numFmtId="7" fontId="22" fillId="3" borderId="0" xfId="24" applyNumberFormat="1" applyFont="1" applyFill="1" applyBorder="1" applyAlignment="1">
      <alignment horizontal="left"/>
      <protection/>
    </xf>
    <xf numFmtId="7" fontId="22" fillId="3" borderId="0" xfId="21" applyNumberFormat="1" applyFont="1" applyFill="1" applyBorder="1">
      <alignment/>
      <protection/>
    </xf>
    <xf numFmtId="7" fontId="22" fillId="3" borderId="0" xfId="24" applyNumberFormat="1" applyFont="1" applyFill="1" applyBorder="1" applyAlignment="1">
      <alignment/>
      <protection/>
    </xf>
    <xf numFmtId="10" fontId="22" fillId="0" borderId="0" xfId="24" applyNumberFormat="1" applyFont="1" applyBorder="1" applyAlignment="1">
      <alignment horizontal="center"/>
      <protection/>
    </xf>
    <xf numFmtId="10" fontId="22" fillId="3" borderId="0" xfId="2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24" applyNumberFormat="1" applyFont="1" applyBorder="1">
      <alignment/>
      <protection/>
    </xf>
    <xf numFmtId="10" fontId="7" fillId="0" borderId="0" xfId="24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7" fontId="7" fillId="0" borderId="0" xfId="24" applyNumberFormat="1" applyFont="1" applyAlignment="1">
      <alignment horizontal="center"/>
      <protection/>
    </xf>
    <xf numFmtId="10" fontId="7" fillId="0" borderId="0" xfId="24" applyNumberFormat="1" applyFont="1">
      <alignment/>
      <protection/>
    </xf>
    <xf numFmtId="0" fontId="0" fillId="0" borderId="3" xfId="0" applyFont="1" applyBorder="1" applyAlignment="1">
      <alignment/>
    </xf>
    <xf numFmtId="10" fontId="0" fillId="0" borderId="0" xfId="25" applyNumberFormat="1" applyFont="1" applyAlignment="1">
      <alignment horizontal="center"/>
    </xf>
    <xf numFmtId="0" fontId="0" fillId="0" borderId="0" xfId="24" applyFont="1" applyAlignment="1">
      <alignment horizontal="center"/>
      <protection/>
    </xf>
    <xf numFmtId="0" fontId="0" fillId="0" borderId="0" xfId="24" applyFont="1" applyAlignment="1">
      <alignment horizontal="left"/>
      <protection/>
    </xf>
    <xf numFmtId="2" fontId="0" fillId="0" borderId="0" xfId="24" applyNumberFormat="1" applyFont="1" applyAlignment="1">
      <alignment horizontal="center"/>
      <protection/>
    </xf>
    <xf numFmtId="10" fontId="0" fillId="0" borderId="0" xfId="24" applyNumberFormat="1" applyFont="1" applyAlignment="1">
      <alignment horizontal="center"/>
      <protection/>
    </xf>
    <xf numFmtId="10" fontId="0" fillId="0" borderId="0" xfId="24" applyNumberFormat="1" applyFont="1">
      <alignment/>
      <protection/>
    </xf>
    <xf numFmtId="10" fontId="0" fillId="0" borderId="0" xfId="24" applyNumberFormat="1" applyFont="1" applyAlignment="1">
      <alignment horizontal="left"/>
      <protection/>
    </xf>
    <xf numFmtId="7" fontId="0" fillId="0" borderId="0" xfId="24" applyNumberFormat="1" applyFont="1" applyAlignment="1">
      <alignment horizontal="center"/>
      <protection/>
    </xf>
    <xf numFmtId="7" fontId="0" fillId="0" borderId="0" xfId="24" applyNumberFormat="1" applyFont="1">
      <alignment/>
      <protection/>
    </xf>
    <xf numFmtId="4" fontId="22" fillId="0" borderId="0" xfId="15" applyFont="1" applyAlignment="1">
      <alignment/>
    </xf>
    <xf numFmtId="4" fontId="0" fillId="0" borderId="0" xfId="15" applyFont="1" applyBorder="1" applyAlignment="1">
      <alignment horizontal="center"/>
    </xf>
    <xf numFmtId="4" fontId="7" fillId="0" borderId="0" xfId="15" applyFont="1" applyAlignment="1">
      <alignment/>
    </xf>
    <xf numFmtId="4" fontId="0" fillId="0" borderId="0" xfId="15" applyFont="1" applyAlignment="1">
      <alignment/>
    </xf>
    <xf numFmtId="4" fontId="0" fillId="0" borderId="0" xfId="15" applyFont="1" applyBorder="1" applyAlignment="1">
      <alignment/>
    </xf>
    <xf numFmtId="4" fontId="7" fillId="0" borderId="0" xfId="15" applyFont="1" applyBorder="1" applyAlignment="1">
      <alignment/>
    </xf>
    <xf numFmtId="4" fontId="0" fillId="0" borderId="3" xfId="15" applyFont="1" applyBorder="1" applyAlignment="1">
      <alignment/>
    </xf>
    <xf numFmtId="10" fontId="0" fillId="0" borderId="3" xfId="0" applyNumberFormat="1" applyBorder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10" fontId="22" fillId="0" borderId="0" xfId="25" applyNumberFormat="1" applyFont="1" applyAlignment="1">
      <alignment/>
    </xf>
    <xf numFmtId="10" fontId="0" fillId="0" borderId="12" xfId="25" applyNumberFormat="1" applyBorder="1" applyAlignment="1">
      <alignment/>
    </xf>
    <xf numFmtId="10" fontId="0" fillId="0" borderId="0" xfId="25" applyNumberFormat="1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24" fillId="0" borderId="0" xfId="0" applyFont="1" applyAlignment="1">
      <alignment/>
    </xf>
    <xf numFmtId="10" fontId="7" fillId="0" borderId="0" xfId="25" applyNumberFormat="1" applyFont="1" applyAlignment="1">
      <alignment/>
    </xf>
    <xf numFmtId="191" fontId="0" fillId="0" borderId="0" xfId="24" applyNumberFormat="1" applyFont="1" applyAlignment="1">
      <alignment horizontal="center"/>
      <protection/>
    </xf>
    <xf numFmtId="10" fontId="20" fillId="3" borderId="1" xfId="0" applyNumberFormat="1" applyFont="1" applyFill="1" applyBorder="1" applyAlignment="1">
      <alignment horizontal="center"/>
    </xf>
    <xf numFmtId="4" fontId="22" fillId="0" borderId="0" xfId="15" applyFont="1" applyBorder="1" applyAlignment="1">
      <alignment/>
    </xf>
    <xf numFmtId="0" fontId="7" fillId="0" borderId="0" xfId="22" applyFont="1">
      <alignment/>
      <protection/>
    </xf>
    <xf numFmtId="4" fontId="0" fillId="0" borderId="0" xfId="15" applyFont="1" applyAlignment="1">
      <alignment/>
    </xf>
    <xf numFmtId="7" fontId="0" fillId="0" borderId="3" xfId="24" applyNumberFormat="1" applyFont="1" applyBorder="1" applyAlignment="1">
      <alignment horizontal="center"/>
      <protection/>
    </xf>
    <xf numFmtId="7" fontId="0" fillId="0" borderId="3" xfId="24" applyNumberFormat="1" applyFont="1" applyBorder="1" applyAlignment="1">
      <alignment horizontal="left"/>
      <protection/>
    </xf>
    <xf numFmtId="10" fontId="0" fillId="0" borderId="3" xfId="24" applyNumberFormat="1" applyFont="1" applyBorder="1" applyAlignment="1">
      <alignment horizontal="center"/>
      <protection/>
    </xf>
    <xf numFmtId="10" fontId="0" fillId="0" borderId="0" xfId="24" applyNumberFormat="1" applyFont="1" applyBorder="1">
      <alignment/>
      <protection/>
    </xf>
    <xf numFmtId="4" fontId="0" fillId="0" borderId="3" xfId="15" applyFont="1" applyBorder="1" applyAlignment="1">
      <alignment/>
    </xf>
    <xf numFmtId="7" fontId="0" fillId="0" borderId="0" xfId="24" applyNumberFormat="1" applyFont="1" applyAlignment="1">
      <alignment/>
      <protection/>
    </xf>
    <xf numFmtId="2" fontId="0" fillId="0" borderId="11" xfId="24" applyNumberFormat="1" applyFont="1" applyBorder="1" applyAlignment="1">
      <alignment horizontal="center"/>
      <protection/>
    </xf>
    <xf numFmtId="2" fontId="0" fillId="0" borderId="9" xfId="24" applyNumberFormat="1" applyFont="1" applyBorder="1" applyAlignment="1">
      <alignment horizontal="center"/>
      <protection/>
    </xf>
    <xf numFmtId="10" fontId="0" fillId="0" borderId="11" xfId="24" applyNumberFormat="1" applyFont="1" applyBorder="1" applyAlignment="1">
      <alignment horizontal="center"/>
      <protection/>
    </xf>
    <xf numFmtId="10" fontId="0" fillId="0" borderId="9" xfId="24" applyNumberFormat="1" applyFont="1" applyBorder="1" applyAlignment="1">
      <alignment horizontal="center"/>
      <protection/>
    </xf>
    <xf numFmtId="7" fontId="0" fillId="0" borderId="0" xfId="24" applyNumberFormat="1" applyFont="1" applyAlignment="1">
      <alignment horizontal="left"/>
      <protection/>
    </xf>
    <xf numFmtId="10" fontId="0" fillId="0" borderId="1" xfId="24" applyNumberFormat="1" applyFont="1" applyBorder="1" applyAlignment="1">
      <alignment horizontal="center"/>
      <protection/>
    </xf>
    <xf numFmtId="10" fontId="0" fillId="0" borderId="2" xfId="24" applyNumberFormat="1" applyFont="1" applyBorder="1" applyAlignment="1">
      <alignment horizontal="center"/>
      <protection/>
    </xf>
    <xf numFmtId="7" fontId="7" fillId="0" borderId="0" xfId="24" applyNumberFormat="1" applyFont="1">
      <alignment/>
      <protection/>
    </xf>
    <xf numFmtId="2" fontId="7" fillId="0" borderId="0" xfId="24" applyNumberFormat="1" applyFont="1" applyAlignment="1">
      <alignment horizontal="center"/>
      <protection/>
    </xf>
    <xf numFmtId="7" fontId="7" fillId="0" borderId="0" xfId="24" applyNumberFormat="1" applyFont="1" applyAlignment="1">
      <alignment horizontal="left"/>
      <protection/>
    </xf>
    <xf numFmtId="10" fontId="7" fillId="0" borderId="0" xfId="24" applyNumberFormat="1" applyFont="1" applyAlignment="1">
      <alignment horizontal="center"/>
      <protection/>
    </xf>
    <xf numFmtId="10" fontId="0" fillId="0" borderId="0" xfId="22" applyNumberFormat="1" applyFont="1" applyBorder="1" applyProtection="1">
      <alignment/>
      <protection locked="0"/>
    </xf>
    <xf numFmtId="0" fontId="9" fillId="0" borderId="0" xfId="0" applyFont="1" applyAlignment="1">
      <alignment/>
    </xf>
    <xf numFmtId="10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0" fillId="0" borderId="3" xfId="24" applyNumberFormat="1" applyFont="1" applyBorder="1" applyAlignment="1">
      <alignment horizontal="center"/>
      <protection/>
    </xf>
    <xf numFmtId="10" fontId="22" fillId="0" borderId="3" xfId="24" applyNumberFormat="1" applyFont="1" applyBorder="1" applyAlignment="1">
      <alignment horizontal="center"/>
      <protection/>
    </xf>
    <xf numFmtId="10" fontId="0" fillId="0" borderId="3" xfId="22" applyNumberFormat="1" applyFont="1" applyBorder="1" applyProtection="1">
      <alignment/>
      <protection locked="0"/>
    </xf>
    <xf numFmtId="10" fontId="0" fillId="0" borderId="0" xfId="22" applyNumberFormat="1" applyFont="1" applyAlignment="1" applyProtection="1">
      <alignment horizontal="right"/>
      <protection locked="0"/>
    </xf>
    <xf numFmtId="7" fontId="0" fillId="0" borderId="3" xfId="24" applyNumberFormat="1" applyFont="1" applyBorder="1">
      <alignment/>
      <protection/>
    </xf>
    <xf numFmtId="4" fontId="0" fillId="0" borderId="0" xfId="15" applyFont="1" applyAlignment="1">
      <alignment horizontal="right"/>
    </xf>
    <xf numFmtId="10" fontId="0" fillId="0" borderId="0" xfId="25" applyNumberFormat="1" applyFont="1" applyAlignment="1">
      <alignment/>
    </xf>
    <xf numFmtId="10" fontId="22" fillId="3" borderId="3" xfId="24" applyNumberFormat="1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0" fontId="0" fillId="0" borderId="0" xfId="25" applyNumberFormat="1" applyFont="1" applyBorder="1" applyAlignment="1">
      <alignment/>
    </xf>
    <xf numFmtId="185" fontId="5" fillId="2" borderId="0" xfId="15" applyNumberFormat="1" applyFont="1" applyFill="1" applyAlignment="1">
      <alignment/>
    </xf>
    <xf numFmtId="168" fontId="5" fillId="2" borderId="0" xfId="15" applyNumberFormat="1" applyFont="1" applyFill="1" applyAlignment="1">
      <alignment/>
    </xf>
    <xf numFmtId="4" fontId="0" fillId="0" borderId="0" xfId="15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15" applyFont="1" applyAlignment="1">
      <alignment/>
    </xf>
    <xf numFmtId="10" fontId="5" fillId="0" borderId="0" xfId="0" applyNumberFormat="1" applyFont="1" applyAlignment="1">
      <alignment horizontal="left"/>
    </xf>
    <xf numFmtId="4" fontId="22" fillId="0" borderId="0" xfId="15" applyFont="1" applyAlignment="1">
      <alignment horizontal="right"/>
    </xf>
    <xf numFmtId="4" fontId="22" fillId="0" borderId="3" xfId="15" applyFont="1" applyBorder="1" applyAlignment="1">
      <alignment/>
    </xf>
    <xf numFmtId="7" fontId="0" fillId="0" borderId="0" xfId="24" applyNumberFormat="1" applyFont="1" applyBorder="1">
      <alignment/>
      <protection/>
    </xf>
    <xf numFmtId="2" fontId="0" fillId="0" borderId="0" xfId="24" applyNumberFormat="1" applyFont="1" applyBorder="1" applyAlignment="1">
      <alignment horizontal="center"/>
      <protection/>
    </xf>
    <xf numFmtId="10" fontId="0" fillId="0" borderId="0" xfId="24" applyNumberFormat="1" applyFont="1" applyBorder="1" applyAlignment="1">
      <alignment horizontal="center"/>
      <protection/>
    </xf>
    <xf numFmtId="4" fontId="0" fillId="0" borderId="0" xfId="15" applyFont="1" applyBorder="1" applyAlignment="1">
      <alignment horizontal="right"/>
    </xf>
    <xf numFmtId="4" fontId="0" fillId="0" borderId="0" xfId="15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10" fontId="22" fillId="0" borderId="0" xfId="0" applyNumberFormat="1" applyFont="1" applyAlignment="1">
      <alignment/>
    </xf>
    <xf numFmtId="10" fontId="28" fillId="0" borderId="0" xfId="25" applyNumberFormat="1" applyFont="1" applyAlignment="1">
      <alignment/>
    </xf>
    <xf numFmtId="0" fontId="5" fillId="0" borderId="0" xfId="0" applyFont="1" applyBorder="1" applyAlignment="1">
      <alignment/>
    </xf>
    <xf numFmtId="10" fontId="7" fillId="0" borderId="0" xfId="22" applyNumberFormat="1" applyFont="1" applyProtection="1">
      <alignment/>
      <protection locked="0"/>
    </xf>
    <xf numFmtId="10" fontId="0" fillId="0" borderId="0" xfId="24" applyNumberFormat="1" applyFont="1" applyAlignment="1">
      <alignment/>
      <protection/>
    </xf>
    <xf numFmtId="9" fontId="0" fillId="0" borderId="0" xfId="0" applyNumberFormat="1" applyAlignment="1">
      <alignment/>
    </xf>
    <xf numFmtId="9" fontId="7" fillId="0" borderId="0" xfId="22" applyNumberFormat="1" applyFont="1" applyProtection="1">
      <alignment/>
      <protection locked="0"/>
    </xf>
    <xf numFmtId="9" fontId="8" fillId="0" borderId="0" xfId="0" applyNumberFormat="1" applyFont="1" applyBorder="1" applyAlignment="1">
      <alignment/>
    </xf>
    <xf numFmtId="10" fontId="5" fillId="2" borderId="2" xfId="0" applyNumberFormat="1" applyFont="1" applyFill="1" applyBorder="1" applyAlignment="1">
      <alignment/>
    </xf>
    <xf numFmtId="10" fontId="0" fillId="0" borderId="0" xfId="25" applyNumberFormat="1" applyBorder="1" applyAlignment="1">
      <alignment/>
    </xf>
    <xf numFmtId="17" fontId="0" fillId="0" borderId="0" xfId="24" applyNumberFormat="1" applyFont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191" fontId="0" fillId="0" borderId="0" xfId="24" applyNumberFormat="1" applyFont="1" applyAlignment="1">
      <alignment horizontal="center"/>
      <protection/>
    </xf>
    <xf numFmtId="14" fontId="0" fillId="0" borderId="0" xfId="24" applyNumberFormat="1" applyFont="1" applyAlignment="1">
      <alignment horizontal="center"/>
      <protection/>
    </xf>
    <xf numFmtId="10" fontId="7" fillId="0" borderId="0" xfId="24" applyNumberFormat="1" applyFont="1" applyAlignment="1">
      <alignment horizontal="left"/>
      <protection/>
    </xf>
    <xf numFmtId="7" fontId="28" fillId="3" borderId="0" xfId="24" applyNumberFormat="1" applyFont="1" applyFill="1" applyAlignment="1">
      <alignment/>
      <protection/>
    </xf>
    <xf numFmtId="7" fontId="28" fillId="0" borderId="0" xfId="24" applyNumberFormat="1" applyFont="1" applyFill="1" applyAlignment="1">
      <alignment/>
      <protection/>
    </xf>
    <xf numFmtId="7" fontId="28" fillId="3" borderId="0" xfId="24" applyNumberFormat="1" applyFont="1" applyFill="1" applyAlignment="1">
      <alignment horizontal="center"/>
      <protection/>
    </xf>
    <xf numFmtId="10" fontId="28" fillId="0" borderId="0" xfId="24" applyNumberFormat="1" applyFont="1" applyAlignment="1">
      <alignment horizontal="center"/>
      <protection/>
    </xf>
    <xf numFmtId="10" fontId="28" fillId="3" borderId="0" xfId="24" applyNumberFormat="1" applyFont="1" applyFill="1" applyAlignment="1">
      <alignment horizontal="center"/>
      <protection/>
    </xf>
    <xf numFmtId="0" fontId="0" fillId="0" borderId="0" xfId="0" applyFont="1" applyBorder="1" applyAlignment="1">
      <alignment horizontal="center"/>
    </xf>
    <xf numFmtId="4" fontId="28" fillId="0" borderId="0" xfId="15" applyFont="1" applyBorder="1" applyAlignment="1">
      <alignment/>
    </xf>
    <xf numFmtId="7" fontId="28" fillId="0" borderId="0" xfId="24" applyNumberFormat="1" applyFont="1" applyFill="1" applyBorder="1" applyAlignment="1">
      <alignment/>
      <protection/>
    </xf>
    <xf numFmtId="7" fontId="28" fillId="3" borderId="3" xfId="24" applyNumberFormat="1" applyFont="1" applyFill="1" applyBorder="1" applyAlignment="1">
      <alignment/>
      <protection/>
    </xf>
    <xf numFmtId="7" fontId="28" fillId="0" borderId="3" xfId="24" applyNumberFormat="1" applyFont="1" applyFill="1" applyBorder="1" applyAlignment="1">
      <alignment/>
      <protection/>
    </xf>
    <xf numFmtId="7" fontId="28" fillId="3" borderId="3" xfId="24" applyNumberFormat="1" applyFont="1" applyFill="1" applyBorder="1" applyAlignment="1">
      <alignment horizontal="center"/>
      <protection/>
    </xf>
    <xf numFmtId="10" fontId="28" fillId="0" borderId="3" xfId="24" applyNumberFormat="1" applyFont="1" applyBorder="1" applyAlignment="1">
      <alignment horizontal="center"/>
      <protection/>
    </xf>
    <xf numFmtId="10" fontId="28" fillId="3" borderId="3" xfId="24" applyNumberFormat="1" applyFont="1" applyFill="1" applyBorder="1" applyAlignment="1">
      <alignment horizontal="center"/>
      <protection/>
    </xf>
    <xf numFmtId="4" fontId="28" fillId="0" borderId="3" xfId="15" applyFont="1" applyBorder="1" applyAlignment="1">
      <alignment/>
    </xf>
    <xf numFmtId="10" fontId="0" fillId="0" borderId="0" xfId="25" applyNumberFormat="1" applyFont="1" applyAlignment="1">
      <alignment horizontal="center"/>
    </xf>
    <xf numFmtId="4" fontId="0" fillId="0" borderId="0" xfId="15" applyFont="1" applyAlignment="1">
      <alignment horizontal="center"/>
    </xf>
    <xf numFmtId="4" fontId="0" fillId="0" borderId="0" xfId="15" applyFont="1" applyAlignment="1">
      <alignment horizontal="right"/>
    </xf>
    <xf numFmtId="7" fontId="0" fillId="0" borderId="0" xfId="24" applyNumberFormat="1" applyFont="1" applyBorder="1" applyAlignment="1">
      <alignment horizontal="center"/>
      <protection/>
    </xf>
    <xf numFmtId="7" fontId="0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10" fontId="0" fillId="0" borderId="0" xfId="25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7" fontId="28" fillId="0" borderId="0" xfId="24" applyNumberFormat="1" applyFont="1" applyFill="1" applyBorder="1" applyAlignment="1">
      <alignment horizontal="center"/>
      <protection/>
    </xf>
    <xf numFmtId="10" fontId="28" fillId="0" borderId="0" xfId="24" applyNumberFormat="1" applyFont="1" applyFill="1" applyAlignment="1">
      <alignment horizontal="center"/>
      <protection/>
    </xf>
    <xf numFmtId="0" fontId="28" fillId="0" borderId="0" xfId="0" applyFont="1" applyFill="1" applyBorder="1" applyAlignment="1">
      <alignment horizontal="center"/>
    </xf>
    <xf numFmtId="7" fontId="28" fillId="3" borderId="0" xfId="24" applyNumberFormat="1" applyFont="1" applyFill="1" applyBorder="1" applyAlignment="1">
      <alignment horizontal="center"/>
      <protection/>
    </xf>
    <xf numFmtId="7" fontId="28" fillId="3" borderId="0" xfId="24" applyNumberFormat="1" applyFont="1" applyFill="1" applyBorder="1" applyAlignment="1">
      <alignment horizontal="left"/>
      <protection/>
    </xf>
    <xf numFmtId="2" fontId="0" fillId="0" borderId="0" xfId="24" applyNumberFormat="1" applyFont="1" applyBorder="1" applyAlignment="1">
      <alignment horizontal="left"/>
      <protection/>
    </xf>
    <xf numFmtId="7" fontId="0" fillId="3" borderId="0" xfId="24" applyNumberFormat="1" applyFont="1" applyFill="1" applyBorder="1" applyAlignment="1">
      <alignment horizontal="left"/>
      <protection/>
    </xf>
    <xf numFmtId="10" fontId="28" fillId="0" borderId="0" xfId="24" applyNumberFormat="1" applyFont="1" applyBorder="1" applyAlignment="1">
      <alignment horizontal="center"/>
      <protection/>
    </xf>
    <xf numFmtId="8" fontId="28" fillId="0" borderId="0" xfId="17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8" fontId="28" fillId="0" borderId="3" xfId="17" applyFont="1" applyFill="1" applyBorder="1" applyAlignment="1">
      <alignment/>
    </xf>
    <xf numFmtId="0" fontId="28" fillId="0" borderId="3" xfId="0" applyFont="1" applyFill="1" applyBorder="1" applyAlignment="1">
      <alignment horizontal="left"/>
    </xf>
    <xf numFmtId="7" fontId="28" fillId="0" borderId="3" xfId="24" applyNumberFormat="1" applyFont="1" applyFill="1" applyBorder="1" applyAlignment="1">
      <alignment horizontal="center"/>
      <protection/>
    </xf>
    <xf numFmtId="0" fontId="0" fillId="0" borderId="3" xfId="0" applyFont="1" applyBorder="1" applyAlignment="1">
      <alignment/>
    </xf>
    <xf numFmtId="7" fontId="28" fillId="3" borderId="3" xfId="24" applyNumberFormat="1" applyFont="1" applyFill="1" applyBorder="1" applyAlignment="1">
      <alignment horizontal="left"/>
      <protection/>
    </xf>
    <xf numFmtId="10" fontId="28" fillId="0" borderId="3" xfId="24" applyNumberFormat="1" applyFont="1" applyFill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7" fontId="0" fillId="0" borderId="0" xfId="24" applyNumberFormat="1" applyFont="1" applyFill="1" applyBorder="1" applyAlignment="1">
      <alignment horizontal="center"/>
      <protection/>
    </xf>
    <xf numFmtId="4" fontId="0" fillId="0" borderId="0" xfId="15" applyNumberFormat="1" applyFont="1" applyAlignment="1">
      <alignment horizontal="center"/>
    </xf>
    <xf numFmtId="8" fontId="0" fillId="0" borderId="0" xfId="17" applyFont="1" applyAlignment="1">
      <alignment horizontal="center"/>
    </xf>
    <xf numFmtId="7" fontId="0" fillId="0" borderId="0" xfId="0" applyNumberFormat="1" applyFont="1" applyBorder="1" applyAlignment="1">
      <alignment horizontal="center"/>
    </xf>
    <xf numFmtId="10" fontId="0" fillId="0" borderId="0" xfId="25" applyNumberFormat="1" applyFont="1" applyBorder="1" applyAlignment="1">
      <alignment horizontal="center"/>
    </xf>
    <xf numFmtId="7" fontId="0" fillId="0" borderId="0" xfId="0" applyNumberFormat="1" applyFont="1" applyBorder="1" applyAlignment="1">
      <alignment/>
    </xf>
    <xf numFmtId="10" fontId="0" fillId="0" borderId="0" xfId="25" applyNumberFormat="1" applyFont="1" applyBorder="1" applyAlignment="1">
      <alignment/>
    </xf>
    <xf numFmtId="4" fontId="0" fillId="0" borderId="0" xfId="15" applyFont="1" applyBorder="1" applyAlignment="1">
      <alignment/>
    </xf>
    <xf numFmtId="7" fontId="0" fillId="0" borderId="0" xfId="24" applyNumberFormat="1" applyFont="1" applyFill="1" applyAlignment="1">
      <alignment horizontal="center"/>
      <protection/>
    </xf>
    <xf numFmtId="7" fontId="0" fillId="0" borderId="0" xfId="24" applyNumberFormat="1" applyFont="1" applyFill="1" applyBorder="1" applyAlignment="1">
      <alignment/>
      <protection/>
    </xf>
    <xf numFmtId="2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7" fontId="22" fillId="0" borderId="0" xfId="21" applyNumberFormat="1" applyFont="1" applyFill="1" applyBorder="1">
      <alignment/>
      <protection/>
    </xf>
    <xf numFmtId="7" fontId="22" fillId="0" borderId="0" xfId="24" applyNumberFormat="1" applyFont="1" applyFill="1" applyBorder="1" applyAlignment="1">
      <alignment/>
      <protection/>
    </xf>
    <xf numFmtId="8" fontId="0" fillId="0" borderId="0" xfId="17" applyFont="1" applyBorder="1" applyAlignment="1">
      <alignment/>
    </xf>
    <xf numFmtId="7" fontId="0" fillId="0" borderId="0" xfId="24" applyNumberFormat="1" applyFont="1" applyFill="1" applyAlignment="1">
      <alignment horizontal="left"/>
      <protection/>
    </xf>
    <xf numFmtId="7" fontId="0" fillId="0" borderId="0" xfId="0" applyNumberFormat="1" applyFont="1" applyAlignment="1">
      <alignment/>
    </xf>
    <xf numFmtId="7" fontId="0" fillId="0" borderId="0" xfId="24" applyNumberFormat="1" applyFont="1" applyFill="1">
      <alignment/>
      <protection/>
    </xf>
    <xf numFmtId="2" fontId="0" fillId="0" borderId="0" xfId="24" applyNumberFormat="1" applyFont="1">
      <alignment/>
      <protection/>
    </xf>
    <xf numFmtId="0" fontId="7" fillId="0" borderId="0" xfId="22" applyFont="1" applyAlignment="1" applyProtection="1">
      <alignment horizontal="left"/>
      <protection locked="0"/>
    </xf>
    <xf numFmtId="0" fontId="7" fillId="0" borderId="0" xfId="22" applyFont="1" applyAlignment="1">
      <alignment horizontal="left"/>
      <protection/>
    </xf>
    <xf numFmtId="10" fontId="7" fillId="0" borderId="13" xfId="22" applyNumberFormat="1" applyFont="1" applyBorder="1">
      <alignment/>
      <protection/>
    </xf>
    <xf numFmtId="0" fontId="0" fillId="0" borderId="3" xfId="22" applyFont="1" applyBorder="1">
      <alignment/>
      <protection/>
    </xf>
    <xf numFmtId="0" fontId="9" fillId="0" borderId="0" xfId="24" applyFont="1">
      <alignment/>
      <protection/>
    </xf>
    <xf numFmtId="10" fontId="20" fillId="0" borderId="0" xfId="0" applyNumberFormat="1" applyFont="1" applyFill="1" applyAlignment="1">
      <alignment horizontal="center"/>
    </xf>
    <xf numFmtId="10" fontId="20" fillId="0" borderId="0" xfId="0" applyNumberFormat="1" applyFont="1" applyAlignment="1">
      <alignment horizontal="center"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7" fillId="0" borderId="0" xfId="0" applyFont="1" applyAlignment="1">
      <alignment/>
    </xf>
    <xf numFmtId="10" fontId="20" fillId="0" borderId="0" xfId="25" applyNumberFormat="1" applyFont="1" applyFill="1" applyAlignment="1">
      <alignment horizontal="center"/>
    </xf>
    <xf numFmtId="226" fontId="7" fillId="0" borderId="0" xfId="0" applyNumberFormat="1" applyFont="1" applyBorder="1" applyAlignment="1">
      <alignment horizontal="center"/>
    </xf>
    <xf numFmtId="164" fontId="0" fillId="0" borderId="0" xfId="25" applyNumberFormat="1" applyAlignment="1">
      <alignment/>
    </xf>
    <xf numFmtId="0" fontId="7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3" xfId="23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7" fillId="0" borderId="0" xfId="23" applyFont="1" applyAlignment="1">
      <alignment horizontal="left"/>
      <protection/>
    </xf>
    <xf numFmtId="10" fontId="0" fillId="0" borderId="0" xfId="25" applyNumberFormat="1" applyAlignment="1">
      <alignment/>
    </xf>
    <xf numFmtId="198" fontId="0" fillId="0" borderId="0" xfId="17" applyNumberFormat="1" applyFont="1" applyAlignment="1">
      <alignment/>
    </xf>
    <xf numFmtId="164" fontId="0" fillId="0" borderId="0" xfId="25" applyNumberFormat="1" applyFont="1" applyAlignment="1">
      <alignment/>
    </xf>
    <xf numFmtId="10" fontId="0" fillId="0" borderId="3" xfId="25" applyNumberFormat="1" applyBorder="1" applyAlignment="1">
      <alignment/>
    </xf>
    <xf numFmtId="198" fontId="0" fillId="0" borderId="3" xfId="17" applyNumberFormat="1" applyFont="1" applyBorder="1" applyAlignment="1">
      <alignment/>
    </xf>
    <xf numFmtId="164" fontId="0" fillId="0" borderId="3" xfId="25" applyNumberFormat="1" applyFont="1" applyBorder="1" applyAlignment="1">
      <alignment/>
    </xf>
    <xf numFmtId="0" fontId="7" fillId="0" borderId="0" xfId="23" applyFont="1" applyAlignment="1">
      <alignment horizontal="right"/>
      <protection/>
    </xf>
    <xf numFmtId="198" fontId="0" fillId="0" borderId="0" xfId="0" applyNumberFormat="1" applyAlignment="1">
      <alignment/>
    </xf>
    <xf numFmtId="0" fontId="0" fillId="0" borderId="0" xfId="23">
      <alignment/>
      <protection/>
    </xf>
    <xf numFmtId="184" fontId="0" fillId="0" borderId="0" xfId="15" applyNumberFormat="1" applyFont="1" applyAlignment="1">
      <alignment/>
    </xf>
    <xf numFmtId="10" fontId="0" fillId="0" borderId="3" xfId="2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0" fontId="7" fillId="0" borderId="0" xfId="24" applyFont="1" applyFill="1" applyBorder="1" applyAlignment="1">
      <alignment horizontal="right"/>
      <protection/>
    </xf>
    <xf numFmtId="164" fontId="7" fillId="0" borderId="0" xfId="23" applyNumberFormat="1" applyFont="1">
      <alignment/>
      <protection/>
    </xf>
    <xf numFmtId="217" fontId="7" fillId="0" borderId="0" xfId="17" applyNumberFormat="1" applyFont="1" applyAlignment="1">
      <alignment/>
    </xf>
    <xf numFmtId="10" fontId="7" fillId="0" borderId="14" xfId="23" applyNumberFormat="1" applyFont="1" applyBorder="1">
      <alignment/>
      <protection/>
    </xf>
    <xf numFmtId="10" fontId="7" fillId="0" borderId="15" xfId="23" applyNumberFormat="1" applyFont="1" applyBorder="1">
      <alignment/>
      <protection/>
    </xf>
    <xf numFmtId="10" fontId="7" fillId="0" borderId="16" xfId="23" applyNumberFormat="1" applyFont="1" applyBorder="1">
      <alignment/>
      <protection/>
    </xf>
    <xf numFmtId="0" fontId="24" fillId="0" borderId="0" xfId="24" applyFont="1" applyFill="1" applyBorder="1">
      <alignment/>
      <protection/>
    </xf>
    <xf numFmtId="10" fontId="7" fillId="0" borderId="0" xfId="23" applyNumberFormat="1" applyFont="1" applyBorder="1">
      <alignment/>
      <protection/>
    </xf>
    <xf numFmtId="0" fontId="7" fillId="0" borderId="0" xfId="24" applyFont="1" applyFill="1" applyBorder="1">
      <alignment/>
      <protection/>
    </xf>
    <xf numFmtId="164" fontId="0" fillId="0" borderId="0" xfId="23" applyNumberFormat="1" applyFont="1">
      <alignment/>
      <protection/>
    </xf>
    <xf numFmtId="164" fontId="0" fillId="0" borderId="3" xfId="23" applyNumberFormat="1" applyFont="1" applyBorder="1">
      <alignment/>
      <protection/>
    </xf>
    <xf numFmtId="198" fontId="0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23" applyFont="1">
      <alignment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172" fontId="28" fillId="0" borderId="3" xfId="25" applyNumberFormat="1" applyFont="1" applyBorder="1" applyAlignment="1">
      <alignment/>
    </xf>
    <xf numFmtId="10" fontId="7" fillId="0" borderId="12" xfId="25" applyNumberFormat="1" applyFont="1" applyBorder="1" applyAlignment="1">
      <alignment/>
    </xf>
    <xf numFmtId="8" fontId="0" fillId="0" borderId="0" xfId="17" applyFont="1" applyAlignment="1">
      <alignment/>
    </xf>
    <xf numFmtId="7" fontId="0" fillId="0" borderId="3" xfId="24" applyNumberFormat="1" applyFont="1" applyBorder="1" applyAlignment="1">
      <alignment horizontal="center"/>
      <protection/>
    </xf>
    <xf numFmtId="7" fontId="0" fillId="0" borderId="3" xfId="24" applyNumberFormat="1" applyFont="1" applyBorder="1">
      <alignment/>
      <protection/>
    </xf>
    <xf numFmtId="10" fontId="0" fillId="0" borderId="3" xfId="24" applyNumberFormat="1" applyFont="1" applyBorder="1" applyAlignment="1">
      <alignment horizontal="left"/>
      <protection/>
    </xf>
    <xf numFmtId="0" fontId="0" fillId="0" borderId="0" xfId="22" applyFont="1">
      <alignment/>
      <protection/>
    </xf>
    <xf numFmtId="10" fontId="5" fillId="0" borderId="1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23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EXTFIN" xfId="22"/>
    <cellStyle name="Normal_Sheet4" xfId="23"/>
    <cellStyle name="Normal_WA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Rothschild\My%20Documents\Cases\New%20Jersey%20Cases\South%20Jersey%20Gas%20Rate%20Case%202003\OCCschedulesfor%20SJG%20as%20filed%20with%20RP%20updated%20through%2003%20w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Rothschild\My%20Documents\Cases\Georgia%20Cases\BellSouth\OCC%20schedules%20for%20BellSou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Content.IE5\LSXO1J6M\OCC%20v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"/>
      <sheetName val="COE"/>
      <sheetName val="COMPCO"/>
      <sheetName val="DCF"/>
      <sheetName val="FULLDCFmid"/>
      <sheetName val="DIVGR"/>
      <sheetName val="All Gas Capstr"/>
      <sheetName val="EXTFIN"/>
      <sheetName val="Infrp"/>
      <sheetName val="Rpremsum"/>
      <sheetName val="CAPST"/>
      <sheetName val="Rprems"/>
      <sheetName val="AvgCapSt"/>
      <sheetName val="DivHist"/>
      <sheetName val="SJICapST"/>
      <sheetName val="CapStHistory"/>
      <sheetName val="Tax Law Impfact"/>
      <sheetName val="INPUT"/>
      <sheetName val="SP H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"/>
      <sheetName val="BSCapSt"/>
      <sheetName val=".xls]vdwocc"/>
      <sheetName val="COE"/>
      <sheetName val="COMPCO"/>
      <sheetName val="DCF"/>
      <sheetName val="SP DCF"/>
      <sheetName val="FullCo"/>
      <sheetName val="DIVGR"/>
      <sheetName val="EXTFIN"/>
      <sheetName val="Infrp"/>
      <sheetName val="Rpremsum"/>
      <sheetName val="Rprems"/>
      <sheetName val="Rpmswupsch"/>
      <sheetName val="INPUT"/>
      <sheetName val="TESTD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C"/>
      <sheetName val="COE"/>
      <sheetName val="Hist_Forecast_Water"/>
      <sheetName val="COMPCO"/>
      <sheetName val="DCF"/>
      <sheetName val="FullDCF E"/>
      <sheetName val="FullDCF G"/>
      <sheetName val="DIVGR"/>
      <sheetName val="DIVGRG"/>
      <sheetName val="VL Cap Strc"/>
      <sheetName val="EXTFIN"/>
      <sheetName val="Infrp"/>
      <sheetName val="Rpremsum"/>
      <sheetName val="Tax Impact"/>
      <sheetName val="Rprems"/>
      <sheetName val="Morinexclco"/>
      <sheetName val="REGSUM"/>
      <sheetName val=".xls]SPhist"/>
      <sheetName val="INPUT"/>
      <sheetName val="TESTDTA"/>
      <sheetName val="ComStk"/>
      <sheetName val="Moody's Historical MB Ratios"/>
      <sheetName val="vwrprem"/>
    </sheetNames>
    <sheetDataSet>
      <sheetData sheetId="3">
        <row r="1">
          <cell r="Q1" t="str">
            <v>JAR 4, P.1.</v>
          </cell>
        </row>
        <row r="5">
          <cell r="Z5">
            <v>2001</v>
          </cell>
          <cell r="AB5">
            <v>2003</v>
          </cell>
        </row>
        <row r="6">
          <cell r="AD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G35" sqref="G35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5.421875" style="1" customWidth="1"/>
    <col min="4" max="4" width="10.8515625" style="1" customWidth="1"/>
    <col min="5" max="5" width="9.140625" style="1" customWidth="1"/>
    <col min="6" max="6" width="3.421875" style="1" customWidth="1"/>
    <col min="7" max="7" width="9.28125" style="1" customWidth="1"/>
    <col min="8" max="8" width="9.57421875" style="1" customWidth="1"/>
    <col min="9" max="9" width="16.00390625" style="1" customWidth="1"/>
    <col min="10" max="10" width="8.421875" style="1" customWidth="1"/>
    <col min="11" max="11" width="0.2890625" style="1" customWidth="1"/>
    <col min="12" max="16384" width="9.140625" style="1" customWidth="1"/>
  </cols>
  <sheetData>
    <row r="1" ht="12.75">
      <c r="I1" s="60"/>
    </row>
    <row r="2" spans="4:10" ht="12.75">
      <c r="D2" s="60"/>
      <c r="E2" s="60"/>
      <c r="F2" s="60"/>
      <c r="G2" s="60"/>
      <c r="H2" s="60"/>
      <c r="I2" s="60" t="s">
        <v>585</v>
      </c>
      <c r="J2" s="2"/>
    </row>
    <row r="3" spans="4:9" ht="12.75">
      <c r="D3" s="117"/>
      <c r="E3" s="60"/>
      <c r="F3" s="60"/>
      <c r="G3" s="60"/>
      <c r="H3" s="60"/>
      <c r="I3" s="60" t="s">
        <v>582</v>
      </c>
    </row>
    <row r="4" spans="5:9" ht="12.75">
      <c r="E4" s="60" t="s">
        <v>528</v>
      </c>
      <c r="F4" s="60"/>
      <c r="G4" s="60"/>
      <c r="H4" s="60"/>
      <c r="I4" s="60" t="s">
        <v>612</v>
      </c>
    </row>
    <row r="5" spans="5:9" ht="12.75">
      <c r="E5" s="60" t="s">
        <v>1</v>
      </c>
      <c r="F5" s="117"/>
      <c r="G5" s="117"/>
      <c r="H5" s="117"/>
      <c r="I5" s="117"/>
    </row>
    <row r="7" spans="2:10" ht="12.75" customHeight="1">
      <c r="B7" s="9"/>
      <c r="C7" s="9"/>
      <c r="D7" s="9"/>
      <c r="E7" s="10"/>
      <c r="F7" s="9"/>
      <c r="G7" s="9"/>
      <c r="H7" s="9"/>
      <c r="I7" s="9"/>
      <c r="J7" s="3"/>
    </row>
    <row r="8" spans="2:10" ht="12.75" customHeight="1">
      <c r="B8" s="9"/>
      <c r="C8" s="9"/>
      <c r="D8" s="9"/>
      <c r="E8" s="10"/>
      <c r="F8" s="9"/>
      <c r="G8" s="9"/>
      <c r="H8" s="9"/>
      <c r="I8" s="10"/>
      <c r="J8" s="3"/>
    </row>
    <row r="9" spans="1:11" ht="12.75" customHeight="1">
      <c r="A9" s="99"/>
      <c r="B9" s="9"/>
      <c r="C9" s="9"/>
      <c r="D9" s="9"/>
      <c r="E9" s="9"/>
      <c r="F9" s="9"/>
      <c r="G9" s="9"/>
      <c r="H9" s="9"/>
      <c r="I9" s="10"/>
      <c r="J9" s="11"/>
      <c r="K9" s="99"/>
    </row>
    <row r="10" spans="1:11" ht="12.75" customHeight="1">
      <c r="A10" s="99"/>
      <c r="B10" s="69"/>
      <c r="C10" s="70"/>
      <c r="D10" s="70"/>
      <c r="E10" s="71" t="s">
        <v>2</v>
      </c>
      <c r="F10" s="70"/>
      <c r="G10" s="261"/>
      <c r="H10" s="70"/>
      <c r="I10" s="72"/>
      <c r="J10" s="3"/>
      <c r="K10" s="99"/>
    </row>
    <row r="11" spans="1:11" ht="12.75" customHeight="1">
      <c r="A11" s="99"/>
      <c r="B11" s="73"/>
      <c r="C11" s="74"/>
      <c r="D11" s="74"/>
      <c r="E11" s="75"/>
      <c r="F11" s="74"/>
      <c r="G11" s="74"/>
      <c r="H11" s="74"/>
      <c r="I11" s="76" t="s">
        <v>3</v>
      </c>
      <c r="J11" s="3"/>
      <c r="K11" s="99"/>
    </row>
    <row r="12" spans="1:11" ht="12.75" customHeight="1">
      <c r="A12" s="99"/>
      <c r="B12" s="73" t="s">
        <v>4</v>
      </c>
      <c r="C12" s="74"/>
      <c r="D12" s="74"/>
      <c r="E12" s="74" t="s">
        <v>5</v>
      </c>
      <c r="F12" s="74"/>
      <c r="G12" s="74" t="s">
        <v>6</v>
      </c>
      <c r="H12" s="74"/>
      <c r="I12" s="76" t="s">
        <v>6</v>
      </c>
      <c r="J12" s="3"/>
      <c r="K12" s="99"/>
    </row>
    <row r="13" spans="1:11" ht="12.75" customHeight="1">
      <c r="A13" s="99"/>
      <c r="B13" s="73"/>
      <c r="C13" s="74"/>
      <c r="D13" s="74"/>
      <c r="E13" s="77" t="s">
        <v>8</v>
      </c>
      <c r="F13" s="78"/>
      <c r="G13" s="78"/>
      <c r="H13" s="78"/>
      <c r="I13" s="79"/>
      <c r="J13" s="3"/>
      <c r="K13" s="99"/>
    </row>
    <row r="14" spans="1:11" ht="12.75" customHeight="1">
      <c r="A14" s="99"/>
      <c r="B14" s="73" t="s">
        <v>334</v>
      </c>
      <c r="C14" s="74"/>
      <c r="D14" s="239"/>
      <c r="E14" s="85">
        <v>0.06</v>
      </c>
      <c r="F14" s="86"/>
      <c r="G14" s="89">
        <v>0.02</v>
      </c>
      <c r="H14" s="78" t="s">
        <v>10</v>
      </c>
      <c r="I14" s="79">
        <f>E14*G14</f>
        <v>0.0012</v>
      </c>
      <c r="J14" s="3"/>
      <c r="K14" s="99"/>
    </row>
    <row r="15" spans="1:11" ht="12.75" customHeight="1">
      <c r="A15" s="99"/>
      <c r="B15" s="73"/>
      <c r="C15" s="74"/>
      <c r="D15" s="74"/>
      <c r="E15" s="86"/>
      <c r="F15" s="86"/>
      <c r="G15" s="89"/>
      <c r="H15" s="78"/>
      <c r="I15" s="79"/>
      <c r="J15" s="3"/>
      <c r="K15" s="99"/>
    </row>
    <row r="16" spans="1:11" ht="12.75" customHeight="1">
      <c r="A16" s="99"/>
      <c r="B16" s="73" t="s">
        <v>9</v>
      </c>
      <c r="C16" s="74"/>
      <c r="D16" s="240"/>
      <c r="E16" s="85">
        <f>1-E18-E14</f>
        <v>0.49000000000000005</v>
      </c>
      <c r="F16" s="85"/>
      <c r="G16" s="89">
        <v>0.06994</v>
      </c>
      <c r="H16" s="78" t="s">
        <v>11</v>
      </c>
      <c r="I16" s="79">
        <f>E16*G16</f>
        <v>0.034270600000000005</v>
      </c>
      <c r="J16" s="3"/>
      <c r="K16" s="99"/>
    </row>
    <row r="17" spans="1:11" ht="12.75" customHeight="1">
      <c r="A17" s="99"/>
      <c r="B17" s="73"/>
      <c r="C17" s="74"/>
      <c r="D17" s="74"/>
      <c r="E17" s="85"/>
      <c r="F17" s="85"/>
      <c r="G17" s="101"/>
      <c r="H17" s="78"/>
      <c r="I17" s="79"/>
      <c r="J17" s="3"/>
      <c r="K17" s="99"/>
    </row>
    <row r="18" spans="1:11" ht="12.75" customHeight="1">
      <c r="A18" s="99"/>
      <c r="B18" s="73" t="s">
        <v>12</v>
      </c>
      <c r="C18" s="74"/>
      <c r="D18" s="74"/>
      <c r="E18" s="85">
        <v>0.45</v>
      </c>
      <c r="F18" s="78"/>
      <c r="G18" s="89">
        <f>COE!E44</f>
        <v>0.0925</v>
      </c>
      <c r="H18" s="78" t="s">
        <v>13</v>
      </c>
      <c r="I18" s="79">
        <f>E18*G18</f>
        <v>0.041625</v>
      </c>
      <c r="J18" s="3"/>
      <c r="K18" s="11"/>
    </row>
    <row r="19" spans="1:11" ht="12.75" customHeight="1">
      <c r="A19" s="99"/>
      <c r="B19" s="73"/>
      <c r="C19" s="74"/>
      <c r="D19" s="74"/>
      <c r="E19" s="78"/>
      <c r="F19" s="78"/>
      <c r="G19" s="78"/>
      <c r="H19" s="78"/>
      <c r="I19" s="79"/>
      <c r="J19" s="3"/>
      <c r="K19" s="11"/>
    </row>
    <row r="20" spans="1:11" ht="12.75" customHeight="1">
      <c r="A20" s="99"/>
      <c r="B20" s="80"/>
      <c r="C20" s="81"/>
      <c r="D20" s="81"/>
      <c r="E20" s="82">
        <f>SUM(E14:E18)</f>
        <v>1</v>
      </c>
      <c r="F20" s="83"/>
      <c r="G20" s="83"/>
      <c r="H20" s="83"/>
      <c r="I20" s="84">
        <f>SUM(I14:I18)</f>
        <v>0.07709560000000001</v>
      </c>
      <c r="J20" s="3"/>
      <c r="K20" s="11"/>
    </row>
    <row r="21" spans="1:11" ht="12.75" customHeight="1">
      <c r="A21" s="99"/>
      <c r="B21" s="23"/>
      <c r="C21" s="23"/>
      <c r="D21" s="23"/>
      <c r="E21" s="23"/>
      <c r="F21" s="23"/>
      <c r="G21" s="23"/>
      <c r="H21" s="23"/>
      <c r="I21" s="23"/>
      <c r="J21" s="23"/>
      <c r="K21" s="11"/>
    </row>
    <row r="22" spans="1:11" ht="12.75" customHeight="1">
      <c r="A22" s="1" t="s">
        <v>14</v>
      </c>
      <c r="C22" s="99"/>
      <c r="D22" s="21"/>
      <c r="E22" s="23"/>
      <c r="F22" s="23"/>
      <c r="G22" s="23"/>
      <c r="H22" s="23"/>
      <c r="I22" s="23"/>
      <c r="J22" s="23"/>
      <c r="K22" s="11"/>
    </row>
    <row r="23" spans="1:11" ht="12.75" customHeight="1">
      <c r="A23" s="8"/>
      <c r="B23" s="142"/>
      <c r="D23" s="20"/>
      <c r="E23" s="23"/>
      <c r="F23" s="23"/>
      <c r="G23" s="23"/>
      <c r="H23" s="23"/>
      <c r="I23" s="23"/>
      <c r="J23" s="23"/>
      <c r="K23" s="11"/>
    </row>
    <row r="24" spans="1:11" ht="12.75" customHeight="1">
      <c r="A24" s="8" t="str">
        <f>E13</f>
        <v>[A]</v>
      </c>
      <c r="B24" s="142" t="s">
        <v>386</v>
      </c>
      <c r="D24" s="20"/>
      <c r="E24" s="23"/>
      <c r="F24" s="23"/>
      <c r="G24" s="23"/>
      <c r="H24" s="23"/>
      <c r="I24" s="23"/>
      <c r="J24" s="23"/>
      <c r="K24" s="11"/>
    </row>
    <row r="25" spans="1:11" ht="12.75" customHeight="1">
      <c r="A25" s="6"/>
      <c r="D25" s="20"/>
      <c r="E25" s="23"/>
      <c r="F25" s="23"/>
      <c r="G25" s="23"/>
      <c r="H25" s="23"/>
      <c r="I25" s="23"/>
      <c r="J25" s="23"/>
      <c r="K25" s="3"/>
    </row>
    <row r="26" spans="1:11" ht="12.75" customHeight="1">
      <c r="A26" s="8" t="str">
        <f>H14</f>
        <v>[B]</v>
      </c>
      <c r="B26" s="142" t="s">
        <v>611</v>
      </c>
      <c r="D26" s="20"/>
      <c r="E26" s="23"/>
      <c r="F26" s="23"/>
      <c r="G26" s="23"/>
      <c r="H26" s="23"/>
      <c r="I26" s="23"/>
      <c r="J26" s="23"/>
      <c r="K26" s="3"/>
    </row>
    <row r="27" spans="1:11" ht="12.75" customHeight="1">
      <c r="A27" s="21"/>
      <c r="B27" s="142" t="s">
        <v>529</v>
      </c>
      <c r="C27" s="21"/>
      <c r="D27" s="20"/>
      <c r="E27" s="23"/>
      <c r="F27" s="23"/>
      <c r="G27" s="23"/>
      <c r="H27" s="23"/>
      <c r="I27" s="23"/>
      <c r="J27" s="23"/>
      <c r="K27" s="3"/>
    </row>
    <row r="28" spans="1:11" ht="12.75" customHeight="1">
      <c r="A28" s="21"/>
      <c r="B28" s="142"/>
      <c r="C28" s="21"/>
      <c r="D28" s="20"/>
      <c r="E28" s="23"/>
      <c r="F28" s="23"/>
      <c r="G28" s="23"/>
      <c r="H28" s="23"/>
      <c r="I28" s="23"/>
      <c r="J28" s="23"/>
      <c r="K28" s="3"/>
    </row>
    <row r="29" spans="1:11" ht="12.75" customHeight="1">
      <c r="A29" s="8" t="str">
        <f>H16</f>
        <v>[C]</v>
      </c>
      <c r="B29" s="142" t="s">
        <v>580</v>
      </c>
      <c r="C29" s="242"/>
      <c r="D29" s="252"/>
      <c r="E29" s="23"/>
      <c r="F29" s="23"/>
      <c r="G29" s="23"/>
      <c r="H29" s="23"/>
      <c r="I29" s="23"/>
      <c r="J29" s="23"/>
      <c r="K29" s="3"/>
    </row>
    <row r="30" spans="1:11" ht="12.75" customHeight="1">
      <c r="A30" s="23"/>
      <c r="B30" s="255"/>
      <c r="C30" s="242"/>
      <c r="D30" s="252"/>
      <c r="E30" s="23"/>
      <c r="F30" s="23"/>
      <c r="G30" s="23"/>
      <c r="H30" s="23"/>
      <c r="I30" s="23"/>
      <c r="J30" s="23"/>
      <c r="K30" s="3"/>
    </row>
    <row r="31" spans="1:10" s="6" customFormat="1" ht="12.75">
      <c r="A31" s="8" t="str">
        <f>H18</f>
        <v>[D]</v>
      </c>
      <c r="B31" s="1" t="str">
        <f>COE!E2</f>
        <v>Exhibit ___ (JAR-3) Schedule 2</v>
      </c>
      <c r="C31" s="23"/>
      <c r="D31" s="1"/>
      <c r="E31" s="23"/>
      <c r="F31" s="23"/>
      <c r="G31" s="23"/>
      <c r="H31" s="23"/>
      <c r="I31" s="23"/>
      <c r="J31" s="23"/>
    </row>
    <row r="32" spans="1:10" s="6" customFormat="1" ht="12.75">
      <c r="A32" s="21"/>
      <c r="B32" s="21"/>
      <c r="C32" s="21"/>
      <c r="D32" s="21"/>
      <c r="E32" s="21"/>
      <c r="F32" s="21"/>
      <c r="G32" s="21"/>
      <c r="H32" s="21"/>
      <c r="I32" s="236"/>
      <c r="J32" s="21"/>
    </row>
    <row r="33" spans="1:10" s="6" customFormat="1" ht="12.75">
      <c r="A33" s="21"/>
      <c r="B33" s="21"/>
      <c r="C33" s="21"/>
      <c r="D33" s="236"/>
      <c r="E33" s="21"/>
      <c r="F33" s="21"/>
      <c r="G33" s="21"/>
      <c r="H33" s="21"/>
      <c r="I33" s="21"/>
      <c r="J33" s="21"/>
    </row>
    <row r="34" spans="1:10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s="6" customFormat="1" ht="12.75">
      <c r="A35" s="21"/>
      <c r="B35" s="21"/>
      <c r="C35" s="21"/>
      <c r="D35" s="237"/>
      <c r="E35" s="21"/>
      <c r="F35" s="21"/>
      <c r="G35" s="21"/>
      <c r="H35" s="237"/>
      <c r="I35" s="21"/>
      <c r="J35" s="21"/>
    </row>
    <row r="36" spans="1:10" s="6" customFormat="1" ht="12.75">
      <c r="A36" s="21"/>
      <c r="B36" s="21"/>
      <c r="C36" s="21"/>
      <c r="D36" s="21"/>
      <c r="E36" s="21"/>
      <c r="F36" s="21"/>
      <c r="G36" s="21"/>
      <c r="H36" s="237"/>
      <c r="I36" s="21"/>
      <c r="J36" s="21"/>
    </row>
    <row r="37" spans="5:10" s="6" customFormat="1" ht="12.75">
      <c r="E37" s="21"/>
      <c r="F37" s="21"/>
      <c r="G37" s="21"/>
      <c r="H37" s="21"/>
      <c r="I37" s="21"/>
      <c r="J37" s="21"/>
    </row>
    <row r="38" spans="5:10" s="6" customFormat="1" ht="12.75">
      <c r="E38" s="21"/>
      <c r="F38" s="21"/>
      <c r="G38" s="21"/>
      <c r="H38" s="238"/>
      <c r="I38" s="21"/>
      <c r="J38" s="21"/>
    </row>
    <row r="39" spans="5:10" s="6" customFormat="1" ht="12.75">
      <c r="E39" s="22"/>
      <c r="F39" s="21"/>
      <c r="G39" s="20"/>
      <c r="H39" s="22"/>
      <c r="I39" s="238"/>
      <c r="J39" s="22"/>
    </row>
    <row r="40" spans="5:11" s="6" customFormat="1" ht="12.75">
      <c r="E40" s="22"/>
      <c r="F40" s="21"/>
      <c r="G40" s="20"/>
      <c r="H40" s="22"/>
      <c r="I40" s="238"/>
      <c r="J40" s="22"/>
      <c r="K40" s="17"/>
    </row>
    <row r="41" spans="5:10" s="6" customFormat="1" ht="12.75">
      <c r="E41" s="22"/>
      <c r="F41" s="21"/>
      <c r="G41" s="20"/>
      <c r="H41" s="22"/>
      <c r="I41" s="238"/>
      <c r="J41" s="22"/>
    </row>
    <row r="42" spans="5:10" s="6" customFormat="1" ht="12.75">
      <c r="E42" s="22"/>
      <c r="F42" s="21"/>
      <c r="G42" s="20"/>
      <c r="H42" s="22"/>
      <c r="I42" s="238"/>
      <c r="J42" s="22"/>
    </row>
    <row r="43" spans="5:10" s="6" customFormat="1" ht="12.75">
      <c r="E43" s="22"/>
      <c r="F43" s="21"/>
      <c r="G43" s="20"/>
      <c r="H43" s="22"/>
      <c r="I43" s="238"/>
      <c r="J43" s="22"/>
    </row>
    <row r="44" spans="5:10" s="6" customFormat="1" ht="12.75">
      <c r="E44" s="21"/>
      <c r="F44" s="21"/>
      <c r="G44" s="20"/>
      <c r="H44" s="21"/>
      <c r="I44" s="21"/>
      <c r="J44" s="22"/>
    </row>
    <row r="45" spans="5:10" s="6" customFormat="1" ht="12.75">
      <c r="E45" s="22"/>
      <c r="F45" s="21"/>
      <c r="G45" s="20"/>
      <c r="H45" s="22"/>
      <c r="I45" s="22"/>
      <c r="J45" s="22"/>
    </row>
    <row r="46" spans="5:10" s="6" customFormat="1" ht="12.75">
      <c r="E46" s="21"/>
      <c r="F46" s="21"/>
      <c r="G46" s="21"/>
      <c r="H46" s="21"/>
      <c r="I46" s="21"/>
      <c r="J46" s="22"/>
    </row>
    <row r="47" spans="5:10" s="6" customFormat="1" ht="12.75">
      <c r="E47" s="21"/>
      <c r="F47" s="21"/>
      <c r="G47" s="21"/>
      <c r="H47" s="21"/>
      <c r="I47" s="21"/>
      <c r="J47" s="22"/>
    </row>
    <row r="48" spans="5:10" s="6" customFormat="1" ht="12.75">
      <c r="E48" s="21"/>
      <c r="F48" s="21"/>
      <c r="G48" s="21"/>
      <c r="H48" s="21"/>
      <c r="I48" s="21"/>
      <c r="J48" s="22"/>
    </row>
    <row r="49" spans="5:10" s="6" customFormat="1" ht="12.75">
      <c r="E49" s="21"/>
      <c r="F49" s="21"/>
      <c r="G49" s="21"/>
      <c r="H49" s="238"/>
      <c r="I49" s="20"/>
      <c r="J49" s="22"/>
    </row>
    <row r="50" spans="4:10" s="6" customFormat="1" ht="12.75">
      <c r="D50" s="13"/>
      <c r="J50" s="17"/>
    </row>
    <row r="51" spans="1:4" s="6" customFormat="1" ht="12.75">
      <c r="A51" s="8"/>
      <c r="D51" s="13"/>
    </row>
    <row r="52" s="6" customFormat="1" ht="12.75">
      <c r="D52" s="13"/>
    </row>
    <row r="53" s="6" customFormat="1" ht="12.75">
      <c r="D53" s="13"/>
    </row>
    <row r="54" s="6" customFormat="1" ht="12.75">
      <c r="D54" s="18"/>
    </row>
    <row r="55" s="6" customFormat="1" ht="12.75">
      <c r="D55" s="19"/>
    </row>
    <row r="56" s="6" customFormat="1" ht="12.75"/>
    <row r="57" s="6" customFormat="1" ht="12.75">
      <c r="D57" s="13"/>
    </row>
    <row r="58" s="6" customFormat="1" ht="12.75"/>
    <row r="59" s="6" customFormat="1" ht="12.75">
      <c r="D59" s="13"/>
    </row>
    <row r="60" spans="4:10" s="6" customFormat="1" ht="12.75">
      <c r="D60" s="13"/>
      <c r="E60" s="17"/>
      <c r="G60" s="13"/>
      <c r="I60" s="13"/>
      <c r="J60" s="17"/>
    </row>
    <row r="61" spans="4:10" s="6" customFormat="1" ht="12.75">
      <c r="D61" s="13"/>
      <c r="G61" s="13"/>
      <c r="J61" s="17"/>
    </row>
    <row r="62" spans="4:10" s="6" customFormat="1" ht="12.75">
      <c r="D62" s="13"/>
      <c r="E62" s="17"/>
      <c r="G62" s="13"/>
      <c r="I62" s="13"/>
      <c r="J62" s="17"/>
    </row>
    <row r="63" spans="4:10" s="6" customFormat="1" ht="12.75">
      <c r="D63" s="13"/>
      <c r="G63" s="13"/>
      <c r="J63" s="17"/>
    </row>
    <row r="64" spans="4:10" s="6" customFormat="1" ht="12.75">
      <c r="D64" s="13"/>
      <c r="E64" s="17"/>
      <c r="G64" s="13"/>
      <c r="I64" s="13"/>
      <c r="J64" s="17"/>
    </row>
    <row r="65" spans="4:12" s="6" customFormat="1" ht="12.75">
      <c r="D65" s="20"/>
      <c r="E65" s="21"/>
      <c r="F65" s="21"/>
      <c r="G65" s="20"/>
      <c r="H65" s="21"/>
      <c r="I65" s="21"/>
      <c r="J65" s="22"/>
      <c r="K65" s="21"/>
      <c r="L65" s="21"/>
    </row>
    <row r="66" spans="2:12" s="6" customFormat="1" ht="12.75">
      <c r="B66" s="16"/>
      <c r="D66" s="20"/>
      <c r="E66" s="22"/>
      <c r="F66" s="21"/>
      <c r="G66" s="20"/>
      <c r="H66" s="21"/>
      <c r="I66" s="20"/>
      <c r="J66" s="22"/>
      <c r="K66" s="21"/>
      <c r="L66" s="21"/>
    </row>
    <row r="67" spans="4:12" s="6" customFormat="1" ht="12.75">
      <c r="D67" s="20"/>
      <c r="E67" s="21"/>
      <c r="F67" s="21"/>
      <c r="G67" s="21"/>
      <c r="H67" s="21"/>
      <c r="I67" s="21"/>
      <c r="J67" s="21"/>
      <c r="K67" s="21"/>
      <c r="L67" s="21"/>
    </row>
    <row r="68" spans="4:12" s="6" customFormat="1" ht="12.75">
      <c r="D68" s="20"/>
      <c r="E68" s="21"/>
      <c r="F68" s="21"/>
      <c r="G68" s="21"/>
      <c r="H68" s="21"/>
      <c r="I68" s="21"/>
      <c r="J68" s="21"/>
      <c r="K68" s="21"/>
      <c r="L68" s="21"/>
    </row>
    <row r="69" spans="4:12" s="6" customFormat="1" ht="12.75">
      <c r="D69" s="20"/>
      <c r="E69" s="21"/>
      <c r="F69" s="21"/>
      <c r="G69" s="23"/>
      <c r="H69" s="21"/>
      <c r="I69" s="21"/>
      <c r="J69" s="21"/>
      <c r="K69" s="21"/>
      <c r="L69" s="21"/>
    </row>
    <row r="70" s="6" customFormat="1" ht="12.75">
      <c r="D70" s="13"/>
    </row>
    <row r="71" s="6" customFormat="1" ht="12.75">
      <c r="D71" s="13"/>
    </row>
    <row r="72" s="6" customFormat="1" ht="12.75">
      <c r="D72" s="13"/>
    </row>
    <row r="73" s="6" customFormat="1" ht="12.75">
      <c r="D73" s="13"/>
    </row>
    <row r="74" spans="4:9" ht="11.25">
      <c r="D74" s="14"/>
      <c r="E74" s="3"/>
      <c r="F74" s="3"/>
      <c r="G74" s="3"/>
      <c r="H74" s="3"/>
      <c r="I74" s="3"/>
    </row>
    <row r="75" spans="4:9" ht="11.25">
      <c r="D75" s="14"/>
      <c r="E75" s="3"/>
      <c r="F75" s="3"/>
      <c r="G75" s="3"/>
      <c r="H75" s="3"/>
      <c r="I75" s="3"/>
    </row>
    <row r="76" spans="4:9" ht="11.25">
      <c r="D76" s="14"/>
      <c r="E76" s="3"/>
      <c r="F76" s="3"/>
      <c r="G76" s="3"/>
      <c r="H76" s="3"/>
      <c r="I76" s="3"/>
    </row>
    <row r="77" spans="4:9" ht="11.25">
      <c r="D77" s="14"/>
      <c r="E77" s="3"/>
      <c r="F77" s="3"/>
      <c r="G77" s="3"/>
      <c r="H77" s="3"/>
      <c r="I77" s="3"/>
    </row>
    <row r="78" spans="4:9" ht="11.25">
      <c r="D78" s="14"/>
      <c r="E78" s="3"/>
      <c r="F78" s="3"/>
      <c r="G78" s="3"/>
      <c r="H78" s="3"/>
      <c r="I78" s="3"/>
    </row>
    <row r="79" spans="4:9" ht="11.25">
      <c r="D79" s="14"/>
      <c r="E79" s="3"/>
      <c r="F79" s="3"/>
      <c r="G79" s="3"/>
      <c r="H79" s="3"/>
      <c r="I79" s="3"/>
    </row>
    <row r="80" spans="4:9" ht="11.25">
      <c r="D80" s="14"/>
      <c r="E80" s="3"/>
      <c r="F80" s="3"/>
      <c r="G80" s="3"/>
      <c r="H80" s="3"/>
      <c r="I80" s="3"/>
    </row>
    <row r="81" spans="4:9" ht="11.25">
      <c r="D81" s="14"/>
      <c r="E81" s="3"/>
      <c r="F81" s="3"/>
      <c r="G81" s="3"/>
      <c r="H81" s="3"/>
      <c r="I81" s="3"/>
    </row>
    <row r="82" spans="4:9" ht="11.25">
      <c r="D82" s="14"/>
      <c r="E82" s="3"/>
      <c r="F82" s="3"/>
      <c r="G82" s="3"/>
      <c r="H82" s="3"/>
      <c r="I82" s="3"/>
    </row>
    <row r="83" spans="4:9" ht="11.25">
      <c r="D83" s="14"/>
      <c r="E83" s="3"/>
      <c r="F83" s="3"/>
      <c r="G83" s="3"/>
      <c r="H83" s="3"/>
      <c r="I83" s="3"/>
    </row>
    <row r="84" spans="4:9" ht="11.25">
      <c r="D84" s="14"/>
      <c r="E84" s="3"/>
      <c r="F84" s="3"/>
      <c r="G84" s="3"/>
      <c r="H84" s="3"/>
      <c r="I84" s="3"/>
    </row>
    <row r="85" spans="4:9" ht="11.25">
      <c r="D85" s="14"/>
      <c r="E85" s="3"/>
      <c r="F85" s="3"/>
      <c r="G85" s="3"/>
      <c r="H85" s="3"/>
      <c r="I85" s="3"/>
    </row>
    <row r="86" spans="4:9" ht="11.25">
      <c r="D86" s="14"/>
      <c r="E86" s="3"/>
      <c r="F86" s="3"/>
      <c r="G86" s="3"/>
      <c r="H86" s="3"/>
      <c r="I86" s="3"/>
    </row>
    <row r="87" spans="4:9" ht="11.25">
      <c r="D87" s="14"/>
      <c r="E87" s="3"/>
      <c r="F87" s="3"/>
      <c r="G87" s="3"/>
      <c r="H87" s="3"/>
      <c r="I87" s="3"/>
    </row>
    <row r="88" spans="4:9" ht="12.75">
      <c r="D88" s="14"/>
      <c r="E88" s="3"/>
      <c r="F88" s="3"/>
      <c r="G88" s="13"/>
      <c r="H88" s="3"/>
      <c r="I88" s="3"/>
    </row>
    <row r="89" spans="4:9" ht="11.25">
      <c r="D89" s="14"/>
      <c r="E89" s="3"/>
      <c r="F89" s="3"/>
      <c r="G89" s="3"/>
      <c r="H89" s="3"/>
      <c r="I89" s="3"/>
    </row>
    <row r="90" ht="11.25">
      <c r="D90" s="14"/>
    </row>
    <row r="91" ht="11.25">
      <c r="D91" s="14"/>
    </row>
    <row r="97" spans="4:9" ht="11.25">
      <c r="D97" s="14"/>
      <c r="E97" s="3"/>
      <c r="F97" s="3"/>
      <c r="G97" s="3"/>
      <c r="H97" s="3"/>
      <c r="I97" s="3"/>
    </row>
    <row r="98" spans="4:9" ht="11.25">
      <c r="D98" s="14"/>
      <c r="E98" s="3"/>
      <c r="F98" s="3"/>
      <c r="G98" s="3"/>
      <c r="H98" s="3"/>
      <c r="I98" s="3"/>
    </row>
    <row r="99" spans="5:9" ht="11.25">
      <c r="E99" s="3"/>
      <c r="F99" s="3"/>
      <c r="G99" s="3"/>
      <c r="H99" s="3"/>
      <c r="I99" s="3"/>
    </row>
    <row r="100" spans="4:9" ht="11.25">
      <c r="D100" s="14"/>
      <c r="E100" s="3"/>
      <c r="F100" s="3"/>
      <c r="G100" s="3"/>
      <c r="H100" s="3"/>
      <c r="I100" s="3"/>
    </row>
    <row r="101" spans="5:9" ht="11.25">
      <c r="E101" s="3"/>
      <c r="F101" s="3"/>
      <c r="G101" s="3"/>
      <c r="H101" s="3"/>
      <c r="I101" s="3"/>
    </row>
  </sheetData>
  <printOptions/>
  <pageMargins left="0.75" right="0.56" top="1" bottom="1" header="0.5" footer="0.5"/>
  <pageSetup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40" sqref="A40"/>
    </sheetView>
  </sheetViews>
  <sheetFormatPr defaultColWidth="9.140625" defaultRowHeight="12.75"/>
  <cols>
    <col min="1" max="1" width="4.57421875" style="0" customWidth="1"/>
    <col min="2" max="2" width="13.28125" style="0" customWidth="1"/>
    <col min="6" max="6" width="14.00390625" style="0" customWidth="1"/>
  </cols>
  <sheetData>
    <row r="1" ht="12.75">
      <c r="I1" s="60"/>
    </row>
    <row r="2" ht="12.75">
      <c r="I2" s="60" t="s">
        <v>596</v>
      </c>
    </row>
    <row r="3" spans="8:9" ht="12.75">
      <c r="H3" s="60"/>
      <c r="I3" s="60" t="str">
        <f>OCC!I3</f>
        <v>Docket No. UT-040788</v>
      </c>
    </row>
    <row r="4" spans="8:9" ht="12.75">
      <c r="H4" s="60"/>
      <c r="I4" s="60" t="s">
        <v>626</v>
      </c>
    </row>
    <row r="5" ht="12.75">
      <c r="E5" s="191" t="s">
        <v>281</v>
      </c>
    </row>
    <row r="6" ht="12.75">
      <c r="E6" s="191" t="s">
        <v>282</v>
      </c>
    </row>
    <row r="10" spans="1:8" ht="12.75">
      <c r="A10">
        <v>1</v>
      </c>
      <c r="B10" t="s">
        <v>302</v>
      </c>
      <c r="F10" s="192"/>
      <c r="G10" s="254">
        <v>0.0494</v>
      </c>
      <c r="H10" t="s">
        <v>8</v>
      </c>
    </row>
    <row r="11" ht="12.75">
      <c r="G11" s="200"/>
    </row>
    <row r="12" spans="1:7" ht="12.75">
      <c r="A12">
        <v>2</v>
      </c>
      <c r="B12" t="s">
        <v>303</v>
      </c>
      <c r="G12" s="200"/>
    </row>
    <row r="13" spans="4:8" ht="12.75">
      <c r="D13" t="s">
        <v>609</v>
      </c>
      <c r="F13" s="192"/>
      <c r="G13" s="381">
        <v>0.02115</v>
      </c>
      <c r="H13" t="s">
        <v>10</v>
      </c>
    </row>
    <row r="14" spans="5:7" ht="12.75">
      <c r="E14" s="258"/>
      <c r="G14" s="57"/>
    </row>
    <row r="15" spans="1:8" ht="12.75">
      <c r="A15">
        <v>3</v>
      </c>
      <c r="B15" t="s">
        <v>283</v>
      </c>
      <c r="G15" s="57">
        <f>G10-G13</f>
        <v>0.02825</v>
      </c>
      <c r="H15" t="s">
        <v>284</v>
      </c>
    </row>
    <row r="16" spans="5:7" ht="12.75">
      <c r="E16" s="36"/>
      <c r="G16" s="57"/>
    </row>
    <row r="17" spans="1:7" ht="13.5" thickBot="1">
      <c r="A17">
        <v>4</v>
      </c>
      <c r="B17" t="s">
        <v>420</v>
      </c>
      <c r="G17" s="194">
        <v>0.03</v>
      </c>
    </row>
    <row r="18" spans="5:7" ht="13.5" thickTop="1">
      <c r="E18" s="36"/>
      <c r="G18" s="57"/>
    </row>
    <row r="19" spans="6:8" ht="12.75">
      <c r="F19" s="57"/>
      <c r="G19" s="57"/>
      <c r="H19" s="57"/>
    </row>
    <row r="20" spans="1:9" ht="12.75">
      <c r="A20">
        <v>5</v>
      </c>
      <c r="B20" t="s">
        <v>285</v>
      </c>
      <c r="F20" s="57">
        <v>0.066</v>
      </c>
      <c r="G20" s="105" t="s">
        <v>286</v>
      </c>
      <c r="H20" s="57">
        <v>0.07</v>
      </c>
      <c r="I20" t="s">
        <v>10</v>
      </c>
    </row>
    <row r="21" spans="2:8" ht="12.75">
      <c r="B21" t="s">
        <v>287</v>
      </c>
      <c r="F21" s="57"/>
      <c r="G21" s="57"/>
      <c r="H21" s="57"/>
    </row>
    <row r="22" spans="6:8" ht="12.75">
      <c r="F22" s="57"/>
      <c r="G22" s="57"/>
      <c r="H22" s="57"/>
    </row>
    <row r="23" spans="1:9" ht="12.75">
      <c r="A23">
        <v>6</v>
      </c>
      <c r="B23" t="s">
        <v>288</v>
      </c>
      <c r="F23" s="58">
        <f>G17</f>
        <v>0.03</v>
      </c>
      <c r="G23" s="57"/>
      <c r="H23" s="58">
        <f>F23</f>
        <v>0.03</v>
      </c>
      <c r="I23" t="s">
        <v>289</v>
      </c>
    </row>
    <row r="24" spans="6:8" ht="12.75">
      <c r="F24" s="57"/>
      <c r="G24" s="57"/>
      <c r="H24" s="57"/>
    </row>
    <row r="25" spans="1:8" ht="13.5" thickBot="1">
      <c r="A25">
        <v>7</v>
      </c>
      <c r="B25" t="s">
        <v>290</v>
      </c>
      <c r="F25" s="194">
        <f>SUM(F20:F23)</f>
        <v>0.096</v>
      </c>
      <c r="G25" s="195" t="s">
        <v>286</v>
      </c>
      <c r="H25" s="194">
        <f>SUM(H20:H23)</f>
        <v>0.1</v>
      </c>
    </row>
    <row r="26" spans="6:8" ht="13.5" thickTop="1">
      <c r="F26" s="57"/>
      <c r="G26" s="57"/>
      <c r="H26" s="57"/>
    </row>
    <row r="27" spans="2:7" ht="13.5" thickBot="1">
      <c r="B27" t="s">
        <v>291</v>
      </c>
      <c r="G27" s="194">
        <f>(F25+H25)/2</f>
        <v>0.098</v>
      </c>
    </row>
    <row r="28" ht="13.5" thickTop="1"/>
    <row r="32" ht="12.75">
      <c r="A32" t="s">
        <v>115</v>
      </c>
    </row>
    <row r="33" spans="1:2" ht="12.75">
      <c r="A33" t="str">
        <f>H10</f>
        <v>[A]</v>
      </c>
      <c r="B33" s="59" t="s">
        <v>527</v>
      </c>
    </row>
    <row r="34" ht="12.75">
      <c r="B34" s="59"/>
    </row>
    <row r="35" spans="1:2" ht="12.75">
      <c r="A35" t="str">
        <f>I20</f>
        <v>[B]</v>
      </c>
      <c r="B35" t="s">
        <v>355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7"/>
  <sheetViews>
    <sheetView workbookViewId="0" topLeftCell="A1">
      <selection activeCell="C27" sqref="C27"/>
    </sheetView>
  </sheetViews>
  <sheetFormatPr defaultColWidth="9.140625" defaultRowHeight="12.75"/>
  <cols>
    <col min="7" max="7" width="11.57421875" style="0" customWidth="1"/>
    <col min="8" max="8" width="9.28125" style="0" bestFit="1" customWidth="1"/>
    <col min="9" max="9" width="10.57421875" style="0" bestFit="1" customWidth="1"/>
    <col min="10" max="10" width="10.140625" style="0" customWidth="1"/>
    <col min="11" max="11" width="12.28125" style="0" customWidth="1"/>
    <col min="12" max="12" width="3.8515625" style="0" customWidth="1"/>
    <col min="13" max="15" width="9.28125" style="0" bestFit="1" customWidth="1"/>
  </cols>
  <sheetData>
    <row r="1" ht="12.75">
      <c r="M1" s="60"/>
    </row>
    <row r="2" spans="4:13" ht="12.75">
      <c r="D2" s="60" t="s">
        <v>300</v>
      </c>
      <c r="M2" s="60" t="s">
        <v>597</v>
      </c>
    </row>
    <row r="3" spans="4:13" ht="12.75">
      <c r="D3" s="60" t="s">
        <v>274</v>
      </c>
      <c r="E3" s="60" t="s">
        <v>294</v>
      </c>
      <c r="M3" s="60" t="str">
        <f>OCC!I3</f>
        <v>Docket No. UT-040788</v>
      </c>
    </row>
    <row r="4" spans="4:13" ht="12.75">
      <c r="D4" s="60"/>
      <c r="E4" s="60"/>
      <c r="M4" s="60" t="s">
        <v>627</v>
      </c>
    </row>
    <row r="6" spans="9:13" ht="12.75">
      <c r="I6" t="s">
        <v>295</v>
      </c>
      <c r="K6" t="s">
        <v>296</v>
      </c>
      <c r="M6" t="s">
        <v>637</v>
      </c>
    </row>
    <row r="7" spans="11:16" ht="12.75">
      <c r="K7" t="s">
        <v>297</v>
      </c>
      <c r="O7" s="196">
        <f>COMPCO!AR17</f>
        <v>1</v>
      </c>
      <c r="P7" t="s">
        <v>13</v>
      </c>
    </row>
    <row r="8" ht="12.75">
      <c r="D8" s="199" t="s">
        <v>275</v>
      </c>
    </row>
    <row r="9" ht="12.75">
      <c r="D9" s="199"/>
    </row>
    <row r="10" spans="4:13" ht="12.75">
      <c r="D10" s="199"/>
      <c r="E10" t="s">
        <v>304</v>
      </c>
      <c r="G10" s="36"/>
      <c r="I10" s="193">
        <v>0.0492</v>
      </c>
      <c r="J10" t="s">
        <v>8</v>
      </c>
      <c r="M10" s="36">
        <f>I10</f>
        <v>0.0492</v>
      </c>
    </row>
    <row r="11" spans="4:13" ht="12.75">
      <c r="D11" s="199"/>
      <c r="E11" t="s">
        <v>277</v>
      </c>
      <c r="I11" s="190">
        <f>H82</f>
        <v>0.04</v>
      </c>
      <c r="J11" t="s">
        <v>10</v>
      </c>
      <c r="K11" s="36">
        <f>M11-I11</f>
        <v>0</v>
      </c>
      <c r="L11" s="36" t="s">
        <v>11</v>
      </c>
      <c r="M11" s="58">
        <f>I11*$O$7</f>
        <v>0.04</v>
      </c>
    </row>
    <row r="12" spans="4:13" ht="12.75">
      <c r="D12" s="199"/>
      <c r="I12" s="198">
        <f>I10+I11</f>
        <v>0.0892</v>
      </c>
      <c r="J12" s="60"/>
      <c r="K12" s="60"/>
      <c r="L12" s="60"/>
      <c r="M12" s="198">
        <f>SUM(M10:M11)</f>
        <v>0.0892</v>
      </c>
    </row>
    <row r="13" spans="4:7" ht="12.75">
      <c r="D13" s="199"/>
      <c r="G13" s="36"/>
    </row>
    <row r="14" spans="4:7" ht="12.75">
      <c r="D14" s="199" t="s">
        <v>276</v>
      </c>
      <c r="E14" s="258"/>
      <c r="G14" s="36"/>
    </row>
    <row r="15" spans="4:7" ht="12.75">
      <c r="D15" s="199"/>
      <c r="G15" s="36"/>
    </row>
    <row r="16" spans="4:13" ht="12.75">
      <c r="D16" s="199"/>
      <c r="E16" s="36"/>
      <c r="G16" s="36"/>
      <c r="I16" s="193">
        <v>0.0565</v>
      </c>
      <c r="J16" t="str">
        <f>J10</f>
        <v>[A]</v>
      </c>
      <c r="M16" s="36">
        <f>I16</f>
        <v>0.0565</v>
      </c>
    </row>
    <row r="17" spans="4:13" ht="12.75">
      <c r="D17" s="199"/>
      <c r="E17" t="s">
        <v>277</v>
      </c>
      <c r="G17" s="36"/>
      <c r="I17" s="190">
        <f>H83</f>
        <v>0.035338398240336764</v>
      </c>
      <c r="J17" t="str">
        <f>J11</f>
        <v>[B]</v>
      </c>
      <c r="K17" s="36">
        <f>M17-I17</f>
        <v>0</v>
      </c>
      <c r="L17" s="36" t="str">
        <f>L11</f>
        <v>[C]</v>
      </c>
      <c r="M17" s="58">
        <f>I17*$O$7</f>
        <v>0.035338398240336764</v>
      </c>
    </row>
    <row r="18" spans="4:13" ht="12.75">
      <c r="D18" s="199"/>
      <c r="E18" s="36"/>
      <c r="G18" s="36"/>
      <c r="I18" s="200">
        <f>SUM(I16:I17)</f>
        <v>0.09183839824033677</v>
      </c>
      <c r="J18" s="60"/>
      <c r="K18" s="60"/>
      <c r="L18" s="60"/>
      <c r="M18" s="198">
        <f>SUM(M16:M17)</f>
        <v>0.09183839824033677</v>
      </c>
    </row>
    <row r="19" ht="12.75">
      <c r="D19" s="199"/>
    </row>
    <row r="20" ht="12.75">
      <c r="D20" s="199" t="s">
        <v>278</v>
      </c>
    </row>
    <row r="21" ht="12.75">
      <c r="D21" s="199"/>
    </row>
    <row r="22" spans="4:13" ht="12.75">
      <c r="D22" s="199"/>
      <c r="E22" t="s">
        <v>305</v>
      </c>
      <c r="I22" s="193">
        <v>0.0413</v>
      </c>
      <c r="M22" s="36">
        <f>I22</f>
        <v>0.0413</v>
      </c>
    </row>
    <row r="23" spans="4:13" ht="12.75">
      <c r="D23" s="199"/>
      <c r="E23" t="s">
        <v>277</v>
      </c>
      <c r="I23" s="190">
        <f>H84</f>
        <v>0.03955979917337001</v>
      </c>
      <c r="J23" t="str">
        <f>J11</f>
        <v>[B]</v>
      </c>
      <c r="K23" s="36">
        <f>M23-I23</f>
        <v>0</v>
      </c>
      <c r="L23" s="36" t="str">
        <f>L17</f>
        <v>[C]</v>
      </c>
      <c r="M23" s="58">
        <f>I23*$O$7</f>
        <v>0.03955979917337001</v>
      </c>
    </row>
    <row r="24" spans="4:13" ht="12.75">
      <c r="D24" s="199"/>
      <c r="I24" s="198">
        <f>SUM(I22:I23)</f>
        <v>0.08085979917337002</v>
      </c>
      <c r="J24" s="60"/>
      <c r="K24" s="60"/>
      <c r="L24" s="60"/>
      <c r="M24" s="198">
        <f>SUM(M22:M23)</f>
        <v>0.08085979917337002</v>
      </c>
    </row>
    <row r="25" ht="12.75">
      <c r="D25" s="199"/>
    </row>
    <row r="26" ht="12.75">
      <c r="D26" s="199"/>
    </row>
    <row r="27" ht="12.75">
      <c r="D27" s="199" t="s">
        <v>279</v>
      </c>
    </row>
    <row r="28" ht="12.75">
      <c r="D28" s="199"/>
    </row>
    <row r="29" spans="4:13" ht="12.75">
      <c r="D29" s="199"/>
      <c r="E29" t="s">
        <v>280</v>
      </c>
      <c r="I29" s="253">
        <v>0.0155</v>
      </c>
      <c r="M29" s="36">
        <f>I29</f>
        <v>0.0155</v>
      </c>
    </row>
    <row r="30" spans="4:13" ht="12.75">
      <c r="D30" s="199"/>
      <c r="E30" t="s">
        <v>277</v>
      </c>
      <c r="I30" s="190">
        <f>H85</f>
        <v>0.05486457028785049</v>
      </c>
      <c r="J30" t="str">
        <f>J11</f>
        <v>[B]</v>
      </c>
      <c r="K30" s="36">
        <f>M30-I30</f>
        <v>0</v>
      </c>
      <c r="L30" s="36" t="str">
        <f>L23</f>
        <v>[C]</v>
      </c>
      <c r="M30" s="58">
        <f>I30*$O$7</f>
        <v>0.05486457028785049</v>
      </c>
    </row>
    <row r="31" spans="4:13" ht="12.75">
      <c r="D31" s="199"/>
      <c r="I31" s="200">
        <f>SUM(I29:I30)</f>
        <v>0.07036457028785048</v>
      </c>
      <c r="J31" s="60"/>
      <c r="K31" s="60"/>
      <c r="L31" s="60"/>
      <c r="M31" s="198">
        <f>SUM(M29:M30)</f>
        <v>0.07036457028785048</v>
      </c>
    </row>
    <row r="32" ht="12.75">
      <c r="D32" s="199"/>
    </row>
    <row r="35" ht="12.75">
      <c r="D35" t="s">
        <v>293</v>
      </c>
    </row>
    <row r="36" spans="7:13" ht="12.75">
      <c r="G36" t="s">
        <v>21</v>
      </c>
      <c r="I36" s="36">
        <f>MIN(I12,I18,I24,I31)</f>
        <v>0.07036457028785048</v>
      </c>
      <c r="M36" s="36">
        <f>MIN(M12,M18,M24,M31)</f>
        <v>0.07036457028785048</v>
      </c>
    </row>
    <row r="37" spans="7:13" ht="12.75">
      <c r="G37" t="s">
        <v>22</v>
      </c>
      <c r="I37" s="190">
        <f>MAX(I12,I18,I24,I31)</f>
        <v>0.09183839824033677</v>
      </c>
      <c r="M37" s="190">
        <f>MAX(M12,M18,M24,M31)</f>
        <v>0.09183839824033677</v>
      </c>
    </row>
    <row r="38" spans="7:13" ht="12.75">
      <c r="G38" t="s">
        <v>17</v>
      </c>
      <c r="I38" s="198">
        <f>AVERAGE(I12,I18,I24,I31)</f>
        <v>0.08306569192538932</v>
      </c>
      <c r="J38" s="60"/>
      <c r="K38" s="198"/>
      <c r="L38" s="60"/>
      <c r="M38" s="198">
        <f>AVERAGE(M12,M18,M24,M31)</f>
        <v>0.08306569192538932</v>
      </c>
    </row>
    <row r="39" spans="4:13" ht="12.75">
      <c r="D39" s="60" t="s">
        <v>638</v>
      </c>
      <c r="I39" s="36"/>
      <c r="K39" s="36"/>
      <c r="M39" s="36"/>
    </row>
    <row r="40" ht="12.75">
      <c r="B40" t="s">
        <v>115</v>
      </c>
    </row>
    <row r="41" spans="3:4" ht="12.75">
      <c r="C41" t="str">
        <f>J10</f>
        <v>[A]</v>
      </c>
      <c r="D41" t="s">
        <v>370</v>
      </c>
    </row>
    <row r="42" spans="3:12" ht="12.75">
      <c r="C42" t="str">
        <f>J11</f>
        <v>[B]</v>
      </c>
      <c r="D42" t="str">
        <f>K51</f>
        <v>Exhibit ___(JAR-3) Schedule 10, P. 2</v>
      </c>
      <c r="I42" s="36"/>
      <c r="L42" s="36"/>
    </row>
    <row r="43" spans="3:14" ht="12.75">
      <c r="C43" t="str">
        <f>J16</f>
        <v>[A]</v>
      </c>
      <c r="D43" t="s">
        <v>356</v>
      </c>
      <c r="I43" s="36"/>
      <c r="K43" s="36"/>
      <c r="M43" s="66"/>
      <c r="N43" s="36"/>
    </row>
    <row r="44" spans="3:4" ht="12.75">
      <c r="C44" s="36" t="str">
        <f>L11</f>
        <v>[C]</v>
      </c>
      <c r="D44" t="s">
        <v>357</v>
      </c>
    </row>
    <row r="45" ht="12.75">
      <c r="D45" t="s">
        <v>358</v>
      </c>
    </row>
    <row r="46" ht="12.75">
      <c r="D46" t="s">
        <v>359</v>
      </c>
    </row>
    <row r="47" spans="3:4" ht="12.75">
      <c r="C47" t="str">
        <f>P7</f>
        <v>[D]</v>
      </c>
      <c r="D47" t="str">
        <f>COMPCO!AP2</f>
        <v>Exhibit ___(JAR-3) Schedule 3, P 3</v>
      </c>
    </row>
    <row r="50" ht="12.75">
      <c r="K50" s="60"/>
    </row>
    <row r="51" spans="4:12" ht="12.75">
      <c r="D51" s="60" t="s">
        <v>263</v>
      </c>
      <c r="K51" s="60" t="s">
        <v>605</v>
      </c>
      <c r="L51" s="60"/>
    </row>
    <row r="52" spans="4:11" ht="12.75">
      <c r="D52" s="60" t="s">
        <v>264</v>
      </c>
      <c r="K52" s="60" t="str">
        <f>M3</f>
        <v>Docket No. UT-040788</v>
      </c>
    </row>
    <row r="53" ht="12.75">
      <c r="K53" s="60" t="s">
        <v>628</v>
      </c>
    </row>
    <row r="56" ht="12.75">
      <c r="C56" t="s">
        <v>398</v>
      </c>
    </row>
    <row r="60" spans="4:8" ht="12.75">
      <c r="D60" t="s">
        <v>265</v>
      </c>
      <c r="H60" s="36">
        <f>Rprems!I97</f>
        <v>0.1070858659272449</v>
      </c>
    </row>
    <row r="61" spans="4:8" ht="12.75">
      <c r="D61" t="s">
        <v>266</v>
      </c>
      <c r="H61" s="36">
        <f>Rprems!J97</f>
        <v>0.057666806799699266</v>
      </c>
    </row>
    <row r="62" spans="4:8" ht="12.75">
      <c r="D62" t="s">
        <v>267</v>
      </c>
      <c r="H62" s="36">
        <f>Rprems!K97</f>
        <v>0.05300520504003603</v>
      </c>
    </row>
    <row r="63" spans="4:8" ht="12.75">
      <c r="D63" t="s">
        <v>268</v>
      </c>
      <c r="H63" s="36">
        <f>Rprems!L97</f>
        <v>0.05344540586666602</v>
      </c>
    </row>
    <row r="64" spans="4:8" ht="12.75">
      <c r="D64" t="s">
        <v>269</v>
      </c>
      <c r="H64" s="36">
        <f>Rprems!M97</f>
        <v>0.03814063475218554</v>
      </c>
    </row>
    <row r="65" spans="4:8" ht="12.75">
      <c r="D65" t="s">
        <v>256</v>
      </c>
      <c r="H65" s="36">
        <f>Rprems!N97</f>
        <v>0.030561167008308576</v>
      </c>
    </row>
    <row r="69" ht="12.75">
      <c r="D69" t="s">
        <v>270</v>
      </c>
    </row>
    <row r="72" spans="4:8" ht="12.75">
      <c r="D72" t="s">
        <v>265</v>
      </c>
      <c r="H72" s="36">
        <f>H60-H62</f>
        <v>0.054080660887208865</v>
      </c>
    </row>
    <row r="73" spans="4:8" ht="12.75">
      <c r="D73" t="s">
        <v>266</v>
      </c>
      <c r="H73" s="36">
        <f>H61-$H$62</f>
        <v>0.004661601759663236</v>
      </c>
    </row>
    <row r="74" spans="4:8" ht="12.75">
      <c r="D74" t="s">
        <v>267</v>
      </c>
      <c r="H74" s="36">
        <f>H62-$H$62</f>
        <v>0</v>
      </c>
    </row>
    <row r="75" spans="4:8" ht="12.75">
      <c r="D75" t="s">
        <v>268</v>
      </c>
      <c r="H75" s="36">
        <f>H63-$H$62</f>
        <v>0.0004402008266299884</v>
      </c>
    </row>
    <row r="76" spans="4:8" ht="12.75">
      <c r="D76" t="s">
        <v>269</v>
      </c>
      <c r="H76" s="36">
        <f>H64-$H$62</f>
        <v>-0.014864570287850487</v>
      </c>
    </row>
    <row r="77" spans="4:8" ht="12.75">
      <c r="D77" t="s">
        <v>256</v>
      </c>
      <c r="H77" s="36">
        <f>H65-$H$62</f>
        <v>-0.022444038031727453</v>
      </c>
    </row>
    <row r="80" ht="12.75">
      <c r="D80" t="s">
        <v>271</v>
      </c>
    </row>
    <row r="82" spans="4:10" ht="12.75">
      <c r="D82" t="s">
        <v>267</v>
      </c>
      <c r="H82" s="57">
        <v>0.04</v>
      </c>
      <c r="I82" t="s">
        <v>272</v>
      </c>
      <c r="J82" t="s">
        <v>371</v>
      </c>
    </row>
    <row r="83" spans="4:10" ht="12.75">
      <c r="D83" t="s">
        <v>266</v>
      </c>
      <c r="H83" s="57">
        <f>$H$82-H73</f>
        <v>0.035338398240336764</v>
      </c>
      <c r="I83" t="s">
        <v>272</v>
      </c>
      <c r="J83" t="s">
        <v>273</v>
      </c>
    </row>
    <row r="84" spans="4:10" ht="12.75">
      <c r="D84" t="s">
        <v>268</v>
      </c>
      <c r="H84" s="57">
        <f>$H$82-H75</f>
        <v>0.03955979917337001</v>
      </c>
      <c r="I84" t="s">
        <v>272</v>
      </c>
      <c r="J84" t="s">
        <v>273</v>
      </c>
    </row>
    <row r="85" spans="4:10" ht="12.75">
      <c r="D85" t="s">
        <v>269</v>
      </c>
      <c r="H85" s="57">
        <f>$H$82-H76</f>
        <v>0.05486457028785049</v>
      </c>
      <c r="I85" t="s">
        <v>272</v>
      </c>
      <c r="J85" t="s">
        <v>273</v>
      </c>
    </row>
    <row r="86" spans="4:10" ht="12.75">
      <c r="D86" t="s">
        <v>256</v>
      </c>
      <c r="H86" s="57">
        <f>$H$82-H77</f>
        <v>0.062444038031727454</v>
      </c>
      <c r="I86" t="s">
        <v>272</v>
      </c>
      <c r="J86" t="s">
        <v>273</v>
      </c>
    </row>
    <row r="87" ht="12.75">
      <c r="H87" s="57"/>
    </row>
  </sheetData>
  <printOptions horizontalCentered="1" verticalCentered="1"/>
  <pageMargins left="0.75" right="0.75" top="1" bottom="1" header="0.5" footer="0.5"/>
  <pageSetup fitToHeight="0" fitToWidth="1" horizontalDpi="600" verticalDpi="600" orientation="landscape" scale="65" r:id="rId1"/>
  <rowBreaks count="1" manualBreakCount="1">
    <brk id="49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B174"/>
  <sheetViews>
    <sheetView view="pageBreakPreview" zoomScale="60" workbookViewId="0" topLeftCell="A1">
      <selection activeCell="K85" sqref="K85"/>
    </sheetView>
  </sheetViews>
  <sheetFormatPr defaultColWidth="9.140625" defaultRowHeight="12.75"/>
  <cols>
    <col min="3" max="8" width="11.421875" style="57" customWidth="1"/>
    <col min="9" max="13" width="11.8515625" style="0" customWidth="1"/>
    <col min="15" max="15" width="18.421875" style="0" customWidth="1"/>
    <col min="16" max="16" width="24.8515625" style="0" customWidth="1"/>
    <col min="18" max="22" width="10.57421875" style="0" customWidth="1"/>
    <col min="24" max="24" width="11.28125" style="0" hidden="1" customWidth="1"/>
    <col min="25" max="28" width="11.7109375" style="0" hidden="1" customWidth="1"/>
    <col min="29" max="31" width="9.28125" style="0" hidden="1" customWidth="1"/>
    <col min="32" max="32" width="9.7109375" style="0" hidden="1" customWidth="1"/>
    <col min="33" max="37" width="9.28125" style="0" hidden="1" customWidth="1"/>
    <col min="38" max="38" width="10.421875" style="0" hidden="1" customWidth="1"/>
    <col min="39" max="39" width="10.57421875" style="0" hidden="1" customWidth="1"/>
    <col min="40" max="40" width="0" style="0" hidden="1" customWidth="1"/>
    <col min="41" max="45" width="9.28125" style="0" hidden="1" customWidth="1"/>
    <col min="46" max="46" width="0" style="0" hidden="1" customWidth="1"/>
    <col min="47" max="48" width="9.28125" style="0" bestFit="1" customWidth="1"/>
  </cols>
  <sheetData>
    <row r="1" ht="12.75">
      <c r="O1" s="60"/>
    </row>
    <row r="2" spans="15:51" ht="12.75">
      <c r="O2" s="60" t="s">
        <v>598</v>
      </c>
      <c r="Z2" s="57"/>
      <c r="AA2" s="57"/>
      <c r="AB2" s="57"/>
      <c r="AC2" s="57"/>
      <c r="AD2" s="57"/>
      <c r="AE2" s="57"/>
      <c r="AL2" s="60" t="s">
        <v>307</v>
      </c>
      <c r="AY2" s="60" t="s">
        <v>599</v>
      </c>
    </row>
    <row r="3" spans="15:51" ht="12.75">
      <c r="O3" s="60" t="str">
        <f>OCC!I3</f>
        <v>Docket No. UT-040788</v>
      </c>
      <c r="Z3" s="57"/>
      <c r="AA3" s="57"/>
      <c r="AB3" s="57"/>
      <c r="AC3" s="57"/>
      <c r="AD3" s="57"/>
      <c r="AE3" s="57"/>
      <c r="AY3" s="60" t="str">
        <f>O3</f>
        <v>Docket No. UT-040788</v>
      </c>
    </row>
    <row r="4" spans="9:51" ht="12.75">
      <c r="I4" s="63" t="s">
        <v>260</v>
      </c>
      <c r="J4" s="63"/>
      <c r="K4" s="63"/>
      <c r="L4" s="63"/>
      <c r="M4" s="63"/>
      <c r="O4" s="60" t="s">
        <v>629</v>
      </c>
      <c r="Z4" s="57"/>
      <c r="AA4" s="57"/>
      <c r="AB4" s="57"/>
      <c r="AC4" s="57"/>
      <c r="AD4" s="57"/>
      <c r="AE4" s="57"/>
      <c r="AF4" s="63" t="s">
        <v>260</v>
      </c>
      <c r="AG4" s="63"/>
      <c r="AH4" s="63"/>
      <c r="AI4" s="63"/>
      <c r="AJ4" s="63"/>
      <c r="AY4" s="60" t="s">
        <v>630</v>
      </c>
    </row>
    <row r="5" spans="9:49" ht="12.75">
      <c r="I5" s="63"/>
      <c r="J5" s="63"/>
      <c r="K5" s="63"/>
      <c r="L5" s="63"/>
      <c r="M5" s="63"/>
      <c r="S5" t="s">
        <v>262</v>
      </c>
      <c r="Z5" s="57"/>
      <c r="AA5" s="57"/>
      <c r="AB5" s="57"/>
      <c r="AC5" s="57"/>
      <c r="AD5" s="57"/>
      <c r="AE5" s="57"/>
      <c r="AF5" s="63"/>
      <c r="AG5" s="63"/>
      <c r="AH5" s="63"/>
      <c r="AI5" s="63"/>
      <c r="AJ5" s="63"/>
      <c r="AP5" t="s">
        <v>262</v>
      </c>
      <c r="AW5" t="s">
        <v>262</v>
      </c>
    </row>
    <row r="6" spans="3:48" ht="12.75">
      <c r="C6" s="57" t="s">
        <v>244</v>
      </c>
      <c r="D6" s="56" t="s">
        <v>247</v>
      </c>
      <c r="E6" s="56" t="s">
        <v>249</v>
      </c>
      <c r="F6" s="56" t="s">
        <v>253</v>
      </c>
      <c r="G6" s="56" t="s">
        <v>251</v>
      </c>
      <c r="H6" s="56" t="s">
        <v>256</v>
      </c>
      <c r="I6" s="64" t="str">
        <f>C6</f>
        <v>Large</v>
      </c>
      <c r="J6" s="64" t="str">
        <f aca="true" t="shared" si="0" ref="J6:N8">D6</f>
        <v>Long-Term</v>
      </c>
      <c r="K6" s="64" t="str">
        <f t="shared" si="0"/>
        <v>Long-term </v>
      </c>
      <c r="L6" s="64" t="str">
        <f t="shared" si="0"/>
        <v>Intermediate</v>
      </c>
      <c r="M6" s="64" t="str">
        <f t="shared" si="0"/>
        <v>U.S.</v>
      </c>
      <c r="N6" s="64" t="str">
        <f t="shared" si="0"/>
        <v>Inflation</v>
      </c>
      <c r="O6" s="65">
        <v>100</v>
      </c>
      <c r="P6" s="65">
        <v>100</v>
      </c>
      <c r="Z6" s="57" t="s">
        <v>244</v>
      </c>
      <c r="AA6" s="56" t="s">
        <v>247</v>
      </c>
      <c r="AB6" s="56" t="s">
        <v>249</v>
      </c>
      <c r="AC6" s="56" t="s">
        <v>253</v>
      </c>
      <c r="AD6" s="56" t="s">
        <v>251</v>
      </c>
      <c r="AE6" s="56" t="s">
        <v>256</v>
      </c>
      <c r="AF6" s="64" t="str">
        <f>Z6</f>
        <v>Large</v>
      </c>
      <c r="AG6" s="64" t="str">
        <f aca="true" t="shared" si="1" ref="AG6:AK8">AA6</f>
        <v>Long-Term</v>
      </c>
      <c r="AH6" s="64" t="str">
        <f t="shared" si="1"/>
        <v>Long-term </v>
      </c>
      <c r="AI6" s="64" t="str">
        <f t="shared" si="1"/>
        <v>Intermediate</v>
      </c>
      <c r="AJ6" s="64" t="str">
        <f t="shared" si="1"/>
        <v>U.S.</v>
      </c>
      <c r="AK6" s="64" t="str">
        <f t="shared" si="1"/>
        <v>Inflation</v>
      </c>
      <c r="AL6" s="65">
        <v>100</v>
      </c>
      <c r="AM6" s="65">
        <v>100</v>
      </c>
      <c r="AV6" t="s">
        <v>261</v>
      </c>
    </row>
    <row r="7" spans="3:48" ht="12.75">
      <c r="C7" s="57" t="s">
        <v>245</v>
      </c>
      <c r="D7" s="56" t="s">
        <v>248</v>
      </c>
      <c r="E7" s="56" t="s">
        <v>250</v>
      </c>
      <c r="F7" s="56" t="s">
        <v>254</v>
      </c>
      <c r="G7" s="56" t="s">
        <v>252</v>
      </c>
      <c r="H7" s="56"/>
      <c r="I7" s="64" t="str">
        <f>C7</f>
        <v>Company</v>
      </c>
      <c r="J7" s="64" t="str">
        <f t="shared" si="0"/>
        <v>Corporate</v>
      </c>
      <c r="K7" s="64" t="str">
        <f t="shared" si="0"/>
        <v>Government</v>
      </c>
      <c r="L7" s="64" t="str">
        <f t="shared" si="0"/>
        <v>Term</v>
      </c>
      <c r="M7" s="64" t="str">
        <f t="shared" si="0"/>
        <v>Treasury</v>
      </c>
      <c r="O7" s="66" t="s">
        <v>198</v>
      </c>
      <c r="P7" s="66" t="s">
        <v>198</v>
      </c>
      <c r="Z7" s="57" t="s">
        <v>245</v>
      </c>
      <c r="AA7" s="56" t="s">
        <v>248</v>
      </c>
      <c r="AB7" s="56" t="s">
        <v>250</v>
      </c>
      <c r="AC7" s="56" t="s">
        <v>254</v>
      </c>
      <c r="AD7" s="56" t="s">
        <v>252</v>
      </c>
      <c r="AE7" s="56"/>
      <c r="AF7" s="64" t="str">
        <f>Z7</f>
        <v>Company</v>
      </c>
      <c r="AG7" s="64" t="str">
        <f t="shared" si="1"/>
        <v>Corporate</v>
      </c>
      <c r="AH7" s="64" t="str">
        <f t="shared" si="1"/>
        <v>Government</v>
      </c>
      <c r="AI7" s="64" t="str">
        <f t="shared" si="1"/>
        <v>Term</v>
      </c>
      <c r="AJ7" s="64" t="str">
        <f t="shared" si="1"/>
        <v>Treasury</v>
      </c>
      <c r="AL7" s="66" t="s">
        <v>198</v>
      </c>
      <c r="AM7" s="66" t="s">
        <v>198</v>
      </c>
      <c r="AV7" t="s">
        <v>129</v>
      </c>
    </row>
    <row r="8" spans="3:39" ht="12.75">
      <c r="C8" s="57" t="s">
        <v>246</v>
      </c>
      <c r="D8" s="56" t="s">
        <v>200</v>
      </c>
      <c r="E8" s="56" t="s">
        <v>200</v>
      </c>
      <c r="F8" s="56" t="s">
        <v>250</v>
      </c>
      <c r="G8" s="56" t="s">
        <v>255</v>
      </c>
      <c r="H8" s="56"/>
      <c r="I8" s="64" t="str">
        <f>C8</f>
        <v>Stocks</v>
      </c>
      <c r="J8" s="64" t="str">
        <f t="shared" si="0"/>
        <v>Bonds</v>
      </c>
      <c r="K8" s="64" t="str">
        <f t="shared" si="0"/>
        <v>Bonds</v>
      </c>
      <c r="L8" s="64" t="str">
        <f t="shared" si="0"/>
        <v>Government</v>
      </c>
      <c r="M8" s="64" t="str">
        <f t="shared" si="0"/>
        <v>Bills</v>
      </c>
      <c r="O8" s="66" t="s">
        <v>201</v>
      </c>
      <c r="P8" s="66" t="s">
        <v>201</v>
      </c>
      <c r="Z8" s="57" t="s">
        <v>246</v>
      </c>
      <c r="AA8" s="56" t="s">
        <v>200</v>
      </c>
      <c r="AB8" s="56" t="s">
        <v>200</v>
      </c>
      <c r="AC8" s="56" t="s">
        <v>250</v>
      </c>
      <c r="AD8" s="56" t="s">
        <v>255</v>
      </c>
      <c r="AE8" s="56"/>
      <c r="AF8" s="64" t="str">
        <f>Z8</f>
        <v>Stocks</v>
      </c>
      <c r="AG8" s="64" t="str">
        <f t="shared" si="1"/>
        <v>Bonds</v>
      </c>
      <c r="AH8" s="64" t="str">
        <f t="shared" si="1"/>
        <v>Bonds</v>
      </c>
      <c r="AI8" s="64" t="str">
        <f t="shared" si="1"/>
        <v>Government</v>
      </c>
      <c r="AJ8" s="64" t="str">
        <f t="shared" si="1"/>
        <v>Bills</v>
      </c>
      <c r="AL8" s="66" t="s">
        <v>201</v>
      </c>
      <c r="AM8" s="66" t="s">
        <v>201</v>
      </c>
    </row>
    <row r="9" spans="6:49" ht="12.75">
      <c r="F9" s="56" t="s">
        <v>200</v>
      </c>
      <c r="J9" s="64"/>
      <c r="K9" s="64"/>
      <c r="L9" s="64" t="str">
        <f>F9</f>
        <v>Bonds</v>
      </c>
      <c r="M9" s="64"/>
      <c r="O9" s="66" t="s">
        <v>202</v>
      </c>
      <c r="P9" s="66" t="s">
        <v>203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Z9" s="57"/>
      <c r="AA9" s="57"/>
      <c r="AB9" s="57"/>
      <c r="AC9" s="56" t="s">
        <v>200</v>
      </c>
      <c r="AD9" s="57"/>
      <c r="AE9" s="57"/>
      <c r="AG9" s="64"/>
      <c r="AH9" s="64"/>
      <c r="AI9" s="64" t="str">
        <f>AC9</f>
        <v>Bonds</v>
      </c>
      <c r="AJ9" s="64"/>
      <c r="AL9" s="66" t="s">
        <v>202</v>
      </c>
      <c r="AM9" s="66" t="s">
        <v>203</v>
      </c>
      <c r="AO9" t="s">
        <v>199</v>
      </c>
      <c r="AP9" t="s">
        <v>199</v>
      </c>
      <c r="AQ9" t="s">
        <v>199</v>
      </c>
      <c r="AR9" t="s">
        <v>199</v>
      </c>
      <c r="AS9" t="s">
        <v>199</v>
      </c>
      <c r="AV9" t="s">
        <v>257</v>
      </c>
      <c r="AW9" t="s">
        <v>257</v>
      </c>
    </row>
    <row r="10" spans="6:49" ht="12.75">
      <c r="F10" s="56"/>
      <c r="K10" s="66"/>
      <c r="O10" s="66"/>
      <c r="P10" s="66"/>
      <c r="R10" t="s">
        <v>244</v>
      </c>
      <c r="S10" t="s">
        <v>247</v>
      </c>
      <c r="T10" t="s">
        <v>249</v>
      </c>
      <c r="U10" t="s">
        <v>253</v>
      </c>
      <c r="V10" t="s">
        <v>251</v>
      </c>
      <c r="Z10" s="57"/>
      <c r="AA10" s="57"/>
      <c r="AB10" s="57"/>
      <c r="AC10" s="56"/>
      <c r="AD10" s="57"/>
      <c r="AE10" s="57"/>
      <c r="AH10" s="66"/>
      <c r="AL10" s="66"/>
      <c r="AM10" s="66"/>
      <c r="AO10" t="s">
        <v>244</v>
      </c>
      <c r="AP10" t="s">
        <v>247</v>
      </c>
      <c r="AQ10" t="s">
        <v>249</v>
      </c>
      <c r="AR10" t="s">
        <v>253</v>
      </c>
      <c r="AS10" t="s">
        <v>251</v>
      </c>
      <c r="AV10" t="s">
        <v>258</v>
      </c>
      <c r="AW10" t="s">
        <v>259</v>
      </c>
    </row>
    <row r="11" spans="6:51" ht="12.75">
      <c r="F11" s="56"/>
      <c r="K11" s="66"/>
      <c r="O11" s="66"/>
      <c r="P11" s="66"/>
      <c r="R11" s="62" t="s">
        <v>245</v>
      </c>
      <c r="S11" s="62" t="s">
        <v>248</v>
      </c>
      <c r="T11" s="62" t="s">
        <v>250</v>
      </c>
      <c r="U11" s="62" t="s">
        <v>254</v>
      </c>
      <c r="V11" s="62" t="s">
        <v>252</v>
      </c>
      <c r="Z11" s="57"/>
      <c r="AA11" s="57"/>
      <c r="AB11" s="57"/>
      <c r="AC11" s="56"/>
      <c r="AD11" s="57"/>
      <c r="AE11" s="57"/>
      <c r="AH11" s="66"/>
      <c r="AL11" s="66"/>
      <c r="AM11" s="66"/>
      <c r="AO11" s="62" t="s">
        <v>245</v>
      </c>
      <c r="AP11" s="62" t="s">
        <v>248</v>
      </c>
      <c r="AQ11" s="62" t="s">
        <v>250</v>
      </c>
      <c r="AR11" s="62" t="s">
        <v>254</v>
      </c>
      <c r="AS11" s="62" t="s">
        <v>252</v>
      </c>
      <c r="AV11" t="s">
        <v>247</v>
      </c>
      <c r="AW11" t="s">
        <v>249</v>
      </c>
      <c r="AX11" t="s">
        <v>253</v>
      </c>
      <c r="AY11" t="s">
        <v>251</v>
      </c>
    </row>
    <row r="12" spans="6:51" ht="12.75">
      <c r="F12" s="56"/>
      <c r="K12" s="66"/>
      <c r="O12" s="66"/>
      <c r="P12" s="66"/>
      <c r="R12" s="62" t="s">
        <v>246</v>
      </c>
      <c r="S12" s="62" t="s">
        <v>200</v>
      </c>
      <c r="T12" s="62" t="s">
        <v>200</v>
      </c>
      <c r="U12" s="62" t="s">
        <v>250</v>
      </c>
      <c r="V12" s="62" t="s">
        <v>255</v>
      </c>
      <c r="Z12" s="57"/>
      <c r="AA12" s="57"/>
      <c r="AB12" s="57"/>
      <c r="AC12" s="56"/>
      <c r="AD12" s="57"/>
      <c r="AE12" s="57"/>
      <c r="AH12" s="66"/>
      <c r="AL12" s="66"/>
      <c r="AM12" s="66"/>
      <c r="AO12" s="62" t="s">
        <v>246</v>
      </c>
      <c r="AP12" s="62" t="s">
        <v>200</v>
      </c>
      <c r="AQ12" s="62" t="s">
        <v>200</v>
      </c>
      <c r="AR12" s="62" t="s">
        <v>250</v>
      </c>
      <c r="AS12" s="62" t="s">
        <v>255</v>
      </c>
      <c r="AV12" t="s">
        <v>248</v>
      </c>
      <c r="AW12" t="s">
        <v>250</v>
      </c>
      <c r="AX12" t="s">
        <v>254</v>
      </c>
      <c r="AY12" t="s">
        <v>252</v>
      </c>
    </row>
    <row r="13" spans="2:51" ht="12.75">
      <c r="B13">
        <v>1925</v>
      </c>
      <c r="F13" s="56"/>
      <c r="I13">
        <v>100</v>
      </c>
      <c r="J13">
        <v>100</v>
      </c>
      <c r="K13" s="66">
        <v>100</v>
      </c>
      <c r="L13">
        <v>100</v>
      </c>
      <c r="M13">
        <v>100</v>
      </c>
      <c r="N13">
        <v>100</v>
      </c>
      <c r="O13" s="66"/>
      <c r="P13" s="66"/>
      <c r="R13" s="62" t="s">
        <v>200</v>
      </c>
      <c r="S13" s="62" t="s">
        <v>200</v>
      </c>
      <c r="T13" s="62" t="s">
        <v>250</v>
      </c>
      <c r="U13" s="62" t="s">
        <v>255</v>
      </c>
      <c r="V13" s="62"/>
      <c r="Y13">
        <v>1925</v>
      </c>
      <c r="Z13" s="57"/>
      <c r="AA13" s="57"/>
      <c r="AB13" s="57"/>
      <c r="AC13" s="56"/>
      <c r="AD13" s="57"/>
      <c r="AE13" s="57"/>
      <c r="AF13">
        <v>100</v>
      </c>
      <c r="AG13">
        <v>100</v>
      </c>
      <c r="AH13" s="66">
        <v>100</v>
      </c>
      <c r="AI13">
        <v>100</v>
      </c>
      <c r="AJ13">
        <v>100</v>
      </c>
      <c r="AK13">
        <v>100</v>
      </c>
      <c r="AL13" s="66"/>
      <c r="AM13" s="66"/>
      <c r="AO13" s="62" t="s">
        <v>200</v>
      </c>
      <c r="AP13" s="62" t="s">
        <v>200</v>
      </c>
      <c r="AQ13" s="62" t="s">
        <v>250</v>
      </c>
      <c r="AR13" s="62" t="s">
        <v>255</v>
      </c>
      <c r="AS13" s="62"/>
      <c r="AV13" t="s">
        <v>200</v>
      </c>
      <c r="AW13" t="s">
        <v>200</v>
      </c>
      <c r="AX13" t="s">
        <v>250</v>
      </c>
      <c r="AY13" t="s">
        <v>255</v>
      </c>
    </row>
    <row r="14" spans="2:39" ht="12.75">
      <c r="B14">
        <v>1926</v>
      </c>
      <c r="C14" s="57">
        <v>0.1162</v>
      </c>
      <c r="D14" s="57">
        <v>0.0737</v>
      </c>
      <c r="E14" s="57">
        <v>0.0777</v>
      </c>
      <c r="F14" s="57">
        <v>0.0538</v>
      </c>
      <c r="G14" s="57">
        <v>0.0327</v>
      </c>
      <c r="H14" s="57">
        <v>-0.0149</v>
      </c>
      <c r="I14" s="67">
        <f aca="true" t="shared" si="2" ref="I14:N14">100*C14+100</f>
        <v>111.62</v>
      </c>
      <c r="J14" s="67">
        <f t="shared" si="2"/>
        <v>107.37</v>
      </c>
      <c r="K14" s="67">
        <f t="shared" si="2"/>
        <v>107.77</v>
      </c>
      <c r="L14" s="67">
        <f t="shared" si="2"/>
        <v>105.38</v>
      </c>
      <c r="M14" s="67">
        <f t="shared" si="2"/>
        <v>103.27</v>
      </c>
      <c r="N14" s="67">
        <f t="shared" si="2"/>
        <v>98.51</v>
      </c>
      <c r="O14" s="68">
        <f>100*(1+I94)</f>
        <v>110.42381819635898</v>
      </c>
      <c r="P14" s="68">
        <f>100*(1+C94)</f>
        <v>112.41333333333334</v>
      </c>
      <c r="Y14">
        <v>1926</v>
      </c>
      <c r="Z14" s="57">
        <v>0.1162</v>
      </c>
      <c r="AA14" s="57">
        <v>0.0737</v>
      </c>
      <c r="AB14" s="57">
        <v>0.0777</v>
      </c>
      <c r="AC14" s="57">
        <v>0.0538</v>
      </c>
      <c r="AD14" s="57">
        <v>0.0327</v>
      </c>
      <c r="AE14" s="57">
        <v>-0.0149</v>
      </c>
      <c r="AF14" s="67">
        <f aca="true" t="shared" si="3" ref="AF14:AK14">100*Z14+100</f>
        <v>111.62</v>
      </c>
      <c r="AG14" s="67">
        <f t="shared" si="3"/>
        <v>107.37</v>
      </c>
      <c r="AH14" s="67">
        <f t="shared" si="3"/>
        <v>107.77</v>
      </c>
      <c r="AI14" s="67">
        <f t="shared" si="3"/>
        <v>105.38</v>
      </c>
      <c r="AJ14" s="67">
        <f t="shared" si="3"/>
        <v>103.27</v>
      </c>
      <c r="AK14" s="67">
        <f t="shared" si="3"/>
        <v>98.51</v>
      </c>
      <c r="AL14" s="68">
        <f>100*(1+AF94)</f>
        <v>111.34692436084555</v>
      </c>
      <c r="AM14" s="68">
        <f>100*(1+Z94)</f>
        <v>112.65315789473685</v>
      </c>
    </row>
    <row r="15" spans="2:39" ht="12.75">
      <c r="B15">
        <f>B14+1</f>
        <v>1927</v>
      </c>
      <c r="C15" s="57">
        <v>0.3749</v>
      </c>
      <c r="D15" s="57">
        <v>0.0744</v>
      </c>
      <c r="E15" s="57">
        <v>0.0893</v>
      </c>
      <c r="F15" s="57">
        <v>0.0452</v>
      </c>
      <c r="G15" s="57">
        <v>0.0312</v>
      </c>
      <c r="H15" s="57">
        <v>-0.0208</v>
      </c>
      <c r="I15" s="67">
        <f aca="true" t="shared" si="4" ref="I15:N30">I14*(1+C15)</f>
        <v>153.466338</v>
      </c>
      <c r="J15" s="67">
        <f t="shared" si="4"/>
        <v>115.358328</v>
      </c>
      <c r="K15" s="67">
        <f t="shared" si="4"/>
        <v>117.39386099999999</v>
      </c>
      <c r="L15" s="67">
        <f t="shared" si="4"/>
        <v>110.14317599999998</v>
      </c>
      <c r="M15" s="67">
        <f t="shared" si="4"/>
        <v>106.49202399999999</v>
      </c>
      <c r="N15" s="67">
        <f t="shared" si="4"/>
        <v>96.460992</v>
      </c>
      <c r="O15" s="68">
        <f>O14*(1+$I$94)</f>
        <v>121.9341962506254</v>
      </c>
      <c r="P15" s="68">
        <f>P14*(1+$C$94)</f>
        <v>126.36757511111114</v>
      </c>
      <c r="Y15">
        <f>Y14+1</f>
        <v>1927</v>
      </c>
      <c r="Z15" s="57">
        <v>0.3749</v>
      </c>
      <c r="AA15" s="57">
        <v>0.0744</v>
      </c>
      <c r="AB15" s="57">
        <v>0.0893</v>
      </c>
      <c r="AC15" s="57">
        <v>0.0452</v>
      </c>
      <c r="AD15" s="57">
        <v>0.0312</v>
      </c>
      <c r="AE15" s="57">
        <v>-0.0208</v>
      </c>
      <c r="AF15" s="67">
        <f aca="true" t="shared" si="5" ref="AF15:AK30">AF14*(1+Z15)</f>
        <v>153.466338</v>
      </c>
      <c r="AG15" s="67">
        <f t="shared" si="5"/>
        <v>115.358328</v>
      </c>
      <c r="AH15" s="67">
        <f t="shared" si="5"/>
        <v>117.39386099999999</v>
      </c>
      <c r="AI15" s="67">
        <f t="shared" si="5"/>
        <v>110.14317599999998</v>
      </c>
      <c r="AJ15" s="67">
        <f t="shared" si="5"/>
        <v>106.49202399999999</v>
      </c>
      <c r="AK15" s="67">
        <f t="shared" si="5"/>
        <v>96.460992</v>
      </c>
      <c r="AL15" s="68">
        <f>AL14*(1+$I$94)</f>
        <v>122.95352532345744</v>
      </c>
      <c r="AM15" s="68">
        <f>AM14*(1+$C$94)</f>
        <v>126.63716989473686</v>
      </c>
    </row>
    <row r="16" spans="2:39" ht="12.75">
      <c r="B16">
        <f aca="true" t="shared" si="6" ref="B16:B80">B15+1</f>
        <v>1928</v>
      </c>
      <c r="C16" s="57">
        <v>0.4361</v>
      </c>
      <c r="D16" s="57">
        <v>0.0284</v>
      </c>
      <c r="E16" s="57">
        <v>0.001</v>
      </c>
      <c r="F16" s="57">
        <v>0.0092</v>
      </c>
      <c r="G16" s="57">
        <v>0.0356</v>
      </c>
      <c r="H16" s="57">
        <v>-0.0097</v>
      </c>
      <c r="I16" s="67">
        <f t="shared" si="4"/>
        <v>220.3930080018</v>
      </c>
      <c r="J16" s="67">
        <f t="shared" si="4"/>
        <v>118.63450451519999</v>
      </c>
      <c r="K16" s="67">
        <f t="shared" si="4"/>
        <v>117.51125486099997</v>
      </c>
      <c r="L16" s="67">
        <f t="shared" si="4"/>
        <v>111.15649321919999</v>
      </c>
      <c r="M16" s="67">
        <f t="shared" si="4"/>
        <v>110.2831400544</v>
      </c>
      <c r="N16" s="67">
        <f t="shared" si="4"/>
        <v>95.5253203776</v>
      </c>
      <c r="O16" s="68">
        <f aca="true" t="shared" si="7" ref="O16:O79">O15*(1+$I$94)</f>
        <v>134.64439518698217</v>
      </c>
      <c r="P16" s="68">
        <f aca="true" t="shared" si="8" ref="P16:P79">P15*(1+$C$94)</f>
        <v>142.05400343490373</v>
      </c>
      <c r="Y16">
        <f aca="true" t="shared" si="9" ref="Y16:Y80">Y15+1</f>
        <v>1928</v>
      </c>
      <c r="Z16" s="57">
        <v>0.4361</v>
      </c>
      <c r="AA16" s="57">
        <v>0.0284</v>
      </c>
      <c r="AB16" s="57">
        <v>0.001</v>
      </c>
      <c r="AC16" s="57">
        <v>0.0092</v>
      </c>
      <c r="AD16" s="57">
        <v>0.0356</v>
      </c>
      <c r="AE16" s="57">
        <v>-0.0097</v>
      </c>
      <c r="AF16" s="67">
        <f t="shared" si="5"/>
        <v>220.3930080018</v>
      </c>
      <c r="AG16" s="67">
        <f t="shared" si="5"/>
        <v>118.63450451519999</v>
      </c>
      <c r="AH16" s="67">
        <f t="shared" si="5"/>
        <v>117.51125486099997</v>
      </c>
      <c r="AI16" s="67">
        <f t="shared" si="5"/>
        <v>111.15649321919999</v>
      </c>
      <c r="AJ16" s="67">
        <f t="shared" si="5"/>
        <v>110.2831400544</v>
      </c>
      <c r="AK16" s="67">
        <f t="shared" si="5"/>
        <v>95.5253203776</v>
      </c>
      <c r="AL16" s="68">
        <f aca="true" t="shared" si="10" ref="AL16:AL79">AL15*(1+$I$94)</f>
        <v>135.76997726918884</v>
      </c>
      <c r="AM16" s="68">
        <f aca="true" t="shared" si="11" ref="AM16:AM79">AM15*(1+$C$94)</f>
        <v>142.35706391767022</v>
      </c>
    </row>
    <row r="17" spans="2:39" ht="12.75">
      <c r="B17">
        <f t="shared" si="6"/>
        <v>1929</v>
      </c>
      <c r="C17" s="57">
        <v>-0.0842</v>
      </c>
      <c r="D17" s="57">
        <v>0.0327</v>
      </c>
      <c r="E17" s="57">
        <v>0.0342</v>
      </c>
      <c r="F17" s="57">
        <v>0.0601</v>
      </c>
      <c r="G17" s="57">
        <v>0.0475</v>
      </c>
      <c r="H17" s="57">
        <v>0.002</v>
      </c>
      <c r="I17" s="67">
        <f t="shared" si="4"/>
        <v>201.83591672804843</v>
      </c>
      <c r="J17" s="67">
        <f t="shared" si="4"/>
        <v>122.51385281284702</v>
      </c>
      <c r="K17" s="67">
        <f t="shared" si="4"/>
        <v>121.53013977724616</v>
      </c>
      <c r="L17" s="67">
        <f t="shared" si="4"/>
        <v>117.83699846167391</v>
      </c>
      <c r="M17" s="67">
        <f t="shared" si="4"/>
        <v>115.521589206984</v>
      </c>
      <c r="N17" s="67">
        <f t="shared" si="4"/>
        <v>95.71637101835519</v>
      </c>
      <c r="O17" s="68">
        <f t="shared" si="7"/>
        <v>148.67948215286032</v>
      </c>
      <c r="P17" s="68">
        <f t="shared" si="8"/>
        <v>159.68764039462314</v>
      </c>
      <c r="Y17">
        <f t="shared" si="9"/>
        <v>1929</v>
      </c>
      <c r="Z17" s="57">
        <v>-0.0842</v>
      </c>
      <c r="AA17" s="57">
        <v>0.0327</v>
      </c>
      <c r="AB17" s="57">
        <v>0.0342</v>
      </c>
      <c r="AC17" s="57">
        <v>0.0601</v>
      </c>
      <c r="AD17" s="57">
        <v>0.0475</v>
      </c>
      <c r="AE17" s="57">
        <v>0.002</v>
      </c>
      <c r="AF17" s="67">
        <f t="shared" si="5"/>
        <v>201.83591672804843</v>
      </c>
      <c r="AG17" s="67">
        <f t="shared" si="5"/>
        <v>122.51385281284702</v>
      </c>
      <c r="AH17" s="67">
        <f t="shared" si="5"/>
        <v>121.53013977724616</v>
      </c>
      <c r="AI17" s="67">
        <f t="shared" si="5"/>
        <v>117.83699846167391</v>
      </c>
      <c r="AJ17" s="67">
        <f t="shared" si="5"/>
        <v>115.521589206984</v>
      </c>
      <c r="AK17" s="67">
        <f t="shared" si="5"/>
        <v>95.71637101835519</v>
      </c>
      <c r="AL17" s="68">
        <f t="shared" si="10"/>
        <v>149.922392864967</v>
      </c>
      <c r="AM17" s="68">
        <f t="shared" si="11"/>
        <v>160.02832078531702</v>
      </c>
    </row>
    <row r="18" spans="2:39" ht="12.75">
      <c r="B18">
        <f t="shared" si="6"/>
        <v>1930</v>
      </c>
      <c r="C18" s="57">
        <v>-0.249</v>
      </c>
      <c r="D18" s="57">
        <v>0.0798</v>
      </c>
      <c r="E18" s="57">
        <v>0.0466</v>
      </c>
      <c r="F18" s="57">
        <v>0.0672</v>
      </c>
      <c r="G18" s="57">
        <v>0.0241</v>
      </c>
      <c r="H18" s="57">
        <v>-0.0603</v>
      </c>
      <c r="I18" s="67">
        <f t="shared" si="4"/>
        <v>151.57877346276436</v>
      </c>
      <c r="J18" s="67">
        <f t="shared" si="4"/>
        <v>132.29045826731223</v>
      </c>
      <c r="K18" s="67">
        <f t="shared" si="4"/>
        <v>127.19344429086583</v>
      </c>
      <c r="L18" s="67">
        <f t="shared" si="4"/>
        <v>125.75564475829839</v>
      </c>
      <c r="M18" s="67">
        <f t="shared" si="4"/>
        <v>118.30565950687232</v>
      </c>
      <c r="N18" s="67">
        <f t="shared" si="4"/>
        <v>89.94467384594837</v>
      </c>
      <c r="O18" s="68">
        <f t="shared" si="7"/>
        <v>164.17756106776247</v>
      </c>
      <c r="P18" s="68">
        <f t="shared" si="8"/>
        <v>179.5101994889424</v>
      </c>
      <c r="Y18">
        <f t="shared" si="9"/>
        <v>1930</v>
      </c>
      <c r="Z18" s="57">
        <v>-0.249</v>
      </c>
      <c r="AA18" s="57">
        <v>0.0798</v>
      </c>
      <c r="AB18" s="57">
        <v>0.0466</v>
      </c>
      <c r="AC18" s="57">
        <v>0.0672</v>
      </c>
      <c r="AD18" s="57">
        <v>0.0241</v>
      </c>
      <c r="AE18" s="57">
        <v>-0.0603</v>
      </c>
      <c r="AF18" s="67">
        <f t="shared" si="5"/>
        <v>151.57877346276436</v>
      </c>
      <c r="AG18" s="67">
        <f t="shared" si="5"/>
        <v>132.29045826731223</v>
      </c>
      <c r="AH18" s="67">
        <f t="shared" si="5"/>
        <v>127.19344429086583</v>
      </c>
      <c r="AI18" s="67">
        <f t="shared" si="5"/>
        <v>125.75564475829839</v>
      </c>
      <c r="AJ18" s="67">
        <f t="shared" si="5"/>
        <v>118.30565950687232</v>
      </c>
      <c r="AK18" s="67">
        <f t="shared" si="5"/>
        <v>89.94467384594837</v>
      </c>
      <c r="AL18" s="68">
        <f t="shared" si="10"/>
        <v>165.55003053284224</v>
      </c>
      <c r="AM18" s="68">
        <f t="shared" si="11"/>
        <v>179.89316967213438</v>
      </c>
    </row>
    <row r="19" spans="2:39" ht="12.75">
      <c r="B19">
        <f t="shared" si="6"/>
        <v>1931</v>
      </c>
      <c r="C19" s="57">
        <v>-0.4334</v>
      </c>
      <c r="D19" s="57">
        <v>-0.0185</v>
      </c>
      <c r="E19" s="57">
        <v>-0.0531</v>
      </c>
      <c r="F19" s="57">
        <v>-0.0232</v>
      </c>
      <c r="G19" s="57">
        <v>0.0107</v>
      </c>
      <c r="H19" s="57">
        <v>-0.0952</v>
      </c>
      <c r="I19" s="67">
        <f t="shared" si="4"/>
        <v>85.88453304400228</v>
      </c>
      <c r="J19" s="67">
        <f t="shared" si="4"/>
        <v>129.84308478936697</v>
      </c>
      <c r="K19" s="67">
        <f t="shared" si="4"/>
        <v>120.43947239902084</v>
      </c>
      <c r="L19" s="67">
        <f t="shared" si="4"/>
        <v>122.83811379990587</v>
      </c>
      <c r="M19" s="67">
        <f t="shared" si="4"/>
        <v>119.57153006359584</v>
      </c>
      <c r="N19" s="67">
        <f t="shared" si="4"/>
        <v>81.3819408958141</v>
      </c>
      <c r="O19" s="68">
        <f t="shared" si="7"/>
        <v>181.29113155268226</v>
      </c>
      <c r="P19" s="68">
        <f t="shared" si="8"/>
        <v>201.79339891883646</v>
      </c>
      <c r="Y19">
        <f t="shared" si="9"/>
        <v>1931</v>
      </c>
      <c r="Z19" s="57">
        <v>-0.4334</v>
      </c>
      <c r="AA19" s="57">
        <v>-0.0185</v>
      </c>
      <c r="AB19" s="57">
        <v>-0.0531</v>
      </c>
      <c r="AC19" s="57">
        <v>-0.0232</v>
      </c>
      <c r="AD19" s="57">
        <v>0.0107</v>
      </c>
      <c r="AE19" s="57">
        <v>-0.0952</v>
      </c>
      <c r="AF19" s="67">
        <f t="shared" si="5"/>
        <v>85.88453304400228</v>
      </c>
      <c r="AG19" s="67">
        <f t="shared" si="5"/>
        <v>129.84308478936697</v>
      </c>
      <c r="AH19" s="67">
        <f t="shared" si="5"/>
        <v>120.43947239902084</v>
      </c>
      <c r="AI19" s="67">
        <f t="shared" si="5"/>
        <v>122.83811379990587</v>
      </c>
      <c r="AJ19" s="67">
        <f t="shared" si="5"/>
        <v>119.57153006359584</v>
      </c>
      <c r="AK19" s="67">
        <f t="shared" si="5"/>
        <v>81.3819408958141</v>
      </c>
      <c r="AL19" s="68">
        <f t="shared" si="10"/>
        <v>182.8066647396025</v>
      </c>
      <c r="AM19" s="68">
        <f t="shared" si="11"/>
        <v>202.22390846743534</v>
      </c>
    </row>
    <row r="20" spans="2:39" ht="12.75">
      <c r="B20">
        <f t="shared" si="6"/>
        <v>1932</v>
      </c>
      <c r="C20" s="57">
        <v>-0.0819</v>
      </c>
      <c r="D20" s="57">
        <v>0.1082</v>
      </c>
      <c r="E20" s="57">
        <v>0.1684</v>
      </c>
      <c r="F20" s="57">
        <v>0.0881</v>
      </c>
      <c r="G20" s="57">
        <v>0.0096</v>
      </c>
      <c r="H20" s="57">
        <v>-0.103</v>
      </c>
      <c r="I20" s="67">
        <f t="shared" si="4"/>
        <v>78.8505897876985</v>
      </c>
      <c r="J20" s="67">
        <f t="shared" si="4"/>
        <v>143.89210656357648</v>
      </c>
      <c r="K20" s="67">
        <f t="shared" si="4"/>
        <v>140.72147955101596</v>
      </c>
      <c r="L20" s="67">
        <f t="shared" si="4"/>
        <v>133.66015162567757</v>
      </c>
      <c r="M20" s="67">
        <f t="shared" si="4"/>
        <v>120.71941675220637</v>
      </c>
      <c r="N20" s="67">
        <f t="shared" si="4"/>
        <v>72.99960098354525</v>
      </c>
      <c r="O20" s="68">
        <f t="shared" si="7"/>
        <v>200.18858951185584</v>
      </c>
      <c r="P20" s="68">
        <f t="shared" si="8"/>
        <v>226.8426861712947</v>
      </c>
      <c r="Y20">
        <f t="shared" si="9"/>
        <v>1932</v>
      </c>
      <c r="Z20" s="57">
        <v>-0.0819</v>
      </c>
      <c r="AA20" s="57">
        <v>0.1082</v>
      </c>
      <c r="AB20" s="57">
        <v>0.1684</v>
      </c>
      <c r="AC20" s="57">
        <v>0.0881</v>
      </c>
      <c r="AD20" s="57">
        <v>0.0096</v>
      </c>
      <c r="AE20" s="57">
        <v>-0.103</v>
      </c>
      <c r="AF20" s="67">
        <f t="shared" si="5"/>
        <v>78.8505897876985</v>
      </c>
      <c r="AG20" s="67">
        <f t="shared" si="5"/>
        <v>143.89210656357648</v>
      </c>
      <c r="AH20" s="67">
        <f t="shared" si="5"/>
        <v>140.72147955101596</v>
      </c>
      <c r="AI20" s="67">
        <f t="shared" si="5"/>
        <v>133.66015162567757</v>
      </c>
      <c r="AJ20" s="67">
        <f t="shared" si="5"/>
        <v>120.71941675220637</v>
      </c>
      <c r="AK20" s="67">
        <f t="shared" si="5"/>
        <v>72.99960098354525</v>
      </c>
      <c r="AL20" s="68">
        <f t="shared" si="10"/>
        <v>201.86209912288615</v>
      </c>
      <c r="AM20" s="68">
        <f t="shared" si="11"/>
        <v>227.326636305193</v>
      </c>
    </row>
    <row r="21" spans="2:39" ht="12.75">
      <c r="B21">
        <f t="shared" si="6"/>
        <v>1933</v>
      </c>
      <c r="C21" s="57">
        <v>0.5399</v>
      </c>
      <c r="D21" s="57">
        <v>0.1038</v>
      </c>
      <c r="E21" s="57">
        <v>-0.0007</v>
      </c>
      <c r="F21" s="57">
        <v>0.0183</v>
      </c>
      <c r="G21" s="57">
        <v>0.003</v>
      </c>
      <c r="H21" s="57">
        <v>0.0051</v>
      </c>
      <c r="I21" s="67">
        <f t="shared" si="4"/>
        <v>121.42202321407692</v>
      </c>
      <c r="J21" s="67">
        <f t="shared" si="4"/>
        <v>158.82810722487574</v>
      </c>
      <c r="K21" s="67">
        <f t="shared" si="4"/>
        <v>140.62297451533024</v>
      </c>
      <c r="L21" s="67">
        <f t="shared" si="4"/>
        <v>136.10613240042747</v>
      </c>
      <c r="M21" s="67">
        <f t="shared" si="4"/>
        <v>121.08157500246298</v>
      </c>
      <c r="N21" s="67">
        <f t="shared" si="4"/>
        <v>73.37189894856134</v>
      </c>
      <c r="O21" s="68">
        <f t="shared" si="7"/>
        <v>221.05588413242705</v>
      </c>
      <c r="P21" s="68">
        <f t="shared" si="8"/>
        <v>255.00142494802478</v>
      </c>
      <c r="Y21">
        <f t="shared" si="9"/>
        <v>1933</v>
      </c>
      <c r="Z21" s="57">
        <v>0.5399</v>
      </c>
      <c r="AA21" s="57">
        <v>0.1038</v>
      </c>
      <c r="AB21" s="57">
        <v>-0.0007</v>
      </c>
      <c r="AC21" s="57">
        <v>0.0183</v>
      </c>
      <c r="AD21" s="57">
        <v>0.003</v>
      </c>
      <c r="AE21" s="57">
        <v>0.0051</v>
      </c>
      <c r="AF21" s="67">
        <f t="shared" si="5"/>
        <v>121.42202321407692</v>
      </c>
      <c r="AG21" s="67">
        <f t="shared" si="5"/>
        <v>158.82810722487574</v>
      </c>
      <c r="AH21" s="67">
        <f t="shared" si="5"/>
        <v>140.62297451533024</v>
      </c>
      <c r="AI21" s="67">
        <f t="shared" si="5"/>
        <v>136.10613240042747</v>
      </c>
      <c r="AJ21" s="67">
        <f t="shared" si="5"/>
        <v>121.08157500246298</v>
      </c>
      <c r="AK21" s="67">
        <f t="shared" si="5"/>
        <v>73.37189894856134</v>
      </c>
      <c r="AL21" s="68">
        <f t="shared" si="10"/>
        <v>222.90383734280977</v>
      </c>
      <c r="AM21" s="68">
        <f t="shared" si="11"/>
        <v>255.545449425211</v>
      </c>
    </row>
    <row r="22" spans="2:39" ht="12.75">
      <c r="B22">
        <f t="shared" si="6"/>
        <v>1934</v>
      </c>
      <c r="C22" s="57">
        <v>-0.0144</v>
      </c>
      <c r="D22" s="57">
        <v>0.1384</v>
      </c>
      <c r="E22" s="57">
        <v>0.1003</v>
      </c>
      <c r="F22" s="57">
        <v>0.09</v>
      </c>
      <c r="G22" s="57">
        <v>0.0016</v>
      </c>
      <c r="H22" s="57">
        <v>0.0203</v>
      </c>
      <c r="I22" s="67">
        <f t="shared" si="4"/>
        <v>119.6735460797942</v>
      </c>
      <c r="J22" s="67">
        <f t="shared" si="4"/>
        <v>180.80991726479854</v>
      </c>
      <c r="K22" s="67">
        <f t="shared" si="4"/>
        <v>154.72745885921788</v>
      </c>
      <c r="L22" s="67">
        <f t="shared" si="4"/>
        <v>148.35568431646595</v>
      </c>
      <c r="M22" s="67">
        <f t="shared" si="4"/>
        <v>121.27530552246694</v>
      </c>
      <c r="N22" s="67">
        <f t="shared" si="4"/>
        <v>74.86134849721714</v>
      </c>
      <c r="O22" s="68">
        <f t="shared" si="7"/>
        <v>244.09834760674522</v>
      </c>
      <c r="P22" s="68">
        <f t="shared" si="8"/>
        <v>286.65560183157294</v>
      </c>
      <c r="Y22">
        <f t="shared" si="9"/>
        <v>1934</v>
      </c>
      <c r="Z22" s="57">
        <v>-0.0144</v>
      </c>
      <c r="AA22" s="57">
        <v>0.1384</v>
      </c>
      <c r="AB22" s="57">
        <v>0.1003</v>
      </c>
      <c r="AC22" s="57">
        <v>0.09</v>
      </c>
      <c r="AD22" s="57">
        <v>0.0016</v>
      </c>
      <c r="AE22" s="57">
        <v>0.0203</v>
      </c>
      <c r="AF22" s="67">
        <f t="shared" si="5"/>
        <v>119.6735460797942</v>
      </c>
      <c r="AG22" s="67">
        <f t="shared" si="5"/>
        <v>180.80991726479854</v>
      </c>
      <c r="AH22" s="67">
        <f t="shared" si="5"/>
        <v>154.72745885921788</v>
      </c>
      <c r="AI22" s="67">
        <f t="shared" si="5"/>
        <v>148.35568431646595</v>
      </c>
      <c r="AJ22" s="67">
        <f t="shared" si="5"/>
        <v>121.27530552246694</v>
      </c>
      <c r="AK22" s="67">
        <f t="shared" si="5"/>
        <v>74.86134849721714</v>
      </c>
      <c r="AL22" s="68">
        <f t="shared" si="10"/>
        <v>246.138928100132</v>
      </c>
      <c r="AM22" s="68">
        <f t="shared" si="11"/>
        <v>287.2671578805272</v>
      </c>
    </row>
    <row r="23" spans="2:39" ht="12.75">
      <c r="B23">
        <f t="shared" si="6"/>
        <v>1935</v>
      </c>
      <c r="C23" s="57">
        <v>0.4767</v>
      </c>
      <c r="D23" s="57">
        <v>0.0961</v>
      </c>
      <c r="E23" s="57">
        <v>0.0498</v>
      </c>
      <c r="F23" s="57">
        <v>0.0701</v>
      </c>
      <c r="G23" s="57">
        <v>0.0017</v>
      </c>
      <c r="H23" s="57">
        <v>0.0299</v>
      </c>
      <c r="I23" s="67">
        <f t="shared" si="4"/>
        <v>176.72192549603213</v>
      </c>
      <c r="J23" s="67">
        <f t="shared" si="4"/>
        <v>198.1857503139457</v>
      </c>
      <c r="K23" s="67">
        <f t="shared" si="4"/>
        <v>162.43288631040693</v>
      </c>
      <c r="L23" s="67">
        <f t="shared" si="4"/>
        <v>158.75541778705022</v>
      </c>
      <c r="M23" s="67">
        <f t="shared" si="4"/>
        <v>121.48147354185514</v>
      </c>
      <c r="N23" s="67">
        <f t="shared" si="4"/>
        <v>77.09970281728393</v>
      </c>
      <c r="O23" s="68">
        <f t="shared" si="7"/>
        <v>269.5427155815887</v>
      </c>
      <c r="P23" s="68">
        <f t="shared" si="8"/>
        <v>322.23911720559886</v>
      </c>
      <c r="Y23">
        <f t="shared" si="9"/>
        <v>1935</v>
      </c>
      <c r="Z23" s="57">
        <v>0.4767</v>
      </c>
      <c r="AA23" s="57">
        <v>0.0961</v>
      </c>
      <c r="AB23" s="57">
        <v>0.0498</v>
      </c>
      <c r="AC23" s="57">
        <v>0.0701</v>
      </c>
      <c r="AD23" s="57">
        <v>0.0017</v>
      </c>
      <c r="AE23" s="57">
        <v>0.0299</v>
      </c>
      <c r="AF23" s="67">
        <f t="shared" si="5"/>
        <v>176.72192549603213</v>
      </c>
      <c r="AG23" s="67">
        <f t="shared" si="5"/>
        <v>198.1857503139457</v>
      </c>
      <c r="AH23" s="67">
        <f t="shared" si="5"/>
        <v>162.43288631040693</v>
      </c>
      <c r="AI23" s="67">
        <f t="shared" si="5"/>
        <v>158.75541778705022</v>
      </c>
      <c r="AJ23" s="67">
        <f t="shared" si="5"/>
        <v>121.48147354185514</v>
      </c>
      <c r="AK23" s="67">
        <f t="shared" si="5"/>
        <v>77.09970281728393</v>
      </c>
      <c r="AL23" s="68">
        <f t="shared" si="10"/>
        <v>271.7960024757565</v>
      </c>
      <c r="AM23" s="68">
        <f t="shared" si="11"/>
        <v>322.92658774542997</v>
      </c>
    </row>
    <row r="24" spans="2:39" ht="12.75">
      <c r="B24">
        <f t="shared" si="6"/>
        <v>1936</v>
      </c>
      <c r="C24" s="57">
        <v>0.3392</v>
      </c>
      <c r="D24" s="57">
        <v>0.0674</v>
      </c>
      <c r="E24" s="57">
        <v>0.0752</v>
      </c>
      <c r="F24" s="57">
        <v>0.0306</v>
      </c>
      <c r="G24" s="57">
        <v>0.0018</v>
      </c>
      <c r="H24" s="57">
        <v>0.0121</v>
      </c>
      <c r="I24" s="67">
        <f t="shared" si="4"/>
        <v>236.66600262428622</v>
      </c>
      <c r="J24" s="67">
        <f t="shared" si="4"/>
        <v>211.54346988510562</v>
      </c>
      <c r="K24" s="67">
        <f t="shared" si="4"/>
        <v>174.64783936094952</v>
      </c>
      <c r="L24" s="67">
        <f t="shared" si="4"/>
        <v>163.61333357133395</v>
      </c>
      <c r="M24" s="67">
        <f t="shared" si="4"/>
        <v>121.70014019423049</v>
      </c>
      <c r="N24" s="67">
        <f t="shared" si="4"/>
        <v>78.03260922137306</v>
      </c>
      <c r="O24" s="68">
        <f t="shared" si="7"/>
        <v>297.6393582153425</v>
      </c>
      <c r="P24" s="68">
        <f t="shared" si="8"/>
        <v>362.2397329547206</v>
      </c>
      <c r="Y24">
        <f t="shared" si="9"/>
        <v>1936</v>
      </c>
      <c r="Z24" s="57">
        <v>0.3392</v>
      </c>
      <c r="AA24" s="57">
        <v>0.0674</v>
      </c>
      <c r="AB24" s="57">
        <v>0.0752</v>
      </c>
      <c r="AC24" s="57">
        <v>0.0306</v>
      </c>
      <c r="AD24" s="57">
        <v>0.0018</v>
      </c>
      <c r="AE24" s="57">
        <v>0.0121</v>
      </c>
      <c r="AF24" s="67">
        <f t="shared" si="5"/>
        <v>236.66600262428622</v>
      </c>
      <c r="AG24" s="67">
        <f t="shared" si="5"/>
        <v>211.54346988510562</v>
      </c>
      <c r="AH24" s="67">
        <f t="shared" si="5"/>
        <v>174.64783936094952</v>
      </c>
      <c r="AI24" s="67">
        <f t="shared" si="5"/>
        <v>163.61333357133395</v>
      </c>
      <c r="AJ24" s="67">
        <f t="shared" si="5"/>
        <v>121.70014019423049</v>
      </c>
      <c r="AK24" s="67">
        <f t="shared" si="5"/>
        <v>78.03260922137306</v>
      </c>
      <c r="AL24" s="68">
        <f t="shared" si="10"/>
        <v>300.1275236388007</v>
      </c>
      <c r="AM24" s="68">
        <f t="shared" si="11"/>
        <v>363.0125415042294</v>
      </c>
    </row>
    <row r="25" spans="2:39" ht="12.75">
      <c r="B25">
        <f t="shared" si="6"/>
        <v>1937</v>
      </c>
      <c r="C25" s="57">
        <v>-0.3503</v>
      </c>
      <c r="D25" s="57">
        <v>0.0275</v>
      </c>
      <c r="E25" s="57">
        <v>0.0023</v>
      </c>
      <c r="F25" s="57">
        <v>0.0156</v>
      </c>
      <c r="G25" s="57">
        <v>0.0031</v>
      </c>
      <c r="H25" s="57">
        <v>0.031</v>
      </c>
      <c r="I25" s="67">
        <f t="shared" si="4"/>
        <v>153.76190190499875</v>
      </c>
      <c r="J25" s="67">
        <f t="shared" si="4"/>
        <v>217.36091530694605</v>
      </c>
      <c r="K25" s="67">
        <f t="shared" si="4"/>
        <v>175.0495293914797</v>
      </c>
      <c r="L25" s="67">
        <f t="shared" si="4"/>
        <v>166.16570157504677</v>
      </c>
      <c r="M25" s="67">
        <f t="shared" si="4"/>
        <v>122.07741062883261</v>
      </c>
      <c r="N25" s="67">
        <f t="shared" si="4"/>
        <v>80.45162010723563</v>
      </c>
      <c r="O25" s="68">
        <f t="shared" si="7"/>
        <v>328.6647437965195</v>
      </c>
      <c r="P25" s="68">
        <f t="shared" si="8"/>
        <v>407.2057584721666</v>
      </c>
      <c r="Y25">
        <f t="shared" si="9"/>
        <v>1937</v>
      </c>
      <c r="Z25" s="57">
        <v>-0.3503</v>
      </c>
      <c r="AA25" s="57">
        <v>0.0275</v>
      </c>
      <c r="AB25" s="57">
        <v>0.0023</v>
      </c>
      <c r="AC25" s="57">
        <v>0.0156</v>
      </c>
      <c r="AD25" s="57">
        <v>0.0031</v>
      </c>
      <c r="AE25" s="57">
        <v>0.031</v>
      </c>
      <c r="AF25" s="67">
        <f t="shared" si="5"/>
        <v>153.76190190499875</v>
      </c>
      <c r="AG25" s="67">
        <f t="shared" si="5"/>
        <v>217.36091530694605</v>
      </c>
      <c r="AH25" s="67">
        <f t="shared" si="5"/>
        <v>175.0495293914797</v>
      </c>
      <c r="AI25" s="67">
        <f t="shared" si="5"/>
        <v>166.16570157504677</v>
      </c>
      <c r="AJ25" s="67">
        <f t="shared" si="5"/>
        <v>122.07741062883261</v>
      </c>
      <c r="AK25" s="67">
        <f t="shared" si="5"/>
        <v>80.45162010723563</v>
      </c>
      <c r="AL25" s="68">
        <f t="shared" si="10"/>
        <v>331.4122710601436</v>
      </c>
      <c r="AM25" s="68">
        <f t="shared" si="11"/>
        <v>408.0744983229544</v>
      </c>
    </row>
    <row r="26" spans="2:39" ht="12.75">
      <c r="B26">
        <f t="shared" si="6"/>
        <v>1938</v>
      </c>
      <c r="C26" s="57">
        <v>0.3112</v>
      </c>
      <c r="D26" s="57">
        <v>0.0613</v>
      </c>
      <c r="E26" s="57">
        <v>0.0553</v>
      </c>
      <c r="F26" s="57">
        <v>0.0623</v>
      </c>
      <c r="G26" s="57">
        <v>-0.0002</v>
      </c>
      <c r="H26" s="57">
        <v>-0.0278</v>
      </c>
      <c r="I26" s="67">
        <f t="shared" si="4"/>
        <v>201.61260577783435</v>
      </c>
      <c r="J26" s="67">
        <f t="shared" si="4"/>
        <v>230.68513941526183</v>
      </c>
      <c r="K26" s="67">
        <f t="shared" si="4"/>
        <v>184.7297683668285</v>
      </c>
      <c r="L26" s="67">
        <f t="shared" si="4"/>
        <v>176.5178247831722</v>
      </c>
      <c r="M26" s="67">
        <f t="shared" si="4"/>
        <v>122.05299514670685</v>
      </c>
      <c r="N26" s="67">
        <f t="shared" si="4"/>
        <v>78.21506506825448</v>
      </c>
      <c r="O26" s="68">
        <f t="shared" si="7"/>
        <v>362.92415916539767</v>
      </c>
      <c r="P26" s="68">
        <f t="shared" si="8"/>
        <v>457.75356662384496</v>
      </c>
      <c r="Y26">
        <f t="shared" si="9"/>
        <v>1938</v>
      </c>
      <c r="Z26" s="57">
        <v>0.3112</v>
      </c>
      <c r="AA26" s="57">
        <v>0.0613</v>
      </c>
      <c r="AB26" s="57">
        <v>0.0553</v>
      </c>
      <c r="AC26" s="57">
        <v>0.0623</v>
      </c>
      <c r="AD26" s="57">
        <v>-0.0002</v>
      </c>
      <c r="AE26" s="57">
        <v>-0.0278</v>
      </c>
      <c r="AF26" s="67">
        <f t="shared" si="5"/>
        <v>201.61260577783435</v>
      </c>
      <c r="AG26" s="67">
        <f t="shared" si="5"/>
        <v>230.68513941526183</v>
      </c>
      <c r="AH26" s="67">
        <f t="shared" si="5"/>
        <v>184.7297683668285</v>
      </c>
      <c r="AI26" s="67">
        <f t="shared" si="5"/>
        <v>176.5178247831722</v>
      </c>
      <c r="AJ26" s="67">
        <f t="shared" si="5"/>
        <v>122.05299514670685</v>
      </c>
      <c r="AK26" s="67">
        <f t="shared" si="5"/>
        <v>78.21506506825448</v>
      </c>
      <c r="AL26" s="68">
        <f t="shared" si="10"/>
        <v>365.9580836758774</v>
      </c>
      <c r="AM26" s="68">
        <f t="shared" si="11"/>
        <v>458.7301460481105</v>
      </c>
    </row>
    <row r="27" spans="2:39" ht="12.75">
      <c r="B27">
        <f t="shared" si="6"/>
        <v>1939</v>
      </c>
      <c r="C27" s="57">
        <v>-0.0041</v>
      </c>
      <c r="D27" s="57">
        <v>0.0397</v>
      </c>
      <c r="E27" s="57">
        <v>0.0594</v>
      </c>
      <c r="F27" s="57">
        <v>0.0452</v>
      </c>
      <c r="G27" s="57">
        <v>0.0002</v>
      </c>
      <c r="H27" s="57">
        <v>-0.0048</v>
      </c>
      <c r="I27" s="67">
        <f t="shared" si="4"/>
        <v>200.78599409414522</v>
      </c>
      <c r="J27" s="67">
        <f t="shared" si="4"/>
        <v>239.84333945004775</v>
      </c>
      <c r="K27" s="67">
        <f t="shared" si="4"/>
        <v>195.70271660781808</v>
      </c>
      <c r="L27" s="67">
        <f t="shared" si="4"/>
        <v>184.49643046337155</v>
      </c>
      <c r="M27" s="67">
        <f t="shared" si="4"/>
        <v>122.07740574573619</v>
      </c>
      <c r="N27" s="67">
        <f t="shared" si="4"/>
        <v>77.83963275592686</v>
      </c>
      <c r="O27" s="68">
        <f t="shared" si="7"/>
        <v>400.7547137074632</v>
      </c>
      <c r="P27" s="68">
        <f t="shared" si="8"/>
        <v>514.576042694085</v>
      </c>
      <c r="Y27">
        <f t="shared" si="9"/>
        <v>1939</v>
      </c>
      <c r="Z27" s="57">
        <v>-0.0041</v>
      </c>
      <c r="AA27" s="57">
        <v>0.0397</v>
      </c>
      <c r="AB27" s="57">
        <v>0.0594</v>
      </c>
      <c r="AC27" s="57">
        <v>0.0452</v>
      </c>
      <c r="AD27" s="57">
        <v>0.0002</v>
      </c>
      <c r="AE27" s="57">
        <v>-0.0048</v>
      </c>
      <c r="AF27" s="67">
        <f t="shared" si="5"/>
        <v>200.78599409414522</v>
      </c>
      <c r="AG27" s="67">
        <f t="shared" si="5"/>
        <v>239.84333945004775</v>
      </c>
      <c r="AH27" s="67">
        <f t="shared" si="5"/>
        <v>195.70271660781808</v>
      </c>
      <c r="AI27" s="67">
        <f t="shared" si="5"/>
        <v>184.49643046337155</v>
      </c>
      <c r="AJ27" s="67">
        <f t="shared" si="5"/>
        <v>122.07740574573619</v>
      </c>
      <c r="AK27" s="67">
        <f t="shared" si="5"/>
        <v>77.83963275592686</v>
      </c>
      <c r="AL27" s="68">
        <f t="shared" si="10"/>
        <v>404.10488899313015</v>
      </c>
      <c r="AM27" s="68">
        <f t="shared" si="11"/>
        <v>515.6738481775493</v>
      </c>
    </row>
    <row r="28" spans="2:39" ht="12.75">
      <c r="B28">
        <f t="shared" si="6"/>
        <v>1940</v>
      </c>
      <c r="C28" s="57">
        <v>-0.0978</v>
      </c>
      <c r="D28" s="57">
        <v>0.0339</v>
      </c>
      <c r="E28" s="57">
        <v>0.0609</v>
      </c>
      <c r="F28" s="57">
        <v>0.0296</v>
      </c>
      <c r="G28" s="57">
        <v>0</v>
      </c>
      <c r="H28" s="57">
        <v>0.0096</v>
      </c>
      <c r="I28" s="67">
        <f t="shared" si="4"/>
        <v>181.14912387173783</v>
      </c>
      <c r="J28" s="67">
        <f t="shared" si="4"/>
        <v>247.97402865740438</v>
      </c>
      <c r="K28" s="67">
        <f t="shared" si="4"/>
        <v>207.6210120492342</v>
      </c>
      <c r="L28" s="67">
        <f t="shared" si="4"/>
        <v>189.95752480508736</v>
      </c>
      <c r="M28" s="67">
        <f t="shared" si="4"/>
        <v>122.07740574573619</v>
      </c>
      <c r="N28" s="67">
        <f t="shared" si="4"/>
        <v>78.58689323038377</v>
      </c>
      <c r="O28" s="68">
        <f t="shared" si="7"/>
        <v>442.5286564776681</v>
      </c>
      <c r="P28" s="68">
        <f t="shared" si="8"/>
        <v>578.4520821271775</v>
      </c>
      <c r="Y28">
        <f t="shared" si="9"/>
        <v>1940</v>
      </c>
      <c r="Z28" s="57">
        <v>-0.0978</v>
      </c>
      <c r="AA28" s="57">
        <v>0.0339</v>
      </c>
      <c r="AB28" s="57">
        <v>0.0609</v>
      </c>
      <c r="AC28" s="57">
        <v>0.0296</v>
      </c>
      <c r="AD28" s="57">
        <v>0</v>
      </c>
      <c r="AE28" s="57">
        <v>0.0096</v>
      </c>
      <c r="AF28" s="67">
        <f t="shared" si="5"/>
        <v>181.14912387173783</v>
      </c>
      <c r="AG28" s="67">
        <f t="shared" si="5"/>
        <v>247.97402865740438</v>
      </c>
      <c r="AH28" s="67">
        <f t="shared" si="5"/>
        <v>207.6210120492342</v>
      </c>
      <c r="AI28" s="67">
        <f t="shared" si="5"/>
        <v>189.95752480508736</v>
      </c>
      <c r="AJ28" s="67">
        <f t="shared" si="5"/>
        <v>122.07740574573619</v>
      </c>
      <c r="AK28" s="67">
        <f t="shared" si="5"/>
        <v>78.58689323038377</v>
      </c>
      <c r="AL28" s="68">
        <f t="shared" si="10"/>
        <v>446.2280479443723</v>
      </c>
      <c r="AM28" s="68">
        <f t="shared" si="11"/>
        <v>579.6861618646558</v>
      </c>
    </row>
    <row r="29" spans="2:39" ht="12.75">
      <c r="B29">
        <f t="shared" si="6"/>
        <v>1941</v>
      </c>
      <c r="C29" s="57">
        <v>-0.1159</v>
      </c>
      <c r="D29" s="57">
        <v>0.0273</v>
      </c>
      <c r="E29" s="57">
        <v>0.0093</v>
      </c>
      <c r="F29" s="57">
        <v>0.005</v>
      </c>
      <c r="G29" s="57">
        <v>0.0006</v>
      </c>
      <c r="H29" s="57">
        <v>0.0972</v>
      </c>
      <c r="I29" s="67">
        <f t="shared" si="4"/>
        <v>160.1539404150034</v>
      </c>
      <c r="J29" s="67">
        <f t="shared" si="4"/>
        <v>254.74371963975153</v>
      </c>
      <c r="K29" s="67">
        <f t="shared" si="4"/>
        <v>209.5518874612921</v>
      </c>
      <c r="L29" s="67">
        <f t="shared" si="4"/>
        <v>190.90731242911278</v>
      </c>
      <c r="M29" s="67">
        <f t="shared" si="4"/>
        <v>122.15065218918362</v>
      </c>
      <c r="N29" s="67">
        <f t="shared" si="4"/>
        <v>86.22553925237706</v>
      </c>
      <c r="O29" s="68">
        <f t="shared" si="7"/>
        <v>488.6570390956902</v>
      </c>
      <c r="P29" s="68">
        <f t="shared" si="8"/>
        <v>650.2572672552312</v>
      </c>
      <c r="Y29">
        <f t="shared" si="9"/>
        <v>1941</v>
      </c>
      <c r="Z29" s="57">
        <v>-0.1159</v>
      </c>
      <c r="AA29" s="57">
        <v>0.0273</v>
      </c>
      <c r="AB29" s="57">
        <v>0.0093</v>
      </c>
      <c r="AC29" s="57">
        <v>0.005</v>
      </c>
      <c r="AD29" s="57">
        <v>0.0006</v>
      </c>
      <c r="AE29" s="57">
        <v>0.0972</v>
      </c>
      <c r="AF29" s="67">
        <f t="shared" si="5"/>
        <v>160.1539404150034</v>
      </c>
      <c r="AG29" s="67">
        <f t="shared" si="5"/>
        <v>254.74371963975153</v>
      </c>
      <c r="AH29" s="67">
        <f t="shared" si="5"/>
        <v>209.5518874612921</v>
      </c>
      <c r="AI29" s="67">
        <f t="shared" si="5"/>
        <v>190.90731242911278</v>
      </c>
      <c r="AJ29" s="67">
        <f t="shared" si="5"/>
        <v>122.15065218918362</v>
      </c>
      <c r="AK29" s="67">
        <f t="shared" si="5"/>
        <v>86.22553925237706</v>
      </c>
      <c r="AL29" s="68">
        <f t="shared" si="10"/>
        <v>492.74204840325524</v>
      </c>
      <c r="AM29" s="68">
        <f t="shared" si="11"/>
        <v>651.6445374241218</v>
      </c>
    </row>
    <row r="30" spans="2:39" ht="12.75">
      <c r="B30">
        <f t="shared" si="6"/>
        <v>1942</v>
      </c>
      <c r="C30" s="57">
        <v>0.2034</v>
      </c>
      <c r="D30" s="57">
        <v>0.026</v>
      </c>
      <c r="E30" s="57">
        <v>0.0322</v>
      </c>
      <c r="F30" s="57">
        <v>0.0194</v>
      </c>
      <c r="G30" s="57">
        <v>0.0027</v>
      </c>
      <c r="H30" s="57">
        <v>0.0929</v>
      </c>
      <c r="I30" s="67">
        <f t="shared" si="4"/>
        <v>192.7292518954151</v>
      </c>
      <c r="J30" s="67">
        <f t="shared" si="4"/>
        <v>261.3670563503851</v>
      </c>
      <c r="K30" s="67">
        <f t="shared" si="4"/>
        <v>216.2994582375457</v>
      </c>
      <c r="L30" s="67">
        <f t="shared" si="4"/>
        <v>194.6109142902376</v>
      </c>
      <c r="M30" s="67">
        <f t="shared" si="4"/>
        <v>122.4804589500944</v>
      </c>
      <c r="N30" s="67">
        <f t="shared" si="4"/>
        <v>94.23589184892289</v>
      </c>
      <c r="O30" s="68">
        <f t="shared" si="7"/>
        <v>539.5937604547357</v>
      </c>
      <c r="P30" s="68">
        <f t="shared" si="8"/>
        <v>730.9758693638473</v>
      </c>
      <c r="Y30">
        <f t="shared" si="9"/>
        <v>1942</v>
      </c>
      <c r="Z30" s="57">
        <v>0.2034</v>
      </c>
      <c r="AA30" s="57">
        <v>0.026</v>
      </c>
      <c r="AB30" s="57">
        <v>0.0322</v>
      </c>
      <c r="AC30" s="57">
        <v>0.0194</v>
      </c>
      <c r="AD30" s="57">
        <v>0.0027</v>
      </c>
      <c r="AE30" s="57">
        <v>0.0929</v>
      </c>
      <c r="AF30" s="67">
        <f t="shared" si="5"/>
        <v>192.7292518954151</v>
      </c>
      <c r="AG30" s="67">
        <f t="shared" si="5"/>
        <v>261.3670563503851</v>
      </c>
      <c r="AH30" s="67">
        <f t="shared" si="5"/>
        <v>216.2994582375457</v>
      </c>
      <c r="AI30" s="67">
        <f t="shared" si="5"/>
        <v>194.6109142902376</v>
      </c>
      <c r="AJ30" s="67">
        <f t="shared" si="5"/>
        <v>122.4804589500944</v>
      </c>
      <c r="AK30" s="67">
        <f t="shared" si="5"/>
        <v>94.23589184892289</v>
      </c>
      <c r="AL30" s="68">
        <f t="shared" si="10"/>
        <v>544.1045837058257</v>
      </c>
      <c r="AM30" s="68">
        <f t="shared" si="11"/>
        <v>732.5353460030362</v>
      </c>
    </row>
    <row r="31" spans="2:39" ht="12.75">
      <c r="B31">
        <f t="shared" si="6"/>
        <v>1943</v>
      </c>
      <c r="C31" s="57">
        <v>0.259</v>
      </c>
      <c r="D31" s="57">
        <v>0.0283</v>
      </c>
      <c r="E31" s="57">
        <v>0.0208</v>
      </c>
      <c r="F31" s="57">
        <v>0.0281</v>
      </c>
      <c r="G31" s="57">
        <v>0.0035</v>
      </c>
      <c r="H31" s="57">
        <v>0.0316</v>
      </c>
      <c r="I31" s="67">
        <f aca="true" t="shared" si="12" ref="I31:N62">I30*(1+C31)</f>
        <v>242.6461281363276</v>
      </c>
      <c r="J31" s="67">
        <f t="shared" si="12"/>
        <v>268.763744045101</v>
      </c>
      <c r="K31" s="67">
        <f t="shared" si="12"/>
        <v>220.79848696888664</v>
      </c>
      <c r="L31" s="67">
        <f t="shared" si="12"/>
        <v>200.07948098179327</v>
      </c>
      <c r="M31" s="67">
        <f t="shared" si="12"/>
        <v>122.90914055641974</v>
      </c>
      <c r="N31" s="67">
        <f t="shared" si="12"/>
        <v>97.21374603134886</v>
      </c>
      <c r="O31" s="68">
        <f t="shared" si="7"/>
        <v>595.8400330434341</v>
      </c>
      <c r="P31" s="68">
        <f t="shared" si="8"/>
        <v>821.714340614213</v>
      </c>
      <c r="Y31">
        <f t="shared" si="9"/>
        <v>1943</v>
      </c>
      <c r="Z31" s="57">
        <v>0.259</v>
      </c>
      <c r="AA31" s="57">
        <v>0.0283</v>
      </c>
      <c r="AB31" s="57">
        <v>0.0208</v>
      </c>
      <c r="AC31" s="57">
        <v>0.0281</v>
      </c>
      <c r="AD31" s="57">
        <v>0.0035</v>
      </c>
      <c r="AE31" s="57">
        <v>0.0316</v>
      </c>
      <c r="AF31" s="67">
        <f aca="true" t="shared" si="13" ref="AF31:AK62">AF30*(1+Z31)</f>
        <v>242.6461281363276</v>
      </c>
      <c r="AG31" s="67">
        <f t="shared" si="13"/>
        <v>268.763744045101</v>
      </c>
      <c r="AH31" s="67">
        <f t="shared" si="13"/>
        <v>220.79848696888664</v>
      </c>
      <c r="AI31" s="67">
        <f t="shared" si="13"/>
        <v>200.07948098179327</v>
      </c>
      <c r="AJ31" s="67">
        <f t="shared" si="13"/>
        <v>122.90914055641974</v>
      </c>
      <c r="AK31" s="67">
        <f t="shared" si="13"/>
        <v>97.21374603134886</v>
      </c>
      <c r="AL31" s="68">
        <f t="shared" si="10"/>
        <v>600.8210563093768</v>
      </c>
      <c r="AM31" s="68">
        <f t="shared" si="11"/>
        <v>823.4674002868799</v>
      </c>
    </row>
    <row r="32" spans="2:39" ht="12.75">
      <c r="B32">
        <f t="shared" si="6"/>
        <v>1944</v>
      </c>
      <c r="C32" s="57">
        <v>0.1975</v>
      </c>
      <c r="D32" s="57">
        <v>0.0473</v>
      </c>
      <c r="E32" s="57">
        <v>0.0281</v>
      </c>
      <c r="F32" s="57">
        <v>0.018</v>
      </c>
      <c r="G32" s="57">
        <v>0.0033</v>
      </c>
      <c r="H32" s="57">
        <v>0.0211</v>
      </c>
      <c r="I32" s="67">
        <f t="shared" si="12"/>
        <v>290.5687384432523</v>
      </c>
      <c r="J32" s="67">
        <f t="shared" si="12"/>
        <v>281.47626913843425</v>
      </c>
      <c r="K32" s="67">
        <f t="shared" si="12"/>
        <v>227.00292445271236</v>
      </c>
      <c r="L32" s="67">
        <f t="shared" si="12"/>
        <v>203.68091163946556</v>
      </c>
      <c r="M32" s="67">
        <f t="shared" si="12"/>
        <v>123.31474072025594</v>
      </c>
      <c r="N32" s="67">
        <f t="shared" si="12"/>
        <v>99.26495607261032</v>
      </c>
      <c r="O32" s="68">
        <f t="shared" si="7"/>
        <v>657.949314829007</v>
      </c>
      <c r="P32" s="68">
        <f t="shared" si="8"/>
        <v>923.7164807624574</v>
      </c>
      <c r="Y32">
        <f t="shared" si="9"/>
        <v>1944</v>
      </c>
      <c r="Z32" s="57">
        <v>0.1975</v>
      </c>
      <c r="AA32" s="57">
        <v>0.0473</v>
      </c>
      <c r="AB32" s="57">
        <v>0.0281</v>
      </c>
      <c r="AC32" s="57">
        <v>0.018</v>
      </c>
      <c r="AD32" s="57">
        <v>0.0033</v>
      </c>
      <c r="AE32" s="57">
        <v>0.0211</v>
      </c>
      <c r="AF32" s="67">
        <f t="shared" si="13"/>
        <v>290.5687384432523</v>
      </c>
      <c r="AG32" s="67">
        <f t="shared" si="13"/>
        <v>281.47626913843425</v>
      </c>
      <c r="AH32" s="67">
        <f t="shared" si="13"/>
        <v>227.00292445271236</v>
      </c>
      <c r="AI32" s="67">
        <f t="shared" si="13"/>
        <v>203.68091163946556</v>
      </c>
      <c r="AJ32" s="67">
        <f t="shared" si="13"/>
        <v>123.31474072025594</v>
      </c>
      <c r="AK32" s="67">
        <f t="shared" si="13"/>
        <v>99.26495607261032</v>
      </c>
      <c r="AL32" s="68">
        <f t="shared" si="10"/>
        <v>663.4495509045098</v>
      </c>
      <c r="AM32" s="68">
        <f t="shared" si="11"/>
        <v>925.6871535758246</v>
      </c>
    </row>
    <row r="33" spans="2:39" ht="12.75">
      <c r="B33">
        <f t="shared" si="6"/>
        <v>1945</v>
      </c>
      <c r="C33" s="57">
        <v>0.3644</v>
      </c>
      <c r="D33" s="57">
        <v>0.0408</v>
      </c>
      <c r="E33" s="57">
        <v>0.1073</v>
      </c>
      <c r="F33" s="57">
        <v>0.0222</v>
      </c>
      <c r="G33" s="57">
        <v>0.0033</v>
      </c>
      <c r="H33" s="57">
        <v>0.0225</v>
      </c>
      <c r="I33" s="67">
        <f t="shared" si="12"/>
        <v>396.4519867319735</v>
      </c>
      <c r="J33" s="67">
        <f t="shared" si="12"/>
        <v>292.96050091928237</v>
      </c>
      <c r="K33" s="67">
        <f t="shared" si="12"/>
        <v>251.3603382464884</v>
      </c>
      <c r="L33" s="67">
        <f t="shared" si="12"/>
        <v>208.2026278778617</v>
      </c>
      <c r="M33" s="67">
        <f t="shared" si="12"/>
        <v>123.72167936463279</v>
      </c>
      <c r="N33" s="67">
        <f t="shared" si="12"/>
        <v>101.49841758424405</v>
      </c>
      <c r="O33" s="68">
        <f t="shared" si="7"/>
        <v>726.5327552309723</v>
      </c>
      <c r="P33" s="68">
        <f t="shared" si="8"/>
        <v>1038.3804865744373</v>
      </c>
      <c r="Y33">
        <f t="shared" si="9"/>
        <v>1945</v>
      </c>
      <c r="Z33" s="57">
        <v>0.3644</v>
      </c>
      <c r="AA33" s="57">
        <v>0.0408</v>
      </c>
      <c r="AB33" s="57">
        <v>0.1073</v>
      </c>
      <c r="AC33" s="57">
        <v>0.0222</v>
      </c>
      <c r="AD33" s="57">
        <v>0.0033</v>
      </c>
      <c r="AE33" s="57">
        <v>0.0225</v>
      </c>
      <c r="AF33" s="67">
        <f t="shared" si="13"/>
        <v>396.4519867319735</v>
      </c>
      <c r="AG33" s="67">
        <f t="shared" si="13"/>
        <v>292.96050091928237</v>
      </c>
      <c r="AH33" s="67">
        <f t="shared" si="13"/>
        <v>251.3603382464884</v>
      </c>
      <c r="AI33" s="67">
        <f t="shared" si="13"/>
        <v>208.2026278778617</v>
      </c>
      <c r="AJ33" s="67">
        <f t="shared" si="13"/>
        <v>123.72167936463279</v>
      </c>
      <c r="AK33" s="67">
        <f t="shared" si="13"/>
        <v>101.49841758424405</v>
      </c>
      <c r="AL33" s="68">
        <f t="shared" si="10"/>
        <v>732.606325915356</v>
      </c>
      <c r="AM33" s="68">
        <f t="shared" si="11"/>
        <v>1040.5957855730371</v>
      </c>
    </row>
    <row r="34" spans="2:39" ht="12.75">
      <c r="B34">
        <f t="shared" si="6"/>
        <v>1946</v>
      </c>
      <c r="C34" s="57">
        <v>-0.0807</v>
      </c>
      <c r="D34" s="57">
        <v>0.0172</v>
      </c>
      <c r="E34" s="57">
        <v>-0.001</v>
      </c>
      <c r="F34" s="57">
        <v>0.01</v>
      </c>
      <c r="G34" s="57">
        <v>0.0035</v>
      </c>
      <c r="H34" s="57">
        <v>0.1816</v>
      </c>
      <c r="I34" s="67">
        <f t="shared" si="12"/>
        <v>364.4583114027032</v>
      </c>
      <c r="J34" s="67">
        <f t="shared" si="12"/>
        <v>297.99942153509403</v>
      </c>
      <c r="K34" s="67">
        <f t="shared" si="12"/>
        <v>251.1089779082419</v>
      </c>
      <c r="L34" s="67">
        <f t="shared" si="12"/>
        <v>210.2846541566403</v>
      </c>
      <c r="M34" s="67">
        <f t="shared" si="12"/>
        <v>124.15470524240901</v>
      </c>
      <c r="N34" s="67">
        <f t="shared" si="12"/>
        <v>119.93053021754277</v>
      </c>
      <c r="O34" s="68">
        <f t="shared" si="7"/>
        <v>802.2652087732466</v>
      </c>
      <c r="P34" s="68">
        <f t="shared" si="8"/>
        <v>1167.2781176412109</v>
      </c>
      <c r="Y34">
        <f t="shared" si="9"/>
        <v>1946</v>
      </c>
      <c r="Z34" s="57">
        <v>-0.0807</v>
      </c>
      <c r="AA34" s="57">
        <v>0.0172</v>
      </c>
      <c r="AB34" s="57">
        <v>-0.001</v>
      </c>
      <c r="AC34" s="57">
        <v>0.01</v>
      </c>
      <c r="AD34" s="57">
        <v>0.0035</v>
      </c>
      <c r="AE34" s="57">
        <v>0.1816</v>
      </c>
      <c r="AF34" s="67">
        <f t="shared" si="13"/>
        <v>364.4583114027032</v>
      </c>
      <c r="AG34" s="67">
        <f t="shared" si="13"/>
        <v>297.99942153509403</v>
      </c>
      <c r="AH34" s="67">
        <f t="shared" si="13"/>
        <v>251.1089779082419</v>
      </c>
      <c r="AI34" s="67">
        <f t="shared" si="13"/>
        <v>210.2846541566403</v>
      </c>
      <c r="AJ34" s="67">
        <f t="shared" si="13"/>
        <v>124.15470524240901</v>
      </c>
      <c r="AK34" s="67">
        <f t="shared" si="13"/>
        <v>119.93053021754277</v>
      </c>
      <c r="AL34" s="68">
        <f t="shared" si="10"/>
        <v>808.9718774237979</v>
      </c>
      <c r="AM34" s="68">
        <f t="shared" si="11"/>
        <v>1169.768409088837</v>
      </c>
    </row>
    <row r="35" spans="2:39" ht="12.75">
      <c r="B35">
        <f t="shared" si="6"/>
        <v>1947</v>
      </c>
      <c r="C35" s="57">
        <v>0.0571</v>
      </c>
      <c r="D35" s="57">
        <v>-0.0234</v>
      </c>
      <c r="E35" s="57">
        <v>-0.0262</v>
      </c>
      <c r="F35" s="57">
        <v>0.0091</v>
      </c>
      <c r="G35" s="57">
        <v>0.005</v>
      </c>
      <c r="H35" s="57">
        <v>0.0901</v>
      </c>
      <c r="I35" s="67">
        <f t="shared" si="12"/>
        <v>385.26888098379754</v>
      </c>
      <c r="J35" s="67">
        <f t="shared" si="12"/>
        <v>291.02623507117283</v>
      </c>
      <c r="K35" s="67">
        <f t="shared" si="12"/>
        <v>244.52992268704597</v>
      </c>
      <c r="L35" s="67">
        <f t="shared" si="12"/>
        <v>212.19824450946575</v>
      </c>
      <c r="M35" s="67">
        <f t="shared" si="12"/>
        <v>124.77547876862104</v>
      </c>
      <c r="N35" s="67">
        <f t="shared" si="12"/>
        <v>130.73627099014337</v>
      </c>
      <c r="O35" s="68">
        <f t="shared" si="7"/>
        <v>885.8918755884097</v>
      </c>
      <c r="P35" s="68">
        <f t="shared" si="8"/>
        <v>1312.1762413110732</v>
      </c>
      <c r="Y35">
        <f t="shared" si="9"/>
        <v>1947</v>
      </c>
      <c r="Z35" s="57">
        <v>0.0571</v>
      </c>
      <c r="AA35" s="57">
        <v>-0.0234</v>
      </c>
      <c r="AB35" s="57">
        <v>-0.0262</v>
      </c>
      <c r="AC35" s="57">
        <v>0.0091</v>
      </c>
      <c r="AD35" s="57">
        <v>0.005</v>
      </c>
      <c r="AE35" s="57">
        <v>0.0901</v>
      </c>
      <c r="AF35" s="67">
        <f t="shared" si="13"/>
        <v>385.26888098379754</v>
      </c>
      <c r="AG35" s="67">
        <f t="shared" si="13"/>
        <v>291.02623507117283</v>
      </c>
      <c r="AH35" s="67">
        <f t="shared" si="13"/>
        <v>244.52992268704597</v>
      </c>
      <c r="AI35" s="67">
        <f t="shared" si="13"/>
        <v>212.19824450946575</v>
      </c>
      <c r="AJ35" s="67">
        <f t="shared" si="13"/>
        <v>124.77547876862104</v>
      </c>
      <c r="AK35" s="67">
        <f t="shared" si="13"/>
        <v>130.73627099014337</v>
      </c>
      <c r="AL35" s="68">
        <f t="shared" si="10"/>
        <v>893.2976351861266</v>
      </c>
      <c r="AM35" s="68">
        <f t="shared" si="11"/>
        <v>1314.9756609370647</v>
      </c>
    </row>
    <row r="36" spans="2:39" ht="12.75">
      <c r="B36">
        <f t="shared" si="6"/>
        <v>1948</v>
      </c>
      <c r="C36" s="57">
        <v>0.055</v>
      </c>
      <c r="D36" s="57">
        <v>0.0414</v>
      </c>
      <c r="E36" s="57">
        <v>0.034</v>
      </c>
      <c r="F36" s="57">
        <v>0.0185</v>
      </c>
      <c r="G36" s="57">
        <v>0.0081</v>
      </c>
      <c r="H36" s="57">
        <v>0.0271</v>
      </c>
      <c r="I36" s="67">
        <f t="shared" si="12"/>
        <v>406.4586694379064</v>
      </c>
      <c r="J36" s="67">
        <f t="shared" si="12"/>
        <v>303.0747212031194</v>
      </c>
      <c r="K36" s="67">
        <f t="shared" si="12"/>
        <v>252.84394005840554</v>
      </c>
      <c r="L36" s="67">
        <f t="shared" si="12"/>
        <v>216.12391203289087</v>
      </c>
      <c r="M36" s="67">
        <f t="shared" si="12"/>
        <v>125.78616014664688</v>
      </c>
      <c r="N36" s="67">
        <f t="shared" si="12"/>
        <v>134.27922393397623</v>
      </c>
      <c r="O36" s="68">
        <f t="shared" si="7"/>
        <v>978.2356341160602</v>
      </c>
      <c r="P36" s="68">
        <f t="shared" si="8"/>
        <v>1475.0610520658213</v>
      </c>
      <c r="Y36">
        <f t="shared" si="9"/>
        <v>1948</v>
      </c>
      <c r="Z36" s="57">
        <v>0.055</v>
      </c>
      <c r="AA36" s="57">
        <v>0.0414</v>
      </c>
      <c r="AB36" s="57">
        <v>0.034</v>
      </c>
      <c r="AC36" s="57">
        <v>0.0185</v>
      </c>
      <c r="AD36" s="57">
        <v>0.0081</v>
      </c>
      <c r="AE36" s="57">
        <v>0.0271</v>
      </c>
      <c r="AF36" s="67">
        <f t="shared" si="13"/>
        <v>406.4586694379064</v>
      </c>
      <c r="AG36" s="67">
        <f t="shared" si="13"/>
        <v>303.0747212031194</v>
      </c>
      <c r="AH36" s="67">
        <f t="shared" si="13"/>
        <v>252.84394005840554</v>
      </c>
      <c r="AI36" s="67">
        <f t="shared" si="13"/>
        <v>216.12391203289087</v>
      </c>
      <c r="AJ36" s="67">
        <f t="shared" si="13"/>
        <v>125.78616014664688</v>
      </c>
      <c r="AK36" s="67">
        <f t="shared" si="13"/>
        <v>134.27922393397623</v>
      </c>
      <c r="AL36" s="68">
        <f t="shared" si="10"/>
        <v>986.4133566303026</v>
      </c>
      <c r="AM36" s="68">
        <f t="shared" si="11"/>
        <v>1478.2079729813859</v>
      </c>
    </row>
    <row r="37" spans="2:39" ht="12.75">
      <c r="B37">
        <f t="shared" si="6"/>
        <v>1949</v>
      </c>
      <c r="C37" s="57">
        <v>0.1879</v>
      </c>
      <c r="D37" s="57">
        <v>0.0331</v>
      </c>
      <c r="E37" s="57">
        <v>0.0645</v>
      </c>
      <c r="F37" s="57">
        <v>0.0232</v>
      </c>
      <c r="G37" s="57">
        <v>0.011</v>
      </c>
      <c r="H37" s="57">
        <v>-0.018</v>
      </c>
      <c r="I37" s="67">
        <f t="shared" si="12"/>
        <v>482.83225342528897</v>
      </c>
      <c r="J37" s="67">
        <f t="shared" si="12"/>
        <v>313.1064944749426</v>
      </c>
      <c r="K37" s="67">
        <f t="shared" si="12"/>
        <v>269.1523741921727</v>
      </c>
      <c r="L37" s="67">
        <f t="shared" si="12"/>
        <v>221.13798679205397</v>
      </c>
      <c r="M37" s="67">
        <f t="shared" si="12"/>
        <v>127.16980790825998</v>
      </c>
      <c r="N37" s="67">
        <f t="shared" si="12"/>
        <v>131.86219790316466</v>
      </c>
      <c r="O37" s="68">
        <f t="shared" si="7"/>
        <v>1080.2051381483177</v>
      </c>
      <c r="P37" s="68">
        <f t="shared" si="8"/>
        <v>1658.1652973289254</v>
      </c>
      <c r="Y37">
        <f t="shared" si="9"/>
        <v>1949</v>
      </c>
      <c r="Z37" s="57">
        <v>0.1879</v>
      </c>
      <c r="AA37" s="57">
        <v>0.0331</v>
      </c>
      <c r="AB37" s="57">
        <v>0.0645</v>
      </c>
      <c r="AC37" s="57">
        <v>0.0232</v>
      </c>
      <c r="AD37" s="57">
        <v>0.011</v>
      </c>
      <c r="AE37" s="57">
        <v>-0.018</v>
      </c>
      <c r="AF37" s="67">
        <f t="shared" si="13"/>
        <v>482.83225342528897</v>
      </c>
      <c r="AG37" s="67">
        <f t="shared" si="13"/>
        <v>313.1064944749426</v>
      </c>
      <c r="AH37" s="67">
        <f t="shared" si="13"/>
        <v>269.1523741921727</v>
      </c>
      <c r="AI37" s="67">
        <f t="shared" si="13"/>
        <v>221.13798679205397</v>
      </c>
      <c r="AJ37" s="67">
        <f t="shared" si="13"/>
        <v>127.16980790825998</v>
      </c>
      <c r="AK37" s="67">
        <f t="shared" si="13"/>
        <v>131.86219790316466</v>
      </c>
      <c r="AL37" s="68">
        <f t="shared" si="10"/>
        <v>1089.2352915900474</v>
      </c>
      <c r="AM37" s="68">
        <f t="shared" si="11"/>
        <v>1661.7028560274753</v>
      </c>
    </row>
    <row r="38" spans="2:45" ht="12.75">
      <c r="B38">
        <f t="shared" si="6"/>
        <v>1950</v>
      </c>
      <c r="C38" s="57">
        <v>0.3171</v>
      </c>
      <c r="D38" s="57">
        <v>0.0212</v>
      </c>
      <c r="E38" s="57">
        <v>0.0006</v>
      </c>
      <c r="F38" s="57">
        <v>0.007</v>
      </c>
      <c r="G38" s="57">
        <v>0.012</v>
      </c>
      <c r="H38" s="57">
        <v>0.0579</v>
      </c>
      <c r="I38" s="67">
        <f t="shared" si="12"/>
        <v>635.9383609864481</v>
      </c>
      <c r="J38" s="67">
        <f t="shared" si="12"/>
        <v>319.7443521578114</v>
      </c>
      <c r="K38" s="67">
        <f t="shared" si="12"/>
        <v>269.313865616688</v>
      </c>
      <c r="L38" s="67">
        <f t="shared" si="12"/>
        <v>222.68595269959832</v>
      </c>
      <c r="M38" s="67">
        <f t="shared" si="12"/>
        <v>128.6958456031591</v>
      </c>
      <c r="N38" s="67">
        <f t="shared" si="12"/>
        <v>139.4970191617579</v>
      </c>
      <c r="O38" s="68">
        <f t="shared" si="7"/>
        <v>1192.8037578966266</v>
      </c>
      <c r="P38" s="68">
        <f t="shared" si="8"/>
        <v>1863.9988829040228</v>
      </c>
      <c r="R38" s="57"/>
      <c r="S38" s="57"/>
      <c r="T38" s="57"/>
      <c r="U38" s="57"/>
      <c r="V38" s="57"/>
      <c r="Y38">
        <f t="shared" si="9"/>
        <v>1950</v>
      </c>
      <c r="Z38" s="57">
        <v>0.3171</v>
      </c>
      <c r="AA38" s="57">
        <v>0.0212</v>
      </c>
      <c r="AB38" s="57">
        <v>0.0006</v>
      </c>
      <c r="AC38" s="57">
        <v>0.007</v>
      </c>
      <c r="AD38" s="57">
        <v>0.012</v>
      </c>
      <c r="AE38" s="57">
        <v>0.0579</v>
      </c>
      <c r="AF38" s="67">
        <f t="shared" si="13"/>
        <v>635.9383609864481</v>
      </c>
      <c r="AG38" s="67">
        <f t="shared" si="13"/>
        <v>319.7443521578114</v>
      </c>
      <c r="AH38" s="67">
        <f t="shared" si="13"/>
        <v>269.313865616688</v>
      </c>
      <c r="AI38" s="67">
        <f t="shared" si="13"/>
        <v>222.68595269959832</v>
      </c>
      <c r="AJ38" s="67">
        <f t="shared" si="13"/>
        <v>128.6958456031591</v>
      </c>
      <c r="AK38" s="67">
        <f t="shared" si="13"/>
        <v>139.4970191617579</v>
      </c>
      <c r="AL38" s="68">
        <f t="shared" si="10"/>
        <v>1202.7751981159745</v>
      </c>
      <c r="AM38" s="68">
        <f t="shared" si="11"/>
        <v>1867.975570555686</v>
      </c>
      <c r="AO38" s="57"/>
      <c r="AP38" s="57"/>
      <c r="AQ38" s="57"/>
      <c r="AR38" s="57"/>
      <c r="AS38" s="57"/>
    </row>
    <row r="39" spans="2:45" ht="12.75">
      <c r="B39">
        <f t="shared" si="6"/>
        <v>1951</v>
      </c>
      <c r="C39" s="57">
        <v>0.2402</v>
      </c>
      <c r="D39" s="57">
        <v>-0.0269</v>
      </c>
      <c r="E39" s="57">
        <v>-0.0393</v>
      </c>
      <c r="F39" s="57">
        <v>0.0036</v>
      </c>
      <c r="G39" s="57">
        <v>0.0149</v>
      </c>
      <c r="H39" s="57">
        <v>0.0587</v>
      </c>
      <c r="I39" s="67">
        <f t="shared" si="12"/>
        <v>788.6907552953928</v>
      </c>
      <c r="J39" s="67">
        <f t="shared" si="12"/>
        <v>311.1432290847663</v>
      </c>
      <c r="K39" s="67">
        <f t="shared" si="12"/>
        <v>258.7298306979522</v>
      </c>
      <c r="L39" s="67">
        <f t="shared" si="12"/>
        <v>223.4876221293169</v>
      </c>
      <c r="M39" s="67">
        <f t="shared" si="12"/>
        <v>130.61341370264617</v>
      </c>
      <c r="N39" s="67">
        <f t="shared" si="12"/>
        <v>147.6854941865531</v>
      </c>
      <c r="O39" s="68">
        <f t="shared" si="7"/>
        <v>1317.139453059109</v>
      </c>
      <c r="P39" s="68">
        <f t="shared" si="8"/>
        <v>2095.383277568509</v>
      </c>
      <c r="R39" s="57"/>
      <c r="S39" s="57"/>
      <c r="T39" s="57"/>
      <c r="U39" s="57"/>
      <c r="V39" s="57"/>
      <c r="Y39">
        <f t="shared" si="9"/>
        <v>1951</v>
      </c>
      <c r="Z39" s="57">
        <v>0.2402</v>
      </c>
      <c r="AA39" s="57">
        <v>-0.0269</v>
      </c>
      <c r="AB39" s="57">
        <v>-0.0393</v>
      </c>
      <c r="AC39" s="57">
        <v>0.0036</v>
      </c>
      <c r="AD39" s="57">
        <v>0.0149</v>
      </c>
      <c r="AE39" s="57">
        <v>0.0587</v>
      </c>
      <c r="AF39" s="67">
        <f t="shared" si="13"/>
        <v>788.6907552953928</v>
      </c>
      <c r="AG39" s="67">
        <f t="shared" si="13"/>
        <v>311.1432290847663</v>
      </c>
      <c r="AH39" s="67">
        <f t="shared" si="13"/>
        <v>258.7298306979522</v>
      </c>
      <c r="AI39" s="67">
        <f t="shared" si="13"/>
        <v>223.4876221293169</v>
      </c>
      <c r="AJ39" s="67">
        <f t="shared" si="13"/>
        <v>130.61341370264617</v>
      </c>
      <c r="AK39" s="67">
        <f t="shared" si="13"/>
        <v>147.6854941865531</v>
      </c>
      <c r="AL39" s="68">
        <f t="shared" si="10"/>
        <v>1328.1502980784803</v>
      </c>
      <c r="AM39" s="68">
        <f t="shared" si="11"/>
        <v>2099.8536047139987</v>
      </c>
      <c r="AO39" s="57"/>
      <c r="AP39" s="57"/>
      <c r="AQ39" s="57"/>
      <c r="AR39" s="57"/>
      <c r="AS39" s="57"/>
    </row>
    <row r="40" spans="2:45" ht="12.75">
      <c r="B40">
        <f t="shared" si="6"/>
        <v>1952</v>
      </c>
      <c r="C40" s="57">
        <v>0.1837</v>
      </c>
      <c r="D40" s="57">
        <v>0.0352</v>
      </c>
      <c r="E40" s="57">
        <v>0.0116</v>
      </c>
      <c r="F40" s="57">
        <v>0.0163</v>
      </c>
      <c r="G40" s="57">
        <v>0.0166</v>
      </c>
      <c r="H40" s="57">
        <v>0.0088</v>
      </c>
      <c r="I40" s="67">
        <f t="shared" si="12"/>
        <v>933.5732470431565</v>
      </c>
      <c r="J40" s="67">
        <f t="shared" si="12"/>
        <v>322.09547074855004</v>
      </c>
      <c r="K40" s="67">
        <f t="shared" si="12"/>
        <v>261.73109673404844</v>
      </c>
      <c r="L40" s="67">
        <f t="shared" si="12"/>
        <v>227.13047037002474</v>
      </c>
      <c r="M40" s="67">
        <f t="shared" si="12"/>
        <v>132.7815963701101</v>
      </c>
      <c r="N40" s="67">
        <f t="shared" si="12"/>
        <v>148.98512653539476</v>
      </c>
      <c r="O40" s="68">
        <f t="shared" si="7"/>
        <v>1454.4356750385075</v>
      </c>
      <c r="P40" s="68">
        <f t="shared" si="8"/>
        <v>2355.4901884240135</v>
      </c>
      <c r="R40" s="57"/>
      <c r="S40" s="57"/>
      <c r="T40" s="57"/>
      <c r="U40" s="57"/>
      <c r="V40" s="57"/>
      <c r="Y40">
        <f t="shared" si="9"/>
        <v>1952</v>
      </c>
      <c r="Z40" s="57">
        <v>0.1837</v>
      </c>
      <c r="AA40" s="57">
        <v>0.0352</v>
      </c>
      <c r="AB40" s="57">
        <v>0.0116</v>
      </c>
      <c r="AC40" s="57">
        <v>0.0163</v>
      </c>
      <c r="AD40" s="57">
        <v>0.0166</v>
      </c>
      <c r="AE40" s="57">
        <v>0.0088</v>
      </c>
      <c r="AF40" s="67">
        <f t="shared" si="13"/>
        <v>933.5732470431565</v>
      </c>
      <c r="AG40" s="67">
        <f t="shared" si="13"/>
        <v>322.09547074855004</v>
      </c>
      <c r="AH40" s="67">
        <f t="shared" si="13"/>
        <v>261.73109673404844</v>
      </c>
      <c r="AI40" s="67">
        <f t="shared" si="13"/>
        <v>227.13047037002474</v>
      </c>
      <c r="AJ40" s="67">
        <f t="shared" si="13"/>
        <v>132.7815963701101</v>
      </c>
      <c r="AK40" s="67">
        <f t="shared" si="13"/>
        <v>148.98512653539476</v>
      </c>
      <c r="AL40" s="68">
        <f t="shared" si="10"/>
        <v>1466.594270524581</v>
      </c>
      <c r="AM40" s="68">
        <f t="shared" si="11"/>
        <v>2360.5154321791633</v>
      </c>
      <c r="AO40" s="57"/>
      <c r="AP40" s="57"/>
      <c r="AQ40" s="57"/>
      <c r="AR40" s="57"/>
      <c r="AS40" s="57"/>
    </row>
    <row r="41" spans="2:45" ht="12.75">
      <c r="B41">
        <f t="shared" si="6"/>
        <v>1953</v>
      </c>
      <c r="C41" s="57">
        <v>-0.0099</v>
      </c>
      <c r="D41" s="57">
        <v>0.0341</v>
      </c>
      <c r="E41" s="57">
        <v>0.0364</v>
      </c>
      <c r="F41" s="57">
        <v>0.0323</v>
      </c>
      <c r="G41" s="57">
        <v>0.0182</v>
      </c>
      <c r="H41" s="57">
        <v>0.0062</v>
      </c>
      <c r="I41" s="67">
        <f t="shared" si="12"/>
        <v>924.3308718974292</v>
      </c>
      <c r="J41" s="67">
        <f t="shared" si="12"/>
        <v>333.0789263010756</v>
      </c>
      <c r="K41" s="67">
        <f t="shared" si="12"/>
        <v>271.2581086551678</v>
      </c>
      <c r="L41" s="67">
        <f t="shared" si="12"/>
        <v>234.46678456297653</v>
      </c>
      <c r="M41" s="67">
        <f t="shared" si="12"/>
        <v>135.1982214240461</v>
      </c>
      <c r="N41" s="67">
        <f t="shared" si="12"/>
        <v>149.9088343199142</v>
      </c>
      <c r="O41" s="68">
        <f t="shared" si="7"/>
        <v>1606.043405587508</v>
      </c>
      <c r="P41" s="68">
        <f t="shared" si="8"/>
        <v>2647.885037147048</v>
      </c>
      <c r="R41" s="57"/>
      <c r="S41" s="57"/>
      <c r="T41" s="57"/>
      <c r="U41" s="57"/>
      <c r="V41" s="57"/>
      <c r="Y41">
        <f t="shared" si="9"/>
        <v>1953</v>
      </c>
      <c r="Z41" s="57">
        <v>-0.0099</v>
      </c>
      <c r="AA41" s="57">
        <v>0.0341</v>
      </c>
      <c r="AB41" s="57">
        <v>0.0364</v>
      </c>
      <c r="AC41" s="57">
        <v>0.0323</v>
      </c>
      <c r="AD41" s="57">
        <v>0.0182</v>
      </c>
      <c r="AE41" s="57">
        <v>0.0062</v>
      </c>
      <c r="AF41" s="67">
        <f t="shared" si="13"/>
        <v>924.3308718974292</v>
      </c>
      <c r="AG41" s="67">
        <f t="shared" si="13"/>
        <v>333.0789263010756</v>
      </c>
      <c r="AH41" s="67">
        <f t="shared" si="13"/>
        <v>271.2581086551678</v>
      </c>
      <c r="AI41" s="67">
        <f t="shared" si="13"/>
        <v>234.46678456297653</v>
      </c>
      <c r="AJ41" s="67">
        <f t="shared" si="13"/>
        <v>135.1982214240461</v>
      </c>
      <c r="AK41" s="67">
        <f t="shared" si="13"/>
        <v>149.9088343199142</v>
      </c>
      <c r="AL41" s="68">
        <f t="shared" si="10"/>
        <v>1619.4693909622804</v>
      </c>
      <c r="AM41" s="68">
        <f t="shared" si="11"/>
        <v>2653.534081160337</v>
      </c>
      <c r="AO41" s="57"/>
      <c r="AP41" s="57"/>
      <c r="AQ41" s="57"/>
      <c r="AR41" s="57"/>
      <c r="AS41" s="57"/>
    </row>
    <row r="42" spans="2:45" ht="12.75">
      <c r="B42">
        <f t="shared" si="6"/>
        <v>1954</v>
      </c>
      <c r="C42" s="57">
        <v>0.5262</v>
      </c>
      <c r="D42" s="57">
        <v>0.0539</v>
      </c>
      <c r="E42" s="57">
        <v>0.0719</v>
      </c>
      <c r="F42" s="57">
        <v>0.0268</v>
      </c>
      <c r="G42" s="57">
        <v>0.0086</v>
      </c>
      <c r="H42" s="57">
        <v>-0.005</v>
      </c>
      <c r="I42" s="67">
        <f t="shared" si="12"/>
        <v>1410.7137766898566</v>
      </c>
      <c r="J42" s="67">
        <f t="shared" si="12"/>
        <v>351.03188042870363</v>
      </c>
      <c r="K42" s="67">
        <f t="shared" si="12"/>
        <v>290.76156666747437</v>
      </c>
      <c r="L42" s="67">
        <f t="shared" si="12"/>
        <v>240.75049438926428</v>
      </c>
      <c r="M42" s="67">
        <f t="shared" si="12"/>
        <v>136.36092612829287</v>
      </c>
      <c r="N42" s="67">
        <f t="shared" si="12"/>
        <v>149.15929014831462</v>
      </c>
      <c r="O42" s="68">
        <f t="shared" si="7"/>
        <v>1773.454450340562</v>
      </c>
      <c r="P42" s="68">
        <f t="shared" si="8"/>
        <v>2976.5758330915687</v>
      </c>
      <c r="R42" s="57"/>
      <c r="S42" s="57"/>
      <c r="T42" s="57"/>
      <c r="U42" s="57"/>
      <c r="V42" s="57"/>
      <c r="Y42">
        <f t="shared" si="9"/>
        <v>1954</v>
      </c>
      <c r="Z42" s="57">
        <v>0.5262</v>
      </c>
      <c r="AA42" s="57">
        <v>0.0539</v>
      </c>
      <c r="AB42" s="57">
        <v>0.0719</v>
      </c>
      <c r="AC42" s="57">
        <v>0.0268</v>
      </c>
      <c r="AD42" s="57">
        <v>0.0086</v>
      </c>
      <c r="AE42" s="57">
        <v>-0.005</v>
      </c>
      <c r="AF42" s="67">
        <f t="shared" si="13"/>
        <v>1410.7137766898566</v>
      </c>
      <c r="AG42" s="67">
        <f t="shared" si="13"/>
        <v>351.03188042870363</v>
      </c>
      <c r="AH42" s="67">
        <f t="shared" si="13"/>
        <v>290.76156666747437</v>
      </c>
      <c r="AI42" s="67">
        <f t="shared" si="13"/>
        <v>240.75049438926428</v>
      </c>
      <c r="AJ42" s="67">
        <f t="shared" si="13"/>
        <v>136.36092612829287</v>
      </c>
      <c r="AK42" s="67">
        <f t="shared" si="13"/>
        <v>149.15929014831462</v>
      </c>
      <c r="AL42" s="68">
        <f t="shared" si="10"/>
        <v>1788.2799360218705</v>
      </c>
      <c r="AM42" s="68">
        <f t="shared" si="11"/>
        <v>2982.9261117683736</v>
      </c>
      <c r="AO42" s="57"/>
      <c r="AP42" s="57"/>
      <c r="AQ42" s="57"/>
      <c r="AR42" s="57"/>
      <c r="AS42" s="57"/>
    </row>
    <row r="43" spans="2:51" ht="12.75">
      <c r="B43">
        <f t="shared" si="6"/>
        <v>1955</v>
      </c>
      <c r="C43" s="57">
        <v>0.3156</v>
      </c>
      <c r="D43" s="57">
        <v>0.0048</v>
      </c>
      <c r="E43" s="57">
        <v>-0.0129</v>
      </c>
      <c r="F43" s="57">
        <v>-0.0065</v>
      </c>
      <c r="G43" s="57">
        <v>0.0157</v>
      </c>
      <c r="H43" s="57">
        <v>0.0037</v>
      </c>
      <c r="I43" s="67">
        <f t="shared" si="12"/>
        <v>1855.935044613175</v>
      </c>
      <c r="J43" s="67">
        <f t="shared" si="12"/>
        <v>352.7168334547614</v>
      </c>
      <c r="K43" s="67">
        <f t="shared" si="12"/>
        <v>287.01074245746395</v>
      </c>
      <c r="L43" s="67">
        <f t="shared" si="12"/>
        <v>239.18561617573408</v>
      </c>
      <c r="M43" s="67">
        <f t="shared" si="12"/>
        <v>138.50179266850708</v>
      </c>
      <c r="N43" s="67">
        <f t="shared" si="12"/>
        <v>149.7111795218634</v>
      </c>
      <c r="O43" s="68">
        <f t="shared" si="7"/>
        <v>1958.3161180392997</v>
      </c>
      <c r="P43" s="68">
        <f t="shared" si="8"/>
        <v>3346.068113172669</v>
      </c>
      <c r="R43" s="57">
        <f aca="true" t="shared" si="14" ref="R43:V62">(I43/I13)^(1/30)-1</f>
        <v>0.10226349792582101</v>
      </c>
      <c r="S43" s="57">
        <f t="shared" si="14"/>
        <v>0.04291169977553122</v>
      </c>
      <c r="T43" s="57">
        <f t="shared" si="14"/>
        <v>0.0357698658746568</v>
      </c>
      <c r="U43" s="57">
        <f t="shared" si="14"/>
        <v>0.029495616970200977</v>
      </c>
      <c r="V43" s="57">
        <f t="shared" si="14"/>
        <v>0.010916254987348495</v>
      </c>
      <c r="Y43">
        <f t="shared" si="9"/>
        <v>1955</v>
      </c>
      <c r="Z43" s="57">
        <v>0.3156</v>
      </c>
      <c r="AA43" s="57">
        <v>0.0048</v>
      </c>
      <c r="AB43" s="57">
        <v>-0.0129</v>
      </c>
      <c r="AC43" s="57">
        <v>-0.0065</v>
      </c>
      <c r="AD43" s="57">
        <v>0.0157</v>
      </c>
      <c r="AE43" s="57">
        <v>0.0037</v>
      </c>
      <c r="AF43" s="67">
        <f t="shared" si="13"/>
        <v>1855.935044613175</v>
      </c>
      <c r="AG43" s="67">
        <f t="shared" si="13"/>
        <v>352.7168334547614</v>
      </c>
      <c r="AH43" s="67">
        <f t="shared" si="13"/>
        <v>287.01074245746395</v>
      </c>
      <c r="AI43" s="67">
        <f t="shared" si="13"/>
        <v>239.18561617573408</v>
      </c>
      <c r="AJ43" s="67">
        <f t="shared" si="13"/>
        <v>138.50179266850708</v>
      </c>
      <c r="AK43" s="67">
        <f t="shared" si="13"/>
        <v>149.7111795218634</v>
      </c>
      <c r="AL43" s="68">
        <f t="shared" si="10"/>
        <v>1974.686985394755</v>
      </c>
      <c r="AM43" s="68">
        <f t="shared" si="11"/>
        <v>3353.2066731092214</v>
      </c>
      <c r="AO43" s="57">
        <f aca="true" t="shared" si="15" ref="AO43:AS62">(AF43/AF13)^(1/30)-1</f>
        <v>0.10226349792582101</v>
      </c>
      <c r="AP43" s="57">
        <f t="shared" si="15"/>
        <v>0.04291169977553122</v>
      </c>
      <c r="AQ43" s="57">
        <f t="shared" si="15"/>
        <v>0.0357698658746568</v>
      </c>
      <c r="AR43" s="57">
        <f t="shared" si="15"/>
        <v>0.029495616970200977</v>
      </c>
      <c r="AS43" s="57">
        <f t="shared" si="15"/>
        <v>0.010916254987348495</v>
      </c>
      <c r="AU43">
        <f>Y43</f>
        <v>1955</v>
      </c>
      <c r="AV43" s="36">
        <f aca="true" t="shared" si="16" ref="AV43:AY62">$R43-AP43</f>
        <v>0.05935179815028979</v>
      </c>
      <c r="AW43" s="36">
        <f t="shared" si="16"/>
        <v>0.06649363205116421</v>
      </c>
      <c r="AX43" s="36">
        <f t="shared" si="16"/>
        <v>0.07276788095562003</v>
      </c>
      <c r="AY43" s="36">
        <f t="shared" si="16"/>
        <v>0.09134724293847252</v>
      </c>
    </row>
    <row r="44" spans="2:51" ht="12.75">
      <c r="B44">
        <f t="shared" si="6"/>
        <v>1956</v>
      </c>
      <c r="C44" s="57">
        <v>0.0656</v>
      </c>
      <c r="D44" s="57">
        <v>-0.0681</v>
      </c>
      <c r="E44" s="57">
        <v>-0.0559</v>
      </c>
      <c r="F44" s="57">
        <v>-0.0042</v>
      </c>
      <c r="G44" s="57">
        <v>0.0246</v>
      </c>
      <c r="H44" s="57">
        <v>0.0286</v>
      </c>
      <c r="I44" s="67">
        <f t="shared" si="12"/>
        <v>1977.6843835397995</v>
      </c>
      <c r="J44" s="67">
        <f t="shared" si="12"/>
        <v>328.6968170964921</v>
      </c>
      <c r="K44" s="67">
        <f t="shared" si="12"/>
        <v>270.9668419540917</v>
      </c>
      <c r="L44" s="67">
        <f t="shared" si="12"/>
        <v>238.181036587796</v>
      </c>
      <c r="M44" s="67">
        <f t="shared" si="12"/>
        <v>141.90893676815236</v>
      </c>
      <c r="N44" s="67">
        <f t="shared" si="12"/>
        <v>153.99291925618869</v>
      </c>
      <c r="O44" s="68">
        <f t="shared" si="7"/>
        <v>2162.447429893711</v>
      </c>
      <c r="P44" s="68">
        <f t="shared" si="8"/>
        <v>3761.42670162117</v>
      </c>
      <c r="R44" s="57">
        <f t="shared" si="14"/>
        <v>0.10056027350918284</v>
      </c>
      <c r="S44" s="57">
        <f t="shared" si="14"/>
        <v>0.03799935787809949</v>
      </c>
      <c r="T44" s="57">
        <f t="shared" si="14"/>
        <v>0.031210379186340287</v>
      </c>
      <c r="U44" s="57">
        <f t="shared" si="14"/>
        <v>0.027554738301713844</v>
      </c>
      <c r="V44" s="57">
        <f t="shared" si="14"/>
        <v>0.010650943189960627</v>
      </c>
      <c r="Y44">
        <f t="shared" si="9"/>
        <v>1956</v>
      </c>
      <c r="Z44" s="57">
        <v>0.0656</v>
      </c>
      <c r="AA44" s="57">
        <v>-0.0681</v>
      </c>
      <c r="AB44" s="57">
        <v>-0.0559</v>
      </c>
      <c r="AC44" s="57">
        <v>-0.0042</v>
      </c>
      <c r="AD44" s="57">
        <v>0.0246</v>
      </c>
      <c r="AE44" s="57">
        <v>0.0286</v>
      </c>
      <c r="AF44" s="67">
        <f t="shared" si="13"/>
        <v>1977.6843835397995</v>
      </c>
      <c r="AG44" s="67">
        <f t="shared" si="13"/>
        <v>328.6968170964921</v>
      </c>
      <c r="AH44" s="67">
        <f t="shared" si="13"/>
        <v>270.9668419540917</v>
      </c>
      <c r="AI44" s="67">
        <f t="shared" si="13"/>
        <v>238.181036587796</v>
      </c>
      <c r="AJ44" s="67">
        <f t="shared" si="13"/>
        <v>141.90893676815236</v>
      </c>
      <c r="AK44" s="67">
        <f t="shared" si="13"/>
        <v>153.99291925618869</v>
      </c>
      <c r="AL44" s="68">
        <f t="shared" si="10"/>
        <v>2180.524766699466</v>
      </c>
      <c r="AM44" s="68">
        <f t="shared" si="11"/>
        <v>3769.451394797846</v>
      </c>
      <c r="AO44" s="57">
        <f t="shared" si="15"/>
        <v>0.10056027350918284</v>
      </c>
      <c r="AP44" s="57">
        <f t="shared" si="15"/>
        <v>0.03799935787809949</v>
      </c>
      <c r="AQ44" s="57">
        <f t="shared" si="15"/>
        <v>0.031210379186340287</v>
      </c>
      <c r="AR44" s="57">
        <f t="shared" si="15"/>
        <v>0.027554738301713844</v>
      </c>
      <c r="AS44" s="57">
        <f t="shared" si="15"/>
        <v>0.010650943189960627</v>
      </c>
      <c r="AU44">
        <f aca="true" t="shared" si="17" ref="AU44:AU87">Y44</f>
        <v>1956</v>
      </c>
      <c r="AV44" s="36">
        <f t="shared" si="16"/>
        <v>0.06256091563108335</v>
      </c>
      <c r="AW44" s="36">
        <f t="shared" si="16"/>
        <v>0.06934989432284255</v>
      </c>
      <c r="AX44" s="36">
        <f t="shared" si="16"/>
        <v>0.073005535207469</v>
      </c>
      <c r="AY44" s="36">
        <f t="shared" si="16"/>
        <v>0.08990933031922221</v>
      </c>
    </row>
    <row r="45" spans="2:51" ht="12.75">
      <c r="B45">
        <f t="shared" si="6"/>
        <v>1957</v>
      </c>
      <c r="C45" s="57">
        <v>-0.1078</v>
      </c>
      <c r="D45" s="57">
        <v>0.0871</v>
      </c>
      <c r="E45" s="57">
        <v>0.0746</v>
      </c>
      <c r="F45" s="57">
        <v>0.0784</v>
      </c>
      <c r="G45" s="57">
        <v>0.0314</v>
      </c>
      <c r="H45" s="57">
        <v>0.0302</v>
      </c>
      <c r="I45" s="67">
        <f t="shared" si="12"/>
        <v>1764.4900069942091</v>
      </c>
      <c r="J45" s="67">
        <f t="shared" si="12"/>
        <v>357.32630986559656</v>
      </c>
      <c r="K45" s="67">
        <f t="shared" si="12"/>
        <v>291.18096836386695</v>
      </c>
      <c r="L45" s="67">
        <f t="shared" si="12"/>
        <v>256.85442985627924</v>
      </c>
      <c r="M45" s="67">
        <f t="shared" si="12"/>
        <v>146.36487738267235</v>
      </c>
      <c r="N45" s="67">
        <f t="shared" si="12"/>
        <v>158.64350541772558</v>
      </c>
      <c r="O45" s="68">
        <f t="shared" si="7"/>
        <v>2387.857018577669</v>
      </c>
      <c r="P45" s="68">
        <f t="shared" si="8"/>
        <v>4228.345136182412</v>
      </c>
      <c r="R45" s="57">
        <f t="shared" si="14"/>
        <v>0.08480963983070788</v>
      </c>
      <c r="S45" s="57">
        <f t="shared" si="14"/>
        <v>0.03840602996612197</v>
      </c>
      <c r="T45" s="57">
        <f t="shared" si="14"/>
        <v>0.030743457006410013</v>
      </c>
      <c r="U45" s="57">
        <f t="shared" si="14"/>
        <v>0.028626358329971513</v>
      </c>
      <c r="V45" s="57">
        <f t="shared" si="14"/>
        <v>0.010657476395383725</v>
      </c>
      <c r="Y45">
        <f t="shared" si="9"/>
        <v>1957</v>
      </c>
      <c r="Z45" s="57">
        <v>-0.1078</v>
      </c>
      <c r="AA45" s="57">
        <v>0.0871</v>
      </c>
      <c r="AB45" s="57">
        <v>0.0746</v>
      </c>
      <c r="AC45" s="57">
        <v>0.0784</v>
      </c>
      <c r="AD45" s="57">
        <v>0.0314</v>
      </c>
      <c r="AE45" s="57">
        <v>0.0302</v>
      </c>
      <c r="AF45" s="67">
        <f t="shared" si="13"/>
        <v>1764.4900069942091</v>
      </c>
      <c r="AG45" s="67">
        <f t="shared" si="13"/>
        <v>357.32630986559656</v>
      </c>
      <c r="AH45" s="67">
        <f t="shared" si="13"/>
        <v>291.18096836386695</v>
      </c>
      <c r="AI45" s="67">
        <f t="shared" si="13"/>
        <v>256.85442985627924</v>
      </c>
      <c r="AJ45" s="67">
        <f t="shared" si="13"/>
        <v>146.36487738267235</v>
      </c>
      <c r="AK45" s="67">
        <f t="shared" si="13"/>
        <v>158.64350541772558</v>
      </c>
      <c r="AL45" s="68">
        <f t="shared" si="10"/>
        <v>2407.818704106799</v>
      </c>
      <c r="AM45" s="68">
        <f t="shared" si="11"/>
        <v>4237.365961272086</v>
      </c>
      <c r="AO45" s="57">
        <f t="shared" si="15"/>
        <v>0.08480963983070788</v>
      </c>
      <c r="AP45" s="57">
        <f t="shared" si="15"/>
        <v>0.03840602996612197</v>
      </c>
      <c r="AQ45" s="57">
        <f t="shared" si="15"/>
        <v>0.030743457006410013</v>
      </c>
      <c r="AR45" s="57">
        <f t="shared" si="15"/>
        <v>0.028626358329971513</v>
      </c>
      <c r="AS45" s="57">
        <f t="shared" si="15"/>
        <v>0.010657476395383725</v>
      </c>
      <c r="AU45">
        <f t="shared" si="17"/>
        <v>1957</v>
      </c>
      <c r="AV45" s="36">
        <f t="shared" si="16"/>
        <v>0.046403609864585915</v>
      </c>
      <c r="AW45" s="36">
        <f t="shared" si="16"/>
        <v>0.05406618282429787</v>
      </c>
      <c r="AX45" s="36">
        <f t="shared" si="16"/>
        <v>0.05618328150073637</v>
      </c>
      <c r="AY45" s="36">
        <f t="shared" si="16"/>
        <v>0.07415216343532416</v>
      </c>
    </row>
    <row r="46" spans="2:51" ht="12.75">
      <c r="B46">
        <f t="shared" si="6"/>
        <v>1958</v>
      </c>
      <c r="C46" s="57">
        <v>0.4336</v>
      </c>
      <c r="D46" s="57">
        <v>-0.0222</v>
      </c>
      <c r="E46" s="57">
        <v>-0.0609</v>
      </c>
      <c r="F46" s="57">
        <v>-0.0129</v>
      </c>
      <c r="G46" s="57">
        <v>0.0154</v>
      </c>
      <c r="H46" s="57">
        <v>0.0176</v>
      </c>
      <c r="I46" s="67">
        <f t="shared" si="12"/>
        <v>2529.5728740268983</v>
      </c>
      <c r="J46" s="67">
        <f t="shared" si="12"/>
        <v>349.3936657865803</v>
      </c>
      <c r="K46" s="67">
        <f t="shared" si="12"/>
        <v>273.44804739050744</v>
      </c>
      <c r="L46" s="67">
        <f t="shared" si="12"/>
        <v>253.54100771113323</v>
      </c>
      <c r="M46" s="67">
        <f t="shared" si="12"/>
        <v>148.61889649436552</v>
      </c>
      <c r="N46" s="67">
        <f t="shared" si="12"/>
        <v>161.43563111307756</v>
      </c>
      <c r="O46" s="68">
        <f t="shared" si="7"/>
        <v>2636.762892983203</v>
      </c>
      <c r="P46" s="68">
        <f t="shared" si="8"/>
        <v>4753.223712420522</v>
      </c>
      <c r="R46" s="57">
        <f t="shared" si="14"/>
        <v>0.08474663798306814</v>
      </c>
      <c r="S46" s="57">
        <f t="shared" si="14"/>
        <v>0.0366610951833819</v>
      </c>
      <c r="T46" s="57">
        <f t="shared" si="14"/>
        <v>0.028552613603157084</v>
      </c>
      <c r="U46" s="57">
        <f t="shared" si="14"/>
        <v>0.027867448215365798</v>
      </c>
      <c r="V46" s="57">
        <f t="shared" si="14"/>
        <v>0.00999408488064324</v>
      </c>
      <c r="Y46">
        <f t="shared" si="9"/>
        <v>1958</v>
      </c>
      <c r="Z46" s="57">
        <v>0.4336</v>
      </c>
      <c r="AA46" s="57">
        <v>-0.0222</v>
      </c>
      <c r="AB46" s="57">
        <v>-0.0609</v>
      </c>
      <c r="AC46" s="57">
        <v>-0.0129</v>
      </c>
      <c r="AD46" s="57">
        <v>0.0154</v>
      </c>
      <c r="AE46" s="57">
        <v>0.0176</v>
      </c>
      <c r="AF46" s="67">
        <f t="shared" si="13"/>
        <v>2529.5728740268983</v>
      </c>
      <c r="AG46" s="67">
        <f t="shared" si="13"/>
        <v>349.3936657865803</v>
      </c>
      <c r="AH46" s="67">
        <f t="shared" si="13"/>
        <v>273.44804739050744</v>
      </c>
      <c r="AI46" s="67">
        <f t="shared" si="13"/>
        <v>253.54100771113323</v>
      </c>
      <c r="AJ46" s="67">
        <f t="shared" si="13"/>
        <v>148.61889649436552</v>
      </c>
      <c r="AK46" s="67">
        <f t="shared" si="13"/>
        <v>161.43563111307756</v>
      </c>
      <c r="AL46" s="68">
        <f t="shared" si="10"/>
        <v>2658.8053483208187</v>
      </c>
      <c r="AM46" s="68">
        <f t="shared" si="11"/>
        <v>4763.364322597994</v>
      </c>
      <c r="AO46" s="57">
        <f t="shared" si="15"/>
        <v>0.08474663798306814</v>
      </c>
      <c r="AP46" s="57">
        <f t="shared" si="15"/>
        <v>0.0366610951833819</v>
      </c>
      <c r="AQ46" s="57">
        <f t="shared" si="15"/>
        <v>0.028552613603157084</v>
      </c>
      <c r="AR46" s="57">
        <f t="shared" si="15"/>
        <v>0.027867448215365798</v>
      </c>
      <c r="AS46" s="57">
        <f t="shared" si="15"/>
        <v>0.00999408488064324</v>
      </c>
      <c r="AU46">
        <f t="shared" si="17"/>
        <v>1958</v>
      </c>
      <c r="AV46" s="36">
        <f t="shared" si="16"/>
        <v>0.04808554279968624</v>
      </c>
      <c r="AW46" s="36">
        <f t="shared" si="16"/>
        <v>0.056194024379911056</v>
      </c>
      <c r="AX46" s="36">
        <f t="shared" si="16"/>
        <v>0.05687918976770234</v>
      </c>
      <c r="AY46" s="36">
        <f t="shared" si="16"/>
        <v>0.0747525531024249</v>
      </c>
    </row>
    <row r="47" spans="2:51" ht="12.75">
      <c r="B47">
        <f t="shared" si="6"/>
        <v>1959</v>
      </c>
      <c r="C47" s="57">
        <v>0.1196</v>
      </c>
      <c r="D47" s="57">
        <v>-0.0097</v>
      </c>
      <c r="E47" s="57">
        <v>-0.0226</v>
      </c>
      <c r="F47" s="57">
        <v>-0.0039</v>
      </c>
      <c r="G47" s="57">
        <v>0.0295</v>
      </c>
      <c r="H47" s="57">
        <v>0.015</v>
      </c>
      <c r="I47" s="67">
        <f t="shared" si="12"/>
        <v>2832.109789760515</v>
      </c>
      <c r="J47" s="67">
        <f t="shared" si="12"/>
        <v>346.00454722845046</v>
      </c>
      <c r="K47" s="67">
        <f t="shared" si="12"/>
        <v>267.268121519482</v>
      </c>
      <c r="L47" s="67">
        <f t="shared" si="12"/>
        <v>252.55219778105982</v>
      </c>
      <c r="M47" s="67">
        <f t="shared" si="12"/>
        <v>153.00315394094932</v>
      </c>
      <c r="N47" s="67">
        <f t="shared" si="12"/>
        <v>163.85716557977372</v>
      </c>
      <c r="O47" s="68">
        <f t="shared" si="7"/>
        <v>2911.6142632168276</v>
      </c>
      <c r="P47" s="68">
        <f t="shared" si="8"/>
        <v>5343.257215922324</v>
      </c>
      <c r="R47" s="57">
        <f t="shared" si="14"/>
        <v>0.09203624874318583</v>
      </c>
      <c r="S47" s="57">
        <f t="shared" si="14"/>
        <v>0.03521340477210533</v>
      </c>
      <c r="T47" s="57">
        <f t="shared" si="14"/>
        <v>0.02661775775427433</v>
      </c>
      <c r="U47" s="57">
        <f t="shared" si="14"/>
        <v>0.025736121029811265</v>
      </c>
      <c r="V47" s="57">
        <f t="shared" si="14"/>
        <v>0.009410708290723324</v>
      </c>
      <c r="Y47">
        <f t="shared" si="9"/>
        <v>1959</v>
      </c>
      <c r="Z47" s="57">
        <v>0.1196</v>
      </c>
      <c r="AA47" s="57">
        <v>-0.0097</v>
      </c>
      <c r="AB47" s="57">
        <v>-0.0226</v>
      </c>
      <c r="AC47" s="57">
        <v>-0.0039</v>
      </c>
      <c r="AD47" s="57">
        <v>0.0295</v>
      </c>
      <c r="AE47" s="57">
        <v>0.015</v>
      </c>
      <c r="AF47" s="67">
        <f t="shared" si="13"/>
        <v>2832.109789760515</v>
      </c>
      <c r="AG47" s="67">
        <f t="shared" si="13"/>
        <v>346.00454722845046</v>
      </c>
      <c r="AH47" s="67">
        <f t="shared" si="13"/>
        <v>267.268121519482</v>
      </c>
      <c r="AI47" s="67">
        <f t="shared" si="13"/>
        <v>252.55219778105982</v>
      </c>
      <c r="AJ47" s="67">
        <f t="shared" si="13"/>
        <v>153.00315394094932</v>
      </c>
      <c r="AK47" s="67">
        <f t="shared" si="13"/>
        <v>163.85716557977372</v>
      </c>
      <c r="AL47" s="68">
        <f t="shared" si="10"/>
        <v>2935.95438402485</v>
      </c>
      <c r="AM47" s="68">
        <f t="shared" si="11"/>
        <v>5354.656613843159</v>
      </c>
      <c r="AO47" s="57">
        <f t="shared" si="15"/>
        <v>0.09203624874318583</v>
      </c>
      <c r="AP47" s="57">
        <f t="shared" si="15"/>
        <v>0.03521340477210533</v>
      </c>
      <c r="AQ47" s="57">
        <f t="shared" si="15"/>
        <v>0.02661775775427433</v>
      </c>
      <c r="AR47" s="57">
        <f t="shared" si="15"/>
        <v>0.025736121029811265</v>
      </c>
      <c r="AS47" s="57">
        <f t="shared" si="15"/>
        <v>0.009410708290723324</v>
      </c>
      <c r="AU47">
        <f t="shared" si="17"/>
        <v>1959</v>
      </c>
      <c r="AV47" s="36">
        <f t="shared" si="16"/>
        <v>0.056822843971080506</v>
      </c>
      <c r="AW47" s="36">
        <f t="shared" si="16"/>
        <v>0.0654184909889115</v>
      </c>
      <c r="AX47" s="36">
        <f t="shared" si="16"/>
        <v>0.06630012771337457</v>
      </c>
      <c r="AY47" s="36">
        <f t="shared" si="16"/>
        <v>0.08262554045246251</v>
      </c>
    </row>
    <row r="48" spans="2:51" ht="12.75">
      <c r="B48">
        <f t="shared" si="6"/>
        <v>1960</v>
      </c>
      <c r="C48" s="57">
        <v>0.0047</v>
      </c>
      <c r="D48" s="57">
        <v>0.0907</v>
      </c>
      <c r="E48" s="57">
        <v>0.1378</v>
      </c>
      <c r="F48" s="57">
        <v>0.1176</v>
      </c>
      <c r="G48" s="57">
        <v>0.0266</v>
      </c>
      <c r="H48" s="57">
        <v>0.0148</v>
      </c>
      <c r="I48" s="67">
        <f t="shared" si="12"/>
        <v>2845.4207057723893</v>
      </c>
      <c r="J48" s="67">
        <f t="shared" si="12"/>
        <v>377.3871596620709</v>
      </c>
      <c r="K48" s="67">
        <f t="shared" si="12"/>
        <v>304.0976686648666</v>
      </c>
      <c r="L48" s="67">
        <f t="shared" si="12"/>
        <v>282.2523362401124</v>
      </c>
      <c r="M48" s="67">
        <f t="shared" si="12"/>
        <v>157.07303783577856</v>
      </c>
      <c r="N48" s="67">
        <f t="shared" si="12"/>
        <v>166.28225163035435</v>
      </c>
      <c r="O48" s="68">
        <f t="shared" si="7"/>
        <v>3215.115640593807</v>
      </c>
      <c r="P48" s="68">
        <f t="shared" si="8"/>
        <v>6006.533544992149</v>
      </c>
      <c r="R48" s="57">
        <f t="shared" si="14"/>
        <v>0.10268196111410899</v>
      </c>
      <c r="S48" s="57">
        <f t="shared" si="14"/>
        <v>0.03556004717652339</v>
      </c>
      <c r="T48" s="57">
        <f t="shared" si="14"/>
        <v>0.029480864955871322</v>
      </c>
      <c r="U48" s="57">
        <f t="shared" si="14"/>
        <v>0.027315092732929314</v>
      </c>
      <c r="V48" s="57">
        <f t="shared" si="14"/>
        <v>0.009492749563496217</v>
      </c>
      <c r="Y48">
        <f t="shared" si="9"/>
        <v>1960</v>
      </c>
      <c r="Z48" s="57">
        <v>0.0047</v>
      </c>
      <c r="AA48" s="57">
        <v>0.0907</v>
      </c>
      <c r="AB48" s="57">
        <v>0.1378</v>
      </c>
      <c r="AC48" s="57">
        <v>0.1176</v>
      </c>
      <c r="AD48" s="57">
        <v>0.0266</v>
      </c>
      <c r="AE48" s="57">
        <v>0.0148</v>
      </c>
      <c r="AF48" s="67">
        <f t="shared" si="13"/>
        <v>2845.4207057723893</v>
      </c>
      <c r="AG48" s="67">
        <f t="shared" si="13"/>
        <v>377.3871596620709</v>
      </c>
      <c r="AH48" s="67">
        <f t="shared" si="13"/>
        <v>304.0976686648666</v>
      </c>
      <c r="AI48" s="67">
        <f t="shared" si="13"/>
        <v>282.2523362401124</v>
      </c>
      <c r="AJ48" s="67">
        <f t="shared" si="13"/>
        <v>157.07303783577856</v>
      </c>
      <c r="AK48" s="67">
        <f t="shared" si="13"/>
        <v>166.28225163035435</v>
      </c>
      <c r="AL48" s="68">
        <f t="shared" si="10"/>
        <v>3241.9929313436314</v>
      </c>
      <c r="AM48" s="68">
        <f t="shared" si="11"/>
        <v>6019.34798817489</v>
      </c>
      <c r="AO48" s="57">
        <f t="shared" si="15"/>
        <v>0.10268196111410899</v>
      </c>
      <c r="AP48" s="57">
        <f t="shared" si="15"/>
        <v>0.03556004717652339</v>
      </c>
      <c r="AQ48" s="57">
        <f t="shared" si="15"/>
        <v>0.029480864955871322</v>
      </c>
      <c r="AR48" s="57">
        <f t="shared" si="15"/>
        <v>0.027315092732929314</v>
      </c>
      <c r="AS48" s="57">
        <f t="shared" si="15"/>
        <v>0.009492749563496217</v>
      </c>
      <c r="AU48">
        <f t="shared" si="17"/>
        <v>1960</v>
      </c>
      <c r="AV48" s="36">
        <f t="shared" si="16"/>
        <v>0.0671219139375856</v>
      </c>
      <c r="AW48" s="36">
        <f t="shared" si="16"/>
        <v>0.07320109615823767</v>
      </c>
      <c r="AX48" s="36">
        <f t="shared" si="16"/>
        <v>0.07536686838117967</v>
      </c>
      <c r="AY48" s="36">
        <f t="shared" si="16"/>
        <v>0.09318921155061277</v>
      </c>
    </row>
    <row r="49" spans="2:51" ht="12.75">
      <c r="B49">
        <f t="shared" si="6"/>
        <v>1961</v>
      </c>
      <c r="C49" s="57">
        <v>0.2689</v>
      </c>
      <c r="D49" s="57">
        <v>0.0482</v>
      </c>
      <c r="E49" s="57">
        <v>0.0097</v>
      </c>
      <c r="F49" s="57">
        <v>0.0185</v>
      </c>
      <c r="G49" s="57">
        <v>0.0213</v>
      </c>
      <c r="H49" s="57">
        <v>0.0067</v>
      </c>
      <c r="I49" s="67">
        <f t="shared" si="12"/>
        <v>3610.5543335545844</v>
      </c>
      <c r="J49" s="67">
        <f t="shared" si="12"/>
        <v>395.57722075778275</v>
      </c>
      <c r="K49" s="67">
        <f t="shared" si="12"/>
        <v>307.04741605091584</v>
      </c>
      <c r="L49" s="67">
        <f t="shared" si="12"/>
        <v>287.47400446055445</v>
      </c>
      <c r="M49" s="67">
        <f t="shared" si="12"/>
        <v>160.41869354168065</v>
      </c>
      <c r="N49" s="67">
        <f t="shared" si="12"/>
        <v>167.3963427162777</v>
      </c>
      <c r="O49" s="68">
        <f t="shared" si="7"/>
        <v>3550.2534497720076</v>
      </c>
      <c r="P49" s="68">
        <f t="shared" si="8"/>
        <v>6752.1445757105075</v>
      </c>
      <c r="R49" s="57">
        <f t="shared" si="14"/>
        <v>0.13271842324049365</v>
      </c>
      <c r="S49" s="57">
        <f t="shared" si="14"/>
        <v>0.0378320580239897</v>
      </c>
      <c r="T49" s="57">
        <f t="shared" si="14"/>
        <v>0.03168683038613751</v>
      </c>
      <c r="U49" s="57">
        <f t="shared" si="14"/>
        <v>0.028747630657284917</v>
      </c>
      <c r="V49" s="57">
        <f t="shared" si="14"/>
        <v>0.00984388411506254</v>
      </c>
      <c r="Y49">
        <f t="shared" si="9"/>
        <v>1961</v>
      </c>
      <c r="Z49" s="57">
        <v>0.2689</v>
      </c>
      <c r="AA49" s="57">
        <v>0.0482</v>
      </c>
      <c r="AB49" s="57">
        <v>0.0097</v>
      </c>
      <c r="AC49" s="57">
        <v>0.0185</v>
      </c>
      <c r="AD49" s="57">
        <v>0.0213</v>
      </c>
      <c r="AE49" s="57">
        <v>0.0067</v>
      </c>
      <c r="AF49" s="67">
        <f t="shared" si="13"/>
        <v>3610.5543335545844</v>
      </c>
      <c r="AG49" s="67">
        <f t="shared" si="13"/>
        <v>395.57722075778275</v>
      </c>
      <c r="AH49" s="67">
        <f t="shared" si="13"/>
        <v>307.04741605091584</v>
      </c>
      <c r="AI49" s="67">
        <f t="shared" si="13"/>
        <v>287.47400446055445</v>
      </c>
      <c r="AJ49" s="67">
        <f t="shared" si="13"/>
        <v>160.41869354168065</v>
      </c>
      <c r="AK49" s="67">
        <f t="shared" si="13"/>
        <v>167.3963427162777</v>
      </c>
      <c r="AL49" s="68">
        <f t="shared" si="10"/>
        <v>3579.932380445701</v>
      </c>
      <c r="AM49" s="68">
        <f t="shared" si="11"/>
        <v>6766.549718440334</v>
      </c>
      <c r="AO49" s="57">
        <f t="shared" si="15"/>
        <v>0.13271842324049365</v>
      </c>
      <c r="AP49" s="57">
        <f t="shared" si="15"/>
        <v>0.0378320580239897</v>
      </c>
      <c r="AQ49" s="57">
        <f t="shared" si="15"/>
        <v>0.03168683038613751</v>
      </c>
      <c r="AR49" s="57">
        <f t="shared" si="15"/>
        <v>0.028747630657284917</v>
      </c>
      <c r="AS49" s="57">
        <f t="shared" si="15"/>
        <v>0.00984388411506254</v>
      </c>
      <c r="AU49">
        <f t="shared" si="17"/>
        <v>1961</v>
      </c>
      <c r="AV49" s="36">
        <f t="shared" si="16"/>
        <v>0.09488636521650395</v>
      </c>
      <c r="AW49" s="36">
        <f t="shared" si="16"/>
        <v>0.10103159285435614</v>
      </c>
      <c r="AX49" s="36">
        <f t="shared" si="16"/>
        <v>0.10397079258320874</v>
      </c>
      <c r="AY49" s="36">
        <f t="shared" si="16"/>
        <v>0.12287453912543111</v>
      </c>
    </row>
    <row r="50" spans="2:51" ht="12.75">
      <c r="B50">
        <f t="shared" si="6"/>
        <v>1962</v>
      </c>
      <c r="C50" s="57">
        <v>-0.0873</v>
      </c>
      <c r="D50" s="57">
        <v>0.0795</v>
      </c>
      <c r="E50" s="57">
        <v>0.0689</v>
      </c>
      <c r="F50" s="57">
        <v>0.0556</v>
      </c>
      <c r="G50" s="57">
        <v>0.0273</v>
      </c>
      <c r="H50" s="57">
        <v>0.0122</v>
      </c>
      <c r="I50" s="67">
        <f t="shared" si="12"/>
        <v>3295.352940235269</v>
      </c>
      <c r="J50" s="67">
        <f t="shared" si="12"/>
        <v>427.02560980802645</v>
      </c>
      <c r="K50" s="67">
        <f t="shared" si="12"/>
        <v>328.2029830168239</v>
      </c>
      <c r="L50" s="67">
        <f t="shared" si="12"/>
        <v>303.4575591085613</v>
      </c>
      <c r="M50" s="67">
        <f t="shared" si="12"/>
        <v>164.79812387536856</v>
      </c>
      <c r="N50" s="67">
        <f t="shared" si="12"/>
        <v>169.4385780974163</v>
      </c>
      <c r="O50" s="68">
        <f t="shared" si="7"/>
        <v>3920.3254148862047</v>
      </c>
      <c r="P50" s="68">
        <f t="shared" si="8"/>
        <v>7590.310789042039</v>
      </c>
      <c r="R50" s="57">
        <f t="shared" si="14"/>
        <v>0.1324957120074577</v>
      </c>
      <c r="S50" s="57">
        <f t="shared" si="14"/>
        <v>0.03692472867778074</v>
      </c>
      <c r="T50" s="57">
        <f t="shared" si="14"/>
        <v>0.028630516352408764</v>
      </c>
      <c r="U50" s="57">
        <f t="shared" si="14"/>
        <v>0.027708307157619627</v>
      </c>
      <c r="V50" s="57">
        <f t="shared" si="14"/>
        <v>0.010429082711111093</v>
      </c>
      <c r="Y50">
        <f t="shared" si="9"/>
        <v>1962</v>
      </c>
      <c r="Z50" s="57">
        <v>-0.0873</v>
      </c>
      <c r="AA50" s="57">
        <v>0.0795</v>
      </c>
      <c r="AB50" s="57">
        <v>0.0689</v>
      </c>
      <c r="AC50" s="57">
        <v>0.0556</v>
      </c>
      <c r="AD50" s="57">
        <v>0.0273</v>
      </c>
      <c r="AE50" s="57">
        <v>0.0122</v>
      </c>
      <c r="AF50" s="67">
        <f t="shared" si="13"/>
        <v>3295.352940235269</v>
      </c>
      <c r="AG50" s="67">
        <f t="shared" si="13"/>
        <v>427.02560980802645</v>
      </c>
      <c r="AH50" s="67">
        <f t="shared" si="13"/>
        <v>328.2029830168239</v>
      </c>
      <c r="AI50" s="67">
        <f t="shared" si="13"/>
        <v>303.4575591085613</v>
      </c>
      <c r="AJ50" s="67">
        <f t="shared" si="13"/>
        <v>164.79812387536856</v>
      </c>
      <c r="AK50" s="67">
        <f t="shared" si="13"/>
        <v>169.4385780974163</v>
      </c>
      <c r="AL50" s="68">
        <f t="shared" si="10"/>
        <v>3953.098023335947</v>
      </c>
      <c r="AM50" s="68">
        <f t="shared" si="11"/>
        <v>7606.5040901560615</v>
      </c>
      <c r="AO50" s="57">
        <f t="shared" si="15"/>
        <v>0.1324957120074577</v>
      </c>
      <c r="AP50" s="57">
        <f t="shared" si="15"/>
        <v>0.03692472867778074</v>
      </c>
      <c r="AQ50" s="57">
        <f t="shared" si="15"/>
        <v>0.028630516352408764</v>
      </c>
      <c r="AR50" s="57">
        <f t="shared" si="15"/>
        <v>0.027708307157619627</v>
      </c>
      <c r="AS50" s="57">
        <f t="shared" si="15"/>
        <v>0.010429082711111093</v>
      </c>
      <c r="AU50">
        <f t="shared" si="17"/>
        <v>1962</v>
      </c>
      <c r="AV50" s="36">
        <f t="shared" si="16"/>
        <v>0.09557098332967695</v>
      </c>
      <c r="AW50" s="36">
        <f t="shared" si="16"/>
        <v>0.10386519565504893</v>
      </c>
      <c r="AX50" s="36">
        <f t="shared" si="16"/>
        <v>0.10478740484983806</v>
      </c>
      <c r="AY50" s="36">
        <f t="shared" si="16"/>
        <v>0.1220666292963466</v>
      </c>
    </row>
    <row r="51" spans="2:51" ht="12.75">
      <c r="B51">
        <f t="shared" si="6"/>
        <v>1963</v>
      </c>
      <c r="C51" s="57">
        <v>0.228</v>
      </c>
      <c r="D51" s="57">
        <v>0.0219</v>
      </c>
      <c r="E51" s="57">
        <v>0.0121</v>
      </c>
      <c r="F51" s="57">
        <v>0.0164</v>
      </c>
      <c r="G51" s="57">
        <v>0.0312</v>
      </c>
      <c r="H51" s="57">
        <v>0.0165</v>
      </c>
      <c r="I51" s="67">
        <f t="shared" si="12"/>
        <v>4046.6934106089107</v>
      </c>
      <c r="J51" s="67">
        <f t="shared" si="12"/>
        <v>436.37747066282225</v>
      </c>
      <c r="K51" s="67">
        <f t="shared" si="12"/>
        <v>332.1742391113275</v>
      </c>
      <c r="L51" s="67">
        <f t="shared" si="12"/>
        <v>308.43426307794175</v>
      </c>
      <c r="M51" s="67">
        <f t="shared" si="12"/>
        <v>169.93982534028004</v>
      </c>
      <c r="N51" s="67">
        <f t="shared" si="12"/>
        <v>172.23431463602367</v>
      </c>
      <c r="O51" s="68">
        <f t="shared" si="7"/>
        <v>4328.973008839599</v>
      </c>
      <c r="P51" s="68">
        <f t="shared" si="8"/>
        <v>8532.521368321792</v>
      </c>
      <c r="R51" s="57">
        <f t="shared" si="14"/>
        <v>0.1239839107354681</v>
      </c>
      <c r="S51" s="57">
        <f t="shared" si="14"/>
        <v>0.034263421398584404</v>
      </c>
      <c r="T51" s="57">
        <f t="shared" si="14"/>
        <v>0.029067009731670312</v>
      </c>
      <c r="U51" s="57">
        <f t="shared" si="14"/>
        <v>0.027644330958896957</v>
      </c>
      <c r="V51" s="57">
        <f t="shared" si="14"/>
        <v>0.01136340901471633</v>
      </c>
      <c r="Y51">
        <f t="shared" si="9"/>
        <v>1963</v>
      </c>
      <c r="Z51" s="57">
        <v>0.228</v>
      </c>
      <c r="AA51" s="57">
        <v>0.0219</v>
      </c>
      <c r="AB51" s="57">
        <v>0.0121</v>
      </c>
      <c r="AC51" s="57">
        <v>0.0164</v>
      </c>
      <c r="AD51" s="57">
        <v>0.0312</v>
      </c>
      <c r="AE51" s="57">
        <v>0.0165</v>
      </c>
      <c r="AF51" s="67">
        <f t="shared" si="13"/>
        <v>4046.6934106089107</v>
      </c>
      <c r="AG51" s="67">
        <f t="shared" si="13"/>
        <v>436.37747066282225</v>
      </c>
      <c r="AH51" s="67">
        <f t="shared" si="13"/>
        <v>332.1742391113275</v>
      </c>
      <c r="AI51" s="67">
        <f t="shared" si="13"/>
        <v>308.43426307794175</v>
      </c>
      <c r="AJ51" s="67">
        <f t="shared" si="13"/>
        <v>169.93982534028004</v>
      </c>
      <c r="AK51" s="67">
        <f t="shared" si="13"/>
        <v>172.23431463602367</v>
      </c>
      <c r="AL51" s="68">
        <f t="shared" si="10"/>
        <v>4365.161774412347</v>
      </c>
      <c r="AM51" s="68">
        <f t="shared" si="11"/>
        <v>8550.724797880768</v>
      </c>
      <c r="AO51" s="57">
        <f t="shared" si="15"/>
        <v>0.1239839107354681</v>
      </c>
      <c r="AP51" s="57">
        <f t="shared" si="15"/>
        <v>0.034263421398584404</v>
      </c>
      <c r="AQ51" s="57">
        <f t="shared" si="15"/>
        <v>0.029067009731670312</v>
      </c>
      <c r="AR51" s="57">
        <f t="shared" si="15"/>
        <v>0.027644330958896957</v>
      </c>
      <c r="AS51" s="57">
        <f t="shared" si="15"/>
        <v>0.01136340901471633</v>
      </c>
      <c r="AU51">
        <f t="shared" si="17"/>
        <v>1963</v>
      </c>
      <c r="AV51" s="36">
        <f t="shared" si="16"/>
        <v>0.0897204893368837</v>
      </c>
      <c r="AW51" s="36">
        <f t="shared" si="16"/>
        <v>0.0949169010037978</v>
      </c>
      <c r="AX51" s="36">
        <f t="shared" si="16"/>
        <v>0.09633957977657115</v>
      </c>
      <c r="AY51" s="36">
        <f t="shared" si="16"/>
        <v>0.11262050172075178</v>
      </c>
    </row>
    <row r="52" spans="2:51" ht="12.75">
      <c r="B52">
        <f t="shared" si="6"/>
        <v>1964</v>
      </c>
      <c r="C52" s="57">
        <v>0.1648</v>
      </c>
      <c r="D52" s="57">
        <v>0.0477</v>
      </c>
      <c r="E52" s="57">
        <v>0.0351</v>
      </c>
      <c r="F52" s="57">
        <v>0.0404</v>
      </c>
      <c r="G52" s="57">
        <v>0.0354</v>
      </c>
      <c r="H52" s="57">
        <v>0.0119</v>
      </c>
      <c r="I52" s="67">
        <f t="shared" si="12"/>
        <v>4713.58848467726</v>
      </c>
      <c r="J52" s="67">
        <f t="shared" si="12"/>
        <v>457.1926760134389</v>
      </c>
      <c r="K52" s="67">
        <f t="shared" si="12"/>
        <v>343.83355490413504</v>
      </c>
      <c r="L52" s="67">
        <f t="shared" si="12"/>
        <v>320.8950073062906</v>
      </c>
      <c r="M52" s="67">
        <f t="shared" si="12"/>
        <v>175.95569515732598</v>
      </c>
      <c r="N52" s="67">
        <f t="shared" si="12"/>
        <v>174.28390298019235</v>
      </c>
      <c r="O52" s="68">
        <f t="shared" si="7"/>
        <v>4780.21728505049</v>
      </c>
      <c r="P52" s="68">
        <f t="shared" si="8"/>
        <v>9591.69168750947</v>
      </c>
      <c r="R52" s="57">
        <f t="shared" si="14"/>
        <v>0.13026023940266418</v>
      </c>
      <c r="S52" s="57">
        <f t="shared" si="14"/>
        <v>0.03140500350373254</v>
      </c>
      <c r="T52" s="57">
        <f t="shared" si="14"/>
        <v>0.026973795421544322</v>
      </c>
      <c r="U52" s="57">
        <f t="shared" si="14"/>
        <v>0.026050238437418605</v>
      </c>
      <c r="V52" s="57">
        <f t="shared" si="14"/>
        <v>0.012482903000141876</v>
      </c>
      <c r="Y52">
        <f t="shared" si="9"/>
        <v>1964</v>
      </c>
      <c r="Z52" s="57">
        <v>0.1648</v>
      </c>
      <c r="AA52" s="57">
        <v>0.0477</v>
      </c>
      <c r="AB52" s="57">
        <v>0.0351</v>
      </c>
      <c r="AC52" s="57">
        <v>0.0404</v>
      </c>
      <c r="AD52" s="57">
        <v>0.0354</v>
      </c>
      <c r="AE52" s="57">
        <v>0.0119</v>
      </c>
      <c r="AF52" s="67">
        <f t="shared" si="13"/>
        <v>4713.58848467726</v>
      </c>
      <c r="AG52" s="67">
        <f t="shared" si="13"/>
        <v>457.1926760134389</v>
      </c>
      <c r="AH52" s="67">
        <f t="shared" si="13"/>
        <v>343.83355490413504</v>
      </c>
      <c r="AI52" s="67">
        <f t="shared" si="13"/>
        <v>320.8950073062906</v>
      </c>
      <c r="AJ52" s="67">
        <f t="shared" si="13"/>
        <v>175.95569515732598</v>
      </c>
      <c r="AK52" s="67">
        <f t="shared" si="13"/>
        <v>174.28390298019235</v>
      </c>
      <c r="AL52" s="68">
        <f t="shared" si="10"/>
        <v>4820.178301754047</v>
      </c>
      <c r="AM52" s="68">
        <f t="shared" si="11"/>
        <v>9612.154769457702</v>
      </c>
      <c r="AO52" s="57">
        <f t="shared" si="15"/>
        <v>0.13026023940266418</v>
      </c>
      <c r="AP52" s="57">
        <f t="shared" si="15"/>
        <v>0.03140500350373254</v>
      </c>
      <c r="AQ52" s="57">
        <f t="shared" si="15"/>
        <v>0.026973795421544322</v>
      </c>
      <c r="AR52" s="57">
        <f t="shared" si="15"/>
        <v>0.026050238437418605</v>
      </c>
      <c r="AS52" s="57">
        <f t="shared" si="15"/>
        <v>0.012482903000141876</v>
      </c>
      <c r="AU52">
        <f t="shared" si="17"/>
        <v>1964</v>
      </c>
      <c r="AV52" s="36">
        <f t="shared" si="16"/>
        <v>0.09885523589893164</v>
      </c>
      <c r="AW52" s="36">
        <f t="shared" si="16"/>
        <v>0.10328644398111986</v>
      </c>
      <c r="AX52" s="36">
        <f t="shared" si="16"/>
        <v>0.10421000096524557</v>
      </c>
      <c r="AY52" s="36">
        <f t="shared" si="16"/>
        <v>0.1177773364025223</v>
      </c>
    </row>
    <row r="53" spans="2:51" ht="12.75">
      <c r="B53">
        <f t="shared" si="6"/>
        <v>1965</v>
      </c>
      <c r="C53" s="57">
        <v>0.1245</v>
      </c>
      <c r="D53" s="57">
        <v>-0.0046</v>
      </c>
      <c r="E53" s="57">
        <v>0.0071</v>
      </c>
      <c r="F53" s="57">
        <v>0.0102</v>
      </c>
      <c r="G53" s="57">
        <v>0.0393</v>
      </c>
      <c r="H53" s="57">
        <v>0.0192</v>
      </c>
      <c r="I53" s="67">
        <f t="shared" si="12"/>
        <v>5300.4302510195785</v>
      </c>
      <c r="J53" s="67">
        <f t="shared" si="12"/>
        <v>455.0895897037771</v>
      </c>
      <c r="K53" s="67">
        <f t="shared" si="12"/>
        <v>346.27477314395446</v>
      </c>
      <c r="L53" s="67">
        <f t="shared" si="12"/>
        <v>324.16813638081476</v>
      </c>
      <c r="M53" s="67">
        <f t="shared" si="12"/>
        <v>182.87075397700886</v>
      </c>
      <c r="N53" s="67">
        <f t="shared" si="12"/>
        <v>177.63015391741206</v>
      </c>
      <c r="O53" s="68">
        <f t="shared" si="7"/>
        <v>5278.498444235081</v>
      </c>
      <c r="P53" s="68">
        <f t="shared" si="8"/>
        <v>10782.340348985646</v>
      </c>
      <c r="R53" s="57">
        <f t="shared" si="14"/>
        <v>0.12004126386267155</v>
      </c>
      <c r="S53" s="57">
        <f t="shared" si="14"/>
        <v>0.02809713568993244</v>
      </c>
      <c r="T53" s="57">
        <f t="shared" si="14"/>
        <v>0.025553284206643934</v>
      </c>
      <c r="U53" s="57">
        <f t="shared" si="14"/>
        <v>0.024081983258541495</v>
      </c>
      <c r="V53" s="57">
        <f t="shared" si="14"/>
        <v>0.013727294871709539</v>
      </c>
      <c r="Y53">
        <f t="shared" si="9"/>
        <v>1965</v>
      </c>
      <c r="Z53" s="57">
        <v>0.1245</v>
      </c>
      <c r="AA53" s="57">
        <v>-0.0046</v>
      </c>
      <c r="AB53" s="57">
        <v>0.0071</v>
      </c>
      <c r="AC53" s="57">
        <v>0.0102</v>
      </c>
      <c r="AD53" s="57">
        <v>0.0393</v>
      </c>
      <c r="AE53" s="57">
        <v>0.0192</v>
      </c>
      <c r="AF53" s="67">
        <f t="shared" si="13"/>
        <v>5300.4302510195785</v>
      </c>
      <c r="AG53" s="67">
        <f t="shared" si="13"/>
        <v>455.0895897037771</v>
      </c>
      <c r="AH53" s="67">
        <f t="shared" si="13"/>
        <v>346.27477314395446</v>
      </c>
      <c r="AI53" s="67">
        <f t="shared" si="13"/>
        <v>324.16813638081476</v>
      </c>
      <c r="AJ53" s="67">
        <f t="shared" si="13"/>
        <v>182.87075397700886</v>
      </c>
      <c r="AK53" s="67">
        <f t="shared" si="13"/>
        <v>177.63015391741206</v>
      </c>
      <c r="AL53" s="68">
        <f t="shared" si="10"/>
        <v>5322.624924669233</v>
      </c>
      <c r="AM53" s="68">
        <f t="shared" si="11"/>
        <v>10805.343581506386</v>
      </c>
      <c r="AO53" s="57">
        <f t="shared" si="15"/>
        <v>0.12004126386267155</v>
      </c>
      <c r="AP53" s="57">
        <f t="shared" si="15"/>
        <v>0.02809713568993244</v>
      </c>
      <c r="AQ53" s="57">
        <f t="shared" si="15"/>
        <v>0.025553284206643934</v>
      </c>
      <c r="AR53" s="57">
        <f t="shared" si="15"/>
        <v>0.024081983258541495</v>
      </c>
      <c r="AS53" s="57">
        <f t="shared" si="15"/>
        <v>0.013727294871709539</v>
      </c>
      <c r="AU53">
        <f t="shared" si="17"/>
        <v>1965</v>
      </c>
      <c r="AV53" s="36">
        <f t="shared" si="16"/>
        <v>0.09194412817273911</v>
      </c>
      <c r="AW53" s="36">
        <f t="shared" si="16"/>
        <v>0.09448797965602762</v>
      </c>
      <c r="AX53" s="36">
        <f t="shared" si="16"/>
        <v>0.09595928060413006</v>
      </c>
      <c r="AY53" s="36">
        <f t="shared" si="16"/>
        <v>0.10631396899096202</v>
      </c>
    </row>
    <row r="54" spans="2:51" ht="12.75">
      <c r="B54">
        <f t="shared" si="6"/>
        <v>1966</v>
      </c>
      <c r="C54" s="57">
        <v>-0.1006</v>
      </c>
      <c r="D54" s="57">
        <v>0.002</v>
      </c>
      <c r="E54" s="57">
        <v>0.0365</v>
      </c>
      <c r="F54" s="57">
        <v>0.0469</v>
      </c>
      <c r="G54" s="57">
        <v>0.0476</v>
      </c>
      <c r="H54" s="57">
        <v>0.0335</v>
      </c>
      <c r="I54" s="67">
        <f t="shared" si="12"/>
        <v>4767.206967767009</v>
      </c>
      <c r="J54" s="67">
        <f t="shared" si="12"/>
        <v>455.9997688831847</v>
      </c>
      <c r="K54" s="67">
        <f t="shared" si="12"/>
        <v>358.9138023637088</v>
      </c>
      <c r="L54" s="67">
        <f t="shared" si="12"/>
        <v>339.37162197707494</v>
      </c>
      <c r="M54" s="67">
        <f t="shared" si="12"/>
        <v>191.5754018663145</v>
      </c>
      <c r="N54" s="67">
        <f t="shared" si="12"/>
        <v>183.58076407364538</v>
      </c>
      <c r="O54" s="68">
        <f t="shared" si="7"/>
        <v>5828.719525559783</v>
      </c>
      <c r="P54" s="68">
        <f t="shared" si="8"/>
        <v>12120.788197639733</v>
      </c>
      <c r="R54" s="57">
        <f t="shared" si="14"/>
        <v>0.10527650361448182</v>
      </c>
      <c r="S54" s="57">
        <f t="shared" si="14"/>
        <v>0.025932607402132435</v>
      </c>
      <c r="T54" s="57">
        <f t="shared" si="14"/>
        <v>0.02430092463898159</v>
      </c>
      <c r="U54" s="57">
        <f t="shared" si="14"/>
        <v>0.024617795386709718</v>
      </c>
      <c r="V54" s="57">
        <f t="shared" si="14"/>
        <v>0.015238991198500473</v>
      </c>
      <c r="Y54">
        <f t="shared" si="9"/>
        <v>1966</v>
      </c>
      <c r="Z54" s="57">
        <v>-0.1006</v>
      </c>
      <c r="AA54" s="57">
        <v>0.002</v>
      </c>
      <c r="AB54" s="57">
        <v>0.0365</v>
      </c>
      <c r="AC54" s="57">
        <v>0.0469</v>
      </c>
      <c r="AD54" s="57">
        <v>0.0476</v>
      </c>
      <c r="AE54" s="57">
        <v>0.0335</v>
      </c>
      <c r="AF54" s="67">
        <f t="shared" si="13"/>
        <v>4767.206967767009</v>
      </c>
      <c r="AG54" s="67">
        <f t="shared" si="13"/>
        <v>455.9997688831847</v>
      </c>
      <c r="AH54" s="67">
        <f t="shared" si="13"/>
        <v>358.9138023637088</v>
      </c>
      <c r="AI54" s="67">
        <f t="shared" si="13"/>
        <v>339.37162197707494</v>
      </c>
      <c r="AJ54" s="67">
        <f t="shared" si="13"/>
        <v>191.5754018663145</v>
      </c>
      <c r="AK54" s="67">
        <f t="shared" si="13"/>
        <v>183.58076407364538</v>
      </c>
      <c r="AL54" s="68">
        <f t="shared" si="10"/>
        <v>5877.445670090843</v>
      </c>
      <c r="AM54" s="68">
        <f t="shared" si="11"/>
        <v>12146.646898090712</v>
      </c>
      <c r="AO54" s="57">
        <f t="shared" si="15"/>
        <v>0.10527650361448182</v>
      </c>
      <c r="AP54" s="57">
        <f t="shared" si="15"/>
        <v>0.025932607402132435</v>
      </c>
      <c r="AQ54" s="57">
        <f t="shared" si="15"/>
        <v>0.02430092463898159</v>
      </c>
      <c r="AR54" s="57">
        <f t="shared" si="15"/>
        <v>0.024617795386709718</v>
      </c>
      <c r="AS54" s="57">
        <f t="shared" si="15"/>
        <v>0.015238991198500473</v>
      </c>
      <c r="AU54">
        <f t="shared" si="17"/>
        <v>1966</v>
      </c>
      <c r="AV54" s="36">
        <f t="shared" si="16"/>
        <v>0.07934389621234939</v>
      </c>
      <c r="AW54" s="36">
        <f t="shared" si="16"/>
        <v>0.08097557897550023</v>
      </c>
      <c r="AX54" s="36">
        <f t="shared" si="16"/>
        <v>0.0806587082277721</v>
      </c>
      <c r="AY54" s="36">
        <f t="shared" si="16"/>
        <v>0.09003751241598135</v>
      </c>
    </row>
    <row r="55" spans="2:51" ht="12.75">
      <c r="B55">
        <f t="shared" si="6"/>
        <v>1967</v>
      </c>
      <c r="C55" s="57">
        <v>0.2398</v>
      </c>
      <c r="D55" s="57">
        <v>-0.0495</v>
      </c>
      <c r="E55" s="57">
        <v>-0.0918</v>
      </c>
      <c r="F55" s="57">
        <v>0.0101</v>
      </c>
      <c r="G55" s="57">
        <v>0.0421</v>
      </c>
      <c r="H55" s="57">
        <v>0.0304</v>
      </c>
      <c r="I55" s="67">
        <f t="shared" si="12"/>
        <v>5910.383198637537</v>
      </c>
      <c r="J55" s="67">
        <f t="shared" si="12"/>
        <v>433.42778032346706</v>
      </c>
      <c r="K55" s="67">
        <f t="shared" si="12"/>
        <v>325.9655153067203</v>
      </c>
      <c r="L55" s="67">
        <f t="shared" si="12"/>
        <v>342.7992753590434</v>
      </c>
      <c r="M55" s="67">
        <f t="shared" si="12"/>
        <v>199.64072628488634</v>
      </c>
      <c r="N55" s="67">
        <f t="shared" si="12"/>
        <v>189.1616193014842</v>
      </c>
      <c r="O55" s="68">
        <f t="shared" si="7"/>
        <v>6436.294652079812</v>
      </c>
      <c r="P55" s="68">
        <f t="shared" si="8"/>
        <v>13625.38203924008</v>
      </c>
      <c r="R55" s="57">
        <f t="shared" si="14"/>
        <v>0.1293422170512586</v>
      </c>
      <c r="S55" s="57">
        <f t="shared" si="14"/>
        <v>0.02327220196169999</v>
      </c>
      <c r="T55" s="57">
        <f t="shared" si="14"/>
        <v>0.020940322934632105</v>
      </c>
      <c r="U55" s="57">
        <f t="shared" si="14"/>
        <v>0.024432348323921493</v>
      </c>
      <c r="V55" s="57">
        <f t="shared" si="14"/>
        <v>0.016530610769734277</v>
      </c>
      <c r="Y55">
        <f t="shared" si="9"/>
        <v>1967</v>
      </c>
      <c r="Z55" s="57">
        <v>0.2398</v>
      </c>
      <c r="AA55" s="57">
        <v>-0.0495</v>
      </c>
      <c r="AB55" s="57">
        <v>-0.0918</v>
      </c>
      <c r="AC55" s="57">
        <v>0.0101</v>
      </c>
      <c r="AD55" s="57">
        <v>0.0421</v>
      </c>
      <c r="AE55" s="57">
        <v>0.0304</v>
      </c>
      <c r="AF55" s="67">
        <f t="shared" si="13"/>
        <v>5910.383198637537</v>
      </c>
      <c r="AG55" s="67">
        <f t="shared" si="13"/>
        <v>433.42778032346706</v>
      </c>
      <c r="AH55" s="67">
        <f t="shared" si="13"/>
        <v>325.9655153067203</v>
      </c>
      <c r="AI55" s="67">
        <f t="shared" si="13"/>
        <v>342.7992753590434</v>
      </c>
      <c r="AJ55" s="67">
        <f t="shared" si="13"/>
        <v>199.64072628488634</v>
      </c>
      <c r="AK55" s="67">
        <f t="shared" si="13"/>
        <v>189.1616193014842</v>
      </c>
      <c r="AL55" s="68">
        <f t="shared" si="10"/>
        <v>6490.099921330885</v>
      </c>
      <c r="AM55" s="68">
        <f t="shared" si="11"/>
        <v>13654.450666373707</v>
      </c>
      <c r="AO55" s="57">
        <f t="shared" si="15"/>
        <v>0.1293422170512586</v>
      </c>
      <c r="AP55" s="57">
        <f t="shared" si="15"/>
        <v>0.02327220196169999</v>
      </c>
      <c r="AQ55" s="57">
        <f t="shared" si="15"/>
        <v>0.020940322934632105</v>
      </c>
      <c r="AR55" s="57">
        <f t="shared" si="15"/>
        <v>0.024432348323921493</v>
      </c>
      <c r="AS55" s="57">
        <f t="shared" si="15"/>
        <v>0.016530610769734277</v>
      </c>
      <c r="AU55">
        <f t="shared" si="17"/>
        <v>1967</v>
      </c>
      <c r="AV55" s="36">
        <f t="shared" si="16"/>
        <v>0.1060700150895586</v>
      </c>
      <c r="AW55" s="36">
        <f t="shared" si="16"/>
        <v>0.10840189411662648</v>
      </c>
      <c r="AX55" s="36">
        <f t="shared" si="16"/>
        <v>0.1049098687273371</v>
      </c>
      <c r="AY55" s="36">
        <f t="shared" si="16"/>
        <v>0.11281160628152431</v>
      </c>
    </row>
    <row r="56" spans="2:51" ht="12.75">
      <c r="B56">
        <f t="shared" si="6"/>
        <v>1968</v>
      </c>
      <c r="C56" s="57">
        <v>0.1106</v>
      </c>
      <c r="D56" s="57">
        <v>0.0257</v>
      </c>
      <c r="E56" s="57">
        <v>-0.0026</v>
      </c>
      <c r="F56" s="57">
        <v>0.0454</v>
      </c>
      <c r="G56" s="57">
        <v>0.0521</v>
      </c>
      <c r="H56" s="57">
        <v>0.0472</v>
      </c>
      <c r="I56" s="67">
        <f t="shared" si="12"/>
        <v>6564.071580406849</v>
      </c>
      <c r="J56" s="67">
        <f t="shared" si="12"/>
        <v>444.5668742777802</v>
      </c>
      <c r="K56" s="67">
        <f t="shared" si="12"/>
        <v>325.1180049669228</v>
      </c>
      <c r="L56" s="67">
        <f t="shared" si="12"/>
        <v>358.362362460344</v>
      </c>
      <c r="M56" s="67">
        <f t="shared" si="12"/>
        <v>210.04200812432893</v>
      </c>
      <c r="N56" s="67">
        <f t="shared" si="12"/>
        <v>198.09004773251422</v>
      </c>
      <c r="O56" s="68">
        <f t="shared" si="7"/>
        <v>7107.202305194588</v>
      </c>
      <c r="P56" s="68">
        <f t="shared" si="8"/>
        <v>15316.746129711082</v>
      </c>
      <c r="R56" s="57">
        <f t="shared" si="14"/>
        <v>0.1231088622164287</v>
      </c>
      <c r="S56" s="57">
        <f t="shared" si="14"/>
        <v>0.02210908696786329</v>
      </c>
      <c r="T56" s="57">
        <f t="shared" si="14"/>
        <v>0.019021791063883464</v>
      </c>
      <c r="U56" s="57">
        <f t="shared" si="14"/>
        <v>0.023884874740898177</v>
      </c>
      <c r="V56" s="57">
        <f t="shared" si="14"/>
        <v>0.018259781565051147</v>
      </c>
      <c r="Y56">
        <f t="shared" si="9"/>
        <v>1968</v>
      </c>
      <c r="Z56" s="57">
        <v>0.1106</v>
      </c>
      <c r="AA56" s="57">
        <v>0.0257</v>
      </c>
      <c r="AB56" s="57">
        <v>-0.0026</v>
      </c>
      <c r="AC56" s="57">
        <v>0.0454</v>
      </c>
      <c r="AD56" s="57">
        <v>0.0521</v>
      </c>
      <c r="AE56" s="57">
        <v>0.0472</v>
      </c>
      <c r="AF56" s="67">
        <f t="shared" si="13"/>
        <v>6564.071580406849</v>
      </c>
      <c r="AG56" s="67">
        <f t="shared" si="13"/>
        <v>444.5668742777802</v>
      </c>
      <c r="AH56" s="67">
        <f t="shared" si="13"/>
        <v>325.1180049669228</v>
      </c>
      <c r="AI56" s="67">
        <f t="shared" si="13"/>
        <v>358.362362460344</v>
      </c>
      <c r="AJ56" s="67">
        <f t="shared" si="13"/>
        <v>210.04200812432893</v>
      </c>
      <c r="AK56" s="67">
        <f t="shared" si="13"/>
        <v>198.09004773251422</v>
      </c>
      <c r="AL56" s="68">
        <f t="shared" si="10"/>
        <v>7166.6161378924535</v>
      </c>
      <c r="AM56" s="68">
        <f t="shared" si="11"/>
        <v>15349.42314242623</v>
      </c>
      <c r="AO56" s="57">
        <f t="shared" si="15"/>
        <v>0.1231088622164287</v>
      </c>
      <c r="AP56" s="57">
        <f t="shared" si="15"/>
        <v>0.02210908696786329</v>
      </c>
      <c r="AQ56" s="57">
        <f t="shared" si="15"/>
        <v>0.019021791063883464</v>
      </c>
      <c r="AR56" s="57">
        <f t="shared" si="15"/>
        <v>0.023884874740898177</v>
      </c>
      <c r="AS56" s="57">
        <f t="shared" si="15"/>
        <v>0.018259781565051147</v>
      </c>
      <c r="AU56">
        <f t="shared" si="17"/>
        <v>1968</v>
      </c>
      <c r="AV56" s="36">
        <f t="shared" si="16"/>
        <v>0.1009997752485654</v>
      </c>
      <c r="AW56" s="36">
        <f t="shared" si="16"/>
        <v>0.10408707115254523</v>
      </c>
      <c r="AX56" s="36">
        <f t="shared" si="16"/>
        <v>0.09922398747553052</v>
      </c>
      <c r="AY56" s="36">
        <f t="shared" si="16"/>
        <v>0.10484908065137755</v>
      </c>
    </row>
    <row r="57" spans="2:51" ht="12.75">
      <c r="B57">
        <f t="shared" si="6"/>
        <v>1969</v>
      </c>
      <c r="C57" s="57">
        <v>-0.085</v>
      </c>
      <c r="D57" s="57">
        <v>-0.0809</v>
      </c>
      <c r="E57" s="57">
        <v>-0.0507</v>
      </c>
      <c r="F57" s="57">
        <v>-0.0074</v>
      </c>
      <c r="G57" s="57">
        <v>0.0658</v>
      </c>
      <c r="H57" s="57">
        <v>0.0611</v>
      </c>
      <c r="I57" s="67">
        <f t="shared" si="12"/>
        <v>6006.125496072266</v>
      </c>
      <c r="J57" s="67">
        <f t="shared" si="12"/>
        <v>408.60141414870776</v>
      </c>
      <c r="K57" s="67">
        <f t="shared" si="12"/>
        <v>308.6345221150998</v>
      </c>
      <c r="L57" s="67">
        <f t="shared" si="12"/>
        <v>355.71048097813747</v>
      </c>
      <c r="M57" s="67">
        <f t="shared" si="12"/>
        <v>223.86277225890979</v>
      </c>
      <c r="N57" s="67">
        <f t="shared" si="12"/>
        <v>210.19334964897084</v>
      </c>
      <c r="O57" s="68">
        <f t="shared" si="7"/>
        <v>7848.044152335507</v>
      </c>
      <c r="P57" s="68">
        <f t="shared" si="8"/>
        <v>17218.064882612554</v>
      </c>
      <c r="R57" s="57">
        <f t="shared" si="14"/>
        <v>0.11994157296733321</v>
      </c>
      <c r="S57" s="57">
        <f t="shared" si="14"/>
        <v>0.01791709208034331</v>
      </c>
      <c r="T57" s="57">
        <f t="shared" si="14"/>
        <v>0.01530125169615748</v>
      </c>
      <c r="U57" s="57">
        <f t="shared" si="14"/>
        <v>0.022124087688744964</v>
      </c>
      <c r="V57" s="57">
        <f t="shared" si="14"/>
        <v>0.020418255284217812</v>
      </c>
      <c r="Y57">
        <f t="shared" si="9"/>
        <v>1969</v>
      </c>
      <c r="Z57" s="57">
        <v>-0.085</v>
      </c>
      <c r="AA57" s="57">
        <v>-0.0809</v>
      </c>
      <c r="AB57" s="57">
        <v>-0.0507</v>
      </c>
      <c r="AC57" s="57">
        <v>-0.0074</v>
      </c>
      <c r="AD57" s="57">
        <v>0.0658</v>
      </c>
      <c r="AE57" s="57">
        <v>0.0611</v>
      </c>
      <c r="AF57" s="67">
        <f t="shared" si="13"/>
        <v>6006.125496072266</v>
      </c>
      <c r="AG57" s="67">
        <f t="shared" si="13"/>
        <v>408.60141414870776</v>
      </c>
      <c r="AH57" s="67">
        <f t="shared" si="13"/>
        <v>308.6345221150998</v>
      </c>
      <c r="AI57" s="67">
        <f t="shared" si="13"/>
        <v>355.71048097813747</v>
      </c>
      <c r="AJ57" s="67">
        <f t="shared" si="13"/>
        <v>223.86277225890979</v>
      </c>
      <c r="AK57" s="67">
        <f t="shared" si="13"/>
        <v>210.19334964897084</v>
      </c>
      <c r="AL57" s="68">
        <f t="shared" si="10"/>
        <v>7913.651174937287</v>
      </c>
      <c r="AM57" s="68">
        <f t="shared" si="11"/>
        <v>17254.798201839407</v>
      </c>
      <c r="AO57" s="57">
        <f t="shared" si="15"/>
        <v>0.11994157296733321</v>
      </c>
      <c r="AP57" s="57">
        <f t="shared" si="15"/>
        <v>0.01791709208034331</v>
      </c>
      <c r="AQ57" s="57">
        <f t="shared" si="15"/>
        <v>0.01530125169615748</v>
      </c>
      <c r="AR57" s="57">
        <f t="shared" si="15"/>
        <v>0.022124087688744964</v>
      </c>
      <c r="AS57" s="57">
        <f t="shared" si="15"/>
        <v>0.020418255284217812</v>
      </c>
      <c r="AU57">
        <f t="shared" si="17"/>
        <v>1969</v>
      </c>
      <c r="AV57" s="36">
        <f t="shared" si="16"/>
        <v>0.1020244808869899</v>
      </c>
      <c r="AW57" s="36">
        <f t="shared" si="16"/>
        <v>0.10464032127117573</v>
      </c>
      <c r="AX57" s="36">
        <f t="shared" si="16"/>
        <v>0.09781748527858825</v>
      </c>
      <c r="AY57" s="36">
        <f t="shared" si="16"/>
        <v>0.0995233176831154</v>
      </c>
    </row>
    <row r="58" spans="2:51" ht="12.75">
      <c r="B58">
        <f t="shared" si="6"/>
        <v>1970</v>
      </c>
      <c r="C58" s="57">
        <v>0.0401</v>
      </c>
      <c r="D58" s="57">
        <v>0.1837</v>
      </c>
      <c r="E58" s="57">
        <v>0.1211</v>
      </c>
      <c r="F58" s="57">
        <v>0.1686</v>
      </c>
      <c r="G58" s="57">
        <v>0.0652</v>
      </c>
      <c r="H58" s="57">
        <v>0.0549</v>
      </c>
      <c r="I58" s="67">
        <f t="shared" si="12"/>
        <v>6246.971128464765</v>
      </c>
      <c r="J58" s="67">
        <f t="shared" si="12"/>
        <v>483.66149392782535</v>
      </c>
      <c r="K58" s="67">
        <f t="shared" si="12"/>
        <v>346.01016274323837</v>
      </c>
      <c r="L58" s="67">
        <f t="shared" si="12"/>
        <v>415.6832680710515</v>
      </c>
      <c r="M58" s="67">
        <f t="shared" si="12"/>
        <v>238.45862501019067</v>
      </c>
      <c r="N58" s="67">
        <f t="shared" si="12"/>
        <v>221.7329645446993</v>
      </c>
      <c r="O58" s="68">
        <f t="shared" si="7"/>
        <v>8666.110006744942</v>
      </c>
      <c r="P58" s="68">
        <f t="shared" si="8"/>
        <v>19355.40067004086</v>
      </c>
      <c r="R58" s="57">
        <f t="shared" si="14"/>
        <v>0.1252640443044548</v>
      </c>
      <c r="S58" s="57">
        <f t="shared" si="14"/>
        <v>0.022518506863499654</v>
      </c>
      <c r="T58" s="57">
        <f t="shared" si="14"/>
        <v>0.017170879657924187</v>
      </c>
      <c r="U58" s="57">
        <f t="shared" si="14"/>
        <v>0.02644779961495547</v>
      </c>
      <c r="V58" s="57">
        <f t="shared" si="14"/>
        <v>0.022568926673393275</v>
      </c>
      <c r="Y58">
        <f t="shared" si="9"/>
        <v>1970</v>
      </c>
      <c r="Z58" s="57">
        <v>0.0401</v>
      </c>
      <c r="AA58" s="57">
        <v>0.1837</v>
      </c>
      <c r="AB58" s="57">
        <v>0.1211</v>
      </c>
      <c r="AC58" s="57">
        <v>0.1686</v>
      </c>
      <c r="AD58" s="57">
        <v>0.0652</v>
      </c>
      <c r="AE58" s="57">
        <v>0.0549</v>
      </c>
      <c r="AF58" s="67">
        <f t="shared" si="13"/>
        <v>6246.971128464765</v>
      </c>
      <c r="AG58" s="67">
        <f t="shared" si="13"/>
        <v>483.66149392782535</v>
      </c>
      <c r="AH58" s="67">
        <f t="shared" si="13"/>
        <v>346.01016274323837</v>
      </c>
      <c r="AI58" s="67">
        <f t="shared" si="13"/>
        <v>415.6832680710515</v>
      </c>
      <c r="AJ58" s="67">
        <f t="shared" si="13"/>
        <v>238.45862501019067</v>
      </c>
      <c r="AK58" s="67">
        <f t="shared" si="13"/>
        <v>221.7329645446993</v>
      </c>
      <c r="AL58" s="68">
        <f t="shared" si="10"/>
        <v>8738.555786106775</v>
      </c>
      <c r="AM58" s="68">
        <f t="shared" si="11"/>
        <v>19396.69381862774</v>
      </c>
      <c r="AO58" s="57">
        <f t="shared" si="15"/>
        <v>0.1252640443044548</v>
      </c>
      <c r="AP58" s="57">
        <f t="shared" si="15"/>
        <v>0.022518506863499654</v>
      </c>
      <c r="AQ58" s="57">
        <f t="shared" si="15"/>
        <v>0.017170879657924187</v>
      </c>
      <c r="AR58" s="57">
        <f t="shared" si="15"/>
        <v>0.02644779961495547</v>
      </c>
      <c r="AS58" s="57">
        <f t="shared" si="15"/>
        <v>0.022568926673393275</v>
      </c>
      <c r="AU58">
        <f t="shared" si="17"/>
        <v>1970</v>
      </c>
      <c r="AV58" s="36">
        <f t="shared" si="16"/>
        <v>0.10274553744095516</v>
      </c>
      <c r="AW58" s="36">
        <f t="shared" si="16"/>
        <v>0.10809316464653063</v>
      </c>
      <c r="AX58" s="36">
        <f t="shared" si="16"/>
        <v>0.09881624468949934</v>
      </c>
      <c r="AY58" s="36">
        <f t="shared" si="16"/>
        <v>0.10269511763106154</v>
      </c>
    </row>
    <row r="59" spans="2:51" ht="12.75">
      <c r="B59">
        <f t="shared" si="6"/>
        <v>1971</v>
      </c>
      <c r="C59" s="57">
        <v>0.1431</v>
      </c>
      <c r="D59" s="57">
        <v>0.1101</v>
      </c>
      <c r="E59" s="57">
        <v>0.1323</v>
      </c>
      <c r="F59" s="57">
        <v>0.0872</v>
      </c>
      <c r="G59" s="57">
        <v>0.0439</v>
      </c>
      <c r="H59" s="57">
        <v>0.0336</v>
      </c>
      <c r="I59" s="67">
        <f t="shared" si="12"/>
        <v>7140.912696948072</v>
      </c>
      <c r="J59" s="67">
        <f t="shared" si="12"/>
        <v>536.9126244092789</v>
      </c>
      <c r="K59" s="67">
        <f t="shared" si="12"/>
        <v>391.7873072741688</v>
      </c>
      <c r="L59" s="67">
        <f t="shared" si="12"/>
        <v>451.93084904684713</v>
      </c>
      <c r="M59" s="67">
        <f t="shared" si="12"/>
        <v>248.92695864813805</v>
      </c>
      <c r="N59" s="67">
        <f t="shared" si="12"/>
        <v>229.18319215340122</v>
      </c>
      <c r="O59" s="68">
        <f t="shared" si="7"/>
        <v>9569.449558544507</v>
      </c>
      <c r="P59" s="68">
        <f t="shared" si="8"/>
        <v>21758.05107321527</v>
      </c>
      <c r="R59" s="57">
        <f t="shared" si="14"/>
        <v>0.13494252761222625</v>
      </c>
      <c r="S59" s="57">
        <f t="shared" si="14"/>
        <v>0.025163978066791826</v>
      </c>
      <c r="T59" s="57">
        <f t="shared" si="14"/>
        <v>0.021077311414538613</v>
      </c>
      <c r="U59" s="57">
        <f t="shared" si="14"/>
        <v>0.02914123783997824</v>
      </c>
      <c r="V59" s="57">
        <f t="shared" si="14"/>
        <v>0.0240139462654283</v>
      </c>
      <c r="Y59">
        <f t="shared" si="9"/>
        <v>1971</v>
      </c>
      <c r="Z59" s="57">
        <v>0.1431</v>
      </c>
      <c r="AA59" s="57">
        <v>0.1101</v>
      </c>
      <c r="AB59" s="57">
        <v>0.1323</v>
      </c>
      <c r="AC59" s="57">
        <v>0.0872</v>
      </c>
      <c r="AD59" s="57">
        <v>0.0439</v>
      </c>
      <c r="AE59" s="57">
        <v>0.0336</v>
      </c>
      <c r="AF59" s="67">
        <f t="shared" si="13"/>
        <v>7140.912696948072</v>
      </c>
      <c r="AG59" s="67">
        <f t="shared" si="13"/>
        <v>536.9126244092789</v>
      </c>
      <c r="AH59" s="67">
        <f t="shared" si="13"/>
        <v>391.7873072741688</v>
      </c>
      <c r="AI59" s="67">
        <f t="shared" si="13"/>
        <v>451.93084904684713</v>
      </c>
      <c r="AJ59" s="67">
        <f t="shared" si="13"/>
        <v>248.92695864813805</v>
      </c>
      <c r="AK59" s="67">
        <f t="shared" si="13"/>
        <v>229.18319215340122</v>
      </c>
      <c r="AL59" s="68">
        <f t="shared" si="10"/>
        <v>9649.446954237954</v>
      </c>
      <c r="AM59" s="68">
        <f t="shared" si="11"/>
        <v>21804.470077980066</v>
      </c>
      <c r="AO59" s="57">
        <f t="shared" si="15"/>
        <v>0.13494252761222625</v>
      </c>
      <c r="AP59" s="57">
        <f t="shared" si="15"/>
        <v>0.025163978066791826</v>
      </c>
      <c r="AQ59" s="57">
        <f t="shared" si="15"/>
        <v>0.021077311414538613</v>
      </c>
      <c r="AR59" s="57">
        <f t="shared" si="15"/>
        <v>0.02914123783997824</v>
      </c>
      <c r="AS59" s="57">
        <f t="shared" si="15"/>
        <v>0.0240139462654283</v>
      </c>
      <c r="AU59">
        <f t="shared" si="17"/>
        <v>1971</v>
      </c>
      <c r="AV59" s="36">
        <f t="shared" si="16"/>
        <v>0.10977854954543442</v>
      </c>
      <c r="AW59" s="36">
        <f t="shared" si="16"/>
        <v>0.11386521619768764</v>
      </c>
      <c r="AX59" s="36">
        <f t="shared" si="16"/>
        <v>0.10580128977224801</v>
      </c>
      <c r="AY59" s="36">
        <f t="shared" si="16"/>
        <v>0.11092858134679795</v>
      </c>
    </row>
    <row r="60" spans="2:51" ht="12.75">
      <c r="B60">
        <f t="shared" si="6"/>
        <v>1972</v>
      </c>
      <c r="C60" s="57">
        <v>0.1898</v>
      </c>
      <c r="D60" s="57">
        <v>0.0726</v>
      </c>
      <c r="E60" s="57">
        <v>0.0569</v>
      </c>
      <c r="F60" s="57">
        <v>0.0516</v>
      </c>
      <c r="G60" s="57">
        <v>0.0384</v>
      </c>
      <c r="H60" s="57">
        <v>0.0341</v>
      </c>
      <c r="I60" s="67">
        <f t="shared" si="12"/>
        <v>8496.257926828815</v>
      </c>
      <c r="J60" s="67">
        <f t="shared" si="12"/>
        <v>575.8924809413926</v>
      </c>
      <c r="K60" s="67">
        <f t="shared" si="12"/>
        <v>414.080005058069</v>
      </c>
      <c r="L60" s="67">
        <f t="shared" si="12"/>
        <v>475.25048085766446</v>
      </c>
      <c r="M60" s="67">
        <f t="shared" si="12"/>
        <v>258.48575386022657</v>
      </c>
      <c r="N60" s="67">
        <f t="shared" si="12"/>
        <v>236.9983390058322</v>
      </c>
      <c r="O60" s="68">
        <f t="shared" si="7"/>
        <v>10566.951582919464</v>
      </c>
      <c r="P60" s="68">
        <f t="shared" si="8"/>
        <v>24458.950479770392</v>
      </c>
      <c r="R60" s="57">
        <f t="shared" si="14"/>
        <v>0.13451263009666015</v>
      </c>
      <c r="S60" s="57">
        <f t="shared" si="14"/>
        <v>0.02668295531442122</v>
      </c>
      <c r="T60" s="57">
        <f t="shared" si="14"/>
        <v>0.021882497957254277</v>
      </c>
      <c r="U60" s="57">
        <f t="shared" si="14"/>
        <v>0.03020861919546003</v>
      </c>
      <c r="V60" s="57">
        <f t="shared" si="14"/>
        <v>0.025208803700809135</v>
      </c>
      <c r="Y60">
        <f t="shared" si="9"/>
        <v>1972</v>
      </c>
      <c r="Z60" s="57">
        <v>0.1898</v>
      </c>
      <c r="AA60" s="57">
        <v>0.0726</v>
      </c>
      <c r="AB60" s="57">
        <v>0.0569</v>
      </c>
      <c r="AC60" s="57">
        <v>0.0516</v>
      </c>
      <c r="AD60" s="57">
        <v>0.0384</v>
      </c>
      <c r="AE60" s="57">
        <v>0.0341</v>
      </c>
      <c r="AF60" s="67">
        <f t="shared" si="13"/>
        <v>8496.257926828815</v>
      </c>
      <c r="AG60" s="67">
        <f t="shared" si="13"/>
        <v>575.8924809413926</v>
      </c>
      <c r="AH60" s="67">
        <f t="shared" si="13"/>
        <v>414.080005058069</v>
      </c>
      <c r="AI60" s="67">
        <f t="shared" si="13"/>
        <v>475.25048085766446</v>
      </c>
      <c r="AJ60" s="67">
        <f t="shared" si="13"/>
        <v>258.48575386022657</v>
      </c>
      <c r="AK60" s="67">
        <f t="shared" si="13"/>
        <v>236.9983390058322</v>
      </c>
      <c r="AL60" s="68">
        <f t="shared" si="10"/>
        <v>10655.287761701817</v>
      </c>
      <c r="AM60" s="68">
        <f t="shared" si="11"/>
        <v>24511.13163032666</v>
      </c>
      <c r="AO60" s="57">
        <f t="shared" si="15"/>
        <v>0.13451263009666015</v>
      </c>
      <c r="AP60" s="57">
        <f t="shared" si="15"/>
        <v>0.02668295531442122</v>
      </c>
      <c r="AQ60" s="57">
        <f t="shared" si="15"/>
        <v>0.021882497957254277</v>
      </c>
      <c r="AR60" s="57">
        <f t="shared" si="15"/>
        <v>0.03020861919546003</v>
      </c>
      <c r="AS60" s="57">
        <f t="shared" si="15"/>
        <v>0.025208803700809135</v>
      </c>
      <c r="AU60">
        <f t="shared" si="17"/>
        <v>1972</v>
      </c>
      <c r="AV60" s="36">
        <f t="shared" si="16"/>
        <v>0.10782967478223893</v>
      </c>
      <c r="AW60" s="36">
        <f t="shared" si="16"/>
        <v>0.11263013213940587</v>
      </c>
      <c r="AX60" s="36">
        <f t="shared" si="16"/>
        <v>0.10430401090120012</v>
      </c>
      <c r="AY60" s="36">
        <f t="shared" si="16"/>
        <v>0.10930382639585101</v>
      </c>
    </row>
    <row r="61" spans="2:51" ht="12.75">
      <c r="B61">
        <f t="shared" si="6"/>
        <v>1973</v>
      </c>
      <c r="C61" s="57">
        <v>-0.1466</v>
      </c>
      <c r="D61" s="57">
        <v>0.0114</v>
      </c>
      <c r="E61" s="57">
        <v>-0.0111</v>
      </c>
      <c r="F61" s="57">
        <v>0.0461</v>
      </c>
      <c r="G61" s="57">
        <v>0.0693</v>
      </c>
      <c r="H61" s="57">
        <v>0.088</v>
      </c>
      <c r="I61" s="67">
        <f t="shared" si="12"/>
        <v>7250.7065147557105</v>
      </c>
      <c r="J61" s="67">
        <f t="shared" si="12"/>
        <v>582.4576552241246</v>
      </c>
      <c r="K61" s="67">
        <f t="shared" si="12"/>
        <v>409.48371700192445</v>
      </c>
      <c r="L61" s="67">
        <f t="shared" si="12"/>
        <v>497.1595280252028</v>
      </c>
      <c r="M61" s="67">
        <f t="shared" si="12"/>
        <v>276.3988166027402</v>
      </c>
      <c r="N61" s="67">
        <f t="shared" si="12"/>
        <v>257.85419283834545</v>
      </c>
      <c r="O61" s="68">
        <f t="shared" si="7"/>
        <v>11668.431404820267</v>
      </c>
      <c r="P61" s="68">
        <f t="shared" si="8"/>
        <v>27495.121532659225</v>
      </c>
      <c r="R61" s="57">
        <f t="shared" si="14"/>
        <v>0.11990254613551454</v>
      </c>
      <c r="S61" s="57">
        <f t="shared" si="14"/>
        <v>0.026115991296439933</v>
      </c>
      <c r="T61" s="57">
        <f t="shared" si="14"/>
        <v>0.020801622026844768</v>
      </c>
      <c r="U61" s="57">
        <f t="shared" si="14"/>
        <v>0.030804819693285967</v>
      </c>
      <c r="V61" s="57">
        <f t="shared" si="14"/>
        <v>0.027381481321194556</v>
      </c>
      <c r="Y61">
        <f t="shared" si="9"/>
        <v>1973</v>
      </c>
      <c r="Z61" s="57">
        <v>-0.1466</v>
      </c>
      <c r="AA61" s="57">
        <v>0.0114</v>
      </c>
      <c r="AB61" s="57">
        <v>-0.0111</v>
      </c>
      <c r="AC61" s="57">
        <v>0.0461</v>
      </c>
      <c r="AD61" s="57">
        <v>0.0693</v>
      </c>
      <c r="AE61" s="57">
        <v>0.088</v>
      </c>
      <c r="AF61" s="67">
        <f t="shared" si="13"/>
        <v>7250.7065147557105</v>
      </c>
      <c r="AG61" s="67">
        <f t="shared" si="13"/>
        <v>582.4576552241246</v>
      </c>
      <c r="AH61" s="67">
        <f t="shared" si="13"/>
        <v>409.48371700192445</v>
      </c>
      <c r="AI61" s="67">
        <f t="shared" si="13"/>
        <v>497.1595280252028</v>
      </c>
      <c r="AJ61" s="67">
        <f t="shared" si="13"/>
        <v>276.3988166027402</v>
      </c>
      <c r="AK61" s="67">
        <f t="shared" si="13"/>
        <v>257.85419283834545</v>
      </c>
      <c r="AL61" s="68">
        <f t="shared" si="10"/>
        <v>11765.975586280501</v>
      </c>
      <c r="AM61" s="68">
        <f t="shared" si="11"/>
        <v>27553.780103371213</v>
      </c>
      <c r="AO61" s="57">
        <f t="shared" si="15"/>
        <v>0.11990254613551454</v>
      </c>
      <c r="AP61" s="57">
        <f t="shared" si="15"/>
        <v>0.026115991296439933</v>
      </c>
      <c r="AQ61" s="57">
        <f t="shared" si="15"/>
        <v>0.020801622026844768</v>
      </c>
      <c r="AR61" s="57">
        <f t="shared" si="15"/>
        <v>0.030804819693285967</v>
      </c>
      <c r="AS61" s="57">
        <f t="shared" si="15"/>
        <v>0.027381481321194556</v>
      </c>
      <c r="AU61">
        <f t="shared" si="17"/>
        <v>1973</v>
      </c>
      <c r="AV61" s="36">
        <f t="shared" si="16"/>
        <v>0.09378655483907461</v>
      </c>
      <c r="AW61" s="36">
        <f t="shared" si="16"/>
        <v>0.09910092410866977</v>
      </c>
      <c r="AX61" s="36">
        <f t="shared" si="16"/>
        <v>0.08909772644222858</v>
      </c>
      <c r="AY61" s="36">
        <f t="shared" si="16"/>
        <v>0.09252106481431999</v>
      </c>
    </row>
    <row r="62" spans="2:51" ht="12.75">
      <c r="B62">
        <f t="shared" si="6"/>
        <v>1974</v>
      </c>
      <c r="C62" s="57">
        <v>-0.2647</v>
      </c>
      <c r="D62" s="57">
        <v>-0.0306</v>
      </c>
      <c r="E62" s="57">
        <v>0.0435</v>
      </c>
      <c r="F62" s="57">
        <v>0.0569</v>
      </c>
      <c r="G62" s="57">
        <v>0.08</v>
      </c>
      <c r="H62" s="57">
        <v>0.122</v>
      </c>
      <c r="I62" s="67">
        <f t="shared" si="12"/>
        <v>5331.444500299875</v>
      </c>
      <c r="J62" s="67">
        <f t="shared" si="12"/>
        <v>564.6344509742663</v>
      </c>
      <c r="K62" s="67">
        <f t="shared" si="12"/>
        <v>427.29625869150817</v>
      </c>
      <c r="L62" s="67">
        <f t="shared" si="12"/>
        <v>525.4479051698369</v>
      </c>
      <c r="M62" s="67">
        <f t="shared" si="12"/>
        <v>298.51072193095945</v>
      </c>
      <c r="N62" s="67">
        <f t="shared" si="12"/>
        <v>289.31240436462355</v>
      </c>
      <c r="O62" s="68">
        <f t="shared" si="7"/>
        <v>12884.727480825588</v>
      </c>
      <c r="P62" s="68">
        <f t="shared" si="8"/>
        <v>30908.182618913324</v>
      </c>
      <c r="R62" s="57">
        <f t="shared" si="14"/>
        <v>0.10184338028043727</v>
      </c>
      <c r="S62" s="57">
        <f t="shared" si="14"/>
        <v>0.023475661670633086</v>
      </c>
      <c r="T62" s="57">
        <f t="shared" si="14"/>
        <v>0.021307657001077285</v>
      </c>
      <c r="U62" s="57">
        <f t="shared" si="14"/>
        <v>0.032094137455902505</v>
      </c>
      <c r="V62" s="57">
        <f t="shared" si="14"/>
        <v>0.029907366982631522</v>
      </c>
      <c r="Y62">
        <f t="shared" si="9"/>
        <v>1974</v>
      </c>
      <c r="Z62" s="57">
        <v>-0.2647</v>
      </c>
      <c r="AA62" s="57">
        <v>-0.0306</v>
      </c>
      <c r="AB62" s="57">
        <v>0.0435</v>
      </c>
      <c r="AC62" s="57">
        <v>0.0569</v>
      </c>
      <c r="AD62" s="57">
        <v>0.08</v>
      </c>
      <c r="AE62" s="57">
        <v>0.122</v>
      </c>
      <c r="AF62" s="67">
        <f t="shared" si="13"/>
        <v>5331.444500299875</v>
      </c>
      <c r="AG62" s="67">
        <f t="shared" si="13"/>
        <v>564.6344509742663</v>
      </c>
      <c r="AH62" s="67">
        <f t="shared" si="13"/>
        <v>427.29625869150817</v>
      </c>
      <c r="AI62" s="67">
        <f t="shared" si="13"/>
        <v>525.4479051698369</v>
      </c>
      <c r="AJ62" s="67">
        <f t="shared" si="13"/>
        <v>298.51072193095945</v>
      </c>
      <c r="AK62" s="67">
        <f t="shared" si="13"/>
        <v>289.31240436462355</v>
      </c>
      <c r="AL62" s="68">
        <f t="shared" si="10"/>
        <v>12992.439490422363</v>
      </c>
      <c r="AM62" s="68">
        <f t="shared" si="11"/>
        <v>30974.122673536363</v>
      </c>
      <c r="AO62" s="57">
        <f t="shared" si="15"/>
        <v>0.10184338028043727</v>
      </c>
      <c r="AP62" s="57">
        <f t="shared" si="15"/>
        <v>0.023475661670633086</v>
      </c>
      <c r="AQ62" s="57">
        <f t="shared" si="15"/>
        <v>0.021307657001077285</v>
      </c>
      <c r="AR62" s="57">
        <f t="shared" si="15"/>
        <v>0.032094137455902505</v>
      </c>
      <c r="AS62" s="57">
        <f t="shared" si="15"/>
        <v>0.029907366982631522</v>
      </c>
      <c r="AU62">
        <f t="shared" si="17"/>
        <v>1974</v>
      </c>
      <c r="AV62" s="36">
        <f t="shared" si="16"/>
        <v>0.07836771860980418</v>
      </c>
      <c r="AW62" s="36">
        <f t="shared" si="16"/>
        <v>0.08053572327935998</v>
      </c>
      <c r="AX62" s="36">
        <f t="shared" si="16"/>
        <v>0.06974924282453476</v>
      </c>
      <c r="AY62" s="36">
        <f t="shared" si="16"/>
        <v>0.07193601329780575</v>
      </c>
    </row>
    <row r="63" spans="2:51" ht="12.75">
      <c r="B63">
        <f t="shared" si="6"/>
        <v>1975</v>
      </c>
      <c r="C63" s="57">
        <v>0.372</v>
      </c>
      <c r="D63" s="57">
        <v>0.1464</v>
      </c>
      <c r="E63" s="57">
        <v>0.092</v>
      </c>
      <c r="F63" s="57">
        <v>0.0783</v>
      </c>
      <c r="G63" s="57">
        <v>0.058</v>
      </c>
      <c r="H63" s="57">
        <v>0.0701</v>
      </c>
      <c r="I63" s="67">
        <f aca="true" t="shared" si="18" ref="I63:N89">I62*(1+C63)</f>
        <v>7314.741854411427</v>
      </c>
      <c r="J63" s="67">
        <f t="shared" si="18"/>
        <v>647.296934596899</v>
      </c>
      <c r="K63" s="67">
        <f t="shared" si="18"/>
        <v>466.60751449112695</v>
      </c>
      <c r="L63" s="67">
        <f t="shared" si="18"/>
        <v>566.5904761446351</v>
      </c>
      <c r="M63" s="67">
        <f t="shared" si="18"/>
        <v>315.8243438029551</v>
      </c>
      <c r="N63" s="67">
        <f t="shared" si="18"/>
        <v>309.59320391058367</v>
      </c>
      <c r="O63" s="68">
        <f t="shared" si="7"/>
        <v>14227.808048523151</v>
      </c>
      <c r="P63" s="68">
        <f t="shared" si="8"/>
        <v>34744.91835467443</v>
      </c>
      <c r="R63" s="57">
        <f>(I63/I33)^(1/30)-1</f>
        <v>0.10204741493745106</v>
      </c>
      <c r="S63" s="57">
        <f>(J63/J33)^(1/30)-1</f>
        <v>0.02677782952715324</v>
      </c>
      <c r="T63" s="57">
        <f>(K63/K33)^(1/30)-1</f>
        <v>0.020834093105338347</v>
      </c>
      <c r="U63" s="57">
        <f>(L63/L33)^(1/30)-1</f>
        <v>0.0339338853238782</v>
      </c>
      <c r="V63" s="57">
        <f>(M63/M33)^(1/30)-1</f>
        <v>0.03173142776730309</v>
      </c>
      <c r="Y63">
        <f t="shared" si="9"/>
        <v>1975</v>
      </c>
      <c r="Z63" s="57">
        <v>0.372</v>
      </c>
      <c r="AA63" s="57">
        <v>0.1464</v>
      </c>
      <c r="AB63" s="57">
        <v>0.092</v>
      </c>
      <c r="AC63" s="57">
        <v>0.0783</v>
      </c>
      <c r="AD63" s="57">
        <v>0.058</v>
      </c>
      <c r="AE63" s="57">
        <v>0.0701</v>
      </c>
      <c r="AF63" s="67">
        <f aca="true" t="shared" si="19" ref="AF63:AK89">AF62*(1+Z63)</f>
        <v>7314.741854411427</v>
      </c>
      <c r="AG63" s="67">
        <f t="shared" si="19"/>
        <v>647.296934596899</v>
      </c>
      <c r="AH63" s="67">
        <f t="shared" si="19"/>
        <v>466.60751449112695</v>
      </c>
      <c r="AI63" s="67">
        <f t="shared" si="19"/>
        <v>566.5904761446351</v>
      </c>
      <c r="AJ63" s="67">
        <f t="shared" si="19"/>
        <v>315.8243438029551</v>
      </c>
      <c r="AK63" s="67">
        <f t="shared" si="19"/>
        <v>309.59320391058367</v>
      </c>
      <c r="AL63" s="68">
        <f t="shared" si="10"/>
        <v>14346.747762175939</v>
      </c>
      <c r="AM63" s="68">
        <f t="shared" si="11"/>
        <v>34819.043768078016</v>
      </c>
      <c r="AO63" s="57">
        <f>(AF63/AF33)^(1/30)-1</f>
        <v>0.10204741493745106</v>
      </c>
      <c r="AP63" s="57">
        <f>(AG63/AG33)^(1/30)-1</f>
        <v>0.02677782952715324</v>
      </c>
      <c r="AQ63" s="57">
        <f>(AH63/AH33)^(1/30)-1</f>
        <v>0.020834093105338347</v>
      </c>
      <c r="AR63" s="57">
        <f>(AI63/AI33)^(1/30)-1</f>
        <v>0.0339338853238782</v>
      </c>
      <c r="AS63" s="57">
        <f>(AJ63/AJ33)^(1/30)-1</f>
        <v>0.03173142776730309</v>
      </c>
      <c r="AU63">
        <f t="shared" si="17"/>
        <v>1975</v>
      </c>
      <c r="AV63" s="36">
        <f>$R63-AP63</f>
        <v>0.07526958541029782</v>
      </c>
      <c r="AW63" s="36">
        <f>$R63-AQ63</f>
        <v>0.08121332183211272</v>
      </c>
      <c r="AX63" s="36">
        <f>$R63-AR63</f>
        <v>0.06811352961357287</v>
      </c>
      <c r="AY63" s="36">
        <f>$R63-AS63</f>
        <v>0.07031598717014798</v>
      </c>
    </row>
    <row r="64" spans="2:51" ht="12.75">
      <c r="B64">
        <f t="shared" si="6"/>
        <v>1976</v>
      </c>
      <c r="C64" s="57">
        <v>0.2384</v>
      </c>
      <c r="D64" s="57">
        <v>0.1865</v>
      </c>
      <c r="E64" s="57">
        <v>0.1675</v>
      </c>
      <c r="F64" s="57">
        <v>0.1287</v>
      </c>
      <c r="G64" s="57">
        <v>0.0508</v>
      </c>
      <c r="H64" s="57">
        <v>0.0481</v>
      </c>
      <c r="I64" s="67">
        <f t="shared" si="18"/>
        <v>9058.576312503112</v>
      </c>
      <c r="J64" s="67">
        <f t="shared" si="18"/>
        <v>768.0178128992206</v>
      </c>
      <c r="K64" s="67">
        <f t="shared" si="18"/>
        <v>544.7642731683907</v>
      </c>
      <c r="L64" s="67">
        <f t="shared" si="18"/>
        <v>639.5106704244497</v>
      </c>
      <c r="M64" s="67">
        <f t="shared" si="18"/>
        <v>331.86822046814524</v>
      </c>
      <c r="N64" s="67">
        <f t="shared" si="18"/>
        <v>324.48463701868275</v>
      </c>
      <c r="O64" s="68">
        <f t="shared" si="7"/>
        <v>15710.888892828136</v>
      </c>
      <c r="P64" s="68">
        <f t="shared" si="8"/>
        <v>39057.92088643469</v>
      </c>
      <c r="R64" s="57">
        <f aca="true" t="shared" si="20" ref="R64:V87">(I64/I34)^(1/30)-1</f>
        <v>0.11304759679646104</v>
      </c>
      <c r="S64" s="57">
        <f t="shared" si="20"/>
        <v>0.03206059289405139</v>
      </c>
      <c r="T64" s="57">
        <f t="shared" si="20"/>
        <v>0.026151645541359292</v>
      </c>
      <c r="U64" s="57">
        <f t="shared" si="20"/>
        <v>0.03777054623779974</v>
      </c>
      <c r="V64" s="57">
        <f t="shared" si="20"/>
        <v>0.03331662337438224</v>
      </c>
      <c r="Y64">
        <f t="shared" si="9"/>
        <v>1976</v>
      </c>
      <c r="Z64" s="57">
        <v>0.2384</v>
      </c>
      <c r="AA64" s="57">
        <v>0.1865</v>
      </c>
      <c r="AB64" s="57">
        <v>0.1675</v>
      </c>
      <c r="AC64" s="57">
        <v>0.1287</v>
      </c>
      <c r="AD64" s="57">
        <v>0.0508</v>
      </c>
      <c r="AE64" s="57">
        <v>0.0481</v>
      </c>
      <c r="AF64" s="67">
        <f t="shared" si="19"/>
        <v>9058.576312503112</v>
      </c>
      <c r="AG64" s="67">
        <f t="shared" si="19"/>
        <v>768.0178128992206</v>
      </c>
      <c r="AH64" s="67">
        <f t="shared" si="19"/>
        <v>544.7642731683907</v>
      </c>
      <c r="AI64" s="67">
        <f t="shared" si="19"/>
        <v>639.5106704244497</v>
      </c>
      <c r="AJ64" s="67">
        <f t="shared" si="19"/>
        <v>331.86822046814524</v>
      </c>
      <c r="AK64" s="67">
        <f t="shared" si="19"/>
        <v>324.48463701868275</v>
      </c>
      <c r="AL64" s="68">
        <f t="shared" si="10"/>
        <v>15842.22666599536</v>
      </c>
      <c r="AM64" s="68">
        <f t="shared" si="11"/>
        <v>39141.247734488774</v>
      </c>
      <c r="AO64" s="57">
        <f aca="true" t="shared" si="21" ref="AO64:AS87">(AF64/AF34)^(1/30)-1</f>
        <v>0.11304759679646104</v>
      </c>
      <c r="AP64" s="57">
        <f t="shared" si="21"/>
        <v>0.03206059289405139</v>
      </c>
      <c r="AQ64" s="57">
        <f t="shared" si="21"/>
        <v>0.026151645541359292</v>
      </c>
      <c r="AR64" s="57">
        <f t="shared" si="21"/>
        <v>0.03777054623779974</v>
      </c>
      <c r="AS64" s="57">
        <f t="shared" si="21"/>
        <v>0.03331662337438224</v>
      </c>
      <c r="AU64">
        <f t="shared" si="17"/>
        <v>1976</v>
      </c>
      <c r="AV64" s="36">
        <f aca="true" t="shared" si="22" ref="AV64:AY87">$R64-AP64</f>
        <v>0.08098700390240965</v>
      </c>
      <c r="AW64" s="36">
        <f t="shared" si="22"/>
        <v>0.08689595125510174</v>
      </c>
      <c r="AX64" s="36">
        <f t="shared" si="22"/>
        <v>0.0752770505586613</v>
      </c>
      <c r="AY64" s="36">
        <f t="shared" si="22"/>
        <v>0.0797309734220788</v>
      </c>
    </row>
    <row r="65" spans="2:51" ht="12.75">
      <c r="B65">
        <f t="shared" si="6"/>
        <v>1977</v>
      </c>
      <c r="C65" s="57">
        <v>-0.0718</v>
      </c>
      <c r="D65" s="57">
        <v>0.0171</v>
      </c>
      <c r="E65" s="57">
        <v>-0.0069</v>
      </c>
      <c r="F65" s="57">
        <v>0.0141</v>
      </c>
      <c r="G65" s="57">
        <v>0.0512</v>
      </c>
      <c r="H65" s="57">
        <v>0.0677</v>
      </c>
      <c r="I65" s="67">
        <f t="shared" si="18"/>
        <v>8408.17053326539</v>
      </c>
      <c r="J65" s="67">
        <f t="shared" si="18"/>
        <v>781.1509174997973</v>
      </c>
      <c r="K65" s="67">
        <f t="shared" si="18"/>
        <v>541.0053996835288</v>
      </c>
      <c r="L65" s="67">
        <f t="shared" si="18"/>
        <v>648.5277708774345</v>
      </c>
      <c r="M65" s="67">
        <f t="shared" si="18"/>
        <v>348.85987335611424</v>
      </c>
      <c r="N65" s="67">
        <f t="shared" si="18"/>
        <v>346.4522469448476</v>
      </c>
      <c r="O65" s="68">
        <f t="shared" si="7"/>
        <v>17348.563388048497</v>
      </c>
      <c r="P65" s="68">
        <f t="shared" si="8"/>
        <v>43906.31079913745</v>
      </c>
      <c r="R65" s="57">
        <f t="shared" si="20"/>
        <v>0.1082334455517866</v>
      </c>
      <c r="S65" s="57">
        <f t="shared" si="20"/>
        <v>0.03345941680983322</v>
      </c>
      <c r="T65" s="57">
        <f t="shared" si="20"/>
        <v>0.02682315373433064</v>
      </c>
      <c r="U65" s="57">
        <f t="shared" si="20"/>
        <v>0.03794153907970288</v>
      </c>
      <c r="V65" s="57">
        <f t="shared" si="20"/>
        <v>0.03486585815673515</v>
      </c>
      <c r="Y65">
        <f t="shared" si="9"/>
        <v>1977</v>
      </c>
      <c r="Z65" s="57">
        <v>-0.0718</v>
      </c>
      <c r="AA65" s="57">
        <v>0.0171</v>
      </c>
      <c r="AB65" s="57">
        <v>-0.0069</v>
      </c>
      <c r="AC65" s="57">
        <v>0.0141</v>
      </c>
      <c r="AD65" s="57">
        <v>0.0512</v>
      </c>
      <c r="AE65" s="57">
        <v>0.0677</v>
      </c>
      <c r="AF65" s="67">
        <f t="shared" si="19"/>
        <v>8408.17053326539</v>
      </c>
      <c r="AG65" s="67">
        <f t="shared" si="19"/>
        <v>781.1509174997973</v>
      </c>
      <c r="AH65" s="67">
        <f t="shared" si="19"/>
        <v>541.0053996835288</v>
      </c>
      <c r="AI65" s="67">
        <f t="shared" si="19"/>
        <v>648.5277708774345</v>
      </c>
      <c r="AJ65" s="67">
        <f t="shared" si="19"/>
        <v>348.85987335611424</v>
      </c>
      <c r="AK65" s="67">
        <f t="shared" si="19"/>
        <v>346.4522469448476</v>
      </c>
      <c r="AL65" s="68">
        <f t="shared" si="10"/>
        <v>17493.591571913817</v>
      </c>
      <c r="AM65" s="68">
        <f t="shared" si="11"/>
        <v>43999.98128659665</v>
      </c>
      <c r="AO65" s="57">
        <f t="shared" si="21"/>
        <v>0.1082334455517866</v>
      </c>
      <c r="AP65" s="57">
        <f t="shared" si="21"/>
        <v>0.03345941680983322</v>
      </c>
      <c r="AQ65" s="57">
        <f t="shared" si="21"/>
        <v>0.02682315373433064</v>
      </c>
      <c r="AR65" s="57">
        <f t="shared" si="21"/>
        <v>0.03794153907970288</v>
      </c>
      <c r="AS65" s="57">
        <f t="shared" si="21"/>
        <v>0.03486585815673515</v>
      </c>
      <c r="AU65">
        <f t="shared" si="17"/>
        <v>1977</v>
      </c>
      <c r="AV65" s="36">
        <f t="shared" si="22"/>
        <v>0.07477402874195338</v>
      </c>
      <c r="AW65" s="36">
        <f t="shared" si="22"/>
        <v>0.08141029181745596</v>
      </c>
      <c r="AX65" s="36">
        <f t="shared" si="22"/>
        <v>0.07029190647208372</v>
      </c>
      <c r="AY65" s="36">
        <f t="shared" si="22"/>
        <v>0.07336758739505145</v>
      </c>
    </row>
    <row r="66" spans="2:51" ht="12.75">
      <c r="B66">
        <f t="shared" si="6"/>
        <v>1978</v>
      </c>
      <c r="C66" s="57">
        <v>0.0656</v>
      </c>
      <c r="D66" s="57">
        <v>-0.0007</v>
      </c>
      <c r="E66" s="57">
        <v>-0.0118</v>
      </c>
      <c r="F66" s="57">
        <v>0.0349</v>
      </c>
      <c r="G66" s="57">
        <v>0.0718</v>
      </c>
      <c r="H66" s="57">
        <v>0.0903</v>
      </c>
      <c r="I66" s="67">
        <f t="shared" si="18"/>
        <v>8959.7465202476</v>
      </c>
      <c r="J66" s="67">
        <f t="shared" si="18"/>
        <v>780.6041118575474</v>
      </c>
      <c r="K66" s="67">
        <f t="shared" si="18"/>
        <v>534.6215359672632</v>
      </c>
      <c r="L66" s="67">
        <f t="shared" si="18"/>
        <v>671.1613900810569</v>
      </c>
      <c r="M66" s="67">
        <f t="shared" si="18"/>
        <v>373.90801226308326</v>
      </c>
      <c r="N66" s="67">
        <f t="shared" si="18"/>
        <v>377.73688484396735</v>
      </c>
      <c r="O66" s="68">
        <f t="shared" si="7"/>
        <v>19156.94609529877</v>
      </c>
      <c r="P66" s="68">
        <f t="shared" si="8"/>
        <v>49356.547513003716</v>
      </c>
      <c r="R66" s="57">
        <f t="shared" si="20"/>
        <v>0.10860281679697037</v>
      </c>
      <c r="S66" s="57">
        <f t="shared" si="20"/>
        <v>0.03203882906906608</v>
      </c>
      <c r="T66" s="57">
        <f t="shared" si="20"/>
        <v>0.02527365168867446</v>
      </c>
      <c r="U66" s="57">
        <f t="shared" si="20"/>
        <v>0.03849435022024328</v>
      </c>
      <c r="V66" s="57">
        <f t="shared" si="20"/>
        <v>0.03698163177279512</v>
      </c>
      <c r="Y66">
        <f t="shared" si="9"/>
        <v>1978</v>
      </c>
      <c r="Z66" s="57">
        <v>0.0656</v>
      </c>
      <c r="AA66" s="57">
        <v>-0.0007</v>
      </c>
      <c r="AB66" s="57">
        <v>-0.0118</v>
      </c>
      <c r="AC66" s="57">
        <v>0.0349</v>
      </c>
      <c r="AD66" s="57">
        <v>0.0718</v>
      </c>
      <c r="AE66" s="57">
        <v>0.0903</v>
      </c>
      <c r="AF66" s="67">
        <f t="shared" si="19"/>
        <v>8959.7465202476</v>
      </c>
      <c r="AG66" s="67">
        <f t="shared" si="19"/>
        <v>780.6041118575474</v>
      </c>
      <c r="AH66" s="67">
        <f t="shared" si="19"/>
        <v>534.6215359672632</v>
      </c>
      <c r="AI66" s="67">
        <f t="shared" si="19"/>
        <v>671.1613900810569</v>
      </c>
      <c r="AJ66" s="67">
        <f t="shared" si="19"/>
        <v>373.90801226308326</v>
      </c>
      <c r="AK66" s="67">
        <f t="shared" si="19"/>
        <v>377.73688484396735</v>
      </c>
      <c r="AL66" s="68">
        <f t="shared" si="10"/>
        <v>19317.09175338369</v>
      </c>
      <c r="AM66" s="68">
        <f t="shared" si="11"/>
        <v>49461.84563030619</v>
      </c>
      <c r="AO66" s="57">
        <f t="shared" si="21"/>
        <v>0.10860281679697037</v>
      </c>
      <c r="AP66" s="57">
        <f t="shared" si="21"/>
        <v>0.03203882906906608</v>
      </c>
      <c r="AQ66" s="57">
        <f t="shared" si="21"/>
        <v>0.02527365168867446</v>
      </c>
      <c r="AR66" s="57">
        <f t="shared" si="21"/>
        <v>0.03849435022024328</v>
      </c>
      <c r="AS66" s="57">
        <f t="shared" si="21"/>
        <v>0.03698163177279512</v>
      </c>
      <c r="AU66">
        <f t="shared" si="17"/>
        <v>1978</v>
      </c>
      <c r="AV66" s="36">
        <f t="shared" si="22"/>
        <v>0.07656398772790429</v>
      </c>
      <c r="AW66" s="36">
        <f t="shared" si="22"/>
        <v>0.08332916510829591</v>
      </c>
      <c r="AX66" s="36">
        <f t="shared" si="22"/>
        <v>0.07010846657672709</v>
      </c>
      <c r="AY66" s="36">
        <f t="shared" si="22"/>
        <v>0.07162118502417525</v>
      </c>
    </row>
    <row r="67" spans="2:51" ht="12.75">
      <c r="B67">
        <f t="shared" si="6"/>
        <v>1979</v>
      </c>
      <c r="C67" s="57">
        <v>0.1844</v>
      </c>
      <c r="D67" s="57">
        <v>-0.0418</v>
      </c>
      <c r="E67" s="57">
        <v>-0.0123</v>
      </c>
      <c r="F67" s="57">
        <v>0.0409</v>
      </c>
      <c r="G67" s="57">
        <v>0.1038</v>
      </c>
      <c r="H67" s="57">
        <v>0.1331</v>
      </c>
      <c r="I67" s="67">
        <f t="shared" si="18"/>
        <v>10611.923778581258</v>
      </c>
      <c r="J67" s="67">
        <f t="shared" si="18"/>
        <v>747.974859981902</v>
      </c>
      <c r="K67" s="67">
        <f t="shared" si="18"/>
        <v>528.0456910748659</v>
      </c>
      <c r="L67" s="67">
        <f t="shared" si="18"/>
        <v>698.6118909353721</v>
      </c>
      <c r="M67" s="67">
        <f t="shared" si="18"/>
        <v>412.7196639359914</v>
      </c>
      <c r="N67" s="67">
        <f t="shared" si="18"/>
        <v>428.0136642166994</v>
      </c>
      <c r="O67" s="68">
        <f t="shared" si="7"/>
        <v>21153.8313282472</v>
      </c>
      <c r="P67" s="68">
        <f t="shared" si="8"/>
        <v>55483.340277617914</v>
      </c>
      <c r="R67" s="57">
        <f t="shared" si="20"/>
        <v>0.10849378275514843</v>
      </c>
      <c r="S67" s="57">
        <f t="shared" si="20"/>
        <v>0.02945293825797579</v>
      </c>
      <c r="T67" s="57">
        <f t="shared" si="20"/>
        <v>0.022717709402144237</v>
      </c>
      <c r="U67" s="57">
        <f t="shared" si="20"/>
        <v>0.03908821860291711</v>
      </c>
      <c r="V67" s="57">
        <f t="shared" si="20"/>
        <v>0.04002162960936162</v>
      </c>
      <c r="Y67">
        <f t="shared" si="9"/>
        <v>1979</v>
      </c>
      <c r="Z67" s="57">
        <v>0.1844</v>
      </c>
      <c r="AA67" s="57">
        <v>-0.0418</v>
      </c>
      <c r="AB67" s="57">
        <v>-0.0123</v>
      </c>
      <c r="AC67" s="57">
        <v>0.0409</v>
      </c>
      <c r="AD67" s="57">
        <v>0.1038</v>
      </c>
      <c r="AE67" s="57">
        <v>0.1331</v>
      </c>
      <c r="AF67" s="67">
        <f t="shared" si="19"/>
        <v>10611.923778581258</v>
      </c>
      <c r="AG67" s="67">
        <f t="shared" si="19"/>
        <v>747.974859981902</v>
      </c>
      <c r="AH67" s="67">
        <f t="shared" si="19"/>
        <v>528.0456910748659</v>
      </c>
      <c r="AI67" s="67">
        <f t="shared" si="19"/>
        <v>698.6118909353721</v>
      </c>
      <c r="AJ67" s="67">
        <f t="shared" si="19"/>
        <v>412.7196639359914</v>
      </c>
      <c r="AK67" s="67">
        <f t="shared" si="19"/>
        <v>428.0136642166994</v>
      </c>
      <c r="AL67" s="68">
        <f t="shared" si="10"/>
        <v>21330.67027858026</v>
      </c>
      <c r="AM67" s="68">
        <f t="shared" si="11"/>
        <v>55601.709401214874</v>
      </c>
      <c r="AO67" s="57">
        <f t="shared" si="21"/>
        <v>0.10849378275514843</v>
      </c>
      <c r="AP67" s="57">
        <f t="shared" si="21"/>
        <v>0.02945293825797579</v>
      </c>
      <c r="AQ67" s="57">
        <f t="shared" si="21"/>
        <v>0.022717709402144237</v>
      </c>
      <c r="AR67" s="57">
        <f t="shared" si="21"/>
        <v>0.03908821860291711</v>
      </c>
      <c r="AS67" s="57">
        <f t="shared" si="21"/>
        <v>0.04002162960936162</v>
      </c>
      <c r="AU67">
        <f t="shared" si="17"/>
        <v>1979</v>
      </c>
      <c r="AV67" s="36">
        <f t="shared" si="22"/>
        <v>0.07904084449717264</v>
      </c>
      <c r="AW67" s="36">
        <f t="shared" si="22"/>
        <v>0.08577607335300419</v>
      </c>
      <c r="AX67" s="36">
        <f t="shared" si="22"/>
        <v>0.06940556415223131</v>
      </c>
      <c r="AY67" s="36">
        <f t="shared" si="22"/>
        <v>0.06847215314578681</v>
      </c>
    </row>
    <row r="68" spans="2:51" ht="12.75">
      <c r="B68">
        <f t="shared" si="6"/>
        <v>1980</v>
      </c>
      <c r="C68" s="57">
        <v>0.3242</v>
      </c>
      <c r="D68" s="57">
        <v>-0.0276</v>
      </c>
      <c r="E68" s="57">
        <v>-0.0395</v>
      </c>
      <c r="F68" s="57">
        <v>0.0391</v>
      </c>
      <c r="G68" s="57">
        <v>0.1124</v>
      </c>
      <c r="H68" s="57">
        <v>0.124</v>
      </c>
      <c r="I68" s="67">
        <f t="shared" si="18"/>
        <v>14052.309467597303</v>
      </c>
      <c r="J68" s="67">
        <f t="shared" si="18"/>
        <v>727.3307538464015</v>
      </c>
      <c r="K68" s="67">
        <f t="shared" si="18"/>
        <v>507.18788627740867</v>
      </c>
      <c r="L68" s="67">
        <f t="shared" si="18"/>
        <v>725.9276158709451</v>
      </c>
      <c r="M68" s="67">
        <f t="shared" si="18"/>
        <v>459.1093541623968</v>
      </c>
      <c r="N68" s="67">
        <f t="shared" si="18"/>
        <v>481.08735857957015</v>
      </c>
      <c r="O68" s="68">
        <f t="shared" si="7"/>
        <v>23358.86824746812</v>
      </c>
      <c r="P68" s="68">
        <f t="shared" si="8"/>
        <v>62370.672250746225</v>
      </c>
      <c r="R68" s="57">
        <f t="shared" si="20"/>
        <v>0.10869244831269498</v>
      </c>
      <c r="S68" s="57">
        <f t="shared" si="20"/>
        <v>0.027774020523018583</v>
      </c>
      <c r="T68" s="57">
        <f t="shared" si="20"/>
        <v>0.021324316255836084</v>
      </c>
      <c r="U68" s="57">
        <f t="shared" si="20"/>
        <v>0.0401756506403379</v>
      </c>
      <c r="V68" s="57">
        <f t="shared" si="20"/>
        <v>0.04330603713928616</v>
      </c>
      <c r="Y68">
        <f t="shared" si="9"/>
        <v>1980</v>
      </c>
      <c r="Z68" s="57">
        <v>0.3242</v>
      </c>
      <c r="AA68" s="57">
        <v>-0.0276</v>
      </c>
      <c r="AB68" s="57">
        <v>-0.0395</v>
      </c>
      <c r="AC68" s="57">
        <v>0.0391</v>
      </c>
      <c r="AD68" s="57">
        <v>0.1124</v>
      </c>
      <c r="AE68" s="57">
        <v>0.124</v>
      </c>
      <c r="AF68" s="67">
        <f t="shared" si="19"/>
        <v>14052.309467597303</v>
      </c>
      <c r="AG68" s="67">
        <f t="shared" si="19"/>
        <v>727.3307538464015</v>
      </c>
      <c r="AH68" s="67">
        <f t="shared" si="19"/>
        <v>507.18788627740867</v>
      </c>
      <c r="AI68" s="67">
        <f t="shared" si="19"/>
        <v>725.9276158709451</v>
      </c>
      <c r="AJ68" s="67">
        <f t="shared" si="19"/>
        <v>459.1093541623968</v>
      </c>
      <c r="AK68" s="67">
        <f t="shared" si="19"/>
        <v>481.08735857957015</v>
      </c>
      <c r="AL68" s="68">
        <f t="shared" si="10"/>
        <v>23554.140568484247</v>
      </c>
      <c r="AM68" s="68">
        <f t="shared" si="11"/>
        <v>62503.73492821902</v>
      </c>
      <c r="AO68" s="57">
        <f t="shared" si="21"/>
        <v>0.10869244831269498</v>
      </c>
      <c r="AP68" s="57">
        <f t="shared" si="21"/>
        <v>0.027774020523018583</v>
      </c>
      <c r="AQ68" s="57">
        <f t="shared" si="21"/>
        <v>0.021324316255836084</v>
      </c>
      <c r="AR68" s="57">
        <f t="shared" si="21"/>
        <v>0.0401756506403379</v>
      </c>
      <c r="AS68" s="57">
        <f t="shared" si="21"/>
        <v>0.04330603713928616</v>
      </c>
      <c r="AU68">
        <f t="shared" si="17"/>
        <v>1980</v>
      </c>
      <c r="AV68" s="36">
        <f t="shared" si="22"/>
        <v>0.0809184277896764</v>
      </c>
      <c r="AW68" s="36">
        <f t="shared" si="22"/>
        <v>0.0873681320568589</v>
      </c>
      <c r="AX68" s="36">
        <f t="shared" si="22"/>
        <v>0.06851679767235708</v>
      </c>
      <c r="AY68" s="36">
        <f t="shared" si="22"/>
        <v>0.06538641117340882</v>
      </c>
    </row>
    <row r="69" spans="2:51" ht="12.75">
      <c r="B69">
        <f t="shared" si="6"/>
        <v>1981</v>
      </c>
      <c r="C69" s="57">
        <v>-0.0491</v>
      </c>
      <c r="D69" s="57">
        <v>-0.0124</v>
      </c>
      <c r="E69" s="57">
        <v>0.0186</v>
      </c>
      <c r="F69" s="57">
        <v>0.0945</v>
      </c>
      <c r="G69" s="57">
        <v>0.1471</v>
      </c>
      <c r="H69" s="57">
        <v>0.0894</v>
      </c>
      <c r="I69" s="67">
        <f t="shared" si="18"/>
        <v>13362.341072738274</v>
      </c>
      <c r="J69" s="67">
        <f t="shared" si="18"/>
        <v>718.3118524987062</v>
      </c>
      <c r="K69" s="67">
        <f t="shared" si="18"/>
        <v>516.6215809621684</v>
      </c>
      <c r="L69" s="67">
        <f t="shared" si="18"/>
        <v>794.5277755707494</v>
      </c>
      <c r="M69" s="67">
        <f t="shared" si="18"/>
        <v>526.6443401596854</v>
      </c>
      <c r="N69" s="67">
        <f t="shared" si="18"/>
        <v>524.0965684365837</v>
      </c>
      <c r="O69" s="68">
        <f t="shared" si="7"/>
        <v>25793.75420631122</v>
      </c>
      <c r="P69" s="68">
        <f t="shared" si="8"/>
        <v>70112.95169947219</v>
      </c>
      <c r="R69" s="57">
        <f t="shared" si="20"/>
        <v>0.0989194499227748</v>
      </c>
      <c r="S69" s="57">
        <f t="shared" si="20"/>
        <v>0.028280869077236037</v>
      </c>
      <c r="T69" s="57">
        <f t="shared" si="20"/>
        <v>0.023318599974050613</v>
      </c>
      <c r="U69" s="57">
        <f t="shared" si="20"/>
        <v>0.043186248938480665</v>
      </c>
      <c r="V69" s="57">
        <f t="shared" si="20"/>
        <v>0.04757306008851714</v>
      </c>
      <c r="Y69">
        <f t="shared" si="9"/>
        <v>1981</v>
      </c>
      <c r="Z69" s="57">
        <v>-0.0491</v>
      </c>
      <c r="AA69" s="57">
        <v>-0.0124</v>
      </c>
      <c r="AB69" s="57">
        <v>0.0186</v>
      </c>
      <c r="AC69" s="57">
        <v>0.0945</v>
      </c>
      <c r="AD69" s="57">
        <v>0.1471</v>
      </c>
      <c r="AE69" s="57">
        <v>0.0894</v>
      </c>
      <c r="AF69" s="67">
        <f t="shared" si="19"/>
        <v>13362.341072738274</v>
      </c>
      <c r="AG69" s="67">
        <f t="shared" si="19"/>
        <v>718.3118524987062</v>
      </c>
      <c r="AH69" s="67">
        <f t="shared" si="19"/>
        <v>516.6215809621684</v>
      </c>
      <c r="AI69" s="67">
        <f t="shared" si="19"/>
        <v>794.5277755707494</v>
      </c>
      <c r="AJ69" s="67">
        <f t="shared" si="19"/>
        <v>526.6443401596854</v>
      </c>
      <c r="AK69" s="67">
        <f t="shared" si="19"/>
        <v>524.0965684365837</v>
      </c>
      <c r="AL69" s="68">
        <f t="shared" si="10"/>
        <v>26009.38135905788</v>
      </c>
      <c r="AM69" s="68">
        <f t="shared" si="11"/>
        <v>70262.53189064194</v>
      </c>
      <c r="AO69" s="57">
        <f t="shared" si="21"/>
        <v>0.0989194499227748</v>
      </c>
      <c r="AP69" s="57">
        <f t="shared" si="21"/>
        <v>0.028280869077236037</v>
      </c>
      <c r="AQ69" s="57">
        <f t="shared" si="21"/>
        <v>0.023318599974050613</v>
      </c>
      <c r="AR69" s="57">
        <f t="shared" si="21"/>
        <v>0.043186248938480665</v>
      </c>
      <c r="AS69" s="57">
        <f t="shared" si="21"/>
        <v>0.04757306008851714</v>
      </c>
      <c r="AU69">
        <f t="shared" si="17"/>
        <v>1981</v>
      </c>
      <c r="AV69" s="36">
        <f t="shared" si="22"/>
        <v>0.07063858084553876</v>
      </c>
      <c r="AW69" s="36">
        <f t="shared" si="22"/>
        <v>0.07560084994872418</v>
      </c>
      <c r="AX69" s="36">
        <f t="shared" si="22"/>
        <v>0.05573320098429413</v>
      </c>
      <c r="AY69" s="36">
        <f t="shared" si="22"/>
        <v>0.051346389834257655</v>
      </c>
    </row>
    <row r="70" spans="2:51" ht="12.75">
      <c r="B70">
        <f t="shared" si="6"/>
        <v>1982</v>
      </c>
      <c r="C70" s="57">
        <v>0.2141</v>
      </c>
      <c r="D70" s="57">
        <v>0.4256</v>
      </c>
      <c r="E70" s="57">
        <v>0.4036</v>
      </c>
      <c r="F70" s="57">
        <v>0.291</v>
      </c>
      <c r="G70" s="57">
        <v>0.1054</v>
      </c>
      <c r="H70" s="57">
        <v>0.0387</v>
      </c>
      <c r="I70" s="67">
        <f t="shared" si="18"/>
        <v>16223.218296411538</v>
      </c>
      <c r="J70" s="67">
        <f t="shared" si="18"/>
        <v>1024.0253769221556</v>
      </c>
      <c r="K70" s="67">
        <f t="shared" si="18"/>
        <v>725.1300510384996</v>
      </c>
      <c r="L70" s="67">
        <f t="shared" si="18"/>
        <v>1025.7353582618375</v>
      </c>
      <c r="M70" s="67">
        <f t="shared" si="18"/>
        <v>582.1526536125162</v>
      </c>
      <c r="N70" s="67">
        <f t="shared" si="18"/>
        <v>544.3791056350794</v>
      </c>
      <c r="O70" s="68">
        <f t="shared" si="7"/>
        <v>28482.448250792797</v>
      </c>
      <c r="P70" s="68">
        <f t="shared" si="8"/>
        <v>78816.30610376668</v>
      </c>
      <c r="R70" s="57">
        <f t="shared" si="20"/>
        <v>0.09984872022805003</v>
      </c>
      <c r="S70" s="57">
        <f t="shared" si="20"/>
        <v>0.03930783997071763</v>
      </c>
      <c r="T70" s="57">
        <f t="shared" si="20"/>
        <v>0.03455127264387148</v>
      </c>
      <c r="U70" s="57">
        <f t="shared" si="20"/>
        <v>0.05153886978442834</v>
      </c>
      <c r="V70" s="57">
        <f t="shared" si="20"/>
        <v>0.050501394357354235</v>
      </c>
      <c r="Y70">
        <f t="shared" si="9"/>
        <v>1982</v>
      </c>
      <c r="Z70" s="57">
        <v>0.2141</v>
      </c>
      <c r="AA70" s="57">
        <v>0.4256</v>
      </c>
      <c r="AB70" s="57">
        <v>0.4036</v>
      </c>
      <c r="AC70" s="57">
        <v>0.291</v>
      </c>
      <c r="AD70" s="57">
        <v>0.1054</v>
      </c>
      <c r="AE70" s="57">
        <v>0.0387</v>
      </c>
      <c r="AF70" s="67">
        <f t="shared" si="19"/>
        <v>16223.218296411538</v>
      </c>
      <c r="AG70" s="67">
        <f t="shared" si="19"/>
        <v>1024.0253769221556</v>
      </c>
      <c r="AH70" s="67">
        <f t="shared" si="19"/>
        <v>725.1300510384996</v>
      </c>
      <c r="AI70" s="67">
        <f t="shared" si="19"/>
        <v>1025.7353582618375</v>
      </c>
      <c r="AJ70" s="67">
        <f t="shared" si="19"/>
        <v>582.1526536125162</v>
      </c>
      <c r="AK70" s="67">
        <f t="shared" si="19"/>
        <v>544.3791056350794</v>
      </c>
      <c r="AL70" s="68">
        <f t="shared" si="10"/>
        <v>28720.551985923754</v>
      </c>
      <c r="AM70" s="68">
        <f t="shared" si="11"/>
        <v>78984.45418266697</v>
      </c>
      <c r="AO70" s="57">
        <f t="shared" si="21"/>
        <v>0.09984872022805003</v>
      </c>
      <c r="AP70" s="57">
        <f t="shared" si="21"/>
        <v>0.03930783997071763</v>
      </c>
      <c r="AQ70" s="57">
        <f t="shared" si="21"/>
        <v>0.03455127264387148</v>
      </c>
      <c r="AR70" s="57">
        <f t="shared" si="21"/>
        <v>0.05153886978442834</v>
      </c>
      <c r="AS70" s="57">
        <f t="shared" si="21"/>
        <v>0.050501394357354235</v>
      </c>
      <c r="AU70">
        <f t="shared" si="17"/>
        <v>1982</v>
      </c>
      <c r="AV70" s="36">
        <f t="shared" si="22"/>
        <v>0.0605408802573324</v>
      </c>
      <c r="AW70" s="36">
        <f t="shared" si="22"/>
        <v>0.06529744758417855</v>
      </c>
      <c r="AX70" s="36">
        <f t="shared" si="22"/>
        <v>0.04830985044362168</v>
      </c>
      <c r="AY70" s="36">
        <f t="shared" si="22"/>
        <v>0.04934732587069579</v>
      </c>
    </row>
    <row r="71" spans="2:51" ht="12.75">
      <c r="B71">
        <f t="shared" si="6"/>
        <v>1983</v>
      </c>
      <c r="C71" s="57">
        <v>0.2251</v>
      </c>
      <c r="D71" s="57">
        <v>0.0626</v>
      </c>
      <c r="E71" s="57">
        <v>0.0065</v>
      </c>
      <c r="F71" s="57">
        <v>0.0741</v>
      </c>
      <c r="G71" s="57">
        <v>0.088</v>
      </c>
      <c r="H71" s="57">
        <v>0.038</v>
      </c>
      <c r="I71" s="67">
        <f t="shared" si="18"/>
        <v>19875.064734933778</v>
      </c>
      <c r="J71" s="67">
        <f t="shared" si="18"/>
        <v>1088.1293655174825</v>
      </c>
      <c r="K71" s="67">
        <f t="shared" si="18"/>
        <v>729.8433963702498</v>
      </c>
      <c r="L71" s="67">
        <f t="shared" si="18"/>
        <v>1101.7423483090397</v>
      </c>
      <c r="M71" s="67">
        <f t="shared" si="18"/>
        <v>633.3820871304177</v>
      </c>
      <c r="N71" s="67">
        <f t="shared" si="18"/>
        <v>565.0655116492125</v>
      </c>
      <c r="O71" s="68">
        <f t="shared" si="7"/>
        <v>31451.406874327466</v>
      </c>
      <c r="P71" s="68">
        <f t="shared" si="8"/>
        <v>88600.03690144759</v>
      </c>
      <c r="R71" s="57">
        <f t="shared" si="20"/>
        <v>0.10768439248348582</v>
      </c>
      <c r="S71" s="57">
        <f t="shared" si="20"/>
        <v>0.04025013101028829</v>
      </c>
      <c r="T71" s="57">
        <f t="shared" si="20"/>
        <v>0.03354224287970364</v>
      </c>
      <c r="U71" s="57">
        <f t="shared" si="20"/>
        <v>0.052931109023478085</v>
      </c>
      <c r="V71" s="57">
        <f t="shared" si="20"/>
        <v>0.052825737665635364</v>
      </c>
      <c r="Y71">
        <f t="shared" si="9"/>
        <v>1983</v>
      </c>
      <c r="Z71" s="57">
        <v>0.2251</v>
      </c>
      <c r="AA71" s="57">
        <v>0.0626</v>
      </c>
      <c r="AB71" s="57">
        <v>0.0065</v>
      </c>
      <c r="AC71" s="57">
        <v>0.0741</v>
      </c>
      <c r="AD71" s="57">
        <v>0.088</v>
      </c>
      <c r="AE71" s="57">
        <v>0.038</v>
      </c>
      <c r="AF71" s="67">
        <f t="shared" si="19"/>
        <v>19875.064734933778</v>
      </c>
      <c r="AG71" s="67">
        <f t="shared" si="19"/>
        <v>1088.1293655174825</v>
      </c>
      <c r="AH71" s="67">
        <f t="shared" si="19"/>
        <v>729.8433963702498</v>
      </c>
      <c r="AI71" s="67">
        <f t="shared" si="19"/>
        <v>1101.7423483090397</v>
      </c>
      <c r="AJ71" s="67">
        <f t="shared" si="19"/>
        <v>633.3820871304177</v>
      </c>
      <c r="AK71" s="67">
        <f t="shared" si="19"/>
        <v>565.0655116492125</v>
      </c>
      <c r="AL71" s="68">
        <f t="shared" si="10"/>
        <v>31714.330109927214</v>
      </c>
      <c r="AM71" s="68">
        <f t="shared" si="11"/>
        <v>88789.05776187537</v>
      </c>
      <c r="AO71" s="57">
        <f t="shared" si="21"/>
        <v>0.10768439248348582</v>
      </c>
      <c r="AP71" s="57">
        <f t="shared" si="21"/>
        <v>0.04025013101028829</v>
      </c>
      <c r="AQ71" s="57">
        <f t="shared" si="21"/>
        <v>0.03354224287970364</v>
      </c>
      <c r="AR71" s="57">
        <f t="shared" si="21"/>
        <v>0.052931109023478085</v>
      </c>
      <c r="AS71" s="57">
        <f t="shared" si="21"/>
        <v>0.052825737665635364</v>
      </c>
      <c r="AU71">
        <f t="shared" si="17"/>
        <v>1983</v>
      </c>
      <c r="AV71" s="36">
        <f t="shared" si="22"/>
        <v>0.06743426147319753</v>
      </c>
      <c r="AW71" s="36">
        <f t="shared" si="22"/>
        <v>0.07414214960378218</v>
      </c>
      <c r="AX71" s="36">
        <f t="shared" si="22"/>
        <v>0.05475328346000774</v>
      </c>
      <c r="AY71" s="36">
        <f t="shared" si="22"/>
        <v>0.05485865481785046</v>
      </c>
    </row>
    <row r="72" spans="2:51" ht="12.75">
      <c r="B72">
        <f t="shared" si="6"/>
        <v>1984</v>
      </c>
      <c r="C72" s="57">
        <v>0.0627</v>
      </c>
      <c r="D72" s="57">
        <v>0.1686</v>
      </c>
      <c r="E72" s="57">
        <v>0.1548</v>
      </c>
      <c r="F72" s="57">
        <v>0.1402</v>
      </c>
      <c r="G72" s="57">
        <v>0.0985</v>
      </c>
      <c r="H72" s="57">
        <v>0.0395</v>
      </c>
      <c r="I72" s="67">
        <f t="shared" si="18"/>
        <v>21121.231293814126</v>
      </c>
      <c r="J72" s="67">
        <f t="shared" si="18"/>
        <v>1271.58797654373</v>
      </c>
      <c r="K72" s="67">
        <f t="shared" si="18"/>
        <v>842.8231541283645</v>
      </c>
      <c r="L72" s="67">
        <f t="shared" si="18"/>
        <v>1256.2066255419672</v>
      </c>
      <c r="M72" s="67">
        <f t="shared" si="18"/>
        <v>695.7702227127639</v>
      </c>
      <c r="N72" s="67">
        <f t="shared" si="18"/>
        <v>587.3855993593564</v>
      </c>
      <c r="O72" s="68">
        <f t="shared" si="7"/>
        <v>34729.84434710451</v>
      </c>
      <c r="P72" s="68">
        <f t="shared" si="8"/>
        <v>99598.25481548063</v>
      </c>
      <c r="R72" s="57">
        <f t="shared" si="20"/>
        <v>0.09439981466506686</v>
      </c>
      <c r="S72" s="57">
        <f t="shared" si="20"/>
        <v>0.04383854198369885</v>
      </c>
      <c r="T72" s="57">
        <f t="shared" si="20"/>
        <v>0.03611186870969818</v>
      </c>
      <c r="U72" s="57">
        <f t="shared" si="20"/>
        <v>0.05661424896776368</v>
      </c>
      <c r="V72" s="57">
        <f t="shared" si="20"/>
        <v>0.05582643139658949</v>
      </c>
      <c r="Y72">
        <f t="shared" si="9"/>
        <v>1984</v>
      </c>
      <c r="Z72" s="57">
        <v>0.0627</v>
      </c>
      <c r="AA72" s="57">
        <v>0.1686</v>
      </c>
      <c r="AB72" s="57">
        <v>0.1548</v>
      </c>
      <c r="AC72" s="57">
        <v>0.1402</v>
      </c>
      <c r="AD72" s="57">
        <v>0.0985</v>
      </c>
      <c r="AE72" s="57">
        <v>0.0395</v>
      </c>
      <c r="AF72" s="67">
        <f t="shared" si="19"/>
        <v>21121.231293814126</v>
      </c>
      <c r="AG72" s="67">
        <f t="shared" si="19"/>
        <v>1271.58797654373</v>
      </c>
      <c r="AH72" s="67">
        <f t="shared" si="19"/>
        <v>842.8231541283645</v>
      </c>
      <c r="AI72" s="67">
        <f t="shared" si="19"/>
        <v>1256.2066255419672</v>
      </c>
      <c r="AJ72" s="67">
        <f t="shared" si="19"/>
        <v>695.7702227127639</v>
      </c>
      <c r="AK72" s="67">
        <f t="shared" si="19"/>
        <v>587.3855993593564</v>
      </c>
      <c r="AL72" s="68">
        <f t="shared" si="10"/>
        <v>35020.17422277916</v>
      </c>
      <c r="AM72" s="68">
        <f t="shared" si="11"/>
        <v>99810.73946538285</v>
      </c>
      <c r="AO72" s="57">
        <f t="shared" si="21"/>
        <v>0.09439981466506686</v>
      </c>
      <c r="AP72" s="57">
        <f t="shared" si="21"/>
        <v>0.04383854198369885</v>
      </c>
      <c r="AQ72" s="57">
        <f t="shared" si="21"/>
        <v>0.03611186870969818</v>
      </c>
      <c r="AR72" s="57">
        <f t="shared" si="21"/>
        <v>0.05661424896776368</v>
      </c>
      <c r="AS72" s="57">
        <f t="shared" si="21"/>
        <v>0.05582643139658949</v>
      </c>
      <c r="AU72">
        <f t="shared" si="17"/>
        <v>1984</v>
      </c>
      <c r="AV72" s="36">
        <f t="shared" si="22"/>
        <v>0.05056127268136801</v>
      </c>
      <c r="AW72" s="36">
        <f t="shared" si="22"/>
        <v>0.05828794595536868</v>
      </c>
      <c r="AX72" s="36">
        <f t="shared" si="22"/>
        <v>0.03778556569730318</v>
      </c>
      <c r="AY72" s="36">
        <f t="shared" si="22"/>
        <v>0.03857338326847737</v>
      </c>
    </row>
    <row r="73" spans="2:51" ht="12.75">
      <c r="B73">
        <f t="shared" si="6"/>
        <v>1985</v>
      </c>
      <c r="C73" s="57">
        <v>0.3216</v>
      </c>
      <c r="D73" s="57">
        <v>0.3009</v>
      </c>
      <c r="E73" s="57">
        <v>0.3097</v>
      </c>
      <c r="F73" s="57">
        <v>0.2033</v>
      </c>
      <c r="G73" s="57">
        <v>0.0772</v>
      </c>
      <c r="H73" s="57">
        <v>0.0377</v>
      </c>
      <c r="I73" s="67">
        <f t="shared" si="18"/>
        <v>27913.81927790475</v>
      </c>
      <c r="J73" s="67">
        <f t="shared" si="18"/>
        <v>1654.2087986857384</v>
      </c>
      <c r="K73" s="67">
        <f t="shared" si="18"/>
        <v>1103.8454849619188</v>
      </c>
      <c r="L73" s="67">
        <f t="shared" si="18"/>
        <v>1511.5934325146493</v>
      </c>
      <c r="M73" s="67">
        <f t="shared" si="18"/>
        <v>749.4836839061893</v>
      </c>
      <c r="N73" s="67">
        <f t="shared" si="18"/>
        <v>609.5300364552043</v>
      </c>
      <c r="O73" s="68">
        <f t="shared" si="7"/>
        <v>38350.02018172514</v>
      </c>
      <c r="P73" s="68">
        <f t="shared" si="8"/>
        <v>111961.71817990896</v>
      </c>
      <c r="R73" s="57">
        <f t="shared" si="20"/>
        <v>0.09456582174902839</v>
      </c>
      <c r="S73" s="57">
        <f t="shared" si="20"/>
        <v>0.05286366456780822</v>
      </c>
      <c r="T73" s="57">
        <f t="shared" si="20"/>
        <v>0.045924503953024054</v>
      </c>
      <c r="U73" s="57">
        <f t="shared" si="20"/>
        <v>0.06338369738325045</v>
      </c>
      <c r="V73" s="57">
        <f t="shared" si="20"/>
        <v>0.05789742397025699</v>
      </c>
      <c r="Y73">
        <f t="shared" si="9"/>
        <v>1985</v>
      </c>
      <c r="Z73" s="57">
        <v>0.3216</v>
      </c>
      <c r="AA73" s="57">
        <v>0.3009</v>
      </c>
      <c r="AB73" s="57">
        <v>0.3097</v>
      </c>
      <c r="AC73" s="57">
        <v>0.2033</v>
      </c>
      <c r="AD73" s="57">
        <v>0.0772</v>
      </c>
      <c r="AE73" s="57">
        <v>0.0377</v>
      </c>
      <c r="AF73" s="67">
        <f t="shared" si="19"/>
        <v>27913.81927790475</v>
      </c>
      <c r="AG73" s="67">
        <f t="shared" si="19"/>
        <v>1654.2087986857384</v>
      </c>
      <c r="AH73" s="67">
        <f t="shared" si="19"/>
        <v>1103.8454849619188</v>
      </c>
      <c r="AI73" s="67">
        <f t="shared" si="19"/>
        <v>1511.5934325146493</v>
      </c>
      <c r="AJ73" s="67">
        <f t="shared" si="19"/>
        <v>749.4836839061893</v>
      </c>
      <c r="AK73" s="67">
        <f t="shared" si="19"/>
        <v>609.5300364552043</v>
      </c>
      <c r="AL73" s="68">
        <f t="shared" si="10"/>
        <v>38670.61351580983</v>
      </c>
      <c r="AM73" s="68">
        <f t="shared" si="11"/>
        <v>112200.57925768572</v>
      </c>
      <c r="AO73" s="57">
        <f t="shared" si="21"/>
        <v>0.09456582174902839</v>
      </c>
      <c r="AP73" s="57">
        <f t="shared" si="21"/>
        <v>0.05286366456780822</v>
      </c>
      <c r="AQ73" s="57">
        <f t="shared" si="21"/>
        <v>0.045924503953024054</v>
      </c>
      <c r="AR73" s="57">
        <f t="shared" si="21"/>
        <v>0.06338369738325045</v>
      </c>
      <c r="AS73" s="57">
        <f t="shared" si="21"/>
        <v>0.05789742397025699</v>
      </c>
      <c r="AU73">
        <f t="shared" si="17"/>
        <v>1985</v>
      </c>
      <c r="AV73" s="36">
        <f t="shared" si="22"/>
        <v>0.04170215718122017</v>
      </c>
      <c r="AW73" s="36">
        <f t="shared" si="22"/>
        <v>0.048641317796004335</v>
      </c>
      <c r="AX73" s="36">
        <f t="shared" si="22"/>
        <v>0.03118212436577794</v>
      </c>
      <c r="AY73" s="36">
        <f t="shared" si="22"/>
        <v>0.0366683977787714</v>
      </c>
    </row>
    <row r="74" spans="2:51" ht="12.75">
      <c r="B74">
        <f t="shared" si="6"/>
        <v>1986</v>
      </c>
      <c r="C74" s="57">
        <v>0.1847</v>
      </c>
      <c r="D74" s="57">
        <v>0.1985</v>
      </c>
      <c r="E74" s="57">
        <v>0.2453</v>
      </c>
      <c r="F74" s="57">
        <v>0.1514</v>
      </c>
      <c r="G74" s="57">
        <v>0.0616</v>
      </c>
      <c r="H74" s="57">
        <v>0.0113</v>
      </c>
      <c r="I74" s="67">
        <f t="shared" si="18"/>
        <v>33069.50169853376</v>
      </c>
      <c r="J74" s="67">
        <f t="shared" si="18"/>
        <v>1982.5692452248577</v>
      </c>
      <c r="K74" s="67">
        <f t="shared" si="18"/>
        <v>1374.6187824230776</v>
      </c>
      <c r="L74" s="67">
        <f t="shared" si="18"/>
        <v>1740.4486781973671</v>
      </c>
      <c r="M74" s="67">
        <f t="shared" si="18"/>
        <v>795.6518788348106</v>
      </c>
      <c r="N74" s="67">
        <f t="shared" si="18"/>
        <v>616.4177258671481</v>
      </c>
      <c r="O74" s="68">
        <f t="shared" si="7"/>
        <v>42347.556563735154</v>
      </c>
      <c r="P74" s="68">
        <f t="shared" si="8"/>
        <v>125859.89946330833</v>
      </c>
      <c r="R74" s="57">
        <f t="shared" si="20"/>
        <v>0.09843835451326521</v>
      </c>
      <c r="S74" s="57">
        <f t="shared" si="20"/>
        <v>0.06173083124940093</v>
      </c>
      <c r="T74" s="57">
        <f t="shared" si="20"/>
        <v>0.05562306490513147</v>
      </c>
      <c r="U74" s="57">
        <f t="shared" si="20"/>
        <v>0.06854250236462445</v>
      </c>
      <c r="V74" s="57">
        <f t="shared" si="20"/>
        <v>0.059149124473981685</v>
      </c>
      <c r="Y74">
        <f t="shared" si="9"/>
        <v>1986</v>
      </c>
      <c r="Z74" s="57">
        <v>0.1847</v>
      </c>
      <c r="AA74" s="57">
        <v>0.1985</v>
      </c>
      <c r="AB74" s="57">
        <v>0.2453</v>
      </c>
      <c r="AC74" s="57">
        <v>0.1514</v>
      </c>
      <c r="AD74" s="57">
        <v>0.0616</v>
      </c>
      <c r="AE74" s="57">
        <v>0.0113</v>
      </c>
      <c r="AF74" s="67">
        <f t="shared" si="19"/>
        <v>33069.50169853376</v>
      </c>
      <c r="AG74" s="67">
        <f t="shared" si="19"/>
        <v>1982.5692452248577</v>
      </c>
      <c r="AH74" s="67">
        <f t="shared" si="19"/>
        <v>1374.6187824230776</v>
      </c>
      <c r="AI74" s="67">
        <f t="shared" si="19"/>
        <v>1740.4486781973671</v>
      </c>
      <c r="AJ74" s="67">
        <f t="shared" si="19"/>
        <v>795.6518788348106</v>
      </c>
      <c r="AK74" s="67">
        <f t="shared" si="19"/>
        <v>616.4177258671481</v>
      </c>
      <c r="AL74" s="68">
        <f t="shared" si="10"/>
        <v>42701.567964114474</v>
      </c>
      <c r="AM74" s="68">
        <f t="shared" si="11"/>
        <v>126128.41116287312</v>
      </c>
      <c r="AO74" s="57">
        <f t="shared" si="21"/>
        <v>0.09843835451326521</v>
      </c>
      <c r="AP74" s="57">
        <f t="shared" si="21"/>
        <v>0.06173083124940093</v>
      </c>
      <c r="AQ74" s="57">
        <f t="shared" si="21"/>
        <v>0.05562306490513147</v>
      </c>
      <c r="AR74" s="57">
        <f t="shared" si="21"/>
        <v>0.06854250236462445</v>
      </c>
      <c r="AS74" s="57">
        <f t="shared" si="21"/>
        <v>0.059149124473981685</v>
      </c>
      <c r="AU74">
        <f t="shared" si="17"/>
        <v>1986</v>
      </c>
      <c r="AV74" s="36">
        <f t="shared" si="22"/>
        <v>0.03670752326386428</v>
      </c>
      <c r="AW74" s="36">
        <f t="shared" si="22"/>
        <v>0.042815289608133744</v>
      </c>
      <c r="AX74" s="36">
        <f t="shared" si="22"/>
        <v>0.029895852148640767</v>
      </c>
      <c r="AY74" s="36">
        <f t="shared" si="22"/>
        <v>0.03928923003928353</v>
      </c>
    </row>
    <row r="75" spans="2:51" ht="12.75">
      <c r="B75">
        <f t="shared" si="6"/>
        <v>1987</v>
      </c>
      <c r="C75" s="57">
        <v>0.0523</v>
      </c>
      <c r="D75" s="57">
        <v>-0.0027</v>
      </c>
      <c r="E75" s="57">
        <v>-0.0271</v>
      </c>
      <c r="F75" s="57">
        <v>0.029</v>
      </c>
      <c r="G75" s="57">
        <v>0.0547</v>
      </c>
      <c r="H75" s="57">
        <v>0.0441</v>
      </c>
      <c r="I75" s="67">
        <f t="shared" si="18"/>
        <v>34799.03663736707</v>
      </c>
      <c r="J75" s="67">
        <f t="shared" si="18"/>
        <v>1977.2163082627505</v>
      </c>
      <c r="K75" s="67">
        <f t="shared" si="18"/>
        <v>1337.3666134194123</v>
      </c>
      <c r="L75" s="67">
        <f t="shared" si="18"/>
        <v>1790.9216898650907</v>
      </c>
      <c r="M75" s="67">
        <f t="shared" si="18"/>
        <v>839.1740366070748</v>
      </c>
      <c r="N75" s="67">
        <f t="shared" si="18"/>
        <v>643.6017475778893</v>
      </c>
      <c r="O75" s="68">
        <f t="shared" si="7"/>
        <v>46761.78887053919</v>
      </c>
      <c r="P75" s="68">
        <f t="shared" si="8"/>
        <v>141483.30831668703</v>
      </c>
      <c r="R75" s="57">
        <f t="shared" si="20"/>
        <v>0.10449800035863577</v>
      </c>
      <c r="S75" s="57">
        <f t="shared" si="20"/>
        <v>0.05868389450761802</v>
      </c>
      <c r="T75" s="57">
        <f t="shared" si="20"/>
        <v>0.0521304335638717</v>
      </c>
      <c r="U75" s="57">
        <f t="shared" si="20"/>
        <v>0.06687363924555778</v>
      </c>
      <c r="V75" s="57">
        <f t="shared" si="20"/>
        <v>0.05993810524344645</v>
      </c>
      <c r="Y75">
        <f t="shared" si="9"/>
        <v>1987</v>
      </c>
      <c r="Z75" s="57">
        <v>0.0523</v>
      </c>
      <c r="AA75" s="57">
        <v>-0.0027</v>
      </c>
      <c r="AB75" s="57">
        <v>-0.0271</v>
      </c>
      <c r="AC75" s="57">
        <v>0.029</v>
      </c>
      <c r="AD75" s="57">
        <v>0.0547</v>
      </c>
      <c r="AE75" s="57">
        <v>0.0441</v>
      </c>
      <c r="AF75" s="67">
        <f t="shared" si="19"/>
        <v>34799.03663736707</v>
      </c>
      <c r="AG75" s="67">
        <f t="shared" si="19"/>
        <v>1977.2163082627505</v>
      </c>
      <c r="AH75" s="67">
        <f t="shared" si="19"/>
        <v>1337.3666134194123</v>
      </c>
      <c r="AI75" s="67">
        <f t="shared" si="19"/>
        <v>1790.9216898650907</v>
      </c>
      <c r="AJ75" s="67">
        <f t="shared" si="19"/>
        <v>839.1740366070748</v>
      </c>
      <c r="AK75" s="67">
        <f t="shared" si="19"/>
        <v>643.6017475778893</v>
      </c>
      <c r="AL75" s="68">
        <f t="shared" si="10"/>
        <v>47152.70177568844</v>
      </c>
      <c r="AM75" s="68">
        <f t="shared" si="11"/>
        <v>141785.1512685578</v>
      </c>
      <c r="AO75" s="57">
        <f t="shared" si="21"/>
        <v>0.10449800035863577</v>
      </c>
      <c r="AP75" s="57">
        <f t="shared" si="21"/>
        <v>0.05868389450761802</v>
      </c>
      <c r="AQ75" s="57">
        <f t="shared" si="21"/>
        <v>0.0521304335638717</v>
      </c>
      <c r="AR75" s="57">
        <f t="shared" si="21"/>
        <v>0.06687363924555778</v>
      </c>
      <c r="AS75" s="57">
        <f t="shared" si="21"/>
        <v>0.05993810524344645</v>
      </c>
      <c r="AU75">
        <f t="shared" si="17"/>
        <v>1987</v>
      </c>
      <c r="AV75" s="36">
        <f t="shared" si="22"/>
        <v>0.04581410585101775</v>
      </c>
      <c r="AW75" s="36">
        <f t="shared" si="22"/>
        <v>0.052367566794764064</v>
      </c>
      <c r="AX75" s="36">
        <f t="shared" si="22"/>
        <v>0.037624361113077986</v>
      </c>
      <c r="AY75" s="36">
        <f t="shared" si="22"/>
        <v>0.04455989511518932</v>
      </c>
    </row>
    <row r="76" spans="2:51" ht="12.75">
      <c r="B76">
        <f t="shared" si="6"/>
        <v>1988</v>
      </c>
      <c r="C76" s="57">
        <v>0.1681</v>
      </c>
      <c r="D76" s="57">
        <v>0.107</v>
      </c>
      <c r="E76" s="57">
        <v>0.0967</v>
      </c>
      <c r="F76" s="57">
        <v>0.061</v>
      </c>
      <c r="G76" s="57">
        <v>0.0635</v>
      </c>
      <c r="H76" s="57">
        <v>0.0442</v>
      </c>
      <c r="I76" s="67">
        <f t="shared" si="18"/>
        <v>40648.75469610847</v>
      </c>
      <c r="J76" s="67">
        <f t="shared" si="18"/>
        <v>2188.778453246865</v>
      </c>
      <c r="K76" s="67">
        <f t="shared" si="18"/>
        <v>1466.6899649370694</v>
      </c>
      <c r="L76" s="67">
        <f t="shared" si="18"/>
        <v>1900.1679129468612</v>
      </c>
      <c r="M76" s="67">
        <f t="shared" si="18"/>
        <v>892.4615879316239</v>
      </c>
      <c r="N76" s="67">
        <f t="shared" si="18"/>
        <v>672.048944820832</v>
      </c>
      <c r="O76" s="68">
        <f t="shared" si="7"/>
        <v>51636.15272776942</v>
      </c>
      <c r="P76" s="68">
        <f t="shared" si="8"/>
        <v>159046.10298906514</v>
      </c>
      <c r="R76" s="57">
        <f t="shared" si="20"/>
        <v>0.09698326348967079</v>
      </c>
      <c r="S76" s="57">
        <f t="shared" si="20"/>
        <v>0.0630725215308856</v>
      </c>
      <c r="T76" s="57">
        <f t="shared" si="20"/>
        <v>0.057585407466876015</v>
      </c>
      <c r="U76" s="57">
        <f t="shared" si="20"/>
        <v>0.06944419046170802</v>
      </c>
      <c r="V76" s="57">
        <f t="shared" si="20"/>
        <v>0.0615745949856743</v>
      </c>
      <c r="Y76">
        <f t="shared" si="9"/>
        <v>1988</v>
      </c>
      <c r="Z76" s="57">
        <v>0.1681</v>
      </c>
      <c r="AA76" s="57">
        <v>0.107</v>
      </c>
      <c r="AB76" s="57">
        <v>0.0967</v>
      </c>
      <c r="AC76" s="57">
        <v>0.061</v>
      </c>
      <c r="AD76" s="57">
        <v>0.0635</v>
      </c>
      <c r="AE76" s="57">
        <v>0.0442</v>
      </c>
      <c r="AF76" s="67">
        <f t="shared" si="19"/>
        <v>40648.75469610847</v>
      </c>
      <c r="AG76" s="67">
        <f t="shared" si="19"/>
        <v>2188.778453246865</v>
      </c>
      <c r="AH76" s="67">
        <f t="shared" si="19"/>
        <v>1466.6899649370694</v>
      </c>
      <c r="AI76" s="67">
        <f t="shared" si="19"/>
        <v>1900.1679129468612</v>
      </c>
      <c r="AJ76" s="67">
        <f t="shared" si="19"/>
        <v>892.4615879316239</v>
      </c>
      <c r="AK76" s="67">
        <f t="shared" si="19"/>
        <v>672.048944820832</v>
      </c>
      <c r="AL76" s="68">
        <f t="shared" si="10"/>
        <v>52067.813683457534</v>
      </c>
      <c r="AM76" s="68">
        <f t="shared" si="11"/>
        <v>159385.41471269476</v>
      </c>
      <c r="AO76" s="57">
        <f t="shared" si="21"/>
        <v>0.09698326348967079</v>
      </c>
      <c r="AP76" s="57">
        <f t="shared" si="21"/>
        <v>0.0630725215308856</v>
      </c>
      <c r="AQ76" s="57">
        <f t="shared" si="21"/>
        <v>0.057585407466876015</v>
      </c>
      <c r="AR76" s="57">
        <f t="shared" si="21"/>
        <v>0.06944419046170802</v>
      </c>
      <c r="AS76" s="57">
        <f t="shared" si="21"/>
        <v>0.0615745949856743</v>
      </c>
      <c r="AU76">
        <f t="shared" si="17"/>
        <v>1988</v>
      </c>
      <c r="AV76" s="36">
        <f t="shared" si="22"/>
        <v>0.033910741958785184</v>
      </c>
      <c r="AW76" s="36">
        <f t="shared" si="22"/>
        <v>0.039397856022794775</v>
      </c>
      <c r="AX76" s="36">
        <f t="shared" si="22"/>
        <v>0.027539073027962768</v>
      </c>
      <c r="AY76" s="36">
        <f t="shared" si="22"/>
        <v>0.03540866850399649</v>
      </c>
    </row>
    <row r="77" spans="2:51" ht="12.75">
      <c r="B77">
        <f t="shared" si="6"/>
        <v>1989</v>
      </c>
      <c r="C77" s="57">
        <v>0.3149</v>
      </c>
      <c r="D77" s="57">
        <v>0.1623</v>
      </c>
      <c r="E77" s="57">
        <v>0.1811</v>
      </c>
      <c r="F77" s="57">
        <v>0.1329</v>
      </c>
      <c r="G77" s="57">
        <v>0.0837</v>
      </c>
      <c r="H77" s="57">
        <v>0.0465</v>
      </c>
      <c r="I77" s="67">
        <f t="shared" si="18"/>
        <v>53449.04754991303</v>
      </c>
      <c r="J77" s="67">
        <f t="shared" si="18"/>
        <v>2544.0171962088316</v>
      </c>
      <c r="K77" s="67">
        <f t="shared" si="18"/>
        <v>1732.3075175871727</v>
      </c>
      <c r="L77" s="67">
        <f t="shared" si="18"/>
        <v>2152.7002285774993</v>
      </c>
      <c r="M77" s="67">
        <f t="shared" si="18"/>
        <v>967.1606228415006</v>
      </c>
      <c r="N77" s="67">
        <f t="shared" si="18"/>
        <v>703.2992207550008</v>
      </c>
      <c r="O77" s="68">
        <f t="shared" si="7"/>
        <v>57018.61141170636</v>
      </c>
      <c r="P77" s="68">
        <f t="shared" si="8"/>
        <v>178789.02590677445</v>
      </c>
      <c r="R77" s="57">
        <f t="shared" si="20"/>
        <v>0.10287848062011484</v>
      </c>
      <c r="S77" s="57">
        <f t="shared" si="20"/>
        <v>0.06876266578278312</v>
      </c>
      <c r="T77" s="57">
        <f t="shared" si="20"/>
        <v>0.06428006538686781</v>
      </c>
      <c r="U77" s="57">
        <f t="shared" si="20"/>
        <v>0.07404154382319894</v>
      </c>
      <c r="V77" s="57">
        <f t="shared" si="20"/>
        <v>0.06339171927002152</v>
      </c>
      <c r="Y77">
        <f t="shared" si="9"/>
        <v>1989</v>
      </c>
      <c r="Z77" s="57">
        <v>0.3149</v>
      </c>
      <c r="AA77" s="57">
        <v>0.1623</v>
      </c>
      <c r="AB77" s="57">
        <v>0.1811</v>
      </c>
      <c r="AC77" s="57">
        <v>0.1329</v>
      </c>
      <c r="AD77" s="57">
        <v>0.0837</v>
      </c>
      <c r="AE77" s="57">
        <v>0.0465</v>
      </c>
      <c r="AF77" s="67">
        <f t="shared" si="19"/>
        <v>53449.04754991303</v>
      </c>
      <c r="AG77" s="67">
        <f t="shared" si="19"/>
        <v>2544.0171962088316</v>
      </c>
      <c r="AH77" s="67">
        <f t="shared" si="19"/>
        <v>1732.3075175871727</v>
      </c>
      <c r="AI77" s="67">
        <f t="shared" si="19"/>
        <v>2152.7002285774993</v>
      </c>
      <c r="AJ77" s="67">
        <f t="shared" si="19"/>
        <v>967.1606228415006</v>
      </c>
      <c r="AK77" s="67">
        <f t="shared" si="19"/>
        <v>703.2992207550008</v>
      </c>
      <c r="AL77" s="68">
        <f t="shared" si="10"/>
        <v>57495.26792064007</v>
      </c>
      <c r="AM77" s="68">
        <f t="shared" si="11"/>
        <v>179170.4575256973</v>
      </c>
      <c r="AO77" s="57">
        <f t="shared" si="21"/>
        <v>0.10287848062011484</v>
      </c>
      <c r="AP77" s="57">
        <f t="shared" si="21"/>
        <v>0.06876266578278312</v>
      </c>
      <c r="AQ77" s="57">
        <f t="shared" si="21"/>
        <v>0.06428006538686781</v>
      </c>
      <c r="AR77" s="57">
        <f t="shared" si="21"/>
        <v>0.07404154382319894</v>
      </c>
      <c r="AS77" s="57">
        <f t="shared" si="21"/>
        <v>0.06339171927002152</v>
      </c>
      <c r="AU77">
        <f t="shared" si="17"/>
        <v>1989</v>
      </c>
      <c r="AV77" s="36">
        <f t="shared" si="22"/>
        <v>0.034115814837331726</v>
      </c>
      <c r="AW77" s="36">
        <f t="shared" si="22"/>
        <v>0.03859841523324703</v>
      </c>
      <c r="AX77" s="36">
        <f t="shared" si="22"/>
        <v>0.028836936796915902</v>
      </c>
      <c r="AY77" s="36">
        <f t="shared" si="22"/>
        <v>0.039486761350093325</v>
      </c>
    </row>
    <row r="78" spans="2:51" ht="12.75">
      <c r="B78">
        <f t="shared" si="6"/>
        <v>1990</v>
      </c>
      <c r="C78" s="57">
        <v>-0.0317</v>
      </c>
      <c r="D78" s="57">
        <v>0.0678</v>
      </c>
      <c r="E78" s="57">
        <v>0.0618</v>
      </c>
      <c r="F78" s="57">
        <v>0.0973</v>
      </c>
      <c r="G78" s="57">
        <v>0.0781</v>
      </c>
      <c r="H78" s="57">
        <v>0.0611</v>
      </c>
      <c r="I78" s="67">
        <f t="shared" si="18"/>
        <v>51754.71274258079</v>
      </c>
      <c r="J78" s="67">
        <f t="shared" si="18"/>
        <v>2716.5015621117905</v>
      </c>
      <c r="K78" s="67">
        <f t="shared" si="18"/>
        <v>1839.3641221740602</v>
      </c>
      <c r="L78" s="67">
        <f t="shared" si="18"/>
        <v>2362.15796081809</v>
      </c>
      <c r="M78" s="67">
        <f t="shared" si="18"/>
        <v>1042.6958674854218</v>
      </c>
      <c r="N78" s="67">
        <f t="shared" si="18"/>
        <v>746.2708031431313</v>
      </c>
      <c r="O78" s="68">
        <f t="shared" si="7"/>
        <v>62962.12780335103</v>
      </c>
      <c r="P78" s="68">
        <f t="shared" si="8"/>
        <v>200982.70365600206</v>
      </c>
      <c r="R78" s="57">
        <f t="shared" si="20"/>
        <v>0.1015226891342258</v>
      </c>
      <c r="S78" s="57">
        <f t="shared" si="20"/>
        <v>0.06800698886158729</v>
      </c>
      <c r="T78" s="57">
        <f t="shared" si="20"/>
        <v>0.061830397708027895</v>
      </c>
      <c r="U78" s="57">
        <f t="shared" si="20"/>
        <v>0.07338547225124281</v>
      </c>
      <c r="V78" s="57">
        <f t="shared" si="20"/>
        <v>0.06512816048649994</v>
      </c>
      <c r="Y78">
        <f t="shared" si="9"/>
        <v>1990</v>
      </c>
      <c r="Z78" s="57">
        <v>-0.0317</v>
      </c>
      <c r="AA78" s="57">
        <v>0.0678</v>
      </c>
      <c r="AB78" s="57">
        <v>0.0618</v>
      </c>
      <c r="AC78" s="57">
        <v>0.0973</v>
      </c>
      <c r="AD78" s="57">
        <v>0.0781</v>
      </c>
      <c r="AE78" s="57">
        <v>0.0611</v>
      </c>
      <c r="AF78" s="67">
        <f t="shared" si="19"/>
        <v>51754.71274258079</v>
      </c>
      <c r="AG78" s="67">
        <f t="shared" si="19"/>
        <v>2716.5015621117905</v>
      </c>
      <c r="AH78" s="67">
        <f t="shared" si="19"/>
        <v>1839.3641221740602</v>
      </c>
      <c r="AI78" s="67">
        <f t="shared" si="19"/>
        <v>2362.15796081809</v>
      </c>
      <c r="AJ78" s="67">
        <f t="shared" si="19"/>
        <v>1042.6958674854218</v>
      </c>
      <c r="AK78" s="67">
        <f t="shared" si="19"/>
        <v>746.2708031431313</v>
      </c>
      <c r="AL78" s="68">
        <f t="shared" si="10"/>
        <v>63488.4701201971</v>
      </c>
      <c r="AM78" s="68">
        <f t="shared" si="11"/>
        <v>201411.48365322055</v>
      </c>
      <c r="AO78" s="57">
        <f t="shared" si="21"/>
        <v>0.1015226891342258</v>
      </c>
      <c r="AP78" s="57">
        <f t="shared" si="21"/>
        <v>0.06800698886158729</v>
      </c>
      <c r="AQ78" s="57">
        <f t="shared" si="21"/>
        <v>0.061830397708027895</v>
      </c>
      <c r="AR78" s="57">
        <f t="shared" si="21"/>
        <v>0.07338547225124281</v>
      </c>
      <c r="AS78" s="57">
        <f t="shared" si="21"/>
        <v>0.06512816048649994</v>
      </c>
      <c r="AU78">
        <f t="shared" si="17"/>
        <v>1990</v>
      </c>
      <c r="AV78" s="36">
        <f t="shared" si="22"/>
        <v>0.033515700272638504</v>
      </c>
      <c r="AW78" s="36">
        <f t="shared" si="22"/>
        <v>0.0396922914261979</v>
      </c>
      <c r="AX78" s="36">
        <f t="shared" si="22"/>
        <v>0.028137216882982985</v>
      </c>
      <c r="AY78" s="36">
        <f t="shared" si="22"/>
        <v>0.036394528647725854</v>
      </c>
    </row>
    <row r="79" spans="2:51" ht="12.75">
      <c r="B79">
        <f t="shared" si="6"/>
        <v>1991</v>
      </c>
      <c r="C79" s="57">
        <v>0.3055</v>
      </c>
      <c r="D79" s="57">
        <v>0.1989</v>
      </c>
      <c r="E79" s="57">
        <v>0.193</v>
      </c>
      <c r="F79" s="57">
        <v>0.1546</v>
      </c>
      <c r="G79" s="57">
        <v>0.056</v>
      </c>
      <c r="H79" s="57">
        <v>0.0306</v>
      </c>
      <c r="I79" s="67">
        <f t="shared" si="18"/>
        <v>67565.77748543922</v>
      </c>
      <c r="J79" s="67">
        <f t="shared" si="18"/>
        <v>3256.8137228158257</v>
      </c>
      <c r="K79" s="67">
        <f t="shared" si="18"/>
        <v>2194.361397753654</v>
      </c>
      <c r="L79" s="67">
        <f t="shared" si="18"/>
        <v>2727.347581560567</v>
      </c>
      <c r="M79" s="67">
        <f t="shared" si="18"/>
        <v>1101.0868360646054</v>
      </c>
      <c r="N79" s="67">
        <f t="shared" si="18"/>
        <v>769.106689719311</v>
      </c>
      <c r="O79" s="68">
        <f t="shared" si="7"/>
        <v>69525.18553813154</v>
      </c>
      <c r="P79" s="68">
        <f t="shared" si="8"/>
        <v>225931.35660316714</v>
      </c>
      <c r="R79" s="57">
        <f t="shared" si="20"/>
        <v>0.10256727068261062</v>
      </c>
      <c r="S79" s="57">
        <f t="shared" si="20"/>
        <v>0.07279989288521915</v>
      </c>
      <c r="T79" s="57">
        <f t="shared" si="20"/>
        <v>0.06775125427576456</v>
      </c>
      <c r="U79" s="57">
        <f t="shared" si="20"/>
        <v>0.07788244054108806</v>
      </c>
      <c r="V79" s="57">
        <f t="shared" si="20"/>
        <v>0.06631508507449824</v>
      </c>
      <c r="Y79">
        <f t="shared" si="9"/>
        <v>1991</v>
      </c>
      <c r="Z79" s="57">
        <v>0.3055</v>
      </c>
      <c r="AA79" s="57">
        <v>0.1989</v>
      </c>
      <c r="AB79" s="57">
        <v>0.193</v>
      </c>
      <c r="AC79" s="57">
        <v>0.1546</v>
      </c>
      <c r="AD79" s="57">
        <v>0.056</v>
      </c>
      <c r="AE79" s="57">
        <v>0.0306</v>
      </c>
      <c r="AF79" s="67">
        <f t="shared" si="19"/>
        <v>67565.77748543922</v>
      </c>
      <c r="AG79" s="67">
        <f t="shared" si="19"/>
        <v>3256.8137228158257</v>
      </c>
      <c r="AH79" s="67">
        <f t="shared" si="19"/>
        <v>2194.361397753654</v>
      </c>
      <c r="AI79" s="67">
        <f t="shared" si="19"/>
        <v>2727.347581560567</v>
      </c>
      <c r="AJ79" s="67">
        <f t="shared" si="19"/>
        <v>1101.0868360646054</v>
      </c>
      <c r="AK79" s="67">
        <f t="shared" si="19"/>
        <v>769.106689719311</v>
      </c>
      <c r="AL79" s="68">
        <f t="shared" si="10"/>
        <v>70106.39282117614</v>
      </c>
      <c r="AM79" s="68">
        <f t="shared" si="11"/>
        <v>226413.36249070702</v>
      </c>
      <c r="AO79" s="57">
        <f t="shared" si="21"/>
        <v>0.10256727068261062</v>
      </c>
      <c r="AP79" s="57">
        <f t="shared" si="21"/>
        <v>0.07279989288521915</v>
      </c>
      <c r="AQ79" s="57">
        <f t="shared" si="21"/>
        <v>0.06775125427576456</v>
      </c>
      <c r="AR79" s="57">
        <f t="shared" si="21"/>
        <v>0.07788244054108806</v>
      </c>
      <c r="AS79" s="57">
        <f t="shared" si="21"/>
        <v>0.06631508507449824</v>
      </c>
      <c r="AU79">
        <f t="shared" si="17"/>
        <v>1991</v>
      </c>
      <c r="AV79" s="36">
        <f t="shared" si="22"/>
        <v>0.02976737779739147</v>
      </c>
      <c r="AW79" s="36">
        <f t="shared" si="22"/>
        <v>0.03481601640684606</v>
      </c>
      <c r="AX79" s="36">
        <f t="shared" si="22"/>
        <v>0.024684830141522562</v>
      </c>
      <c r="AY79" s="36">
        <f t="shared" si="22"/>
        <v>0.036252185608112386</v>
      </c>
    </row>
    <row r="80" spans="2:51" ht="12.75">
      <c r="B80">
        <f t="shared" si="6"/>
        <v>1992</v>
      </c>
      <c r="C80" s="57">
        <v>0.0767</v>
      </c>
      <c r="D80" s="57">
        <v>0.0939</v>
      </c>
      <c r="E80" s="57">
        <v>0.0805</v>
      </c>
      <c r="F80" s="57">
        <v>0.0719</v>
      </c>
      <c r="G80" s="57">
        <v>0.0351</v>
      </c>
      <c r="H80" s="57">
        <v>0.029</v>
      </c>
      <c r="I80" s="67">
        <f t="shared" si="18"/>
        <v>72748.0726185724</v>
      </c>
      <c r="J80" s="67">
        <f t="shared" si="18"/>
        <v>3562.628531388232</v>
      </c>
      <c r="K80" s="67">
        <f t="shared" si="18"/>
        <v>2371.007490272823</v>
      </c>
      <c r="L80" s="67">
        <f t="shared" si="18"/>
        <v>2923.443872674772</v>
      </c>
      <c r="M80" s="67">
        <f t="shared" si="18"/>
        <v>1139.734984010473</v>
      </c>
      <c r="N80" s="67">
        <f t="shared" si="18"/>
        <v>791.410783721171</v>
      </c>
      <c r="O80" s="68">
        <f aca="true" t="shared" si="23" ref="O80:O87">O79*(1+$I$94)</f>
        <v>76772.36447930764</v>
      </c>
      <c r="P80" s="68">
        <f aca="true" t="shared" si="24" ref="P80:P87">P79*(1+$C$94)</f>
        <v>253976.9690028403</v>
      </c>
      <c r="R80" s="57">
        <f t="shared" si="20"/>
        <v>0.10865729379097933</v>
      </c>
      <c r="S80" s="57">
        <f t="shared" si="20"/>
        <v>0.07327386475449438</v>
      </c>
      <c r="T80" s="57">
        <f t="shared" si="20"/>
        <v>0.06813549370007688</v>
      </c>
      <c r="U80" s="57">
        <f t="shared" si="20"/>
        <v>0.07843314372962773</v>
      </c>
      <c r="V80" s="57">
        <f t="shared" si="20"/>
        <v>0.06658397394011839</v>
      </c>
      <c r="Y80">
        <f t="shared" si="9"/>
        <v>1992</v>
      </c>
      <c r="Z80" s="57">
        <v>0.0767</v>
      </c>
      <c r="AA80" s="57">
        <v>0.0939</v>
      </c>
      <c r="AB80" s="57">
        <v>0.0805</v>
      </c>
      <c r="AC80" s="57">
        <v>0.0719</v>
      </c>
      <c r="AD80" s="57">
        <v>0.0351</v>
      </c>
      <c r="AE80" s="57">
        <v>0.029</v>
      </c>
      <c r="AF80" s="67">
        <f t="shared" si="19"/>
        <v>72748.0726185724</v>
      </c>
      <c r="AG80" s="67">
        <f t="shared" si="19"/>
        <v>3562.628531388232</v>
      </c>
      <c r="AH80" s="67">
        <f t="shared" si="19"/>
        <v>2371.007490272823</v>
      </c>
      <c r="AI80" s="67">
        <f t="shared" si="19"/>
        <v>2923.443872674772</v>
      </c>
      <c r="AJ80" s="67">
        <f t="shared" si="19"/>
        <v>1139.734984010473</v>
      </c>
      <c r="AK80" s="67">
        <f t="shared" si="19"/>
        <v>791.410783721171</v>
      </c>
      <c r="AL80" s="68">
        <f aca="true" t="shared" si="25" ref="AL80:AL87">AL79*(1+$I$94)</f>
        <v>77414.1557528808</v>
      </c>
      <c r="AM80" s="68">
        <f aca="true" t="shared" si="26" ref="AM80:AM87">AM79*(1+$C$94)</f>
        <v>254518.8078878868</v>
      </c>
      <c r="AO80" s="57">
        <f t="shared" si="21"/>
        <v>0.10865729379097933</v>
      </c>
      <c r="AP80" s="57">
        <f t="shared" si="21"/>
        <v>0.07327386475449438</v>
      </c>
      <c r="AQ80" s="57">
        <f t="shared" si="21"/>
        <v>0.06813549370007688</v>
      </c>
      <c r="AR80" s="57">
        <f t="shared" si="21"/>
        <v>0.07843314372962773</v>
      </c>
      <c r="AS80" s="57">
        <f t="shared" si="21"/>
        <v>0.06658397394011839</v>
      </c>
      <c r="AU80">
        <f t="shared" si="17"/>
        <v>1992</v>
      </c>
      <c r="AV80" s="36">
        <f t="shared" si="22"/>
        <v>0.03538342903648495</v>
      </c>
      <c r="AW80" s="36">
        <f t="shared" si="22"/>
        <v>0.04052180009090245</v>
      </c>
      <c r="AX80" s="36">
        <f t="shared" si="22"/>
        <v>0.030224150061351596</v>
      </c>
      <c r="AY80" s="36">
        <f t="shared" si="22"/>
        <v>0.042073319850860935</v>
      </c>
    </row>
    <row r="81" spans="2:51" ht="12.75">
      <c r="B81">
        <f aca="true" t="shared" si="27" ref="B81:B91">B80+1</f>
        <v>1993</v>
      </c>
      <c r="C81" s="57">
        <v>0.0999</v>
      </c>
      <c r="D81" s="57">
        <v>0.1319</v>
      </c>
      <c r="E81" s="57">
        <v>0.1824</v>
      </c>
      <c r="F81" s="57">
        <v>0.1124</v>
      </c>
      <c r="G81" s="57">
        <v>0.029</v>
      </c>
      <c r="H81" s="57">
        <v>0.0275</v>
      </c>
      <c r="I81" s="67">
        <f t="shared" si="18"/>
        <v>80015.6050731678</v>
      </c>
      <c r="J81" s="67">
        <f t="shared" si="18"/>
        <v>4032.5392346783397</v>
      </c>
      <c r="K81" s="67">
        <f t="shared" si="18"/>
        <v>2803.4792564985855</v>
      </c>
      <c r="L81" s="67">
        <f t="shared" si="18"/>
        <v>3252.038963963417</v>
      </c>
      <c r="M81" s="67">
        <f t="shared" si="18"/>
        <v>1172.7872985467766</v>
      </c>
      <c r="N81" s="67">
        <f t="shared" si="18"/>
        <v>813.1745802735032</v>
      </c>
      <c r="O81" s="68">
        <f t="shared" si="23"/>
        <v>84774.97617767674</v>
      </c>
      <c r="P81" s="68">
        <f t="shared" si="24"/>
        <v>285503.97675505956</v>
      </c>
      <c r="R81" s="57">
        <f t="shared" si="20"/>
        <v>0.10459349093149983</v>
      </c>
      <c r="S81" s="57">
        <f t="shared" si="20"/>
        <v>0.07693760642783976</v>
      </c>
      <c r="T81" s="57">
        <f t="shared" si="20"/>
        <v>0.07368704570170226</v>
      </c>
      <c r="U81" s="57">
        <f t="shared" si="20"/>
        <v>0.08168241846218183</v>
      </c>
      <c r="V81" s="57">
        <f t="shared" si="20"/>
        <v>0.06650804596831028</v>
      </c>
      <c r="Y81">
        <f aca="true" t="shared" si="28" ref="Y81:Y89">Y80+1</f>
        <v>1993</v>
      </c>
      <c r="Z81" s="57">
        <v>0.0999</v>
      </c>
      <c r="AA81" s="57">
        <v>0.1319</v>
      </c>
      <c r="AB81" s="57">
        <v>0.1824</v>
      </c>
      <c r="AC81" s="57">
        <v>0.1124</v>
      </c>
      <c r="AD81" s="57">
        <v>0.029</v>
      </c>
      <c r="AE81" s="57">
        <v>0.0275</v>
      </c>
      <c r="AF81" s="67">
        <f t="shared" si="19"/>
        <v>80015.6050731678</v>
      </c>
      <c r="AG81" s="67">
        <f t="shared" si="19"/>
        <v>4032.5392346783397</v>
      </c>
      <c r="AH81" s="67">
        <f t="shared" si="19"/>
        <v>2803.4792564985855</v>
      </c>
      <c r="AI81" s="67">
        <f t="shared" si="19"/>
        <v>3252.038963963417</v>
      </c>
      <c r="AJ81" s="67">
        <f t="shared" si="19"/>
        <v>1172.7872985467766</v>
      </c>
      <c r="AK81" s="67">
        <f t="shared" si="19"/>
        <v>813.1745802735032</v>
      </c>
      <c r="AL81" s="68">
        <f t="shared" si="25"/>
        <v>85483.66660680728</v>
      </c>
      <c r="AM81" s="68">
        <f t="shared" si="26"/>
        <v>286113.0759070365</v>
      </c>
      <c r="AO81" s="57">
        <f t="shared" si="21"/>
        <v>0.10459349093149983</v>
      </c>
      <c r="AP81" s="57">
        <f t="shared" si="21"/>
        <v>0.07693760642783976</v>
      </c>
      <c r="AQ81" s="57">
        <f t="shared" si="21"/>
        <v>0.07368704570170226</v>
      </c>
      <c r="AR81" s="57">
        <f t="shared" si="21"/>
        <v>0.08168241846218183</v>
      </c>
      <c r="AS81" s="57">
        <f t="shared" si="21"/>
        <v>0.06650804596831028</v>
      </c>
      <c r="AU81">
        <f t="shared" si="17"/>
        <v>1993</v>
      </c>
      <c r="AV81" s="36">
        <f t="shared" si="22"/>
        <v>0.027655884503660078</v>
      </c>
      <c r="AW81" s="36">
        <f t="shared" si="22"/>
        <v>0.030906445229797574</v>
      </c>
      <c r="AX81" s="36">
        <f t="shared" si="22"/>
        <v>0.022911072469318006</v>
      </c>
      <c r="AY81" s="36">
        <f t="shared" si="22"/>
        <v>0.03808544496318955</v>
      </c>
    </row>
    <row r="82" spans="2:51" ht="12.75">
      <c r="B82">
        <f t="shared" si="27"/>
        <v>1994</v>
      </c>
      <c r="C82" s="57">
        <v>0.0131</v>
      </c>
      <c r="D82" s="57">
        <v>-0.0576</v>
      </c>
      <c r="E82" s="57">
        <v>-0.0777</v>
      </c>
      <c r="F82" s="57">
        <v>-0.0514</v>
      </c>
      <c r="G82" s="57">
        <v>0.039</v>
      </c>
      <c r="H82" s="57">
        <v>0.0267</v>
      </c>
      <c r="I82" s="67">
        <f t="shared" si="18"/>
        <v>81063.80949962631</v>
      </c>
      <c r="J82" s="67">
        <f t="shared" si="18"/>
        <v>3800.2649747608675</v>
      </c>
      <c r="K82" s="67">
        <f t="shared" si="18"/>
        <v>2585.6489182686455</v>
      </c>
      <c r="L82" s="67">
        <f t="shared" si="18"/>
        <v>3084.884161215697</v>
      </c>
      <c r="M82" s="67">
        <f t="shared" si="18"/>
        <v>1218.5260031901007</v>
      </c>
      <c r="N82" s="67">
        <f t="shared" si="18"/>
        <v>834.8863415668058</v>
      </c>
      <c r="O82" s="68">
        <f t="shared" si="23"/>
        <v>93611.7655704444</v>
      </c>
      <c r="P82" s="68">
        <f t="shared" si="24"/>
        <v>320944.5370695876</v>
      </c>
      <c r="R82" s="57">
        <f t="shared" si="20"/>
        <v>0.09946779177298226</v>
      </c>
      <c r="S82" s="57">
        <f t="shared" si="20"/>
        <v>0.07314190474294735</v>
      </c>
      <c r="T82" s="57">
        <f t="shared" si="20"/>
        <v>0.06956547726431217</v>
      </c>
      <c r="U82" s="57">
        <f t="shared" si="20"/>
        <v>0.07835692099958536</v>
      </c>
      <c r="V82" s="57">
        <f t="shared" si="20"/>
        <v>0.06663144405715404</v>
      </c>
      <c r="Y82">
        <f t="shared" si="28"/>
        <v>1994</v>
      </c>
      <c r="Z82" s="57">
        <v>0.0131</v>
      </c>
      <c r="AA82" s="57">
        <v>-0.0576</v>
      </c>
      <c r="AB82" s="57">
        <v>-0.0777</v>
      </c>
      <c r="AC82" s="57">
        <v>-0.0514</v>
      </c>
      <c r="AD82" s="57">
        <v>0.039</v>
      </c>
      <c r="AE82" s="57">
        <v>0.0267</v>
      </c>
      <c r="AF82" s="67">
        <f t="shared" si="19"/>
        <v>81063.80949962631</v>
      </c>
      <c r="AG82" s="67">
        <f t="shared" si="19"/>
        <v>3800.2649747608675</v>
      </c>
      <c r="AH82" s="67">
        <f t="shared" si="19"/>
        <v>2585.6489182686455</v>
      </c>
      <c r="AI82" s="67">
        <f t="shared" si="19"/>
        <v>3084.884161215697</v>
      </c>
      <c r="AJ82" s="67">
        <f t="shared" si="19"/>
        <v>1218.5260031901007</v>
      </c>
      <c r="AK82" s="67">
        <f t="shared" si="19"/>
        <v>834.8863415668058</v>
      </c>
      <c r="AL82" s="68">
        <f t="shared" si="25"/>
        <v>94394.3286014825</v>
      </c>
      <c r="AM82" s="68">
        <f t="shared" si="26"/>
        <v>321629.24572963</v>
      </c>
      <c r="AO82" s="57">
        <f t="shared" si="21"/>
        <v>0.09946779177298226</v>
      </c>
      <c r="AP82" s="57">
        <f t="shared" si="21"/>
        <v>0.07314190474294735</v>
      </c>
      <c r="AQ82" s="57">
        <f t="shared" si="21"/>
        <v>0.06956547726431217</v>
      </c>
      <c r="AR82" s="57">
        <f t="shared" si="21"/>
        <v>0.07835692099958536</v>
      </c>
      <c r="AS82" s="57">
        <f t="shared" si="21"/>
        <v>0.06663144405715404</v>
      </c>
      <c r="AU82">
        <f t="shared" si="17"/>
        <v>1994</v>
      </c>
      <c r="AV82" s="36">
        <f t="shared" si="22"/>
        <v>0.02632588703003491</v>
      </c>
      <c r="AW82" s="36">
        <f t="shared" si="22"/>
        <v>0.02990231450867009</v>
      </c>
      <c r="AX82" s="36">
        <f t="shared" si="22"/>
        <v>0.021110870773396906</v>
      </c>
      <c r="AY82" s="36">
        <f t="shared" si="22"/>
        <v>0.03283634771582822</v>
      </c>
    </row>
    <row r="83" spans="2:51" ht="12.75">
      <c r="B83">
        <f t="shared" si="27"/>
        <v>1995</v>
      </c>
      <c r="C83" s="57">
        <v>0.3743</v>
      </c>
      <c r="D83" s="57">
        <v>0.272</v>
      </c>
      <c r="E83" s="57">
        <v>0.3167</v>
      </c>
      <c r="F83" s="57">
        <v>0.168</v>
      </c>
      <c r="G83" s="57">
        <v>0.056</v>
      </c>
      <c r="H83" s="57">
        <v>0.0254</v>
      </c>
      <c r="I83" s="67">
        <f t="shared" si="18"/>
        <v>111405.99339533644</v>
      </c>
      <c r="J83" s="67">
        <f t="shared" si="18"/>
        <v>4833.9370478958235</v>
      </c>
      <c r="K83" s="67">
        <f t="shared" si="18"/>
        <v>3404.5239306843255</v>
      </c>
      <c r="L83" s="67">
        <f t="shared" si="18"/>
        <v>3603.144700299934</v>
      </c>
      <c r="M83" s="67">
        <f t="shared" si="18"/>
        <v>1286.7634593687465</v>
      </c>
      <c r="N83" s="67">
        <f t="shared" si="18"/>
        <v>856.0924546426027</v>
      </c>
      <c r="O83" s="68">
        <f t="shared" si="23"/>
        <v>103369.6858239093</v>
      </c>
      <c r="P83" s="68">
        <f t="shared" si="24"/>
        <v>360784.4522711591</v>
      </c>
      <c r="R83" s="57">
        <f t="shared" si="20"/>
        <v>0.10684442275595352</v>
      </c>
      <c r="S83" s="57">
        <f t="shared" si="20"/>
        <v>0.08194903271244613</v>
      </c>
      <c r="T83" s="57">
        <f t="shared" si="20"/>
        <v>0.07916499904526275</v>
      </c>
      <c r="U83" s="57">
        <f t="shared" si="20"/>
        <v>0.08358681676785129</v>
      </c>
      <c r="V83" s="57">
        <f t="shared" si="20"/>
        <v>0.06719835908071037</v>
      </c>
      <c r="Y83">
        <f t="shared" si="28"/>
        <v>1995</v>
      </c>
      <c r="Z83" s="57">
        <v>0.3743</v>
      </c>
      <c r="AA83" s="57">
        <v>0.272</v>
      </c>
      <c r="AB83" s="57">
        <v>0.3167</v>
      </c>
      <c r="AC83" s="57">
        <v>0.168</v>
      </c>
      <c r="AD83" s="57">
        <v>0.056</v>
      </c>
      <c r="AE83" s="57">
        <v>0.0254</v>
      </c>
      <c r="AF83" s="67">
        <f t="shared" si="19"/>
        <v>111405.99339533644</v>
      </c>
      <c r="AG83" s="67">
        <f t="shared" si="19"/>
        <v>4833.9370478958235</v>
      </c>
      <c r="AH83" s="67">
        <f t="shared" si="19"/>
        <v>3404.5239306843255</v>
      </c>
      <c r="AI83" s="67">
        <f t="shared" si="19"/>
        <v>3603.144700299934</v>
      </c>
      <c r="AJ83" s="67">
        <f t="shared" si="19"/>
        <v>1286.7634593687465</v>
      </c>
      <c r="AK83" s="67">
        <f t="shared" si="19"/>
        <v>856.0924546426027</v>
      </c>
      <c r="AL83" s="68">
        <f t="shared" si="25"/>
        <v>104233.82180257472</v>
      </c>
      <c r="AM83" s="68">
        <f t="shared" si="26"/>
        <v>361554.15609953477</v>
      </c>
      <c r="AO83" s="57">
        <f t="shared" si="21"/>
        <v>0.10684442275595352</v>
      </c>
      <c r="AP83" s="57">
        <f t="shared" si="21"/>
        <v>0.08194903271244613</v>
      </c>
      <c r="AQ83" s="57">
        <f t="shared" si="21"/>
        <v>0.07916499904526275</v>
      </c>
      <c r="AR83" s="57">
        <f t="shared" si="21"/>
        <v>0.08358681676785129</v>
      </c>
      <c r="AS83" s="57">
        <f t="shared" si="21"/>
        <v>0.06719835908071037</v>
      </c>
      <c r="AU83">
        <f t="shared" si="17"/>
        <v>1995</v>
      </c>
      <c r="AV83" s="36">
        <f t="shared" si="22"/>
        <v>0.02489539004350738</v>
      </c>
      <c r="AW83" s="36">
        <f t="shared" si="22"/>
        <v>0.027679423710690765</v>
      </c>
      <c r="AX83" s="36">
        <f t="shared" si="22"/>
        <v>0.023257605988102226</v>
      </c>
      <c r="AY83" s="36">
        <f t="shared" si="22"/>
        <v>0.03964606367524315</v>
      </c>
    </row>
    <row r="84" spans="2:51" ht="12.75">
      <c r="B84">
        <f t="shared" si="27"/>
        <v>1996</v>
      </c>
      <c r="C84" s="57">
        <v>0.2307</v>
      </c>
      <c r="D84" s="57">
        <v>0.014</v>
      </c>
      <c r="E84" s="57">
        <v>-0.0093</v>
      </c>
      <c r="F84" s="57">
        <v>0.021</v>
      </c>
      <c r="G84" s="57">
        <v>0.0521</v>
      </c>
      <c r="H84" s="57">
        <v>0.0332</v>
      </c>
      <c r="I84" s="67">
        <f t="shared" si="18"/>
        <v>137107.35607164053</v>
      </c>
      <c r="J84" s="67">
        <f t="shared" si="18"/>
        <v>4901.612166566365</v>
      </c>
      <c r="K84" s="67">
        <f t="shared" si="18"/>
        <v>3372.8618581289616</v>
      </c>
      <c r="L84" s="67">
        <f t="shared" si="18"/>
        <v>3678.8107390062323</v>
      </c>
      <c r="M84" s="67">
        <f t="shared" si="18"/>
        <v>1353.8038356018583</v>
      </c>
      <c r="N84" s="67">
        <f t="shared" si="18"/>
        <v>884.514724136737</v>
      </c>
      <c r="O84" s="68">
        <f t="shared" si="23"/>
        <v>114144.75394434106</v>
      </c>
      <c r="P84" s="68">
        <f t="shared" si="24"/>
        <v>405569.828946419</v>
      </c>
      <c r="R84" s="57">
        <f t="shared" si="20"/>
        <v>0.11847571350594621</v>
      </c>
      <c r="S84" s="57">
        <f t="shared" si="20"/>
        <v>0.08237846783824065</v>
      </c>
      <c r="T84" s="57">
        <f t="shared" si="20"/>
        <v>0.07754052677026779</v>
      </c>
      <c r="U84" s="57">
        <f t="shared" si="20"/>
        <v>0.08268236776642768</v>
      </c>
      <c r="V84" s="57">
        <f t="shared" si="20"/>
        <v>0.0673508488987169</v>
      </c>
      <c r="Y84">
        <f t="shared" si="28"/>
        <v>1996</v>
      </c>
      <c r="Z84" s="57">
        <v>0.2307</v>
      </c>
      <c r="AA84" s="57">
        <v>0.014</v>
      </c>
      <c r="AB84" s="57">
        <v>-0.0093</v>
      </c>
      <c r="AC84" s="57">
        <v>0.021</v>
      </c>
      <c r="AD84" s="57">
        <v>0.0521</v>
      </c>
      <c r="AE84" s="57">
        <v>0.0332</v>
      </c>
      <c r="AF84" s="67">
        <f t="shared" si="19"/>
        <v>137107.35607164053</v>
      </c>
      <c r="AG84" s="67">
        <f t="shared" si="19"/>
        <v>4901.612166566365</v>
      </c>
      <c r="AH84" s="67">
        <f t="shared" si="19"/>
        <v>3372.8618581289616</v>
      </c>
      <c r="AI84" s="67">
        <f t="shared" si="19"/>
        <v>3678.8107390062323</v>
      </c>
      <c r="AJ84" s="67">
        <f t="shared" si="19"/>
        <v>1353.8038356018583</v>
      </c>
      <c r="AK84" s="67">
        <f t="shared" si="19"/>
        <v>884.514724136737</v>
      </c>
      <c r="AL84" s="68">
        <f t="shared" si="25"/>
        <v>115098.9658863919</v>
      </c>
      <c r="AM84" s="68">
        <f t="shared" si="26"/>
        <v>406435.0786766904</v>
      </c>
      <c r="AO84" s="57">
        <f t="shared" si="21"/>
        <v>0.11847571350594621</v>
      </c>
      <c r="AP84" s="57">
        <f t="shared" si="21"/>
        <v>0.08237846783824065</v>
      </c>
      <c r="AQ84" s="57">
        <f t="shared" si="21"/>
        <v>0.07754052677026779</v>
      </c>
      <c r="AR84" s="57">
        <f t="shared" si="21"/>
        <v>0.08268236776642768</v>
      </c>
      <c r="AS84" s="57">
        <f t="shared" si="21"/>
        <v>0.0673508488987169</v>
      </c>
      <c r="AU84">
        <f t="shared" si="17"/>
        <v>1996</v>
      </c>
      <c r="AV84" s="36">
        <f t="shared" si="22"/>
        <v>0.03609724566770556</v>
      </c>
      <c r="AW84" s="36">
        <f t="shared" si="22"/>
        <v>0.04093518673567842</v>
      </c>
      <c r="AX84" s="36">
        <f t="shared" si="22"/>
        <v>0.035793345739518534</v>
      </c>
      <c r="AY84" s="36">
        <f t="shared" si="22"/>
        <v>0.051124864607229314</v>
      </c>
    </row>
    <row r="85" spans="2:51" ht="12.75">
      <c r="B85">
        <f t="shared" si="27"/>
        <v>1997</v>
      </c>
      <c r="C85" s="57">
        <v>0.3336</v>
      </c>
      <c r="D85" s="57">
        <v>0.1295</v>
      </c>
      <c r="E85" s="57">
        <v>0.1585</v>
      </c>
      <c r="F85" s="57">
        <v>0.0838</v>
      </c>
      <c r="G85" s="57">
        <v>0.0526</v>
      </c>
      <c r="H85" s="57">
        <v>0.017</v>
      </c>
      <c r="I85" s="67">
        <f t="shared" si="18"/>
        <v>182846.37005713984</v>
      </c>
      <c r="J85" s="67">
        <f t="shared" si="18"/>
        <v>5536.370942136709</v>
      </c>
      <c r="K85" s="67">
        <f t="shared" si="18"/>
        <v>3907.460462642402</v>
      </c>
      <c r="L85" s="67">
        <f t="shared" si="18"/>
        <v>3987.095078934955</v>
      </c>
      <c r="M85" s="67">
        <f t="shared" si="18"/>
        <v>1425.013917354516</v>
      </c>
      <c r="N85" s="67">
        <f t="shared" si="18"/>
        <v>899.5514744470614</v>
      </c>
      <c r="O85" s="68">
        <f t="shared" si="23"/>
        <v>126042.99557618047</v>
      </c>
      <c r="P85" s="68">
        <f t="shared" si="24"/>
        <v>455914.56371296785</v>
      </c>
      <c r="R85" s="57">
        <f t="shared" si="20"/>
        <v>0.12119810946319132</v>
      </c>
      <c r="S85" s="57">
        <f t="shared" si="20"/>
        <v>0.08862160182419299</v>
      </c>
      <c r="T85" s="57">
        <f t="shared" si="20"/>
        <v>0.08631913917006284</v>
      </c>
      <c r="U85" s="57">
        <f t="shared" si="20"/>
        <v>0.08522691573266727</v>
      </c>
      <c r="V85" s="57">
        <f t="shared" si="20"/>
        <v>0.06770759530985893</v>
      </c>
      <c r="Y85">
        <f t="shared" si="28"/>
        <v>1997</v>
      </c>
      <c r="Z85" s="57">
        <v>0.3336</v>
      </c>
      <c r="AA85" s="57">
        <v>0.1295</v>
      </c>
      <c r="AB85" s="57">
        <v>0.1585</v>
      </c>
      <c r="AC85" s="57">
        <v>0.0838</v>
      </c>
      <c r="AD85" s="57">
        <v>0.0526</v>
      </c>
      <c r="AE85" s="57">
        <v>0.017</v>
      </c>
      <c r="AF85" s="67">
        <f t="shared" si="19"/>
        <v>182846.37005713984</v>
      </c>
      <c r="AG85" s="67">
        <f t="shared" si="19"/>
        <v>5536.370942136709</v>
      </c>
      <c r="AH85" s="67">
        <f t="shared" si="19"/>
        <v>3907.460462642402</v>
      </c>
      <c r="AI85" s="67">
        <f t="shared" si="19"/>
        <v>3987.095078934955</v>
      </c>
      <c r="AJ85" s="67">
        <f t="shared" si="19"/>
        <v>1425.013917354516</v>
      </c>
      <c r="AK85" s="67">
        <f t="shared" si="19"/>
        <v>899.5514744470614</v>
      </c>
      <c r="AL85" s="68">
        <f t="shared" si="25"/>
        <v>127096.67283627864</v>
      </c>
      <c r="AM85" s="68">
        <f t="shared" si="26"/>
        <v>456887.2197764236</v>
      </c>
      <c r="AO85" s="57">
        <f t="shared" si="21"/>
        <v>0.12119810946319132</v>
      </c>
      <c r="AP85" s="57">
        <f t="shared" si="21"/>
        <v>0.08862160182419299</v>
      </c>
      <c r="AQ85" s="57">
        <f t="shared" si="21"/>
        <v>0.08631913917006284</v>
      </c>
      <c r="AR85" s="57">
        <f t="shared" si="21"/>
        <v>0.08522691573266727</v>
      </c>
      <c r="AS85" s="57">
        <f t="shared" si="21"/>
        <v>0.06770759530985893</v>
      </c>
      <c r="AU85">
        <f t="shared" si="17"/>
        <v>1997</v>
      </c>
      <c r="AV85" s="36">
        <f t="shared" si="22"/>
        <v>0.03257650763899833</v>
      </c>
      <c r="AW85" s="36">
        <f t="shared" si="22"/>
        <v>0.034878970293128475</v>
      </c>
      <c r="AX85" s="36">
        <f t="shared" si="22"/>
        <v>0.03597119373052404</v>
      </c>
      <c r="AY85" s="36">
        <f t="shared" si="22"/>
        <v>0.05349051415333239</v>
      </c>
    </row>
    <row r="86" spans="2:51" ht="12.75">
      <c r="B86">
        <f t="shared" si="27"/>
        <v>1998</v>
      </c>
      <c r="C86" s="57">
        <v>0.2858</v>
      </c>
      <c r="D86" s="57">
        <v>0.1076</v>
      </c>
      <c r="E86" s="57">
        <v>0.1306</v>
      </c>
      <c r="F86" s="57">
        <v>0.1021</v>
      </c>
      <c r="G86" s="57">
        <v>0.0486</v>
      </c>
      <c r="H86" s="57">
        <v>0.0161</v>
      </c>
      <c r="I86" s="67">
        <f t="shared" si="18"/>
        <v>235103.8626194704</v>
      </c>
      <c r="J86" s="67">
        <f t="shared" si="18"/>
        <v>6132.084455510619</v>
      </c>
      <c r="K86" s="67">
        <f t="shared" si="18"/>
        <v>4417.7747990635</v>
      </c>
      <c r="L86" s="67">
        <f t="shared" si="18"/>
        <v>4394.1774864942145</v>
      </c>
      <c r="M86" s="67">
        <f t="shared" si="18"/>
        <v>1494.2695937379456</v>
      </c>
      <c r="N86" s="67">
        <f t="shared" si="18"/>
        <v>914.0342531856592</v>
      </c>
      <c r="O86" s="68">
        <f t="shared" si="23"/>
        <v>139181.48828428632</v>
      </c>
      <c r="P86" s="68">
        <f t="shared" si="24"/>
        <v>512508.758221871</v>
      </c>
      <c r="R86" s="57">
        <f t="shared" si="20"/>
        <v>0.12668595844950326</v>
      </c>
      <c r="S86" s="57">
        <f t="shared" si="20"/>
        <v>0.09141277846812024</v>
      </c>
      <c r="T86" s="57">
        <f t="shared" si="20"/>
        <v>0.09086770590702642</v>
      </c>
      <c r="U86" s="57">
        <f t="shared" si="20"/>
        <v>0.08713924422423003</v>
      </c>
      <c r="V86" s="57">
        <f t="shared" si="20"/>
        <v>0.06758900714057825</v>
      </c>
      <c r="Y86">
        <f t="shared" si="28"/>
        <v>1998</v>
      </c>
      <c r="Z86" s="57">
        <v>0.2858</v>
      </c>
      <c r="AA86" s="57">
        <v>0.1076</v>
      </c>
      <c r="AB86" s="57">
        <v>0.1306</v>
      </c>
      <c r="AC86" s="57">
        <v>0.1021</v>
      </c>
      <c r="AD86" s="57">
        <v>0.0486</v>
      </c>
      <c r="AE86" s="57">
        <v>0.0161</v>
      </c>
      <c r="AF86" s="67">
        <f t="shared" si="19"/>
        <v>235103.8626194704</v>
      </c>
      <c r="AG86" s="67">
        <f t="shared" si="19"/>
        <v>6132.084455510619</v>
      </c>
      <c r="AH86" s="67">
        <f t="shared" si="19"/>
        <v>4417.7747990635</v>
      </c>
      <c r="AI86" s="67">
        <f t="shared" si="19"/>
        <v>4394.1774864942145</v>
      </c>
      <c r="AJ86" s="67">
        <f t="shared" si="19"/>
        <v>1494.2695937379456</v>
      </c>
      <c r="AK86" s="67">
        <f t="shared" si="19"/>
        <v>914.0342531856592</v>
      </c>
      <c r="AL86" s="68">
        <f t="shared" si="25"/>
        <v>140344.9989463535</v>
      </c>
      <c r="AM86" s="68">
        <f t="shared" si="26"/>
        <v>513602.15332467033</v>
      </c>
      <c r="AO86" s="57">
        <f t="shared" si="21"/>
        <v>0.12668595844950326</v>
      </c>
      <c r="AP86" s="57">
        <f t="shared" si="21"/>
        <v>0.09141277846812024</v>
      </c>
      <c r="AQ86" s="57">
        <f t="shared" si="21"/>
        <v>0.09086770590702642</v>
      </c>
      <c r="AR86" s="57">
        <f t="shared" si="21"/>
        <v>0.08713924422423003</v>
      </c>
      <c r="AS86" s="57">
        <f t="shared" si="21"/>
        <v>0.06758900714057825</v>
      </c>
      <c r="AU86">
        <f t="shared" si="17"/>
        <v>1998</v>
      </c>
      <c r="AV86" s="36">
        <f t="shared" si="22"/>
        <v>0.03527317998138302</v>
      </c>
      <c r="AW86" s="36">
        <f t="shared" si="22"/>
        <v>0.035818252542476836</v>
      </c>
      <c r="AX86" s="36">
        <f t="shared" si="22"/>
        <v>0.03954671422527323</v>
      </c>
      <c r="AY86" s="36">
        <f t="shared" si="22"/>
        <v>0.059096951308925005</v>
      </c>
    </row>
    <row r="87" spans="2:51" ht="12.75">
      <c r="B87">
        <f t="shared" si="27"/>
        <v>1999</v>
      </c>
      <c r="C87" s="57">
        <v>0.2104</v>
      </c>
      <c r="D87" s="57">
        <v>-0.0745</v>
      </c>
      <c r="E87" s="57">
        <v>-0.0896</v>
      </c>
      <c r="F87" s="57">
        <v>-0.0177</v>
      </c>
      <c r="G87" s="57">
        <v>0.0468</v>
      </c>
      <c r="H87" s="57">
        <v>0.0268</v>
      </c>
      <c r="I87" s="67">
        <f t="shared" si="18"/>
        <v>284569.71531460696</v>
      </c>
      <c r="J87" s="67">
        <f t="shared" si="18"/>
        <v>5675.244163575077</v>
      </c>
      <c r="K87" s="67">
        <f t="shared" si="18"/>
        <v>4021.9421770674103</v>
      </c>
      <c r="L87" s="67">
        <f t="shared" si="18"/>
        <v>4316.400544983267</v>
      </c>
      <c r="M87" s="67">
        <f t="shared" si="18"/>
        <v>1564.2014107248813</v>
      </c>
      <c r="N87" s="67">
        <f t="shared" si="18"/>
        <v>938.5303711710347</v>
      </c>
      <c r="O87" s="68">
        <f t="shared" si="23"/>
        <v>153689.513586027</v>
      </c>
      <c r="P87" s="68">
        <f t="shared" si="24"/>
        <v>576128.1787424793</v>
      </c>
      <c r="R87" s="57">
        <f t="shared" si="20"/>
        <v>0.13724266021564469</v>
      </c>
      <c r="S87" s="57">
        <f t="shared" si="20"/>
        <v>0.09166525877894505</v>
      </c>
      <c r="T87" s="57">
        <f t="shared" si="20"/>
        <v>0.08934734018536794</v>
      </c>
      <c r="U87" s="57">
        <f t="shared" si="20"/>
        <v>0.08676131152683686</v>
      </c>
      <c r="V87" s="57">
        <f t="shared" si="20"/>
        <v>0.06694907978463926</v>
      </c>
      <c r="Y87">
        <f t="shared" si="28"/>
        <v>1999</v>
      </c>
      <c r="Z87" s="57">
        <v>0.2104</v>
      </c>
      <c r="AA87" s="57">
        <v>-0.0745</v>
      </c>
      <c r="AB87" s="57">
        <v>-0.0896</v>
      </c>
      <c r="AC87" s="57">
        <v>-0.0177</v>
      </c>
      <c r="AD87" s="57">
        <v>0.0468</v>
      </c>
      <c r="AE87" s="57">
        <v>0.0268</v>
      </c>
      <c r="AF87" s="67">
        <f t="shared" si="19"/>
        <v>284569.71531460696</v>
      </c>
      <c r="AG87" s="67">
        <f t="shared" si="19"/>
        <v>5675.244163575077</v>
      </c>
      <c r="AH87" s="67">
        <f t="shared" si="19"/>
        <v>4021.9421770674103</v>
      </c>
      <c r="AI87" s="67">
        <f t="shared" si="19"/>
        <v>4316.400544983267</v>
      </c>
      <c r="AJ87" s="67">
        <f t="shared" si="19"/>
        <v>1564.2014107248813</v>
      </c>
      <c r="AK87" s="67">
        <f t="shared" si="19"/>
        <v>938.5303711710347</v>
      </c>
      <c r="AL87" s="68">
        <f t="shared" si="25"/>
        <v>154974.30648420332</v>
      </c>
      <c r="AM87" s="68">
        <f t="shared" si="26"/>
        <v>577357.3006240395</v>
      </c>
      <c r="AO87" s="57">
        <f t="shared" si="21"/>
        <v>0.13724266021564469</v>
      </c>
      <c r="AP87" s="57">
        <f t="shared" si="21"/>
        <v>0.09166525877894505</v>
      </c>
      <c r="AQ87" s="57">
        <f t="shared" si="21"/>
        <v>0.08934734018536794</v>
      </c>
      <c r="AR87" s="57">
        <f t="shared" si="21"/>
        <v>0.08676131152683686</v>
      </c>
      <c r="AS87" s="57">
        <f t="shared" si="21"/>
        <v>0.06694907978463926</v>
      </c>
      <c r="AU87">
        <f t="shared" si="17"/>
        <v>1999</v>
      </c>
      <c r="AV87" s="100">
        <f t="shared" si="22"/>
        <v>0.04557740143669964</v>
      </c>
      <c r="AW87" s="100">
        <f t="shared" si="22"/>
        <v>0.047895320030276745</v>
      </c>
      <c r="AX87" s="100">
        <f t="shared" si="22"/>
        <v>0.050481348688807826</v>
      </c>
      <c r="AY87" s="100">
        <f t="shared" si="22"/>
        <v>0.07029358043100542</v>
      </c>
    </row>
    <row r="88" spans="2:51" ht="12.75">
      <c r="B88">
        <f t="shared" si="27"/>
        <v>2000</v>
      </c>
      <c r="C88" s="57">
        <v>-0.0911</v>
      </c>
      <c r="D88" s="57">
        <v>0.1287</v>
      </c>
      <c r="E88" s="57">
        <v>0.2148</v>
      </c>
      <c r="F88" s="57">
        <v>0.1259</v>
      </c>
      <c r="G88" s="57">
        <v>0.0589</v>
      </c>
      <c r="H88" s="57">
        <v>0.0339</v>
      </c>
      <c r="I88" s="67">
        <f t="shared" si="18"/>
        <v>258645.41424944627</v>
      </c>
      <c r="J88" s="67">
        <f t="shared" si="18"/>
        <v>6405.64808742719</v>
      </c>
      <c r="K88" s="67">
        <f t="shared" si="18"/>
        <v>4885.85535670149</v>
      </c>
      <c r="L88" s="67">
        <f t="shared" si="18"/>
        <v>4859.83537359666</v>
      </c>
      <c r="M88" s="67">
        <f t="shared" si="18"/>
        <v>1656.3328738165767</v>
      </c>
      <c r="N88" s="67">
        <f t="shared" si="18"/>
        <v>970.3465507537329</v>
      </c>
      <c r="O88" s="68">
        <f>O87*(1+$I$94)</f>
        <v>169709.82906910288</v>
      </c>
      <c r="P88" s="68">
        <f>P87*(1+$C$94)</f>
        <v>647644.8899970457</v>
      </c>
      <c r="R88" s="57">
        <f aca="true" t="shared" si="29" ref="R88:V91">(I88/I58)^(1/30)-1</f>
        <v>0.1321427144421179</v>
      </c>
      <c r="S88" s="57">
        <f t="shared" si="29"/>
        <v>0.08993530087454182</v>
      </c>
      <c r="T88" s="57">
        <f t="shared" si="29"/>
        <v>0.09226594097927676</v>
      </c>
      <c r="U88" s="57">
        <f t="shared" si="29"/>
        <v>0.08541370390266301</v>
      </c>
      <c r="V88" s="57">
        <f t="shared" si="29"/>
        <v>0.06673813132328021</v>
      </c>
      <c r="Y88">
        <f t="shared" si="28"/>
        <v>2000</v>
      </c>
      <c r="Z88" s="57">
        <v>-0.0911</v>
      </c>
      <c r="AA88" s="57">
        <v>0.1287</v>
      </c>
      <c r="AB88" s="57">
        <v>0.2148</v>
      </c>
      <c r="AC88" s="57">
        <v>0.1259</v>
      </c>
      <c r="AD88" s="57">
        <v>0.0589</v>
      </c>
      <c r="AE88" s="57">
        <v>0.0339</v>
      </c>
      <c r="AF88" s="67">
        <f t="shared" si="19"/>
        <v>258645.41424944627</v>
      </c>
      <c r="AG88" s="67">
        <f t="shared" si="19"/>
        <v>6405.64808742719</v>
      </c>
      <c r="AH88" s="67">
        <f t="shared" si="19"/>
        <v>4885.85535670149</v>
      </c>
      <c r="AI88" s="67">
        <f t="shared" si="19"/>
        <v>4859.83537359666</v>
      </c>
      <c r="AJ88" s="67">
        <f t="shared" si="19"/>
        <v>1656.3328738165767</v>
      </c>
      <c r="AK88" s="67">
        <f t="shared" si="19"/>
        <v>970.3465507537329</v>
      </c>
      <c r="AL88" s="68">
        <f>AL87*(1+$I$94)</f>
        <v>171128.54644318484</v>
      </c>
      <c r="AM88" s="68">
        <f>AM87*(1+$C$94)</f>
        <v>649026.5868748369</v>
      </c>
      <c r="AO88" s="57">
        <f aca="true" t="shared" si="30" ref="AO88:AS89">(AF88/AF58)^(1/30)-1</f>
        <v>0.1321427144421179</v>
      </c>
      <c r="AP88" s="57">
        <f t="shared" si="30"/>
        <v>0.08993530087454182</v>
      </c>
      <c r="AQ88" s="57">
        <f t="shared" si="30"/>
        <v>0.09226594097927676</v>
      </c>
      <c r="AR88" s="57">
        <f t="shared" si="30"/>
        <v>0.08541370390266301</v>
      </c>
      <c r="AS88" s="57">
        <f t="shared" si="30"/>
        <v>0.06673813132328021</v>
      </c>
      <c r="AU88">
        <f>Y88</f>
        <v>2000</v>
      </c>
      <c r="AV88" s="100">
        <f aca="true" t="shared" si="31" ref="AV88:AY89">$R88-AP88</f>
        <v>0.04220741356757607</v>
      </c>
      <c r="AW88" s="100">
        <f t="shared" si="31"/>
        <v>0.03987677346284113</v>
      </c>
      <c r="AX88" s="100">
        <f t="shared" si="31"/>
        <v>0.046729010539454885</v>
      </c>
      <c r="AY88" s="100">
        <f t="shared" si="31"/>
        <v>0.06540458311883768</v>
      </c>
    </row>
    <row r="89" spans="2:51" ht="12.75">
      <c r="B89">
        <f t="shared" si="27"/>
        <v>2001</v>
      </c>
      <c r="C89" s="57">
        <v>-0.1188</v>
      </c>
      <c r="D89" s="57">
        <v>0.1065</v>
      </c>
      <c r="E89" s="57">
        <v>0.037</v>
      </c>
      <c r="F89" s="57">
        <v>0.0762</v>
      </c>
      <c r="G89" s="57">
        <v>0.0383</v>
      </c>
      <c r="H89" s="57">
        <v>0.0155</v>
      </c>
      <c r="I89" s="67">
        <f t="shared" si="18"/>
        <v>227918.33903661204</v>
      </c>
      <c r="J89" s="67">
        <f t="shared" si="18"/>
        <v>7087.849608738186</v>
      </c>
      <c r="K89" s="67">
        <f t="shared" si="18"/>
        <v>5066.632004899445</v>
      </c>
      <c r="L89" s="67">
        <f t="shared" si="18"/>
        <v>5230.154829064726</v>
      </c>
      <c r="M89" s="67">
        <f t="shared" si="18"/>
        <v>1719.7704228837515</v>
      </c>
      <c r="N89" s="67">
        <f t="shared" si="18"/>
        <v>985.3869222904159</v>
      </c>
      <c r="O89" s="68">
        <f>O88*(1+$I$94)</f>
        <v>187400.07311261774</v>
      </c>
      <c r="P89" s="68">
        <f>P88*(1+$C$94)</f>
        <v>728039.209008679</v>
      </c>
      <c r="R89" s="57">
        <f t="shared" si="29"/>
        <v>0.12236518038511224</v>
      </c>
      <c r="S89" s="57">
        <f t="shared" si="29"/>
        <v>0.08981729557755425</v>
      </c>
      <c r="T89" s="57">
        <f t="shared" si="29"/>
        <v>0.08906959474784282</v>
      </c>
      <c r="U89" s="57">
        <f t="shared" si="29"/>
        <v>0.08504583757376016</v>
      </c>
      <c r="V89" s="57">
        <f t="shared" si="29"/>
        <v>0.06654688448723722</v>
      </c>
      <c r="Y89">
        <f t="shared" si="28"/>
        <v>2001</v>
      </c>
      <c r="Z89" s="57">
        <v>-0.1188</v>
      </c>
      <c r="AA89" s="57">
        <v>0.1065</v>
      </c>
      <c r="AB89" s="57">
        <v>0.037</v>
      </c>
      <c r="AC89" s="57">
        <v>0.0762</v>
      </c>
      <c r="AD89" s="57">
        <v>0.0383</v>
      </c>
      <c r="AE89" s="57">
        <v>0.0155</v>
      </c>
      <c r="AF89" s="67">
        <f t="shared" si="19"/>
        <v>227918.33903661204</v>
      </c>
      <c r="AG89" s="67">
        <f t="shared" si="19"/>
        <v>7087.849608738186</v>
      </c>
      <c r="AH89" s="67">
        <f t="shared" si="19"/>
        <v>5066.632004899445</v>
      </c>
      <c r="AI89" s="67">
        <f t="shared" si="19"/>
        <v>5230.154829064726</v>
      </c>
      <c r="AJ89" s="67">
        <f t="shared" si="19"/>
        <v>1719.7704228837515</v>
      </c>
      <c r="AK89" s="67">
        <f t="shared" si="19"/>
        <v>985.3869222904159</v>
      </c>
      <c r="AL89" s="68">
        <f>AL88*(1+$I$94)</f>
        <v>188966.67500649416</v>
      </c>
      <c r="AM89" s="68">
        <f>AM88*(1+$C$94)</f>
        <v>729592.4205255668</v>
      </c>
      <c r="AO89" s="57">
        <f t="shared" si="30"/>
        <v>0.12236518038511224</v>
      </c>
      <c r="AP89" s="57">
        <f t="shared" si="30"/>
        <v>0.08981729557755425</v>
      </c>
      <c r="AQ89" s="57">
        <f t="shared" si="30"/>
        <v>0.08906959474784282</v>
      </c>
      <c r="AR89" s="57">
        <f t="shared" si="30"/>
        <v>0.08504583757376016</v>
      </c>
      <c r="AS89" s="57">
        <f t="shared" si="30"/>
        <v>0.06654688448723722</v>
      </c>
      <c r="AU89">
        <f>B89</f>
        <v>2001</v>
      </c>
      <c r="AV89" s="100">
        <f t="shared" si="31"/>
        <v>0.03254788480755799</v>
      </c>
      <c r="AW89" s="100">
        <f t="shared" si="31"/>
        <v>0.03329558563726942</v>
      </c>
      <c r="AX89" s="100">
        <f t="shared" si="31"/>
        <v>0.037319342811352074</v>
      </c>
      <c r="AY89" s="100">
        <f t="shared" si="31"/>
        <v>0.055818295897875014</v>
      </c>
    </row>
    <row r="90" spans="2:51" ht="12.75">
      <c r="B90">
        <f t="shared" si="27"/>
        <v>2002</v>
      </c>
      <c r="C90" s="57">
        <v>-0.221</v>
      </c>
      <c r="D90" s="57">
        <v>0.1633</v>
      </c>
      <c r="E90" s="57">
        <v>0.1784</v>
      </c>
      <c r="F90" s="57">
        <v>0.1293</v>
      </c>
      <c r="G90" s="57">
        <v>0.0165</v>
      </c>
      <c r="H90" s="57">
        <v>0.0238</v>
      </c>
      <c r="I90" s="67">
        <f aca="true" t="shared" si="32" ref="I90:N91">I89*(1+C90)</f>
        <v>177548.3861095208</v>
      </c>
      <c r="J90" s="67">
        <f t="shared" si="32"/>
        <v>8245.295449845133</v>
      </c>
      <c r="K90" s="67">
        <f t="shared" si="32"/>
        <v>5970.519154573505</v>
      </c>
      <c r="L90" s="67">
        <f t="shared" si="32"/>
        <v>5906.413848462795</v>
      </c>
      <c r="M90" s="67">
        <f t="shared" si="32"/>
        <v>1748.1466348613333</v>
      </c>
      <c r="N90" s="67">
        <f t="shared" si="32"/>
        <v>1008.8391310409278</v>
      </c>
      <c r="O90" s="68">
        <f>O89*(1+$I$94)</f>
        <v>206934.31603372082</v>
      </c>
      <c r="P90" s="68">
        <f>P89*(1+$C$96)</f>
        <v>728039.209008679</v>
      </c>
      <c r="R90" s="57">
        <f t="shared" si="29"/>
        <v>0.10663134682380604</v>
      </c>
      <c r="S90" s="57">
        <f t="shared" si="29"/>
        <v>0.09277015949633305</v>
      </c>
      <c r="T90" s="57">
        <f t="shared" si="29"/>
        <v>0.09302709519561958</v>
      </c>
      <c r="U90" s="57">
        <f t="shared" si="29"/>
        <v>0.08762715865161197</v>
      </c>
      <c r="V90" s="57">
        <f t="shared" si="29"/>
        <v>0.06578934673791625</v>
      </c>
      <c r="X90">
        <f>B90</f>
        <v>2002</v>
      </c>
      <c r="Y90" s="100">
        <f aca="true" t="shared" si="33" ref="Y90:AB91">$R90-S90</f>
        <v>0.01386118732747299</v>
      </c>
      <c r="Z90" s="100">
        <f t="shared" si="33"/>
        <v>0.013604251628186459</v>
      </c>
      <c r="AA90" s="100">
        <f t="shared" si="33"/>
        <v>0.01900418817219407</v>
      </c>
      <c r="AB90" s="100">
        <f t="shared" si="33"/>
        <v>0.040842000085889785</v>
      </c>
      <c r="AU90">
        <f>B90</f>
        <v>2002</v>
      </c>
      <c r="AV90" s="100">
        <f aca="true" t="shared" si="34" ref="AV90:AY91">$R90-AP90</f>
        <v>0.10663134682380604</v>
      </c>
      <c r="AW90" s="100">
        <f t="shared" si="34"/>
        <v>0.10663134682380604</v>
      </c>
      <c r="AX90" s="100">
        <f t="shared" si="34"/>
        <v>0.10663134682380604</v>
      </c>
      <c r="AY90" s="100">
        <f t="shared" si="34"/>
        <v>0.10663134682380604</v>
      </c>
    </row>
    <row r="91" spans="2:51" ht="12.75">
      <c r="B91">
        <f t="shared" si="27"/>
        <v>2003</v>
      </c>
      <c r="C91" s="57">
        <v>0.287</v>
      </c>
      <c r="D91" s="57">
        <v>0.0527</v>
      </c>
      <c r="E91" s="57">
        <v>0.0145</v>
      </c>
      <c r="F91" s="57">
        <v>0.024</v>
      </c>
      <c r="G91" s="57">
        <v>0.0102</v>
      </c>
      <c r="H91" s="57">
        <v>0.018</v>
      </c>
      <c r="I91" s="67">
        <f t="shared" si="32"/>
        <v>228504.77292295324</v>
      </c>
      <c r="J91" s="67">
        <f t="shared" si="32"/>
        <v>8679.82252005197</v>
      </c>
      <c r="K91" s="67">
        <f t="shared" si="32"/>
        <v>6057.091682314821</v>
      </c>
      <c r="L91" s="67">
        <f t="shared" si="32"/>
        <v>6048.167780825902</v>
      </c>
      <c r="M91" s="67">
        <f t="shared" si="32"/>
        <v>1765.977730536919</v>
      </c>
      <c r="N91" s="67">
        <f t="shared" si="32"/>
        <v>1026.9982353996645</v>
      </c>
      <c r="O91" s="68">
        <f>O90*(1+$I$94)</f>
        <v>228504.7729229548</v>
      </c>
      <c r="P91" s="68">
        <f>P90*(1+$C$96)</f>
        <v>728039.209008679</v>
      </c>
      <c r="R91" s="57">
        <f t="shared" si="29"/>
        <v>0.12189057184213792</v>
      </c>
      <c r="S91" s="57">
        <f t="shared" si="29"/>
        <v>0.09422898913824906</v>
      </c>
      <c r="T91" s="57">
        <f t="shared" si="29"/>
        <v>0.09395867617324871</v>
      </c>
      <c r="U91" s="57">
        <f t="shared" si="29"/>
        <v>0.08685331773700056</v>
      </c>
      <c r="V91" s="57">
        <f t="shared" si="29"/>
        <v>0.06377137922788112</v>
      </c>
      <c r="X91">
        <f>B91</f>
        <v>2003</v>
      </c>
      <c r="Y91" s="100">
        <f t="shared" si="33"/>
        <v>0.027661582703888854</v>
      </c>
      <c r="Z91" s="100">
        <f t="shared" si="33"/>
        <v>0.027931895668889206</v>
      </c>
      <c r="AA91" s="100">
        <f t="shared" si="33"/>
        <v>0.03503725410513736</v>
      </c>
      <c r="AB91" s="100">
        <f t="shared" si="33"/>
        <v>0.0581191926142568</v>
      </c>
      <c r="AU91">
        <f>B91</f>
        <v>2003</v>
      </c>
      <c r="AV91" s="100">
        <f t="shared" si="34"/>
        <v>0.12189057184213792</v>
      </c>
      <c r="AW91" s="100">
        <f t="shared" si="34"/>
        <v>0.12189057184213792</v>
      </c>
      <c r="AX91" s="100">
        <f t="shared" si="34"/>
        <v>0.12189057184213792</v>
      </c>
      <c r="AY91" s="100">
        <f t="shared" si="34"/>
        <v>0.12189057184213792</v>
      </c>
    </row>
    <row r="92" spans="9:36" ht="12.75">
      <c r="I92" s="67"/>
      <c r="J92" s="67"/>
      <c r="K92" s="67"/>
      <c r="L92" s="67"/>
      <c r="M92" s="67"/>
      <c r="Z92" s="57"/>
      <c r="AA92" s="57"/>
      <c r="AB92" s="57"/>
      <c r="AC92" s="57"/>
      <c r="AD92" s="57"/>
      <c r="AE92" s="57"/>
      <c r="AF92" s="67"/>
      <c r="AG92" s="67"/>
      <c r="AH92" s="67"/>
      <c r="AI92" s="67"/>
      <c r="AJ92" s="67"/>
    </row>
    <row r="93" spans="26:31" ht="12.75">
      <c r="Z93" s="57"/>
      <c r="AA93" s="57"/>
      <c r="AB93" s="57"/>
      <c r="AC93" s="57"/>
      <c r="AD93" s="57"/>
      <c r="AE93" s="57"/>
    </row>
    <row r="94" spans="1:51" ht="12.75">
      <c r="A94" t="s">
        <v>204</v>
      </c>
      <c r="C94" s="57">
        <f aca="true" t="shared" si="35" ref="C94:H94">AVERAGE(C14:C91)</f>
        <v>0.12413333333333337</v>
      </c>
      <c r="D94" s="57">
        <f t="shared" si="35"/>
        <v>0.062142307692307705</v>
      </c>
      <c r="E94" s="57">
        <f t="shared" si="35"/>
        <v>0.05786794871794871</v>
      </c>
      <c r="F94" s="57">
        <f t="shared" si="35"/>
        <v>0.055479487179487176</v>
      </c>
      <c r="G94" s="57">
        <f t="shared" si="35"/>
        <v>0.03796025641025641</v>
      </c>
      <c r="H94" s="57">
        <f t="shared" si="35"/>
        <v>0.031214102564102557</v>
      </c>
      <c r="I94" s="57">
        <f>(I91/100)^(1/(B91-1925))-1</f>
        <v>0.1042381819635898</v>
      </c>
      <c r="J94" s="57">
        <f>(J91/100)^(1/($B$91-1925))-1</f>
        <v>0.05889452584088639</v>
      </c>
      <c r="K94" s="57">
        <f>(K91/100)^(1/($B$91-1925))-1</f>
        <v>0.054021671383975844</v>
      </c>
      <c r="L94" s="57">
        <f>(L91/100)^(1/($B$91-1925))-1</f>
        <v>0.054001748070312106</v>
      </c>
      <c r="M94" s="57">
        <f>(M91/100)^(1/($B$91-1925))-1</f>
        <v>0.037497335509348195</v>
      </c>
      <c r="N94" s="57">
        <f>(N91/100)^(1/($B$91-1925))-1</f>
        <v>0.030312199777351223</v>
      </c>
      <c r="X94" t="s">
        <v>204</v>
      </c>
      <c r="Z94" s="57">
        <f aca="true" t="shared" si="36" ref="Z94:AE94">AVERAGE(Z14:Z89)</f>
        <v>0.12653157894736844</v>
      </c>
      <c r="AA94" s="57">
        <f t="shared" si="36"/>
        <v>0.060935526315789496</v>
      </c>
      <c r="AB94" s="57">
        <f t="shared" si="36"/>
        <v>0.056852631578947356</v>
      </c>
      <c r="AC94" s="57">
        <f t="shared" si="36"/>
        <v>0.054922368421052636</v>
      </c>
      <c r="AD94" s="57">
        <f t="shared" si="36"/>
        <v>0.0386078947368421</v>
      </c>
      <c r="AE94" s="57">
        <f t="shared" si="36"/>
        <v>0.03148552631578947</v>
      </c>
      <c r="AF94" s="57">
        <f>(AF87/100)^(1/(Y87-1925))-1</f>
        <v>0.11346924360845545</v>
      </c>
      <c r="AG94" s="57">
        <f>(AG87/100)^(1/($B$87-1925))-1</f>
        <v>0.0560938022076074</v>
      </c>
      <c r="AH94" s="57">
        <f>(AH87/100)^(1/($B$87-1925))-1</f>
        <v>0.05119083357897991</v>
      </c>
      <c r="AI94" s="57">
        <f>(AI87/100)^(1/($B$87-1925))-1</f>
        <v>0.05219501453865716</v>
      </c>
      <c r="AJ94" s="57">
        <f>(AJ87/100)^(1/($B$87-1925))-1</f>
        <v>0.03786075511832365</v>
      </c>
      <c r="AK94" s="57">
        <f>(AK87/100)^(1/($B$87-1925))-1</f>
        <v>0.03072116417132187</v>
      </c>
      <c r="AV94" s="36">
        <f>$I$94-AG94</f>
        <v>0.0481443797559824</v>
      </c>
      <c r="AW94" s="36">
        <f>$I$94-AH94</f>
        <v>0.053047348384609894</v>
      </c>
      <c r="AX94" s="36">
        <f>$I$94-AI94</f>
        <v>0.052043167424932646</v>
      </c>
      <c r="AY94" s="36">
        <f>$I$94-AJ94</f>
        <v>0.06637742684526615</v>
      </c>
    </row>
    <row r="95" spans="1:41" ht="12.75">
      <c r="A95" t="s">
        <v>396</v>
      </c>
      <c r="I95" s="66" t="s">
        <v>205</v>
      </c>
      <c r="J95" s="66" t="s">
        <v>205</v>
      </c>
      <c r="K95" s="66" t="s">
        <v>205</v>
      </c>
      <c r="L95" s="66" t="s">
        <v>205</v>
      </c>
      <c r="M95" s="66" t="s">
        <v>205</v>
      </c>
      <c r="N95" s="66" t="s">
        <v>205</v>
      </c>
      <c r="Q95" s="66" t="s">
        <v>14</v>
      </c>
      <c r="R95" t="str">
        <f>O2</f>
        <v>Exhibit ___(JAR-3) Schedule 10, P. 3</v>
      </c>
      <c r="Z95" s="57"/>
      <c r="AA95" s="57"/>
      <c r="AB95" s="57"/>
      <c r="AC95" s="57"/>
      <c r="AD95" s="57"/>
      <c r="AE95" s="57"/>
      <c r="AF95" s="66" t="s">
        <v>205</v>
      </c>
      <c r="AG95" s="66" t="s">
        <v>205</v>
      </c>
      <c r="AH95" s="66" t="s">
        <v>205</v>
      </c>
      <c r="AI95" s="66" t="s">
        <v>205</v>
      </c>
      <c r="AJ95" s="66" t="s">
        <v>205</v>
      </c>
      <c r="AK95" s="66" t="s">
        <v>205</v>
      </c>
      <c r="AN95" s="66" t="s">
        <v>14</v>
      </c>
      <c r="AO95" t="str">
        <f>AL2</f>
        <v>Schedule JAR 10, P. 4</v>
      </c>
    </row>
    <row r="96" spans="9:37" ht="12.75">
      <c r="I96" s="66" t="s">
        <v>206</v>
      </c>
      <c r="J96" s="66" t="s">
        <v>206</v>
      </c>
      <c r="K96" s="66" t="s">
        <v>206</v>
      </c>
      <c r="L96" s="66" t="s">
        <v>206</v>
      </c>
      <c r="M96" s="66" t="s">
        <v>206</v>
      </c>
      <c r="N96" s="66" t="s">
        <v>206</v>
      </c>
      <c r="Z96" s="57"/>
      <c r="AA96" s="57"/>
      <c r="AB96" s="57"/>
      <c r="AC96" s="57"/>
      <c r="AD96" s="57"/>
      <c r="AE96" s="57"/>
      <c r="AF96" s="66" t="s">
        <v>206</v>
      </c>
      <c r="AG96" s="66" t="s">
        <v>206</v>
      </c>
      <c r="AH96" s="66" t="s">
        <v>206</v>
      </c>
      <c r="AI96" s="66" t="s">
        <v>206</v>
      </c>
      <c r="AJ96" s="66" t="s">
        <v>206</v>
      </c>
      <c r="AK96" s="66" t="s">
        <v>206</v>
      </c>
    </row>
    <row r="97" spans="1:37" ht="12.75">
      <c r="A97" t="s">
        <v>397</v>
      </c>
      <c r="C97" s="57">
        <f aca="true" t="shared" si="37" ref="C97:H97">AVERAGE(C14:C89)</f>
        <v>0.12653157894736844</v>
      </c>
      <c r="D97" s="57">
        <f t="shared" si="37"/>
        <v>0.060935526315789496</v>
      </c>
      <c r="E97" s="57">
        <f t="shared" si="37"/>
        <v>0.056852631578947356</v>
      </c>
      <c r="F97" s="57">
        <f t="shared" si="37"/>
        <v>0.054922368421052636</v>
      </c>
      <c r="G97" s="57">
        <f t="shared" si="37"/>
        <v>0.0386078947368421</v>
      </c>
      <c r="H97" s="57">
        <f t="shared" si="37"/>
        <v>0.03148552631578947</v>
      </c>
      <c r="I97" s="57">
        <f>(I89/100)^(1/(B89-1925))-1</f>
        <v>0.1070858659272449</v>
      </c>
      <c r="J97" s="57">
        <f>(J89/100)^(1/(B89-1925))-1</f>
        <v>0.057666806799699266</v>
      </c>
      <c r="K97" s="57">
        <f>(K89/100)^(1/(B89-1925))-1</f>
        <v>0.05300520504003603</v>
      </c>
      <c r="L97" s="57">
        <f>(L89/100)^(1/(B89-1925))-1</f>
        <v>0.05344540586666602</v>
      </c>
      <c r="M97" s="57">
        <f>(M89/100)^(1/(B89-1925))-1</f>
        <v>0.03814063475218554</v>
      </c>
      <c r="N97" s="57">
        <f>(N89/100)^(1/(B89-1925))-1</f>
        <v>0.030561167008308576</v>
      </c>
      <c r="Z97" s="57"/>
      <c r="AA97" s="57"/>
      <c r="AB97" s="57"/>
      <c r="AC97" s="57"/>
      <c r="AD97" s="57"/>
      <c r="AE97" s="57"/>
      <c r="AF97" s="66"/>
      <c r="AG97" s="66"/>
      <c r="AH97" s="66"/>
      <c r="AI97" s="66"/>
      <c r="AJ97" s="66"/>
      <c r="AK97" s="66"/>
    </row>
    <row r="98" spans="9:37" ht="12.75">
      <c r="I98" s="66"/>
      <c r="J98" s="66"/>
      <c r="K98" s="66"/>
      <c r="L98" s="66"/>
      <c r="M98" s="66"/>
      <c r="N98" s="66"/>
      <c r="Z98" s="57"/>
      <c r="AA98" s="57"/>
      <c r="AB98" s="57"/>
      <c r="AC98" s="57"/>
      <c r="AD98" s="57"/>
      <c r="AE98" s="57"/>
      <c r="AF98" s="66"/>
      <c r="AG98" s="66"/>
      <c r="AH98" s="66"/>
      <c r="AI98" s="66"/>
      <c r="AJ98" s="66"/>
      <c r="AK98" s="66"/>
    </row>
    <row r="99" spans="1:31" ht="12.75">
      <c r="A99" t="s">
        <v>349</v>
      </c>
      <c r="X99" t="s">
        <v>349</v>
      </c>
      <c r="Z99" s="57"/>
      <c r="AA99" s="57"/>
      <c r="AB99" s="57"/>
      <c r="AC99" s="57"/>
      <c r="AD99" s="57"/>
      <c r="AE99" s="57"/>
    </row>
    <row r="100" spans="2:31" ht="12.75">
      <c r="B100" t="s">
        <v>369</v>
      </c>
      <c r="Y100" t="s">
        <v>350</v>
      </c>
      <c r="Z100" s="57"/>
      <c r="AA100" s="57"/>
      <c r="AB100" s="57"/>
      <c r="AC100" s="57"/>
      <c r="AD100" s="57"/>
      <c r="AE100" s="57"/>
    </row>
    <row r="101" spans="26:31" ht="12.75">
      <c r="Z101" s="57"/>
      <c r="AA101" s="57"/>
      <c r="AB101" s="57"/>
      <c r="AC101" s="57"/>
      <c r="AD101" s="57"/>
      <c r="AE101" s="57"/>
    </row>
    <row r="102" spans="15:54" ht="12.75">
      <c r="O102" s="60"/>
      <c r="Z102" s="57"/>
      <c r="AA102" s="57"/>
      <c r="AB102" s="57"/>
      <c r="AC102" s="57"/>
      <c r="AD102" s="57"/>
      <c r="AE102" s="57"/>
      <c r="AL102" s="60" t="s">
        <v>0</v>
      </c>
      <c r="BB102" s="60"/>
    </row>
    <row r="103" spans="26:31" ht="12.75">
      <c r="Z103" s="57"/>
      <c r="AA103" s="57"/>
      <c r="AB103" s="57"/>
      <c r="AC103" s="57"/>
      <c r="AD103" s="57"/>
      <c r="AE103" s="57"/>
    </row>
    <row r="104" spans="26:54" ht="12.75">
      <c r="Z104" s="57"/>
      <c r="AA104" s="57"/>
      <c r="AB104" s="57"/>
      <c r="AC104" s="57"/>
      <c r="AD104" s="57"/>
      <c r="AE104" s="57"/>
      <c r="BB104" s="60"/>
    </row>
    <row r="105" spans="26:31" ht="12.75">
      <c r="Z105" s="57"/>
      <c r="AA105" s="57"/>
      <c r="AB105" s="57"/>
      <c r="AC105" s="57"/>
      <c r="AD105" s="57"/>
      <c r="AE105" s="57"/>
    </row>
    <row r="106" spans="26:31" ht="12.75">
      <c r="Z106" s="57"/>
      <c r="AA106" s="57"/>
      <c r="AB106" s="57"/>
      <c r="AC106" s="57"/>
      <c r="AD106" s="57"/>
      <c r="AE106" s="57"/>
    </row>
    <row r="107" spans="26:31" ht="12.75">
      <c r="Z107" s="57"/>
      <c r="AA107" s="57"/>
      <c r="AB107" s="57"/>
      <c r="AC107" s="57"/>
      <c r="AD107" s="57"/>
      <c r="AE107" s="57"/>
    </row>
    <row r="108" spans="26:31" ht="12.75">
      <c r="Z108" s="57"/>
      <c r="AA108" s="57"/>
      <c r="AB108" s="57"/>
      <c r="AC108" s="57"/>
      <c r="AD108" s="57"/>
      <c r="AE108" s="57"/>
    </row>
    <row r="109" spans="26:31" ht="12.75">
      <c r="Z109" s="57"/>
      <c r="AA109" s="57"/>
      <c r="AB109" s="57"/>
      <c r="AC109" s="57"/>
      <c r="AD109" s="57"/>
      <c r="AE109" s="57"/>
    </row>
    <row r="110" spans="26:31" ht="12.75">
      <c r="Z110" s="57"/>
      <c r="AA110" s="57"/>
      <c r="AB110" s="57"/>
      <c r="AC110" s="57"/>
      <c r="AD110" s="57"/>
      <c r="AE110" s="57"/>
    </row>
    <row r="111" spans="26:31" ht="12.75">
      <c r="Z111" s="57"/>
      <c r="AA111" s="57"/>
      <c r="AB111" s="57"/>
      <c r="AC111" s="57"/>
      <c r="AD111" s="57"/>
      <c r="AE111" s="57"/>
    </row>
    <row r="112" spans="26:31" ht="12.75">
      <c r="Z112" s="57"/>
      <c r="AA112" s="57"/>
      <c r="AB112" s="57"/>
      <c r="AC112" s="57"/>
      <c r="AD112" s="57"/>
      <c r="AE112" s="57"/>
    </row>
    <row r="113" spans="26:31" ht="12.75">
      <c r="Z113" s="57"/>
      <c r="AA113" s="57"/>
      <c r="AB113" s="57"/>
      <c r="AC113" s="57"/>
      <c r="AD113" s="57"/>
      <c r="AE113" s="57"/>
    </row>
    <row r="114" spans="26:31" ht="12.75">
      <c r="Z114" s="57"/>
      <c r="AA114" s="57"/>
      <c r="AB114" s="57"/>
      <c r="AC114" s="57"/>
      <c r="AD114" s="57"/>
      <c r="AE114" s="57"/>
    </row>
    <row r="115" spans="26:31" ht="12.75">
      <c r="Z115" s="57"/>
      <c r="AA115" s="57"/>
      <c r="AB115" s="57"/>
      <c r="AC115" s="57"/>
      <c r="AD115" s="57"/>
      <c r="AE115" s="57"/>
    </row>
    <row r="116" spans="26:31" ht="12.75">
      <c r="Z116" s="57"/>
      <c r="AA116" s="57"/>
      <c r="AB116" s="57"/>
      <c r="AC116" s="57"/>
      <c r="AD116" s="57"/>
      <c r="AE116" s="57"/>
    </row>
    <row r="117" spans="26:31" ht="12.75">
      <c r="Z117" s="57"/>
      <c r="AA117" s="57"/>
      <c r="AB117" s="57"/>
      <c r="AC117" s="57"/>
      <c r="AD117" s="57"/>
      <c r="AE117" s="57"/>
    </row>
    <row r="118" spans="26:31" ht="12.75">
      <c r="Z118" s="57"/>
      <c r="AA118" s="57"/>
      <c r="AB118" s="57"/>
      <c r="AC118" s="57"/>
      <c r="AD118" s="57"/>
      <c r="AE118" s="57"/>
    </row>
    <row r="119" spans="26:31" ht="12.75">
      <c r="Z119" s="57"/>
      <c r="AA119" s="57"/>
      <c r="AB119" s="57"/>
      <c r="AC119" s="57"/>
      <c r="AD119" s="57"/>
      <c r="AE119" s="57"/>
    </row>
    <row r="120" spans="26:31" ht="12.75">
      <c r="Z120" s="57"/>
      <c r="AA120" s="57"/>
      <c r="AB120" s="57"/>
      <c r="AC120" s="57"/>
      <c r="AD120" s="57"/>
      <c r="AE120" s="57"/>
    </row>
    <row r="121" spans="26:31" ht="12.75">
      <c r="Z121" s="57"/>
      <c r="AA121" s="57"/>
      <c r="AB121" s="57"/>
      <c r="AC121" s="57"/>
      <c r="AD121" s="57"/>
      <c r="AE121" s="57"/>
    </row>
    <row r="122" spans="26:31" ht="12.75">
      <c r="Z122" s="57"/>
      <c r="AA122" s="57"/>
      <c r="AB122" s="57"/>
      <c r="AC122" s="57"/>
      <c r="AD122" s="57"/>
      <c r="AE122" s="57"/>
    </row>
    <row r="123" spans="26:31" ht="12.75">
      <c r="Z123" s="57"/>
      <c r="AA123" s="57"/>
      <c r="AB123" s="57"/>
      <c r="AC123" s="57"/>
      <c r="AD123" s="57"/>
      <c r="AE123" s="57"/>
    </row>
    <row r="124" spans="26:31" ht="12.75">
      <c r="Z124" s="57"/>
      <c r="AA124" s="57"/>
      <c r="AB124" s="57"/>
      <c r="AC124" s="57"/>
      <c r="AD124" s="57"/>
      <c r="AE124" s="57"/>
    </row>
    <row r="125" spans="26:31" ht="12.75">
      <c r="Z125" s="57"/>
      <c r="AA125" s="57"/>
      <c r="AB125" s="57"/>
      <c r="AC125" s="57"/>
      <c r="AD125" s="57"/>
      <c r="AE125" s="57"/>
    </row>
    <row r="126" spans="26:31" ht="12.75">
      <c r="Z126" s="57"/>
      <c r="AA126" s="57"/>
      <c r="AB126" s="57"/>
      <c r="AC126" s="57"/>
      <c r="AD126" s="57"/>
      <c r="AE126" s="57"/>
    </row>
    <row r="127" spans="26:31" ht="12.75">
      <c r="Z127" s="57"/>
      <c r="AA127" s="57"/>
      <c r="AB127" s="57"/>
      <c r="AC127" s="57"/>
      <c r="AD127" s="57"/>
      <c r="AE127" s="57"/>
    </row>
    <row r="128" spans="26:31" ht="12.75">
      <c r="Z128" s="57"/>
      <c r="AA128" s="57"/>
      <c r="AB128" s="57"/>
      <c r="AC128" s="57"/>
      <c r="AD128" s="57"/>
      <c r="AE128" s="57"/>
    </row>
    <row r="129" spans="26:31" ht="12.75">
      <c r="Z129" s="57"/>
      <c r="AA129" s="57"/>
      <c r="AB129" s="57"/>
      <c r="AC129" s="57"/>
      <c r="AD129" s="57"/>
      <c r="AE129" s="57"/>
    </row>
    <row r="130" spans="26:31" ht="12.75">
      <c r="Z130" s="57"/>
      <c r="AA130" s="57"/>
      <c r="AB130" s="57"/>
      <c r="AC130" s="57"/>
      <c r="AD130" s="57"/>
      <c r="AE130" s="57"/>
    </row>
    <row r="131" spans="26:31" ht="12.75">
      <c r="Z131" s="57"/>
      <c r="AA131" s="57"/>
      <c r="AB131" s="57"/>
      <c r="AC131" s="57"/>
      <c r="AD131" s="57"/>
      <c r="AE131" s="57"/>
    </row>
    <row r="132" spans="26:31" ht="12.75">
      <c r="Z132" s="57"/>
      <c r="AA132" s="57"/>
      <c r="AB132" s="57"/>
      <c r="AC132" s="57"/>
      <c r="AD132" s="57"/>
      <c r="AE132" s="57"/>
    </row>
    <row r="133" spans="26:31" ht="12.75">
      <c r="Z133" s="57"/>
      <c r="AA133" s="57"/>
      <c r="AB133" s="57"/>
      <c r="AC133" s="57"/>
      <c r="AD133" s="57"/>
      <c r="AE133" s="57"/>
    </row>
    <row r="134" spans="26:31" ht="12.75">
      <c r="Z134" s="57"/>
      <c r="AA134" s="57"/>
      <c r="AB134" s="57"/>
      <c r="AC134" s="57"/>
      <c r="AD134" s="57"/>
      <c r="AE134" s="57"/>
    </row>
    <row r="135" spans="26:31" ht="12.75">
      <c r="Z135" s="57"/>
      <c r="AA135" s="57"/>
      <c r="AB135" s="57"/>
      <c r="AC135" s="57"/>
      <c r="AD135" s="57"/>
      <c r="AE135" s="57"/>
    </row>
    <row r="136" spans="26:31" ht="12.75">
      <c r="Z136" s="57"/>
      <c r="AA136" s="57"/>
      <c r="AB136" s="57"/>
      <c r="AC136" s="57"/>
      <c r="AD136" s="57"/>
      <c r="AE136" s="57"/>
    </row>
    <row r="137" spans="26:31" ht="12.75">
      <c r="Z137" s="57"/>
      <c r="AA137" s="57"/>
      <c r="AB137" s="57"/>
      <c r="AC137" s="57"/>
      <c r="AD137" s="57"/>
      <c r="AE137" s="57"/>
    </row>
    <row r="138" spans="26:31" ht="12.75">
      <c r="Z138" s="57"/>
      <c r="AA138" s="57"/>
      <c r="AB138" s="57"/>
      <c r="AC138" s="57"/>
      <c r="AD138" s="57"/>
      <c r="AE138" s="57"/>
    </row>
    <row r="139" spans="26:31" ht="12.75">
      <c r="Z139" s="57"/>
      <c r="AA139" s="57"/>
      <c r="AB139" s="57"/>
      <c r="AC139" s="57"/>
      <c r="AD139" s="57"/>
      <c r="AE139" s="57"/>
    </row>
    <row r="140" spans="26:31" ht="12.75">
      <c r="Z140" s="57"/>
      <c r="AA140" s="57"/>
      <c r="AB140" s="57"/>
      <c r="AC140" s="57"/>
      <c r="AD140" s="57"/>
      <c r="AE140" s="57"/>
    </row>
    <row r="141" spans="26:31" ht="12.75">
      <c r="Z141" s="57"/>
      <c r="AA141" s="57"/>
      <c r="AB141" s="57"/>
      <c r="AC141" s="57"/>
      <c r="AD141" s="57"/>
      <c r="AE141" s="57"/>
    </row>
    <row r="142" spans="26:31" ht="12.75">
      <c r="Z142" s="57"/>
      <c r="AA142" s="57"/>
      <c r="AB142" s="57"/>
      <c r="AC142" s="57"/>
      <c r="AD142" s="57"/>
      <c r="AE142" s="57"/>
    </row>
    <row r="143" spans="26:31" ht="12.75">
      <c r="Z143" s="57"/>
      <c r="AA143" s="57"/>
      <c r="AB143" s="57"/>
      <c r="AC143" s="57"/>
      <c r="AD143" s="57"/>
      <c r="AE143" s="57"/>
    </row>
    <row r="144" spans="26:31" ht="12.75">
      <c r="Z144" s="57"/>
      <c r="AA144" s="57"/>
      <c r="AB144" s="57"/>
      <c r="AC144" s="57"/>
      <c r="AD144" s="57"/>
      <c r="AE144" s="57"/>
    </row>
    <row r="145" spans="26:31" ht="12.75">
      <c r="Z145" s="57"/>
      <c r="AA145" s="57"/>
      <c r="AB145" s="57"/>
      <c r="AC145" s="57"/>
      <c r="AD145" s="57"/>
      <c r="AE145" s="57"/>
    </row>
    <row r="146" spans="26:31" ht="12.75">
      <c r="Z146" s="57"/>
      <c r="AA146" s="57"/>
      <c r="AB146" s="57"/>
      <c r="AC146" s="57"/>
      <c r="AD146" s="57"/>
      <c r="AE146" s="57"/>
    </row>
    <row r="147" spans="15:38" ht="12.75">
      <c r="O147" t="s">
        <v>179</v>
      </c>
      <c r="Z147" s="57"/>
      <c r="AA147" s="57"/>
      <c r="AB147" s="57"/>
      <c r="AC147" s="57"/>
      <c r="AD147" s="57"/>
      <c r="AE147" s="57"/>
      <c r="AL147" t="s">
        <v>179</v>
      </c>
    </row>
    <row r="148" spans="26:31" ht="12.75">
      <c r="Z148" s="57"/>
      <c r="AA148" s="57"/>
      <c r="AB148" s="57"/>
      <c r="AC148" s="57"/>
      <c r="AD148" s="57"/>
      <c r="AE148" s="57"/>
    </row>
    <row r="149" spans="26:31" ht="12.75">
      <c r="Z149" s="57"/>
      <c r="AA149" s="57"/>
      <c r="AB149" s="57"/>
      <c r="AC149" s="57"/>
      <c r="AD149" s="57"/>
      <c r="AE149" s="57"/>
    </row>
    <row r="150" spans="26:31" ht="12.75">
      <c r="Z150" s="57"/>
      <c r="AA150" s="57"/>
      <c r="AB150" s="57"/>
      <c r="AC150" s="57"/>
      <c r="AD150" s="57"/>
      <c r="AE150" s="57"/>
    </row>
    <row r="151" spans="26:31" ht="12.75">
      <c r="Z151" s="57"/>
      <c r="AA151" s="57"/>
      <c r="AB151" s="57"/>
      <c r="AC151" s="57"/>
      <c r="AD151" s="57"/>
      <c r="AE151" s="57"/>
    </row>
    <row r="152" spans="26:31" ht="12.75">
      <c r="Z152" s="57"/>
      <c r="AA152" s="57"/>
      <c r="AB152" s="57"/>
      <c r="AC152" s="57"/>
      <c r="AD152" s="57"/>
      <c r="AE152" s="57"/>
    </row>
    <row r="153" spans="26:31" ht="12.75">
      <c r="Z153" s="57"/>
      <c r="AA153" s="57"/>
      <c r="AB153" s="57"/>
      <c r="AC153" s="57"/>
      <c r="AD153" s="57"/>
      <c r="AE153" s="57"/>
    </row>
    <row r="154" spans="26:31" ht="12.75">
      <c r="Z154" s="57"/>
      <c r="AA154" s="57"/>
      <c r="AB154" s="57"/>
      <c r="AC154" s="57"/>
      <c r="AD154" s="57"/>
      <c r="AE154" s="57"/>
    </row>
    <row r="155" spans="26:31" ht="12.75">
      <c r="Z155" s="57"/>
      <c r="AA155" s="57"/>
      <c r="AB155" s="57"/>
      <c r="AC155" s="57"/>
      <c r="AD155" s="57"/>
      <c r="AE155" s="57"/>
    </row>
    <row r="156" spans="26:31" ht="12.75">
      <c r="Z156" s="57"/>
      <c r="AA156" s="57"/>
      <c r="AB156" s="57"/>
      <c r="AC156" s="57"/>
      <c r="AD156" s="57"/>
      <c r="AE156" s="57"/>
    </row>
    <row r="157" spans="26:31" ht="12.75">
      <c r="Z157" s="57"/>
      <c r="AA157" s="57"/>
      <c r="AB157" s="57"/>
      <c r="AC157" s="57"/>
      <c r="AD157" s="57"/>
      <c r="AE157" s="57"/>
    </row>
    <row r="158" spans="26:31" ht="12.75">
      <c r="Z158" s="57"/>
      <c r="AA158" s="57"/>
      <c r="AB158" s="57"/>
      <c r="AC158" s="57"/>
      <c r="AD158" s="57"/>
      <c r="AE158" s="57"/>
    </row>
    <row r="159" spans="26:31" ht="12.75">
      <c r="Z159" s="57"/>
      <c r="AA159" s="57"/>
      <c r="AB159" s="57"/>
      <c r="AC159" s="57"/>
      <c r="AD159" s="57"/>
      <c r="AE159" s="57"/>
    </row>
    <row r="160" spans="26:31" ht="12.75">
      <c r="Z160" s="57"/>
      <c r="AA160" s="57"/>
      <c r="AB160" s="57"/>
      <c r="AC160" s="57"/>
      <c r="AD160" s="57"/>
      <c r="AE160" s="57"/>
    </row>
    <row r="161" spans="26:31" ht="12.75">
      <c r="Z161" s="57"/>
      <c r="AA161" s="57"/>
      <c r="AB161" s="57"/>
      <c r="AC161" s="57"/>
      <c r="AD161" s="57"/>
      <c r="AE161" s="57"/>
    </row>
    <row r="162" spans="26:31" ht="12.75">
      <c r="Z162" s="57"/>
      <c r="AA162" s="57"/>
      <c r="AB162" s="57"/>
      <c r="AC162" s="57"/>
      <c r="AD162" s="57"/>
      <c r="AE162" s="57"/>
    </row>
    <row r="163" spans="26:31" ht="12.75">
      <c r="Z163" s="57"/>
      <c r="AA163" s="57"/>
      <c r="AB163" s="57"/>
      <c r="AC163" s="57"/>
      <c r="AD163" s="57"/>
      <c r="AE163" s="57"/>
    </row>
    <row r="164" spans="26:31" ht="12.75">
      <c r="Z164" s="57"/>
      <c r="AA164" s="57"/>
      <c r="AB164" s="57"/>
      <c r="AC164" s="57"/>
      <c r="AD164" s="57"/>
      <c r="AE164" s="57"/>
    </row>
    <row r="165" spans="26:31" ht="12.75">
      <c r="Z165" s="57"/>
      <c r="AA165" s="57"/>
      <c r="AB165" s="57"/>
      <c r="AC165" s="57"/>
      <c r="AD165" s="57"/>
      <c r="AE165" s="57"/>
    </row>
    <row r="166" spans="26:31" ht="12.75">
      <c r="Z166" s="57"/>
      <c r="AA166" s="57"/>
      <c r="AB166" s="57"/>
      <c r="AC166" s="57"/>
      <c r="AD166" s="57"/>
      <c r="AE166" s="57"/>
    </row>
    <row r="167" spans="26:31" ht="12.75">
      <c r="Z167" s="57"/>
      <c r="AA167" s="57"/>
      <c r="AB167" s="57"/>
      <c r="AC167" s="57"/>
      <c r="AD167" s="57"/>
      <c r="AE167" s="57"/>
    </row>
    <row r="168" spans="26:31" ht="12.75">
      <c r="Z168" s="57"/>
      <c r="AA168" s="57"/>
      <c r="AB168" s="57"/>
      <c r="AC168" s="57"/>
      <c r="AD168" s="57"/>
      <c r="AE168" s="57"/>
    </row>
    <row r="169" spans="26:31" ht="12.75">
      <c r="Z169" s="57"/>
      <c r="AA169" s="57"/>
      <c r="AB169" s="57"/>
      <c r="AC169" s="57"/>
      <c r="AD169" s="57"/>
      <c r="AE169" s="57"/>
    </row>
    <row r="170" spans="26:31" ht="12.75">
      <c r="Z170" s="57"/>
      <c r="AA170" s="57"/>
      <c r="AB170" s="57"/>
      <c r="AC170" s="57"/>
      <c r="AD170" s="57"/>
      <c r="AE170" s="57"/>
    </row>
    <row r="171" spans="26:31" ht="12.75">
      <c r="Z171" s="57"/>
      <c r="AA171" s="57"/>
      <c r="AB171" s="57"/>
      <c r="AC171" s="57"/>
      <c r="AD171" s="57"/>
      <c r="AE171" s="57"/>
    </row>
    <row r="172" spans="26:31" ht="12.75">
      <c r="Z172" s="57"/>
      <c r="AA172" s="57"/>
      <c r="AB172" s="57"/>
      <c r="AC172" s="57"/>
      <c r="AD172" s="57"/>
      <c r="AE172" s="57"/>
    </row>
    <row r="173" spans="26:31" ht="12.75">
      <c r="Z173" s="57"/>
      <c r="AA173" s="57"/>
      <c r="AB173" s="57"/>
      <c r="AC173" s="57"/>
      <c r="AD173" s="57"/>
      <c r="AE173" s="57"/>
    </row>
    <row r="174" spans="26:31" ht="12.75">
      <c r="Z174" s="57"/>
      <c r="AA174" s="57"/>
      <c r="AB174" s="57"/>
      <c r="AC174" s="57"/>
      <c r="AD174" s="57"/>
      <c r="AE174" s="57"/>
    </row>
  </sheetData>
  <printOptions horizontalCentered="1" verticalCentered="1"/>
  <pageMargins left="0.75" right="0.75" top="1" bottom="1" header="0.5" footer="0.5"/>
  <pageSetup fitToHeight="2" fitToWidth="0" horizontalDpi="600" verticalDpi="600" orientation="landscape" scale="36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C1:W80"/>
  <sheetViews>
    <sheetView workbookViewId="0" topLeftCell="A1">
      <pane ySplit="1545" topLeftCell="BM15" activePane="bottomLeft" state="split"/>
      <selection pane="topLeft" activeCell="A1" sqref="A1"/>
      <selection pane="bottomLeft" activeCell="B26" sqref="B26"/>
    </sheetView>
  </sheetViews>
  <sheetFormatPr defaultColWidth="9.140625" defaultRowHeight="12.75"/>
  <cols>
    <col min="3" max="3" width="35.421875" style="0" customWidth="1"/>
    <col min="4" max="4" width="9.421875" style="0" bestFit="1" customWidth="1"/>
    <col min="5" max="5" width="10.7109375" style="0" customWidth="1"/>
    <col min="6" max="6" width="13.00390625" style="0" customWidth="1"/>
    <col min="7" max="8" width="9.421875" style="0" bestFit="1" customWidth="1"/>
    <col min="9" max="9" width="33.8515625" style="0" customWidth="1"/>
    <col min="10" max="10" width="27.7109375" style="0" bestFit="1" customWidth="1"/>
    <col min="11" max="11" width="13.421875" style="0" customWidth="1"/>
    <col min="12" max="12" width="11.7109375" style="0" bestFit="1" customWidth="1"/>
    <col min="13" max="13" width="10.57421875" style="0" bestFit="1" customWidth="1"/>
    <col min="14" max="14" width="10.00390625" style="0" bestFit="1" customWidth="1"/>
    <col min="15" max="15" width="12.57421875" style="0" customWidth="1"/>
    <col min="16" max="16" width="11.8515625" style="0" bestFit="1" customWidth="1"/>
    <col min="17" max="17" width="9.8515625" style="0" bestFit="1" customWidth="1"/>
    <col min="18" max="19" width="9.421875" style="0" bestFit="1" customWidth="1"/>
    <col min="20" max="20" width="12.140625" style="0" bestFit="1" customWidth="1"/>
  </cols>
  <sheetData>
    <row r="1" spans="9:19" ht="12.75">
      <c r="I1" s="60"/>
      <c r="S1" s="60"/>
    </row>
    <row r="2" spans="3:23" ht="12.75">
      <c r="C2" s="60" t="s">
        <v>581</v>
      </c>
      <c r="I2" s="60" t="s">
        <v>600</v>
      </c>
      <c r="K2" s="60"/>
      <c r="S2" s="60" t="s">
        <v>601</v>
      </c>
      <c r="W2" s="66"/>
    </row>
    <row r="3" spans="3:23" ht="12.75">
      <c r="C3" s="60"/>
      <c r="I3" s="60" t="str">
        <f>OCC!I3</f>
        <v>Docket No. UT-040788</v>
      </c>
      <c r="K3" s="60"/>
      <c r="S3" s="60" t="str">
        <f>I3</f>
        <v>Docket No. UT-040788</v>
      </c>
      <c r="W3" s="66"/>
    </row>
    <row r="4" spans="3:23" ht="13.5" thickBot="1">
      <c r="C4" s="60"/>
      <c r="I4" s="60" t="s">
        <v>631</v>
      </c>
      <c r="K4" s="60"/>
      <c r="S4" s="60" t="s">
        <v>632</v>
      </c>
      <c r="W4" s="66"/>
    </row>
    <row r="5" spans="3:23" ht="13.5" thickBot="1">
      <c r="C5" s="345"/>
      <c r="D5" s="345"/>
      <c r="E5" s="345"/>
      <c r="F5" s="345"/>
      <c r="G5" s="346"/>
      <c r="H5" s="346"/>
      <c r="L5" s="389" t="s">
        <v>488</v>
      </c>
      <c r="M5" s="390"/>
      <c r="N5" s="390"/>
      <c r="O5" s="390"/>
      <c r="P5" s="391"/>
      <c r="Q5" s="389" t="s">
        <v>489</v>
      </c>
      <c r="R5" s="390"/>
      <c r="S5" s="390"/>
      <c r="T5" s="391"/>
      <c r="W5" s="347"/>
    </row>
    <row r="6" spans="3:23" ht="12.75">
      <c r="C6" s="345"/>
      <c r="D6" s="345"/>
      <c r="E6" s="345"/>
      <c r="F6" s="345"/>
      <c r="G6" s="346"/>
      <c r="H6" s="346"/>
      <c r="L6" s="170"/>
      <c r="M6" s="170"/>
      <c r="N6" s="170"/>
      <c r="O6" s="170"/>
      <c r="P6" s="170"/>
      <c r="Q6" s="170"/>
      <c r="R6" s="170"/>
      <c r="S6" s="170"/>
      <c r="T6" s="170"/>
      <c r="W6" s="347"/>
    </row>
    <row r="7" spans="3:23" ht="12.75">
      <c r="C7" s="345"/>
      <c r="D7" s="392" t="s">
        <v>490</v>
      </c>
      <c r="E7" s="392"/>
      <c r="F7" s="392"/>
      <c r="G7" s="392"/>
      <c r="H7" s="392"/>
      <c r="I7" s="392"/>
      <c r="K7" s="348" t="s">
        <v>491</v>
      </c>
      <c r="L7" s="349" t="s">
        <v>492</v>
      </c>
      <c r="M7" s="349" t="s">
        <v>493</v>
      </c>
      <c r="N7" s="349" t="s">
        <v>494</v>
      </c>
      <c r="O7" s="349" t="s">
        <v>79</v>
      </c>
      <c r="P7" s="66" t="s">
        <v>15</v>
      </c>
      <c r="Q7" s="349" t="s">
        <v>492</v>
      </c>
      <c r="R7" s="349" t="s">
        <v>493</v>
      </c>
      <c r="S7" s="349" t="s">
        <v>494</v>
      </c>
      <c r="T7" s="347" t="s">
        <v>495</v>
      </c>
      <c r="W7" s="347"/>
    </row>
    <row r="8" spans="3:23" ht="12.75">
      <c r="C8" s="345"/>
      <c r="D8" s="345"/>
      <c r="E8" s="345"/>
      <c r="F8" s="345"/>
      <c r="G8" s="345"/>
      <c r="H8" s="345"/>
      <c r="I8" s="345" t="s">
        <v>496</v>
      </c>
      <c r="K8" s="349" t="s">
        <v>497</v>
      </c>
      <c r="L8" s="349"/>
      <c r="M8" s="349"/>
      <c r="N8" s="349"/>
      <c r="O8" s="349"/>
      <c r="P8" s="349" t="s">
        <v>498</v>
      </c>
      <c r="Q8" s="349"/>
      <c r="R8" s="349"/>
      <c r="S8" s="349"/>
      <c r="T8" s="347" t="s">
        <v>499</v>
      </c>
      <c r="W8" s="347"/>
    </row>
    <row r="9" spans="3:23" ht="12.75">
      <c r="C9" s="345"/>
      <c r="D9" s="350">
        <v>1999</v>
      </c>
      <c r="E9" s="350">
        <v>2000</v>
      </c>
      <c r="F9" s="350">
        <v>2001</v>
      </c>
      <c r="G9" s="350">
        <v>2002</v>
      </c>
      <c r="H9" s="350">
        <v>2003</v>
      </c>
      <c r="I9" s="350" t="s">
        <v>500</v>
      </c>
      <c r="K9" s="235"/>
      <c r="L9" s="351" t="s">
        <v>8</v>
      </c>
      <c r="M9" s="351" t="s">
        <v>10</v>
      </c>
      <c r="N9" s="351" t="s">
        <v>8</v>
      </c>
      <c r="O9" s="351" t="s">
        <v>11</v>
      </c>
      <c r="P9" s="351" t="s">
        <v>13</v>
      </c>
      <c r="Q9" s="351" t="s">
        <v>7</v>
      </c>
      <c r="R9" s="351" t="s">
        <v>7</v>
      </c>
      <c r="S9" s="351" t="s">
        <v>7</v>
      </c>
      <c r="T9" s="351" t="s">
        <v>7</v>
      </c>
      <c r="W9" s="347"/>
    </row>
    <row r="10" spans="3:23" ht="12.75">
      <c r="C10" s="352" t="s">
        <v>501</v>
      </c>
      <c r="D10" s="345"/>
      <c r="E10" s="345"/>
      <c r="F10" s="345"/>
      <c r="G10" s="346"/>
      <c r="H10" s="346"/>
      <c r="I10" s="346"/>
      <c r="K10" s="60" t="str">
        <f>C10</f>
        <v>Telecom</v>
      </c>
      <c r="L10" s="170"/>
      <c r="M10" s="170"/>
      <c r="N10" s="170"/>
      <c r="O10" s="170"/>
      <c r="P10" s="170"/>
      <c r="Q10" s="170"/>
      <c r="R10" s="170"/>
      <c r="S10" s="170"/>
      <c r="T10" s="170"/>
      <c r="W10" s="347"/>
    </row>
    <row r="11" spans="3:23" ht="12.75">
      <c r="C11" s="345"/>
      <c r="D11" s="345"/>
      <c r="E11" s="345"/>
      <c r="F11" s="345"/>
      <c r="G11" s="346"/>
      <c r="H11" s="346"/>
      <c r="I11" s="346"/>
      <c r="L11" s="170"/>
      <c r="M11" s="170"/>
      <c r="N11" s="170"/>
      <c r="O11" s="170"/>
      <c r="P11" s="170"/>
      <c r="Q11" s="170"/>
      <c r="R11" s="170"/>
      <c r="S11" s="170"/>
      <c r="T11" s="170"/>
      <c r="W11" s="347"/>
    </row>
    <row r="12" spans="3:23" ht="12.75">
      <c r="C12" s="180" t="s">
        <v>364</v>
      </c>
      <c r="D12" s="353">
        <v>0.609</v>
      </c>
      <c r="E12" s="353">
        <v>0.569</v>
      </c>
      <c r="F12" s="353">
        <v>0.553</v>
      </c>
      <c r="G12" s="353">
        <v>0.59</v>
      </c>
      <c r="H12" s="353">
        <v>0.632</v>
      </c>
      <c r="I12" s="353">
        <f>AVERAGE(D12:H12)</f>
        <v>0.5906</v>
      </c>
      <c r="J12" s="36" t="str">
        <f>C12</f>
        <v>BellSouth</v>
      </c>
      <c r="K12" s="354">
        <v>13124</v>
      </c>
      <c r="L12" s="354">
        <v>10506</v>
      </c>
      <c r="M12" s="354">
        <f>K12-L12</f>
        <v>2618</v>
      </c>
      <c r="N12" s="354">
        <v>0</v>
      </c>
      <c r="O12" s="354">
        <f>H12*(L12+N12)/(1-H12)</f>
        <v>18042.913043478264</v>
      </c>
      <c r="P12" s="354">
        <f>SUM(L12:O12)</f>
        <v>31166.913043478264</v>
      </c>
      <c r="Q12" s="355">
        <f>L12/P12</f>
        <v>0.3370882443617046</v>
      </c>
      <c r="R12" s="355">
        <f>M12/P12</f>
        <v>0.08399933597362866</v>
      </c>
      <c r="S12" s="355">
        <f>N12/P12</f>
        <v>0</v>
      </c>
      <c r="T12" s="355">
        <f>O12/P12</f>
        <v>0.5789124196646667</v>
      </c>
      <c r="W12" s="347"/>
    </row>
    <row r="13" spans="3:23" ht="12.75">
      <c r="C13" s="180" t="s">
        <v>339</v>
      </c>
      <c r="D13" s="353">
        <v>0.591</v>
      </c>
      <c r="E13" s="353">
        <v>0.649</v>
      </c>
      <c r="F13" s="353">
        <v>0.655</v>
      </c>
      <c r="G13" s="353">
        <v>0.642</v>
      </c>
      <c r="H13" s="353">
        <v>0.704</v>
      </c>
      <c r="I13" s="353">
        <f>AVERAGE(D13:H13)</f>
        <v>0.6481999999999999</v>
      </c>
      <c r="J13" s="36" t="str">
        <f>C13</f>
        <v>SBC</v>
      </c>
      <c r="K13" s="354">
        <v>17924</v>
      </c>
      <c r="L13" s="354">
        <v>15854</v>
      </c>
      <c r="M13" s="354">
        <f>K13-L13</f>
        <v>2070</v>
      </c>
      <c r="N13" s="354">
        <v>0</v>
      </c>
      <c r="O13" s="354">
        <f>H13*(L13+N13)/(1-H13)</f>
        <v>37706.8108108108</v>
      </c>
      <c r="P13" s="354">
        <f>SUM(L13:O13)</f>
        <v>55630.8108108108</v>
      </c>
      <c r="Q13" s="355">
        <f>L13/P13</f>
        <v>0.28498595955964523</v>
      </c>
      <c r="R13" s="355">
        <f>M13/P13</f>
        <v>0.0372095960822799</v>
      </c>
      <c r="S13" s="355">
        <f>N13/P13</f>
        <v>0</v>
      </c>
      <c r="T13" s="355">
        <f>O13/P13</f>
        <v>0.6778044443580749</v>
      </c>
      <c r="W13" s="347"/>
    </row>
    <row r="14" spans="3:23" ht="12.75">
      <c r="C14" s="180" t="s">
        <v>337</v>
      </c>
      <c r="D14" s="356"/>
      <c r="E14" s="356"/>
      <c r="F14" s="356"/>
      <c r="I14" s="356">
        <f>34099/(75987-4439)</f>
        <v>0.4765891429529826</v>
      </c>
      <c r="J14" s="36" t="str">
        <f>C14</f>
        <v>Verizon</v>
      </c>
      <c r="K14" s="357">
        <f>37449+4439</f>
        <v>41888</v>
      </c>
      <c r="L14" s="357">
        <v>37449</v>
      </c>
      <c r="M14" s="357">
        <f>K14-L14</f>
        <v>4439</v>
      </c>
      <c r="N14" s="357">
        <v>0</v>
      </c>
      <c r="O14" s="357">
        <v>34099</v>
      </c>
      <c r="P14" s="357">
        <f>SUM(L14:O14)</f>
        <v>75987</v>
      </c>
      <c r="Q14" s="358">
        <f>L14/P14</f>
        <v>0.4928343006040507</v>
      </c>
      <c r="R14" s="358">
        <f>M14/P14</f>
        <v>0.058417887270190955</v>
      </c>
      <c r="S14" s="358">
        <f>N14/P14</f>
        <v>0</v>
      </c>
      <c r="T14" s="358">
        <f>O14/P14</f>
        <v>0.44874781212575837</v>
      </c>
      <c r="W14" s="347"/>
    </row>
    <row r="15" spans="3:23" ht="12.75">
      <c r="C15" s="359" t="s">
        <v>17</v>
      </c>
      <c r="D15" s="353">
        <f aca="true" t="shared" si="0" ref="D15:I15">AVERAGE(D12:D14)</f>
        <v>0.6</v>
      </c>
      <c r="E15" s="353">
        <f t="shared" si="0"/>
        <v>0.609</v>
      </c>
      <c r="F15" s="353">
        <f t="shared" si="0"/>
        <v>0.6040000000000001</v>
      </c>
      <c r="G15">
        <f t="shared" si="0"/>
        <v>0.616</v>
      </c>
      <c r="H15">
        <f t="shared" si="0"/>
        <v>0.6679999999999999</v>
      </c>
      <c r="I15" s="353">
        <f t="shared" si="0"/>
        <v>0.5717963809843275</v>
      </c>
      <c r="K15" s="360">
        <f>AVERAGE(K12:K14)</f>
        <v>24312</v>
      </c>
      <c r="L15" s="360">
        <f aca="true" t="shared" si="1" ref="L15:T15">AVERAGE(L12:L14)</f>
        <v>21269.666666666668</v>
      </c>
      <c r="M15" s="360">
        <f t="shared" si="1"/>
        <v>3042.3333333333335</v>
      </c>
      <c r="N15" s="360">
        <f t="shared" si="1"/>
        <v>0</v>
      </c>
      <c r="O15" s="360">
        <f t="shared" si="1"/>
        <v>29949.574618096358</v>
      </c>
      <c r="P15" s="360">
        <f t="shared" si="1"/>
        <v>54261.574618096354</v>
      </c>
      <c r="Q15" s="355">
        <f t="shared" si="1"/>
        <v>0.3716361681751335</v>
      </c>
      <c r="R15" s="355">
        <f t="shared" si="1"/>
        <v>0.05987560644203318</v>
      </c>
      <c r="S15" s="355">
        <f t="shared" si="1"/>
        <v>0</v>
      </c>
      <c r="T15" s="355">
        <f t="shared" si="1"/>
        <v>0.5684882253828333</v>
      </c>
      <c r="W15" s="347"/>
    </row>
    <row r="16" spans="3:23" ht="12.75">
      <c r="C16" s="345"/>
      <c r="D16" s="345"/>
      <c r="E16" s="345"/>
      <c r="F16" s="345"/>
      <c r="I16" s="346"/>
      <c r="L16" s="170"/>
      <c r="M16" s="170"/>
      <c r="N16" s="170"/>
      <c r="O16" s="170"/>
      <c r="P16" s="170"/>
      <c r="Q16" s="170"/>
      <c r="R16" s="170"/>
      <c r="S16" s="170"/>
      <c r="T16" s="170"/>
      <c r="W16" s="347"/>
    </row>
    <row r="17" spans="3:23" ht="12.75">
      <c r="C17" s="352" t="s">
        <v>475</v>
      </c>
      <c r="D17" s="345"/>
      <c r="E17" s="345"/>
      <c r="F17" s="345"/>
      <c r="G17" s="346"/>
      <c r="H17" s="346"/>
      <c r="I17" s="346"/>
      <c r="K17" s="60" t="str">
        <f>C17</f>
        <v>Electric Companies</v>
      </c>
      <c r="L17" s="170"/>
      <c r="M17" s="170"/>
      <c r="N17" s="170"/>
      <c r="O17" s="170"/>
      <c r="P17" s="170"/>
      <c r="Q17" s="170"/>
      <c r="R17" s="170"/>
      <c r="S17" s="170"/>
      <c r="T17" s="170"/>
      <c r="W17" s="347"/>
    </row>
    <row r="18" ht="12.75">
      <c r="C18" s="361"/>
    </row>
    <row r="19" ht="12.75">
      <c r="C19" s="361"/>
    </row>
    <row r="20" ht="12.75">
      <c r="C20" s="361"/>
    </row>
    <row r="21" spans="3:20" ht="12.75">
      <c r="C21" s="180" t="s">
        <v>308</v>
      </c>
      <c r="D21" s="353">
        <v>0.535</v>
      </c>
      <c r="E21" s="353">
        <v>0.518</v>
      </c>
      <c r="F21" s="353">
        <v>0.522</v>
      </c>
      <c r="G21" s="353">
        <v>0.514</v>
      </c>
      <c r="H21" s="353">
        <v>0.506</v>
      </c>
      <c r="I21" s="353">
        <f>AVERAGE(D21:H21)</f>
        <v>0.5189999999999999</v>
      </c>
      <c r="J21" t="str">
        <f>C21</f>
        <v>Ameren</v>
      </c>
      <c r="K21" s="354">
        <v>4401</v>
      </c>
      <c r="L21" s="354">
        <v>4068</v>
      </c>
      <c r="M21" s="354">
        <f>K21-L21</f>
        <v>333</v>
      </c>
      <c r="N21" s="354">
        <v>234</v>
      </c>
      <c r="O21" s="354">
        <f>H21*(L21+N21)/(1-H21)</f>
        <v>4406.502024291498</v>
      </c>
      <c r="P21" s="354">
        <f>SUM(L21:O21)</f>
        <v>9041.502024291498</v>
      </c>
      <c r="Q21" s="355">
        <f>L21/P21</f>
        <v>0.44992524351270863</v>
      </c>
      <c r="R21" s="355">
        <f>M21/P21</f>
        <v>0.036830163738872164</v>
      </c>
      <c r="S21" s="355">
        <f>N21/P21</f>
        <v>0.025880655600288547</v>
      </c>
      <c r="T21" s="355">
        <f>O21/P21</f>
        <v>0.4873639371481307</v>
      </c>
    </row>
    <row r="22" spans="3:20" ht="12.75">
      <c r="C22" s="180" t="s">
        <v>426</v>
      </c>
      <c r="D22" s="353">
        <v>0.463</v>
      </c>
      <c r="E22" s="353">
        <v>0.482</v>
      </c>
      <c r="F22" s="353">
        <v>0.426</v>
      </c>
      <c r="G22" s="353">
        <v>0.425</v>
      </c>
      <c r="H22" s="353">
        <v>0.469</v>
      </c>
      <c r="I22" s="353">
        <f>AVERAGE(D22:H22)</f>
        <v>0.453</v>
      </c>
      <c r="J22" t="str">
        <f aca="true" t="shared" si="2" ref="J22:J33">C22</f>
        <v>Cinergy</v>
      </c>
      <c r="K22" s="354">
        <v>5099.9</v>
      </c>
      <c r="L22" s="354">
        <v>4133.2</v>
      </c>
      <c r="M22" s="354">
        <f aca="true" t="shared" si="3" ref="M22:M34">K22-L22</f>
        <v>966.6999999999998</v>
      </c>
      <c r="N22" s="354">
        <v>62.8</v>
      </c>
      <c r="O22" s="354">
        <f aca="true" t="shared" si="4" ref="O22:O34">H22*(L22+N22)/(1-H22)</f>
        <v>3706.071563088512</v>
      </c>
      <c r="P22" s="354">
        <f aca="true" t="shared" si="5" ref="P22:P34">SUM(L22:O22)</f>
        <v>8868.771563088512</v>
      </c>
      <c r="Q22" s="355">
        <f aca="true" t="shared" si="6" ref="Q22:Q34">L22/P22</f>
        <v>0.4660397407463081</v>
      </c>
      <c r="R22" s="355">
        <f aca="true" t="shared" si="7" ref="R22:R34">M22/P22</f>
        <v>0.10900043970276202</v>
      </c>
      <c r="S22" s="355">
        <f aca="true" t="shared" si="8" ref="S22:S34">N22/P22</f>
        <v>0.007081025771525246</v>
      </c>
      <c r="T22" s="355">
        <f aca="true" t="shared" si="9" ref="T22:T34">O22/P22</f>
        <v>0.41787879377940457</v>
      </c>
    </row>
    <row r="23" spans="3:20" ht="12.75">
      <c r="C23" s="180" t="s">
        <v>428</v>
      </c>
      <c r="D23" s="353">
        <v>0.378</v>
      </c>
      <c r="E23" s="353">
        <v>0.389</v>
      </c>
      <c r="F23" s="353">
        <v>0.38</v>
      </c>
      <c r="G23" s="353">
        <v>0.427</v>
      </c>
      <c r="H23" s="353">
        <v>0.397</v>
      </c>
      <c r="I23" s="353">
        <f aca="true" t="shared" si="10" ref="I23:I34">AVERAGE(D23:H23)</f>
        <v>0.3942</v>
      </c>
      <c r="J23" t="str">
        <f t="shared" si="2"/>
        <v>Dominion Resources</v>
      </c>
      <c r="K23" s="354">
        <v>18480</v>
      </c>
      <c r="L23" s="354">
        <v>15776</v>
      </c>
      <c r="M23" s="354">
        <f t="shared" si="3"/>
        <v>2704</v>
      </c>
      <c r="N23" s="354">
        <v>257</v>
      </c>
      <c r="O23" s="354">
        <f t="shared" si="4"/>
        <v>10555.723051409619</v>
      </c>
      <c r="P23" s="354">
        <f t="shared" si="5"/>
        <v>29292.72305140962</v>
      </c>
      <c r="Q23" s="355">
        <f t="shared" si="6"/>
        <v>0.538563791843887</v>
      </c>
      <c r="R23" s="355">
        <f t="shared" si="7"/>
        <v>0.09230961543774534</v>
      </c>
      <c r="S23" s="355">
        <f t="shared" si="8"/>
        <v>0.00877351004715257</v>
      </c>
      <c r="T23" s="355">
        <f t="shared" si="9"/>
        <v>0.36035308267121513</v>
      </c>
    </row>
    <row r="24" spans="3:20" ht="12.75">
      <c r="C24" s="180" t="s">
        <v>430</v>
      </c>
      <c r="D24" s="353">
        <v>0.516</v>
      </c>
      <c r="E24" s="353">
        <v>0.272</v>
      </c>
      <c r="F24" s="353">
        <v>0.244</v>
      </c>
      <c r="G24" s="353">
        <v>0.247</v>
      </c>
      <c r="H24" s="353">
        <v>0.305</v>
      </c>
      <c r="I24" s="353">
        <f t="shared" si="10"/>
        <v>0.31679999999999997</v>
      </c>
      <c r="J24" t="str">
        <f t="shared" si="2"/>
        <v>DPL, Inc.</v>
      </c>
      <c r="K24" s="354">
        <v>2903.9</v>
      </c>
      <c r="L24" s="354">
        <v>1946.6</v>
      </c>
      <c r="M24" s="354">
        <f t="shared" si="3"/>
        <v>957.3000000000002</v>
      </c>
      <c r="N24" s="354">
        <v>22.9</v>
      </c>
      <c r="O24" s="354">
        <f t="shared" si="4"/>
        <v>864.3129496402877</v>
      </c>
      <c r="P24" s="354">
        <f t="shared" si="5"/>
        <v>3791.1129496402878</v>
      </c>
      <c r="Q24" s="355">
        <f t="shared" si="6"/>
        <v>0.5134639948368458</v>
      </c>
      <c r="R24" s="355">
        <f t="shared" si="7"/>
        <v>0.252511600871937</v>
      </c>
      <c r="S24" s="355">
        <f t="shared" si="8"/>
        <v>0.006040442557158003</v>
      </c>
      <c r="T24" s="355">
        <f t="shared" si="9"/>
        <v>0.22798396173405922</v>
      </c>
    </row>
    <row r="25" spans="3:20" ht="12.75">
      <c r="C25" s="180" t="s">
        <v>431</v>
      </c>
      <c r="D25" s="353">
        <v>0.404</v>
      </c>
      <c r="E25" s="353">
        <v>0.424</v>
      </c>
      <c r="F25" s="353">
        <v>0.428</v>
      </c>
      <c r="G25" s="353">
        <v>0.445</v>
      </c>
      <c r="H25" s="353">
        <v>0.48</v>
      </c>
      <c r="I25" s="353">
        <f t="shared" si="10"/>
        <v>0.43620000000000003</v>
      </c>
      <c r="J25" t="str">
        <f t="shared" si="2"/>
        <v>Empire District Electric</v>
      </c>
      <c r="K25" s="354">
        <v>410.9</v>
      </c>
      <c r="L25" s="354">
        <v>410.3</v>
      </c>
      <c r="M25" s="354">
        <f t="shared" si="3"/>
        <v>0.5999999999999659</v>
      </c>
      <c r="N25" s="354">
        <v>0</v>
      </c>
      <c r="O25" s="354">
        <f t="shared" si="4"/>
        <v>378.7384615384615</v>
      </c>
      <c r="P25" s="354">
        <f t="shared" si="5"/>
        <v>789.6384615384615</v>
      </c>
      <c r="Q25" s="355">
        <f t="shared" si="6"/>
        <v>0.5196048824681209</v>
      </c>
      <c r="R25" s="355">
        <f t="shared" si="7"/>
        <v>0.0007598414074600409</v>
      </c>
      <c r="S25" s="355">
        <f t="shared" si="8"/>
        <v>0</v>
      </c>
      <c r="T25" s="355">
        <f t="shared" si="9"/>
        <v>0.47963527612441914</v>
      </c>
    </row>
    <row r="26" spans="3:20" ht="12.75">
      <c r="C26" s="180" t="s">
        <v>433</v>
      </c>
      <c r="D26" s="353">
        <v>0.491</v>
      </c>
      <c r="E26" s="353">
        <v>0.456</v>
      </c>
      <c r="F26" s="353">
        <v>0.486</v>
      </c>
      <c r="G26" s="353">
        <v>0.506</v>
      </c>
      <c r="H26" s="353">
        <v>0.532</v>
      </c>
      <c r="I26" s="353">
        <f t="shared" si="10"/>
        <v>0.49420000000000003</v>
      </c>
      <c r="J26" t="str">
        <f t="shared" si="2"/>
        <v>Entergy Corp.</v>
      </c>
      <c r="K26" s="354">
        <v>7932.1</v>
      </c>
      <c r="L26" s="354">
        <v>7399.1</v>
      </c>
      <c r="M26" s="354">
        <f t="shared" si="3"/>
        <v>533</v>
      </c>
      <c r="N26" s="354">
        <v>352.9</v>
      </c>
      <c r="O26" s="354">
        <f t="shared" si="4"/>
        <v>8812.102564102564</v>
      </c>
      <c r="P26" s="354">
        <f t="shared" si="5"/>
        <v>17097.102564102563</v>
      </c>
      <c r="Q26" s="355">
        <f t="shared" si="6"/>
        <v>0.43276923515305493</v>
      </c>
      <c r="R26" s="355">
        <f t="shared" si="7"/>
        <v>0.031174872935435156</v>
      </c>
      <c r="S26" s="355">
        <f t="shared" si="8"/>
        <v>0.020640924313161474</v>
      </c>
      <c r="T26" s="355">
        <f t="shared" si="9"/>
        <v>0.5154149675983486</v>
      </c>
    </row>
    <row r="27" spans="3:20" ht="12.75">
      <c r="C27" s="180" t="s">
        <v>211</v>
      </c>
      <c r="D27" s="353">
        <v>0.592</v>
      </c>
      <c r="E27" s="353">
        <v>0.571</v>
      </c>
      <c r="F27" s="353">
        <v>0.542</v>
      </c>
      <c r="G27" s="353">
        <v>0.515</v>
      </c>
      <c r="H27" s="353">
        <v>0.444</v>
      </c>
      <c r="I27" s="353">
        <f t="shared" si="10"/>
        <v>0.5327999999999999</v>
      </c>
      <c r="J27" t="str">
        <f t="shared" si="2"/>
        <v>FPL Group, Inc.</v>
      </c>
      <c r="K27" s="354">
        <v>10010</v>
      </c>
      <c r="L27" s="354">
        <v>8723</v>
      </c>
      <c r="M27" s="354">
        <f t="shared" si="3"/>
        <v>1287</v>
      </c>
      <c r="N27" s="354">
        <v>5</v>
      </c>
      <c r="O27" s="354">
        <f t="shared" si="4"/>
        <v>6969.841726618704</v>
      </c>
      <c r="P27" s="354">
        <f t="shared" si="5"/>
        <v>16984.841726618703</v>
      </c>
      <c r="Q27" s="355">
        <f t="shared" si="6"/>
        <v>0.5135755834762525</v>
      </c>
      <c r="R27" s="355">
        <f t="shared" si="7"/>
        <v>0.07577344674239792</v>
      </c>
      <c r="S27" s="355">
        <f t="shared" si="8"/>
        <v>0.0002943801349743508</v>
      </c>
      <c r="T27" s="355">
        <f t="shared" si="9"/>
        <v>0.41035658964637534</v>
      </c>
    </row>
    <row r="28" spans="3:20" ht="12.75">
      <c r="C28" s="180" t="s">
        <v>435</v>
      </c>
      <c r="D28" s="353">
        <v>0.497</v>
      </c>
      <c r="E28" s="353">
        <v>0.428</v>
      </c>
      <c r="F28" s="353">
        <v>0.446</v>
      </c>
      <c r="G28" s="353">
        <v>0.447</v>
      </c>
      <c r="H28" s="353">
        <v>0.444</v>
      </c>
      <c r="I28" s="353">
        <f t="shared" si="10"/>
        <v>0.4524</v>
      </c>
      <c r="J28" t="str">
        <f t="shared" si="2"/>
        <v>Great Plains Energy</v>
      </c>
      <c r="K28" s="354">
        <v>1445.8</v>
      </c>
      <c r="L28" s="354">
        <v>1158.3</v>
      </c>
      <c r="M28" s="354">
        <f t="shared" si="3"/>
        <v>287.5</v>
      </c>
      <c r="N28" s="354">
        <v>39</v>
      </c>
      <c r="O28" s="354">
        <f t="shared" si="4"/>
        <v>956.1172661870502</v>
      </c>
      <c r="P28" s="354">
        <f t="shared" si="5"/>
        <v>2440.9172661870502</v>
      </c>
      <c r="Q28" s="355">
        <f t="shared" si="6"/>
        <v>0.47453472350145526</v>
      </c>
      <c r="R28" s="355">
        <f t="shared" si="7"/>
        <v>0.117783590612681</v>
      </c>
      <c r="S28" s="355">
        <f t="shared" si="8"/>
        <v>0.015977600117894116</v>
      </c>
      <c r="T28" s="355">
        <f t="shared" si="9"/>
        <v>0.3917040857679696</v>
      </c>
    </row>
    <row r="29" spans="3:20" ht="12.75">
      <c r="C29" s="180" t="s">
        <v>437</v>
      </c>
      <c r="D29" s="353">
        <v>0.498</v>
      </c>
      <c r="E29" s="353">
        <v>0.503</v>
      </c>
      <c r="F29" s="353">
        <v>0.522</v>
      </c>
      <c r="G29" s="353">
        <v>0.483</v>
      </c>
      <c r="H29" s="353">
        <v>0.505</v>
      </c>
      <c r="I29" s="353">
        <f t="shared" si="10"/>
        <v>0.5022</v>
      </c>
      <c r="J29" t="str">
        <f t="shared" si="2"/>
        <v>Green Mountain Power</v>
      </c>
      <c r="K29" s="354">
        <v>97.9</v>
      </c>
      <c r="L29" s="354">
        <v>97.9</v>
      </c>
      <c r="M29" s="354">
        <f t="shared" si="3"/>
        <v>0</v>
      </c>
      <c r="N29" s="354">
        <v>0</v>
      </c>
      <c r="O29" s="354">
        <f t="shared" si="4"/>
        <v>99.87777777777778</v>
      </c>
      <c r="P29" s="354">
        <f t="shared" si="5"/>
        <v>197.77777777777777</v>
      </c>
      <c r="Q29" s="355">
        <f t="shared" si="6"/>
        <v>0.49500000000000005</v>
      </c>
      <c r="R29" s="355">
        <f t="shared" si="7"/>
        <v>0</v>
      </c>
      <c r="S29" s="355">
        <f t="shared" si="8"/>
        <v>0</v>
      </c>
      <c r="T29" s="355">
        <f t="shared" si="9"/>
        <v>0.505</v>
      </c>
    </row>
    <row r="30" spans="3:20" ht="12.75">
      <c r="C30" s="180" t="s">
        <v>439</v>
      </c>
      <c r="D30" s="353">
        <v>0.414</v>
      </c>
      <c r="E30" s="353">
        <v>0.399</v>
      </c>
      <c r="F30" s="353">
        <v>0.416</v>
      </c>
      <c r="G30" s="353">
        <v>0.465</v>
      </c>
      <c r="H30" s="353">
        <v>0.498</v>
      </c>
      <c r="I30" s="353">
        <f t="shared" si="10"/>
        <v>0.4384</v>
      </c>
      <c r="J30" t="str">
        <f t="shared" si="2"/>
        <v>Hawaiian Electric</v>
      </c>
      <c r="K30" s="354">
        <v>1412.5</v>
      </c>
      <c r="L30" s="354">
        <v>1382.5</v>
      </c>
      <c r="M30" s="354">
        <f t="shared" si="3"/>
        <v>30</v>
      </c>
      <c r="N30" s="354">
        <v>34.4</v>
      </c>
      <c r="O30" s="354">
        <f t="shared" si="4"/>
        <v>1405.6099601593626</v>
      </c>
      <c r="P30" s="354">
        <f t="shared" si="5"/>
        <v>2852.509960159363</v>
      </c>
      <c r="Q30" s="355">
        <f t="shared" si="6"/>
        <v>0.48466088438224525</v>
      </c>
      <c r="R30" s="355">
        <f t="shared" si="7"/>
        <v>0.010517053548981813</v>
      </c>
      <c r="S30" s="355">
        <f t="shared" si="8"/>
        <v>0.012059554736165812</v>
      </c>
      <c r="T30" s="355">
        <f t="shared" si="9"/>
        <v>0.492762507332607</v>
      </c>
    </row>
    <row r="31" spans="3:20" ht="12.75">
      <c r="C31" s="180" t="s">
        <v>441</v>
      </c>
      <c r="D31" s="353">
        <v>0.427</v>
      </c>
      <c r="E31" s="353">
        <v>0.488</v>
      </c>
      <c r="F31" s="353">
        <v>0.324</v>
      </c>
      <c r="G31" s="353">
        <v>0.339</v>
      </c>
      <c r="H31" s="353">
        <v>0.343</v>
      </c>
      <c r="I31" s="353">
        <f t="shared" si="10"/>
        <v>0.3842</v>
      </c>
      <c r="J31" t="str">
        <f t="shared" si="2"/>
        <v>Northeast Utilities</v>
      </c>
      <c r="K31" s="354">
        <v>4325</v>
      </c>
      <c r="L31" s="354">
        <v>4247</v>
      </c>
      <c r="M31" s="354">
        <f t="shared" si="3"/>
        <v>78</v>
      </c>
      <c r="N31" s="354">
        <v>116.2</v>
      </c>
      <c r="O31" s="354">
        <f t="shared" si="4"/>
        <v>2277.895890410959</v>
      </c>
      <c r="P31" s="354">
        <f t="shared" si="5"/>
        <v>6719.095890410959</v>
      </c>
      <c r="Q31" s="355">
        <f t="shared" si="6"/>
        <v>0.6320790876137119</v>
      </c>
      <c r="R31" s="355">
        <f t="shared" si="7"/>
        <v>0.011608704693635395</v>
      </c>
      <c r="S31" s="355">
        <f t="shared" si="8"/>
        <v>0.017293993402569655</v>
      </c>
      <c r="T31" s="355">
        <f t="shared" si="9"/>
        <v>0.33901821429008305</v>
      </c>
    </row>
    <row r="32" spans="3:20" ht="12.75">
      <c r="C32" s="180" t="s">
        <v>443</v>
      </c>
      <c r="D32" s="353">
        <v>0.525</v>
      </c>
      <c r="E32" s="353">
        <v>0.476</v>
      </c>
      <c r="F32" s="353">
        <v>0.385</v>
      </c>
      <c r="G32" s="353">
        <v>0.404</v>
      </c>
      <c r="H32" s="353">
        <v>0.434</v>
      </c>
      <c r="I32" s="353">
        <f t="shared" si="10"/>
        <v>0.44480000000000003</v>
      </c>
      <c r="J32" t="str">
        <f t="shared" si="2"/>
        <v>Progress Energy</v>
      </c>
      <c r="K32" s="354">
        <v>10802</v>
      </c>
      <c r="L32" s="354">
        <v>9934</v>
      </c>
      <c r="M32" s="354">
        <f t="shared" si="3"/>
        <v>868</v>
      </c>
      <c r="N32" s="354">
        <v>92.8</v>
      </c>
      <c r="O32" s="354">
        <f t="shared" si="4"/>
        <v>7688.394346289751</v>
      </c>
      <c r="P32" s="354">
        <f t="shared" si="5"/>
        <v>18583.19434628975</v>
      </c>
      <c r="Q32" s="355">
        <f t="shared" si="6"/>
        <v>0.5345690205292065</v>
      </c>
      <c r="R32" s="355">
        <f t="shared" si="7"/>
        <v>0.046708869520772224</v>
      </c>
      <c r="S32" s="355">
        <f t="shared" si="8"/>
        <v>0.004993759322036477</v>
      </c>
      <c r="T32" s="355">
        <f t="shared" si="9"/>
        <v>0.41372835062798485</v>
      </c>
    </row>
    <row r="33" spans="3:20" ht="12.75">
      <c r="C33" s="180" t="s">
        <v>472</v>
      </c>
      <c r="D33" s="353">
        <v>0.407</v>
      </c>
      <c r="E33" s="353">
        <v>0.374</v>
      </c>
      <c r="F33" s="353">
        <v>0.349</v>
      </c>
      <c r="G33" s="353">
        <v>0.374</v>
      </c>
      <c r="H33" s="353">
        <v>0.424</v>
      </c>
      <c r="I33" s="353">
        <f t="shared" si="10"/>
        <v>0.3856</v>
      </c>
      <c r="J33" t="str">
        <f t="shared" si="2"/>
        <v>Puget Energy, Inc</v>
      </c>
      <c r="K33" s="354">
        <v>2487.6</v>
      </c>
      <c r="L33" s="354">
        <v>2250.1</v>
      </c>
      <c r="M33" s="354">
        <f t="shared" si="3"/>
        <v>237.5</v>
      </c>
      <c r="N33" s="354">
        <v>1.9</v>
      </c>
      <c r="O33" s="354">
        <f t="shared" si="4"/>
        <v>1657.722222222222</v>
      </c>
      <c r="P33" s="354">
        <f t="shared" si="5"/>
        <v>4147.222222222222</v>
      </c>
      <c r="Q33" s="355">
        <f t="shared" si="6"/>
        <v>0.5425559276624247</v>
      </c>
      <c r="R33" s="355">
        <f t="shared" si="7"/>
        <v>0.05726724715338246</v>
      </c>
      <c r="S33" s="355">
        <f t="shared" si="8"/>
        <v>0.00045813797722705964</v>
      </c>
      <c r="T33" s="355">
        <f t="shared" si="9"/>
        <v>0.3997186872069658</v>
      </c>
    </row>
    <row r="34" spans="3:20" ht="12.75">
      <c r="C34" s="180" t="s">
        <v>444</v>
      </c>
      <c r="D34" s="353">
        <v>0.378</v>
      </c>
      <c r="E34" s="353">
        <v>0.506</v>
      </c>
      <c r="F34" s="353">
        <v>0.422</v>
      </c>
      <c r="G34" s="353">
        <v>0.434</v>
      </c>
      <c r="H34" s="353">
        <v>0.436</v>
      </c>
      <c r="I34" s="353">
        <f t="shared" si="10"/>
        <v>0.43520000000000003</v>
      </c>
      <c r="J34" t="str">
        <f>C34</f>
        <v>Southern Co.</v>
      </c>
      <c r="K34" s="362">
        <v>13817</v>
      </c>
      <c r="L34" s="205">
        <v>12072</v>
      </c>
      <c r="M34" s="354">
        <f t="shared" si="3"/>
        <v>1745</v>
      </c>
      <c r="N34" s="205">
        <v>523</v>
      </c>
      <c r="O34" s="354">
        <f t="shared" si="4"/>
        <v>9736.560283687943</v>
      </c>
      <c r="P34" s="354">
        <f t="shared" si="5"/>
        <v>24076.56028368794</v>
      </c>
      <c r="Q34" s="355">
        <f t="shared" si="6"/>
        <v>0.5014005263940827</v>
      </c>
      <c r="R34" s="355">
        <f t="shared" si="7"/>
        <v>0.0724771304305562</v>
      </c>
      <c r="S34" s="355">
        <f t="shared" si="8"/>
        <v>0.021722372043083606</v>
      </c>
      <c r="T34" s="355">
        <f t="shared" si="9"/>
        <v>0.4043999711322775</v>
      </c>
    </row>
    <row r="35" spans="3:20" ht="12.75">
      <c r="C35" s="149"/>
      <c r="D35" s="363"/>
      <c r="E35" s="363"/>
      <c r="F35" s="363"/>
      <c r="G35" s="356"/>
      <c r="H35" s="356"/>
      <c r="I35" s="356"/>
      <c r="K35" s="364"/>
      <c r="L35" s="210"/>
      <c r="M35" s="210"/>
      <c r="N35" s="210"/>
      <c r="O35" s="210"/>
      <c r="P35" s="210"/>
      <c r="Q35" s="358"/>
      <c r="R35" s="358"/>
      <c r="S35" s="358"/>
      <c r="T35" s="358"/>
    </row>
    <row r="36" spans="3:20" ht="13.5" thickBot="1">
      <c r="C36" s="365" t="s">
        <v>17</v>
      </c>
      <c r="D36" s="366">
        <f aca="true" t="shared" si="11" ref="D36:I36">AVERAGE(D21:D35)</f>
        <v>0.4660714285714285</v>
      </c>
      <c r="E36" s="366">
        <f t="shared" si="11"/>
        <v>0.44899999999999995</v>
      </c>
      <c r="F36" s="366">
        <f t="shared" si="11"/>
        <v>0.4208571428571428</v>
      </c>
      <c r="G36" s="366">
        <f t="shared" si="11"/>
        <v>0.4303571428571429</v>
      </c>
      <c r="H36" s="366">
        <f t="shared" si="11"/>
        <v>0.4440714285714286</v>
      </c>
      <c r="I36" s="366">
        <f t="shared" si="11"/>
        <v>0.44207142857142856</v>
      </c>
      <c r="K36" s="367">
        <f aca="true" t="shared" si="12" ref="K36:T36">AVERAGE(K21:K35)</f>
        <v>5973.257142857144</v>
      </c>
      <c r="L36" s="367">
        <f t="shared" si="12"/>
        <v>5257</v>
      </c>
      <c r="M36" s="367">
        <f t="shared" si="12"/>
        <v>716.2571428571429</v>
      </c>
      <c r="N36" s="367">
        <f t="shared" si="12"/>
        <v>124.42142857142856</v>
      </c>
      <c r="O36" s="367">
        <f t="shared" si="12"/>
        <v>4251.105006244622</v>
      </c>
      <c r="P36" s="367">
        <f t="shared" si="12"/>
        <v>10348.783577673194</v>
      </c>
      <c r="Q36" s="368">
        <f t="shared" si="12"/>
        <v>0.507053045865736</v>
      </c>
      <c r="R36" s="369">
        <f t="shared" si="12"/>
        <v>0.06533732691404419</v>
      </c>
      <c r="S36" s="369">
        <f t="shared" si="12"/>
        <v>0.01008688257308835</v>
      </c>
      <c r="T36" s="370">
        <f t="shared" si="12"/>
        <v>0.41752274464713146</v>
      </c>
    </row>
    <row r="37" spans="3:20" ht="12.75">
      <c r="C37" s="371"/>
      <c r="D37" s="366"/>
      <c r="E37" s="366"/>
      <c r="F37" s="366"/>
      <c r="G37" s="366"/>
      <c r="H37" s="366"/>
      <c r="I37" s="366"/>
      <c r="K37" s="367"/>
      <c r="L37" s="367"/>
      <c r="M37" s="367"/>
      <c r="N37" s="367"/>
      <c r="O37" s="367"/>
      <c r="P37" s="367" t="s">
        <v>347</v>
      </c>
      <c r="Q37" s="372">
        <f>MEDIAN(Q21:Q35)</f>
        <v>0.5074322606154642</v>
      </c>
      <c r="R37" s="372">
        <f>MEDIAN(R21:R35)</f>
        <v>0.05198805833707734</v>
      </c>
      <c r="S37" s="372">
        <f>MEDIAN(S21:S35)</f>
        <v>0.007927267909338908</v>
      </c>
      <c r="T37" s="372">
        <f>MEDIAN(T21:T35)</f>
        <v>0.4120424701371801</v>
      </c>
    </row>
    <row r="38" spans="3:20" ht="12.75">
      <c r="C38" s="371"/>
      <c r="D38" s="366"/>
      <c r="E38" s="366"/>
      <c r="F38" s="366"/>
      <c r="G38" s="366"/>
      <c r="H38" s="366"/>
      <c r="I38" s="366"/>
      <c r="K38" s="367"/>
      <c r="L38" s="367"/>
      <c r="M38" s="367"/>
      <c r="N38" s="367"/>
      <c r="O38" s="367"/>
      <c r="P38" s="367"/>
      <c r="Q38" s="372"/>
      <c r="R38" s="372"/>
      <c r="S38" s="372"/>
      <c r="T38" s="372"/>
    </row>
    <row r="39" spans="3:20" ht="12.75">
      <c r="C39" s="371"/>
      <c r="D39" s="366"/>
      <c r="E39" s="366"/>
      <c r="F39" s="366"/>
      <c r="G39" s="366"/>
      <c r="H39" s="366"/>
      <c r="I39" s="366"/>
      <c r="K39" s="367"/>
      <c r="L39" s="367"/>
      <c r="M39" s="367"/>
      <c r="N39" s="367"/>
      <c r="O39" s="367"/>
      <c r="P39" s="367"/>
      <c r="Q39" s="372"/>
      <c r="R39" s="372"/>
      <c r="S39" s="372"/>
      <c r="T39" s="372"/>
    </row>
    <row r="40" spans="3:20" ht="12.75">
      <c r="C40" s="373" t="s">
        <v>480</v>
      </c>
      <c r="D40" s="366"/>
      <c r="E40" s="366"/>
      <c r="F40" s="366"/>
      <c r="G40" s="366"/>
      <c r="H40" s="366"/>
      <c r="I40" s="353"/>
      <c r="K40" s="367" t="str">
        <f>C40</f>
        <v>Gas Companies</v>
      </c>
      <c r="L40" s="367"/>
      <c r="M40" s="367"/>
      <c r="N40" s="367"/>
      <c r="O40" s="367"/>
      <c r="P40" s="367"/>
      <c r="Q40" s="372"/>
      <c r="R40" s="372"/>
      <c r="S40" s="372"/>
      <c r="T40" s="372"/>
    </row>
    <row r="41" spans="3:20" ht="12.75">
      <c r="C41" s="373"/>
      <c r="D41" s="366"/>
      <c r="E41" s="366"/>
      <c r="F41" s="366"/>
      <c r="G41" s="366"/>
      <c r="H41" s="366"/>
      <c r="I41" s="353"/>
      <c r="K41" s="367"/>
      <c r="L41" s="367"/>
      <c r="M41" s="367"/>
      <c r="N41" s="367"/>
      <c r="O41" s="367"/>
      <c r="P41" s="367"/>
      <c r="Q41" s="372"/>
      <c r="R41" s="372"/>
      <c r="S41" s="372"/>
      <c r="T41" s="372"/>
    </row>
    <row r="42" spans="3:20" ht="12.75">
      <c r="C42" s="180" t="s">
        <v>447</v>
      </c>
      <c r="D42" s="374">
        <v>0.492</v>
      </c>
      <c r="E42" s="374">
        <v>0.483</v>
      </c>
      <c r="F42" s="374">
        <v>0.387</v>
      </c>
      <c r="G42" s="374">
        <v>0.417</v>
      </c>
      <c r="H42" s="374">
        <v>0.497</v>
      </c>
      <c r="I42" s="353">
        <f>AVERAGE(D42:H42)</f>
        <v>0.45520000000000005</v>
      </c>
      <c r="J42" s="36" t="str">
        <f>C42</f>
        <v>AGL Resources</v>
      </c>
      <c r="K42" s="354">
        <v>1103.3</v>
      </c>
      <c r="L42" s="354">
        <v>970.2</v>
      </c>
      <c r="M42" s="354">
        <f>K42-L42</f>
        <v>133.0999999999999</v>
      </c>
      <c r="N42" s="354">
        <v>0</v>
      </c>
      <c r="O42" s="354">
        <f>H42*(L42+N42)/(1-H42)</f>
        <v>958.6270377733599</v>
      </c>
      <c r="P42" s="354">
        <f>SUM(L42:O42)</f>
        <v>2061.92703777336</v>
      </c>
      <c r="Q42" s="355">
        <f>L42/P42</f>
        <v>0.47053071336981084</v>
      </c>
      <c r="R42" s="355">
        <f>M42/P42</f>
        <v>0.06455126566637989</v>
      </c>
      <c r="S42" s="355">
        <f>N42/P42</f>
        <v>0</v>
      </c>
      <c r="T42" s="355">
        <f>O42/P42</f>
        <v>0.46491802096380913</v>
      </c>
    </row>
    <row r="43" spans="3:20" ht="12.75">
      <c r="C43" s="180" t="s">
        <v>449</v>
      </c>
      <c r="D43" s="374">
        <v>0.5</v>
      </c>
      <c r="E43" s="374">
        <v>0.519</v>
      </c>
      <c r="F43" s="374">
        <v>0.457</v>
      </c>
      <c r="G43" s="374">
        <v>0.461</v>
      </c>
      <c r="H43" s="374">
        <v>0.498</v>
      </c>
      <c r="I43" s="353">
        <f aca="true" t="shared" si="13" ref="I43:I54">AVERAGE(D43:H43)</f>
        <v>0.4870000000000001</v>
      </c>
      <c r="J43" s="36" t="str">
        <f aca="true" t="shared" si="14" ref="J43:J54">C43</f>
        <v>Atmos Energy</v>
      </c>
      <c r="K43" s="354">
        <v>872.7</v>
      </c>
      <c r="L43" s="354">
        <v>864.6</v>
      </c>
      <c r="M43" s="354">
        <f aca="true" t="shared" si="15" ref="M43:M54">K43-L43</f>
        <v>8.100000000000023</v>
      </c>
      <c r="N43" s="354">
        <v>0</v>
      </c>
      <c r="O43" s="354">
        <f aca="true" t="shared" si="16" ref="O43:O54">H43*(L43+N43)/(1-H43)</f>
        <v>857.7107569721115</v>
      </c>
      <c r="P43" s="354">
        <f aca="true" t="shared" si="17" ref="P43:P54">SUM(L43:O43)</f>
        <v>1730.4107569721116</v>
      </c>
      <c r="Q43" s="355">
        <f aca="true" t="shared" si="18" ref="Q43:Q54">L43/P43</f>
        <v>0.4996501533039964</v>
      </c>
      <c r="R43" s="355">
        <f aca="true" t="shared" si="19" ref="R43:R54">M43/P43</f>
        <v>0.004680969513951402</v>
      </c>
      <c r="S43" s="355">
        <f aca="true" t="shared" si="20" ref="S43:S54">N43/P43</f>
        <v>0</v>
      </c>
      <c r="T43" s="355">
        <f aca="true" t="shared" si="21" ref="T43:T54">O43/P43</f>
        <v>0.4956688771820522</v>
      </c>
    </row>
    <row r="44" spans="3:20" ht="12.75">
      <c r="C44" s="180" t="s">
        <v>451</v>
      </c>
      <c r="D44" s="374">
        <v>0.493</v>
      </c>
      <c r="E44" s="374">
        <v>0.531</v>
      </c>
      <c r="F44" s="374">
        <v>0.469</v>
      </c>
      <c r="G44" s="374">
        <v>0.532</v>
      </c>
      <c r="H44" s="374">
        <v>0.558</v>
      </c>
      <c r="I44" s="353">
        <f t="shared" si="13"/>
        <v>0.5166000000000001</v>
      </c>
      <c r="J44" s="36" t="str">
        <f t="shared" si="14"/>
        <v>Energen Corp.</v>
      </c>
      <c r="K44" s="354">
        <v>562.9</v>
      </c>
      <c r="L44" s="354">
        <v>552.9</v>
      </c>
      <c r="M44" s="354">
        <f t="shared" si="15"/>
        <v>10</v>
      </c>
      <c r="N44" s="354">
        <v>0</v>
      </c>
      <c r="O44" s="354">
        <f t="shared" si="16"/>
        <v>698.0049773755658</v>
      </c>
      <c r="P44" s="354">
        <f t="shared" si="17"/>
        <v>1260.9049773755657</v>
      </c>
      <c r="Q44" s="355">
        <f t="shared" si="18"/>
        <v>0.43849458121007673</v>
      </c>
      <c r="R44" s="355">
        <f t="shared" si="19"/>
        <v>0.0079308117419077</v>
      </c>
      <c r="S44" s="355">
        <f t="shared" si="20"/>
        <v>0</v>
      </c>
      <c r="T44" s="355">
        <f t="shared" si="21"/>
        <v>0.5535746070480155</v>
      </c>
    </row>
    <row r="45" spans="3:20" ht="12.75">
      <c r="C45" s="180" t="s">
        <v>453</v>
      </c>
      <c r="D45" s="374">
        <v>0.606</v>
      </c>
      <c r="E45" s="374">
        <v>0.392</v>
      </c>
      <c r="F45" s="374">
        <v>0.377</v>
      </c>
      <c r="G45" s="374">
        <v>0.357</v>
      </c>
      <c r="H45" s="374">
        <v>0.391</v>
      </c>
      <c r="I45" s="353">
        <f t="shared" si="13"/>
        <v>0.42460000000000003</v>
      </c>
      <c r="J45" s="36" t="str">
        <f t="shared" si="14"/>
        <v>Keyspan Corp.</v>
      </c>
      <c r="K45" s="354">
        <v>6100</v>
      </c>
      <c r="L45" s="354">
        <v>5600</v>
      </c>
      <c r="M45" s="354">
        <f t="shared" si="15"/>
        <v>500</v>
      </c>
      <c r="N45" s="354">
        <v>83.7</v>
      </c>
      <c r="O45" s="354">
        <f t="shared" si="16"/>
        <v>3649.1407224958953</v>
      </c>
      <c r="P45" s="354">
        <f t="shared" si="17"/>
        <v>9832.840722495896</v>
      </c>
      <c r="Q45" s="355">
        <f t="shared" si="18"/>
        <v>0.5695200561103503</v>
      </c>
      <c r="R45" s="355">
        <f t="shared" si="19"/>
        <v>0.050850005009852706</v>
      </c>
      <c r="S45" s="355">
        <f t="shared" si="20"/>
        <v>0.008512290838649343</v>
      </c>
      <c r="T45" s="355">
        <f t="shared" si="21"/>
        <v>0.3711176480411476</v>
      </c>
    </row>
    <row r="46" spans="3:20" ht="12.75">
      <c r="C46" s="180" t="s">
        <v>455</v>
      </c>
      <c r="D46" s="374">
        <v>0.578</v>
      </c>
      <c r="E46" s="374">
        <v>0.545</v>
      </c>
      <c r="F46" s="374">
        <v>0.502</v>
      </c>
      <c r="G46" s="374">
        <v>0.523</v>
      </c>
      <c r="H46" s="374">
        <v>0.494</v>
      </c>
      <c r="I46" s="353">
        <f t="shared" si="13"/>
        <v>0.5284000000000001</v>
      </c>
      <c r="J46" s="36" t="str">
        <f t="shared" si="14"/>
        <v>Laclede Group</v>
      </c>
      <c r="K46" s="354">
        <v>498.8</v>
      </c>
      <c r="L46" s="354">
        <v>282.2</v>
      </c>
      <c r="M46" s="354">
        <f t="shared" si="15"/>
        <v>216.60000000000002</v>
      </c>
      <c r="N46" s="354">
        <v>1.1</v>
      </c>
      <c r="O46" s="354">
        <f t="shared" si="16"/>
        <v>276.5814229249012</v>
      </c>
      <c r="P46" s="354">
        <f t="shared" si="17"/>
        <v>776.4814229249012</v>
      </c>
      <c r="Q46" s="355">
        <f t="shared" si="18"/>
        <v>0.36343432266156545</v>
      </c>
      <c r="R46" s="355">
        <f t="shared" si="19"/>
        <v>0.2789506530421513</v>
      </c>
      <c r="S46" s="355">
        <f t="shared" si="20"/>
        <v>0.0014166468991060313</v>
      </c>
      <c r="T46" s="355">
        <f t="shared" si="21"/>
        <v>0.3561983773971773</v>
      </c>
    </row>
    <row r="47" spans="3:20" ht="12.75">
      <c r="C47" s="180" t="s">
        <v>457</v>
      </c>
      <c r="D47" s="374">
        <v>0.512</v>
      </c>
      <c r="E47" s="374">
        <v>0.529</v>
      </c>
      <c r="F47" s="374">
        <v>0.499</v>
      </c>
      <c r="G47" s="374">
        <v>0.494</v>
      </c>
      <c r="H47" s="374">
        <v>0.619</v>
      </c>
      <c r="I47" s="353">
        <f t="shared" si="13"/>
        <v>0.5306</v>
      </c>
      <c r="J47" s="36" t="str">
        <f t="shared" si="14"/>
        <v>New Jersey Resources</v>
      </c>
      <c r="K47" s="354">
        <v>361</v>
      </c>
      <c r="L47" s="354">
        <v>317.3</v>
      </c>
      <c r="M47" s="354">
        <f t="shared" si="15"/>
        <v>43.69999999999999</v>
      </c>
      <c r="N47" s="354">
        <v>0</v>
      </c>
      <c r="O47" s="354">
        <f t="shared" si="16"/>
        <v>515.5083989501312</v>
      </c>
      <c r="P47" s="354">
        <f t="shared" si="17"/>
        <v>876.5083989501312</v>
      </c>
      <c r="Q47" s="355">
        <f t="shared" si="18"/>
        <v>0.3620045174467892</v>
      </c>
      <c r="R47" s="355">
        <f t="shared" si="19"/>
        <v>0.04985690958847993</v>
      </c>
      <c r="S47" s="355">
        <f t="shared" si="20"/>
        <v>0</v>
      </c>
      <c r="T47" s="355">
        <f t="shared" si="21"/>
        <v>0.5881385729647309</v>
      </c>
    </row>
    <row r="48" spans="3:20" ht="12.75">
      <c r="C48" s="180" t="s">
        <v>459</v>
      </c>
      <c r="D48" s="374">
        <v>0.64</v>
      </c>
      <c r="E48" s="374">
        <v>0.667</v>
      </c>
      <c r="F48" s="374">
        <v>0.617</v>
      </c>
      <c r="G48" s="374">
        <v>0.645</v>
      </c>
      <c r="H48" s="374">
        <v>0.603</v>
      </c>
      <c r="I48" s="353">
        <f t="shared" si="13"/>
        <v>0.6344</v>
      </c>
      <c r="J48" s="36" t="str">
        <f t="shared" si="14"/>
        <v>Nicor, Inc.</v>
      </c>
      <c r="K48" s="354">
        <v>681.9</v>
      </c>
      <c r="L48" s="354">
        <v>494.9</v>
      </c>
      <c r="M48" s="354">
        <f t="shared" si="15"/>
        <v>187</v>
      </c>
      <c r="N48" s="354">
        <v>1.8</v>
      </c>
      <c r="O48" s="354">
        <f t="shared" si="16"/>
        <v>754.4335012594457</v>
      </c>
      <c r="P48" s="354">
        <f t="shared" si="17"/>
        <v>1438.1335012594457</v>
      </c>
      <c r="Q48" s="355">
        <f t="shared" si="18"/>
        <v>0.3441266054692358</v>
      </c>
      <c r="R48" s="355">
        <f t="shared" si="19"/>
        <v>0.13002965290512647</v>
      </c>
      <c r="S48" s="355">
        <f t="shared" si="20"/>
        <v>0.001251622327429025</v>
      </c>
      <c r="T48" s="355">
        <f t="shared" si="21"/>
        <v>0.5245921192982087</v>
      </c>
    </row>
    <row r="49" spans="3:20" ht="12.75">
      <c r="C49" s="180" t="s">
        <v>217</v>
      </c>
      <c r="D49" s="374">
        <v>0.499</v>
      </c>
      <c r="E49" s="374">
        <v>0.509</v>
      </c>
      <c r="F49" s="374">
        <v>0.532</v>
      </c>
      <c r="G49" s="374">
        <v>0.515</v>
      </c>
      <c r="H49" s="374">
        <v>0.503</v>
      </c>
      <c r="I49" s="353">
        <f t="shared" si="13"/>
        <v>0.5116</v>
      </c>
      <c r="J49" s="36" t="str">
        <f t="shared" si="14"/>
        <v>N.W. Natural Gas</v>
      </c>
      <c r="K49" s="354">
        <v>585.5</v>
      </c>
      <c r="L49" s="354">
        <v>500.3</v>
      </c>
      <c r="M49" s="354">
        <f t="shared" si="15"/>
        <v>85.19999999999999</v>
      </c>
      <c r="N49" s="354">
        <v>0</v>
      </c>
      <c r="O49" s="354">
        <f t="shared" si="16"/>
        <v>506.3398390342052</v>
      </c>
      <c r="P49" s="354">
        <f t="shared" si="17"/>
        <v>1091.8398390342052</v>
      </c>
      <c r="Q49" s="355">
        <f t="shared" si="18"/>
        <v>0.4582173887724632</v>
      </c>
      <c r="R49" s="355">
        <f t="shared" si="19"/>
        <v>0.0780334229930319</v>
      </c>
      <c r="S49" s="355">
        <f t="shared" si="20"/>
        <v>0</v>
      </c>
      <c r="T49" s="355">
        <f t="shared" si="21"/>
        <v>0.46374918823450495</v>
      </c>
    </row>
    <row r="50" spans="3:20" ht="12.75">
      <c r="C50" s="180" t="s">
        <v>218</v>
      </c>
      <c r="D50" s="374">
        <v>0.596</v>
      </c>
      <c r="E50" s="374">
        <v>0.649</v>
      </c>
      <c r="F50" s="374">
        <v>0.556</v>
      </c>
      <c r="G50" s="374">
        <v>0.593</v>
      </c>
      <c r="H50" s="374">
        <v>0.533</v>
      </c>
      <c r="I50" s="353">
        <f t="shared" si="13"/>
        <v>0.5854</v>
      </c>
      <c r="J50" s="36" t="str">
        <f t="shared" si="14"/>
        <v>Peoples Energy</v>
      </c>
      <c r="K50" s="354">
        <v>1032.6</v>
      </c>
      <c r="L50" s="354">
        <v>846.3</v>
      </c>
      <c r="M50" s="354">
        <f t="shared" si="15"/>
        <v>186.29999999999995</v>
      </c>
      <c r="N50" s="354">
        <v>0</v>
      </c>
      <c r="O50" s="354">
        <f t="shared" si="16"/>
        <v>965.9055674518202</v>
      </c>
      <c r="P50" s="354">
        <f t="shared" si="17"/>
        <v>1998.50556745182</v>
      </c>
      <c r="Q50" s="355">
        <f t="shared" si="18"/>
        <v>0.4234664210013028</v>
      </c>
      <c r="R50" s="355">
        <f t="shared" si="19"/>
        <v>0.09321965524346294</v>
      </c>
      <c r="S50" s="355">
        <f t="shared" si="20"/>
        <v>0</v>
      </c>
      <c r="T50" s="355">
        <f t="shared" si="21"/>
        <v>0.48331392375523424</v>
      </c>
    </row>
    <row r="51" spans="3:20" ht="12.75">
      <c r="C51" s="180" t="s">
        <v>219</v>
      </c>
      <c r="D51" s="374">
        <v>0.538</v>
      </c>
      <c r="E51" s="374">
        <v>0.539</v>
      </c>
      <c r="F51" s="374">
        <v>0.524</v>
      </c>
      <c r="G51" s="374">
        <v>0.561</v>
      </c>
      <c r="H51" s="374">
        <v>0.578</v>
      </c>
      <c r="I51" s="353">
        <f t="shared" si="13"/>
        <v>0.5479999999999999</v>
      </c>
      <c r="J51" s="36" t="str">
        <f t="shared" si="14"/>
        <v>Piedmont Natural Gas</v>
      </c>
      <c r="K51" s="354">
        <v>785</v>
      </c>
      <c r="L51" s="354">
        <v>660</v>
      </c>
      <c r="M51" s="354">
        <f t="shared" si="15"/>
        <v>125</v>
      </c>
      <c r="N51" s="354">
        <v>0</v>
      </c>
      <c r="O51" s="354">
        <f t="shared" si="16"/>
        <v>903.9810426540282</v>
      </c>
      <c r="P51" s="354">
        <f t="shared" si="17"/>
        <v>1688.9810426540282</v>
      </c>
      <c r="Q51" s="355">
        <f t="shared" si="18"/>
        <v>0.3907681515257805</v>
      </c>
      <c r="R51" s="355">
        <f t="shared" si="19"/>
        <v>0.0740091196071554</v>
      </c>
      <c r="S51" s="355">
        <f t="shared" si="20"/>
        <v>0</v>
      </c>
      <c r="T51" s="355">
        <f t="shared" si="21"/>
        <v>0.5352227288670641</v>
      </c>
    </row>
    <row r="52" spans="3:20" ht="12.75">
      <c r="C52" s="180" t="s">
        <v>221</v>
      </c>
      <c r="D52" s="374">
        <v>0.355</v>
      </c>
      <c r="E52" s="374">
        <v>0.358</v>
      </c>
      <c r="F52" s="374">
        <v>0.396</v>
      </c>
      <c r="G52" s="374">
        <v>0.341</v>
      </c>
      <c r="H52" s="374">
        <v>0.34</v>
      </c>
      <c r="I52" s="353">
        <f t="shared" si="13"/>
        <v>0.358</v>
      </c>
      <c r="J52" s="36" t="str">
        <f t="shared" si="14"/>
        <v>Southwest Gas</v>
      </c>
      <c r="K52" s="354">
        <v>1250.2</v>
      </c>
      <c r="L52" s="354">
        <v>1220.4</v>
      </c>
      <c r="M52" s="354">
        <f t="shared" si="15"/>
        <v>29.799999999999955</v>
      </c>
      <c r="N52" s="354">
        <v>0</v>
      </c>
      <c r="O52" s="354">
        <f t="shared" si="16"/>
        <v>628.6909090909093</v>
      </c>
      <c r="P52" s="354">
        <f t="shared" si="17"/>
        <v>1878.8909090909092</v>
      </c>
      <c r="Q52" s="355">
        <f t="shared" si="18"/>
        <v>0.6495321224319957</v>
      </c>
      <c r="R52" s="355">
        <f t="shared" si="19"/>
        <v>0.0158604205575823</v>
      </c>
      <c r="S52" s="355">
        <f t="shared" si="20"/>
        <v>0</v>
      </c>
      <c r="T52" s="355">
        <f t="shared" si="21"/>
        <v>0.3346074570104221</v>
      </c>
    </row>
    <row r="53" spans="3:20" ht="12.75">
      <c r="C53" s="180" t="s">
        <v>460</v>
      </c>
      <c r="D53" s="374">
        <v>0.198</v>
      </c>
      <c r="E53" s="374">
        <v>0.191</v>
      </c>
      <c r="F53" s="374">
        <v>0.174</v>
      </c>
      <c r="G53" s="374">
        <v>0.217</v>
      </c>
      <c r="H53" s="374">
        <v>0.33</v>
      </c>
      <c r="I53" s="353">
        <f t="shared" si="13"/>
        <v>0.22199999999999998</v>
      </c>
      <c r="J53" s="36" t="str">
        <f t="shared" si="14"/>
        <v>UGI Corp.</v>
      </c>
      <c r="K53" s="354">
        <v>1763.8</v>
      </c>
      <c r="L53" s="354">
        <v>1609.7</v>
      </c>
      <c r="M53" s="354">
        <f t="shared" si="15"/>
        <v>154.0999999999999</v>
      </c>
      <c r="N53" s="354">
        <v>0</v>
      </c>
      <c r="O53" s="354">
        <f t="shared" si="16"/>
        <v>792.8373134328359</v>
      </c>
      <c r="P53" s="354">
        <f t="shared" si="17"/>
        <v>2556.637313432836</v>
      </c>
      <c r="Q53" s="355">
        <f t="shared" si="18"/>
        <v>0.6296160943683605</v>
      </c>
      <c r="R53" s="355">
        <f t="shared" si="19"/>
        <v>0.06027448601737236</v>
      </c>
      <c r="S53" s="355">
        <f t="shared" si="20"/>
        <v>0</v>
      </c>
      <c r="T53" s="355">
        <f t="shared" si="21"/>
        <v>0.31010941961426713</v>
      </c>
    </row>
    <row r="54" spans="3:20" ht="12.75">
      <c r="C54" s="180" t="s">
        <v>222</v>
      </c>
      <c r="D54" s="375">
        <v>0.561</v>
      </c>
      <c r="E54" s="375">
        <v>0.548</v>
      </c>
      <c r="F54" s="375">
        <v>0.563</v>
      </c>
      <c r="G54" s="375">
        <v>0.524</v>
      </c>
      <c r="H54" s="375">
        <v>0.543</v>
      </c>
      <c r="I54" s="356">
        <f t="shared" si="13"/>
        <v>0.5478</v>
      </c>
      <c r="J54" s="36" t="str">
        <f t="shared" si="14"/>
        <v>WGL Holdings</v>
      </c>
      <c r="K54" s="376">
        <v>895.6</v>
      </c>
      <c r="L54" s="376">
        <v>617.9</v>
      </c>
      <c r="M54" s="357">
        <f t="shared" si="15"/>
        <v>277.70000000000005</v>
      </c>
      <c r="N54" s="376">
        <v>28.2</v>
      </c>
      <c r="O54" s="357">
        <f t="shared" si="16"/>
        <v>767.685557986871</v>
      </c>
      <c r="P54" s="357">
        <f t="shared" si="17"/>
        <v>1691.485557986871</v>
      </c>
      <c r="Q54" s="358">
        <f t="shared" si="18"/>
        <v>0.3653001925333589</v>
      </c>
      <c r="R54" s="358">
        <f t="shared" si="19"/>
        <v>0.16417521195422202</v>
      </c>
      <c r="S54" s="358">
        <f t="shared" si="20"/>
        <v>0.016671735603561614</v>
      </c>
      <c r="T54" s="358">
        <f t="shared" si="21"/>
        <v>0.4538528599088575</v>
      </c>
    </row>
    <row r="55" spans="3:20" ht="13.5" thickBot="1">
      <c r="C55" s="365" t="s">
        <v>17</v>
      </c>
      <c r="D55" s="366">
        <f aca="true" t="shared" si="22" ref="D55:I55">AVERAGE(D40:D54)</f>
        <v>0.5052307692307692</v>
      </c>
      <c r="E55" s="366">
        <f t="shared" si="22"/>
        <v>0.49692307692307686</v>
      </c>
      <c r="F55" s="366">
        <f t="shared" si="22"/>
        <v>0.46561538461538465</v>
      </c>
      <c r="G55" s="366">
        <f t="shared" si="22"/>
        <v>0.47538461538461535</v>
      </c>
      <c r="H55" s="366">
        <f t="shared" si="22"/>
        <v>0.499</v>
      </c>
      <c r="I55" s="366">
        <f t="shared" si="22"/>
        <v>0.4884307692307692</v>
      </c>
      <c r="K55" s="367">
        <f aca="true" t="shared" si="23" ref="K55:T55">AVERAGE(K40:K54)</f>
        <v>1268.7153846153847</v>
      </c>
      <c r="L55" s="367">
        <f t="shared" si="23"/>
        <v>1118.2076923076922</v>
      </c>
      <c r="M55" s="367">
        <f t="shared" si="23"/>
        <v>150.5076923076923</v>
      </c>
      <c r="N55" s="367">
        <f t="shared" si="23"/>
        <v>8.830769230769231</v>
      </c>
      <c r="O55" s="367">
        <f t="shared" si="23"/>
        <v>944.2651574924676</v>
      </c>
      <c r="P55" s="367">
        <f t="shared" si="23"/>
        <v>2221.811311338621</v>
      </c>
      <c r="Q55" s="368">
        <f t="shared" si="23"/>
        <v>0.45882010155423736</v>
      </c>
      <c r="R55" s="369">
        <f t="shared" si="23"/>
        <v>0.08249404491082125</v>
      </c>
      <c r="S55" s="369">
        <f t="shared" si="23"/>
        <v>0.002142484282211232</v>
      </c>
      <c r="T55" s="370">
        <f t="shared" si="23"/>
        <v>0.45654336925273015</v>
      </c>
    </row>
    <row r="56" spans="4:20" ht="12.75">
      <c r="D56" s="346"/>
      <c r="E56" s="346"/>
      <c r="F56" s="346"/>
      <c r="G56" s="346"/>
      <c r="H56" s="346"/>
      <c r="I56" s="346"/>
      <c r="K56" s="367"/>
      <c r="L56" s="367"/>
      <c r="M56" s="367"/>
      <c r="N56" s="367"/>
      <c r="O56" s="367"/>
      <c r="P56" s="367" t="s">
        <v>347</v>
      </c>
      <c r="Q56" s="372">
        <f>MEDIAN(Q40:Q54)</f>
        <v>0.43849458121007673</v>
      </c>
      <c r="R56" s="372">
        <f>MEDIAN(R40:R54)</f>
        <v>0.06455126566637989</v>
      </c>
      <c r="S56" s="372">
        <f>MEDIAN(S40:S54)</f>
        <v>0</v>
      </c>
      <c r="T56" s="372">
        <f>MEDIAN(T40:T54)</f>
        <v>0.46491802096380913</v>
      </c>
    </row>
    <row r="57" spans="4:20" ht="12.75">
      <c r="D57" s="346"/>
      <c r="E57" s="346"/>
      <c r="F57" s="346"/>
      <c r="G57" s="346"/>
      <c r="H57" s="346"/>
      <c r="I57" s="346"/>
      <c r="M57" s="354"/>
      <c r="O57" s="354"/>
      <c r="P57" s="354"/>
      <c r="Q57" s="355"/>
      <c r="R57" s="355"/>
      <c r="S57" s="355"/>
      <c r="T57" s="355"/>
    </row>
    <row r="59" spans="10:11" ht="12.75">
      <c r="J59" s="377" t="str">
        <f>L9</f>
        <v>[A]</v>
      </c>
      <c r="K59" s="378" t="s">
        <v>502</v>
      </c>
    </row>
    <row r="60" spans="10:21" ht="12.75">
      <c r="J60" s="377" t="str">
        <f>M9</f>
        <v>[B]</v>
      </c>
      <c r="K60" t="s">
        <v>503</v>
      </c>
      <c r="U60" s="344"/>
    </row>
    <row r="61" spans="10:21" ht="12.75">
      <c r="J61" s="377" t="str">
        <f>O9</f>
        <v>[C]</v>
      </c>
      <c r="K61" t="s">
        <v>504</v>
      </c>
      <c r="U61" s="344"/>
    </row>
    <row r="62" spans="3:21" ht="12.75">
      <c r="C62" t="s">
        <v>505</v>
      </c>
      <c r="K62" s="66" t="s">
        <v>506</v>
      </c>
      <c r="L62" t="s">
        <v>507</v>
      </c>
      <c r="U62" s="344"/>
    </row>
    <row r="63" spans="3:21" ht="12.75">
      <c r="C63" t="s">
        <v>508</v>
      </c>
      <c r="K63" s="66" t="s">
        <v>509</v>
      </c>
      <c r="L63" t="s">
        <v>510</v>
      </c>
      <c r="U63" s="344"/>
    </row>
    <row r="64" spans="11:12" ht="12.75">
      <c r="K64" s="66" t="s">
        <v>511</v>
      </c>
      <c r="L64" t="s">
        <v>512</v>
      </c>
    </row>
    <row r="65" ht="12.75">
      <c r="K65" s="379" t="s">
        <v>513</v>
      </c>
    </row>
    <row r="66" ht="12.75">
      <c r="K66" s="380" t="s">
        <v>514</v>
      </c>
    </row>
    <row r="67" ht="12.75">
      <c r="K67" s="379" t="s">
        <v>515</v>
      </c>
    </row>
    <row r="68" ht="12.75">
      <c r="K68" t="s">
        <v>516</v>
      </c>
    </row>
    <row r="69" ht="12.75">
      <c r="K69" t="s">
        <v>517</v>
      </c>
    </row>
    <row r="70" ht="12.75">
      <c r="K70" t="s">
        <v>518</v>
      </c>
    </row>
    <row r="71" ht="12.75">
      <c r="K71" t="s">
        <v>519</v>
      </c>
    </row>
    <row r="72" ht="12.75">
      <c r="K72" s="60" t="s">
        <v>520</v>
      </c>
    </row>
    <row r="74" ht="12.75">
      <c r="K74" t="s">
        <v>521</v>
      </c>
    </row>
    <row r="75" ht="12.75">
      <c r="K75" t="s">
        <v>522</v>
      </c>
    </row>
    <row r="76" spans="11:13" ht="12.75">
      <c r="K76" t="s">
        <v>523</v>
      </c>
      <c r="L76" s="60"/>
      <c r="M76" s="60"/>
    </row>
    <row r="77" ht="12.75">
      <c r="K77" t="s">
        <v>524</v>
      </c>
    </row>
    <row r="78" spans="10:11" ht="12.75">
      <c r="J78" s="377" t="str">
        <f>P9</f>
        <v>[D]</v>
      </c>
      <c r="K78" t="s">
        <v>525</v>
      </c>
    </row>
    <row r="79" spans="10:11" ht="12.75">
      <c r="J79" s="377" t="str">
        <f>Q9</f>
        <v>[E]</v>
      </c>
      <c r="K79" t="s">
        <v>526</v>
      </c>
    </row>
    <row r="80" ht="12.75">
      <c r="J80" s="377"/>
    </row>
  </sheetData>
  <mergeCells count="3">
    <mergeCell ref="L5:P5"/>
    <mergeCell ref="Q5:T5"/>
    <mergeCell ref="D7:I7"/>
  </mergeCells>
  <printOptions/>
  <pageMargins left="0.75" right="0.75" top="1" bottom="1" header="0.5" footer="0.5"/>
  <pageSetup horizontalDpi="600" verticalDpi="600" orientation="portrait" scale="56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O43" sqref="O43"/>
    </sheetView>
  </sheetViews>
  <sheetFormatPr defaultColWidth="9.140625" defaultRowHeight="12.75"/>
  <cols>
    <col min="3" max="3" width="15.28125" style="0" customWidth="1"/>
    <col min="4" max="4" width="11.00390625" style="0" customWidth="1"/>
    <col min="5" max="5" width="17.28125" style="0" customWidth="1"/>
    <col min="8" max="8" width="9.8515625" style="0" bestFit="1" customWidth="1"/>
    <col min="12" max="12" width="10.421875" style="0" customWidth="1"/>
  </cols>
  <sheetData>
    <row r="1" ht="12.75">
      <c r="J1" s="60"/>
    </row>
    <row r="2" ht="12.75">
      <c r="J2" s="60" t="s">
        <v>602</v>
      </c>
    </row>
    <row r="3" ht="12.75">
      <c r="J3" s="60" t="str">
        <f>OCC!I3</f>
        <v>Docket No. UT-040788</v>
      </c>
    </row>
    <row r="4" ht="12.75">
      <c r="J4" s="60" t="s">
        <v>633</v>
      </c>
    </row>
    <row r="5" ht="12.75">
      <c r="C5" s="60" t="s">
        <v>418</v>
      </c>
    </row>
    <row r="8" spans="3:8" ht="12.75">
      <c r="C8" t="s">
        <v>401</v>
      </c>
      <c r="D8" t="s">
        <v>402</v>
      </c>
      <c r="E8" t="s">
        <v>403</v>
      </c>
      <c r="F8" t="s">
        <v>404</v>
      </c>
      <c r="H8" t="s">
        <v>405</v>
      </c>
    </row>
    <row r="9" spans="4:10" ht="12.75">
      <c r="D9" t="s">
        <v>406</v>
      </c>
      <c r="E9" t="s">
        <v>407</v>
      </c>
      <c r="F9" t="s">
        <v>408</v>
      </c>
      <c r="H9" t="s">
        <v>79</v>
      </c>
      <c r="J9" t="s">
        <v>409</v>
      </c>
    </row>
    <row r="10" ht="12.75">
      <c r="E10" t="s">
        <v>410</v>
      </c>
    </row>
    <row r="11" ht="12.75" customHeight="1">
      <c r="J11" s="57"/>
    </row>
    <row r="12" spans="3:10" ht="12.75">
      <c r="C12" t="s">
        <v>411</v>
      </c>
      <c r="D12">
        <v>6</v>
      </c>
      <c r="E12" s="57">
        <f>D12/D19</f>
        <v>0.006185567010309278</v>
      </c>
      <c r="F12" s="57">
        <f aca="true" t="shared" si="0" ref="F12:F18">D12/$D$19</f>
        <v>0.006185567010309278</v>
      </c>
      <c r="H12" s="344">
        <f>1-0.05</f>
        <v>0.95</v>
      </c>
      <c r="J12" s="57">
        <f>H12*F12</f>
        <v>0.005876288659793814</v>
      </c>
    </row>
    <row r="13" spans="3:10" ht="12.75">
      <c r="C13" t="s">
        <v>412</v>
      </c>
      <c r="D13">
        <v>20</v>
      </c>
      <c r="E13" s="57">
        <f>SUM($D$12:D13)/$D$19</f>
        <v>0.026804123711340205</v>
      </c>
      <c r="F13" s="57">
        <f t="shared" si="0"/>
        <v>0.020618556701030927</v>
      </c>
      <c r="H13" s="344">
        <f>1-0.359</f>
        <v>0.641</v>
      </c>
      <c r="J13" s="57">
        <f aca="true" t="shared" si="1" ref="J13:J18">H13*F13</f>
        <v>0.013216494845360825</v>
      </c>
    </row>
    <row r="14" spans="3:10" ht="12.75">
      <c r="C14" t="s">
        <v>413</v>
      </c>
      <c r="D14">
        <v>121</v>
      </c>
      <c r="E14" s="57">
        <f>SUM($D$12:D14)/$D$19</f>
        <v>0.1515463917525773</v>
      </c>
      <c r="F14" s="57">
        <f t="shared" si="0"/>
        <v>0.12474226804123711</v>
      </c>
      <c r="H14" s="344">
        <f>1-0.426</f>
        <v>0.5740000000000001</v>
      </c>
      <c r="J14" s="57">
        <f t="shared" si="1"/>
        <v>0.07160206185567011</v>
      </c>
    </row>
    <row r="15" spans="3:10" ht="12.75">
      <c r="C15" t="s">
        <v>414</v>
      </c>
      <c r="D15">
        <v>224</v>
      </c>
      <c r="E15" s="57">
        <f>SUM($D$12:D15)/$D$19</f>
        <v>0.3824742268041237</v>
      </c>
      <c r="F15" s="57">
        <f t="shared" si="0"/>
        <v>0.2309278350515464</v>
      </c>
      <c r="H15" s="344">
        <f>1-0.47</f>
        <v>0.53</v>
      </c>
      <c r="J15" s="57">
        <f t="shared" si="1"/>
        <v>0.1223917525773196</v>
      </c>
    </row>
    <row r="16" spans="3:10" ht="12.75">
      <c r="C16" t="s">
        <v>415</v>
      </c>
      <c r="D16">
        <v>279</v>
      </c>
      <c r="E16" s="57">
        <f>SUM($D$12:D16)/$D$19</f>
        <v>0.6701030927835051</v>
      </c>
      <c r="F16" s="57">
        <f t="shared" si="0"/>
        <v>0.2876288659793814</v>
      </c>
      <c r="H16" s="344">
        <f>1-0.577</f>
        <v>0.42300000000000004</v>
      </c>
      <c r="J16" s="57">
        <f t="shared" si="1"/>
        <v>0.12166701030927836</v>
      </c>
    </row>
    <row r="17" spans="3:10" ht="12.75">
      <c r="C17" t="s">
        <v>416</v>
      </c>
      <c r="D17">
        <v>264</v>
      </c>
      <c r="E17" s="57">
        <f>SUM($D$12:D17)/$D$19</f>
        <v>0.9422680412371134</v>
      </c>
      <c r="F17" s="57">
        <f t="shared" si="0"/>
        <v>0.2721649484536082</v>
      </c>
      <c r="H17" s="344">
        <f>1-0.751</f>
        <v>0.249</v>
      </c>
      <c r="J17" s="57">
        <f t="shared" si="1"/>
        <v>0.06776907216494844</v>
      </c>
    </row>
    <row r="18" spans="3:10" ht="12.75">
      <c r="C18" t="s">
        <v>417</v>
      </c>
      <c r="D18" s="235">
        <v>56</v>
      </c>
      <c r="E18" s="57">
        <f>SUM($D$12:D18)/$D$19</f>
        <v>1</v>
      </c>
      <c r="F18" s="57">
        <f t="shared" si="0"/>
        <v>0.0577319587628866</v>
      </c>
      <c r="H18" s="344">
        <f>1-0.917</f>
        <v>0.08299999999999996</v>
      </c>
      <c r="J18" s="58">
        <f t="shared" si="1"/>
        <v>0.004791752577319586</v>
      </c>
    </row>
    <row r="19" spans="4:10" ht="12.75">
      <c r="D19">
        <f>SUM(D12:D18)</f>
        <v>970</v>
      </c>
      <c r="J19" s="57"/>
    </row>
    <row r="20" spans="6:10" ht="13.5" thickBot="1">
      <c r="F20" t="s">
        <v>419</v>
      </c>
      <c r="J20" s="194">
        <f>SUM(J12:J19)</f>
        <v>0.4073144329896907</v>
      </c>
    </row>
    <row r="21" ht="13.5" thickTop="1">
      <c r="J21" s="57"/>
    </row>
    <row r="22" ht="12.75">
      <c r="J22" s="57"/>
    </row>
    <row r="23" ht="12.75">
      <c r="J23" s="57"/>
    </row>
    <row r="24" ht="12.75">
      <c r="C24" s="60" t="s">
        <v>560</v>
      </c>
    </row>
    <row r="26" ht="12.75">
      <c r="B26" t="s">
        <v>611</v>
      </c>
    </row>
    <row r="27" spans="3:8" ht="12.75">
      <c r="C27" t="s">
        <v>401</v>
      </c>
      <c r="D27" t="s">
        <v>402</v>
      </c>
      <c r="E27" t="s">
        <v>403</v>
      </c>
      <c r="F27" t="s">
        <v>404</v>
      </c>
      <c r="H27" t="s">
        <v>405</v>
      </c>
    </row>
    <row r="28" spans="4:10" ht="12.75">
      <c r="D28" t="s">
        <v>406</v>
      </c>
      <c r="E28" t="s">
        <v>407</v>
      </c>
      <c r="F28" t="s">
        <v>408</v>
      </c>
      <c r="H28" t="s">
        <v>79</v>
      </c>
      <c r="J28" t="s">
        <v>409</v>
      </c>
    </row>
    <row r="29" ht="12.75">
      <c r="E29" t="s">
        <v>410</v>
      </c>
    </row>
    <row r="30" ht="12.75">
      <c r="J30" s="57"/>
    </row>
    <row r="31" spans="3:10" ht="12.75">
      <c r="C31" t="s">
        <v>411</v>
      </c>
      <c r="D31">
        <v>0</v>
      </c>
      <c r="E31" s="57">
        <f>D31/D38</f>
        <v>0</v>
      </c>
      <c r="F31" s="57">
        <f>D31/$D$38</f>
        <v>0</v>
      </c>
      <c r="H31" s="344"/>
      <c r="J31" s="57">
        <f>H31*F31</f>
        <v>0</v>
      </c>
    </row>
    <row r="32" spans="3:10" ht="12.75">
      <c r="C32" t="s">
        <v>412</v>
      </c>
      <c r="D32">
        <v>3</v>
      </c>
      <c r="E32" s="57">
        <f>SUM($D$31:D32)/$D$38</f>
        <v>0.031578947368421054</v>
      </c>
      <c r="F32" s="57">
        <f aca="true" t="shared" si="2" ref="F32:F37">D32/$D$38</f>
        <v>0.031578947368421054</v>
      </c>
      <c r="H32" s="344">
        <f>1-0.497</f>
        <v>0.503</v>
      </c>
      <c r="I32" s="344"/>
      <c r="J32" s="57">
        <f aca="true" t="shared" si="3" ref="J32:J37">H32*F32</f>
        <v>0.01588421052631579</v>
      </c>
    </row>
    <row r="33" spans="3:10" ht="12.75">
      <c r="C33" t="s">
        <v>413</v>
      </c>
      <c r="D33">
        <v>33</v>
      </c>
      <c r="E33" s="57">
        <f>SUM($D$31:D33)/$D$38</f>
        <v>0.37894736842105264</v>
      </c>
      <c r="F33" s="57">
        <f t="shared" si="2"/>
        <v>0.3473684210526316</v>
      </c>
      <c r="H33" s="344">
        <f>1-0.565</f>
        <v>0.43500000000000005</v>
      </c>
      <c r="I33" s="344"/>
      <c r="J33" s="57">
        <f t="shared" si="3"/>
        <v>0.15110526315789477</v>
      </c>
    </row>
    <row r="34" spans="3:10" ht="12.75">
      <c r="C34" t="s">
        <v>414</v>
      </c>
      <c r="D34">
        <v>41</v>
      </c>
      <c r="E34" s="57">
        <f>SUM($D$31:D34)/$D$38</f>
        <v>0.8105263157894737</v>
      </c>
      <c r="F34" s="57">
        <f t="shared" si="2"/>
        <v>0.43157894736842106</v>
      </c>
      <c r="H34" s="344">
        <f>1-0.626</f>
        <v>0.374</v>
      </c>
      <c r="I34" s="344"/>
      <c r="J34" s="57">
        <f t="shared" si="3"/>
        <v>0.16141052631578948</v>
      </c>
    </row>
    <row r="35" spans="3:10" ht="12.75">
      <c r="C35" t="s">
        <v>415</v>
      </c>
      <c r="D35">
        <v>11</v>
      </c>
      <c r="E35" s="57">
        <f>SUM($D$31:D35)/$D$38</f>
        <v>0.9263157894736842</v>
      </c>
      <c r="F35" s="57">
        <f t="shared" si="2"/>
        <v>0.11578947368421053</v>
      </c>
      <c r="H35" s="344">
        <f>1-0.654</f>
        <v>0.346</v>
      </c>
      <c r="I35" s="344"/>
      <c r="J35" s="57">
        <f t="shared" si="3"/>
        <v>0.04006315789473684</v>
      </c>
    </row>
    <row r="36" spans="3:10" ht="12.75">
      <c r="C36" t="s">
        <v>416</v>
      </c>
      <c r="D36">
        <v>7</v>
      </c>
      <c r="E36" s="57">
        <f>SUM($D$31:D36)/$D$38</f>
        <v>1</v>
      </c>
      <c r="F36" s="57">
        <f t="shared" si="2"/>
        <v>0.07368421052631578</v>
      </c>
      <c r="H36" s="344">
        <f>1-0.571</f>
        <v>0.42900000000000005</v>
      </c>
      <c r="I36" s="344"/>
      <c r="J36" s="57">
        <f t="shared" si="3"/>
        <v>0.03161052631578947</v>
      </c>
    </row>
    <row r="37" spans="3:10" ht="12.75">
      <c r="C37" t="s">
        <v>417</v>
      </c>
      <c r="D37" s="235">
        <v>0</v>
      </c>
      <c r="E37" s="57">
        <f>SUM($D$31:D37)/$D$38</f>
        <v>1</v>
      </c>
      <c r="F37" s="57">
        <f t="shared" si="2"/>
        <v>0</v>
      </c>
      <c r="H37" s="344"/>
      <c r="J37" s="58">
        <f t="shared" si="3"/>
        <v>0</v>
      </c>
    </row>
    <row r="38" spans="4:10" ht="12.75">
      <c r="D38">
        <f>SUM(D31:D37)</f>
        <v>95</v>
      </c>
      <c r="J38" s="57"/>
    </row>
    <row r="39" spans="6:10" ht="13.5" thickBot="1">
      <c r="F39" t="s">
        <v>419</v>
      </c>
      <c r="J39" s="194">
        <f>SUM(J31:J38)</f>
        <v>0.40007368421052636</v>
      </c>
    </row>
    <row r="40" ht="13.5" thickTop="1"/>
    <row r="44" ht="12.75">
      <c r="A44" t="s">
        <v>557</v>
      </c>
    </row>
    <row r="45" ht="12.75">
      <c r="B45" t="s">
        <v>558</v>
      </c>
    </row>
    <row r="46" ht="12.75">
      <c r="B46" t="s">
        <v>559</v>
      </c>
    </row>
    <row r="47" ht="12.75">
      <c r="B47" t="s">
        <v>561</v>
      </c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43"/>
  <sheetViews>
    <sheetView tabSelected="1" workbookViewId="0" topLeftCell="A1">
      <selection activeCell="A33" sqref="A33"/>
    </sheetView>
  </sheetViews>
  <sheetFormatPr defaultColWidth="9.140625" defaultRowHeight="12.75"/>
  <cols>
    <col min="14" max="14" width="14.8515625" style="0" customWidth="1"/>
    <col min="23" max="23" width="13.28125" style="0" customWidth="1"/>
  </cols>
  <sheetData>
    <row r="1" spans="12:22" ht="12.75">
      <c r="L1" s="60"/>
      <c r="V1" s="60"/>
    </row>
    <row r="2" spans="12:22" ht="12.75">
      <c r="L2" s="60" t="s">
        <v>603</v>
      </c>
      <c r="V2" s="60" t="s">
        <v>604</v>
      </c>
    </row>
    <row r="3" spans="12:22" ht="12.75">
      <c r="L3" s="60" t="str">
        <f>OCC!I3</f>
        <v>Docket No. UT-040788</v>
      </c>
      <c r="V3" s="60" t="str">
        <f>L3</f>
        <v>Docket No. UT-040788</v>
      </c>
    </row>
    <row r="4" spans="12:22" ht="12.75">
      <c r="L4" s="60" t="s">
        <v>634</v>
      </c>
      <c r="V4" s="60" t="s">
        <v>635</v>
      </c>
    </row>
    <row r="5" spans="4:16" ht="12.75">
      <c r="D5" s="167" t="s">
        <v>534</v>
      </c>
      <c r="P5" s="60" t="str">
        <f>D5</f>
        <v>Industrial Companies Selected by Company Witness</v>
      </c>
    </row>
    <row r="7" spans="2:39" s="110" customFormat="1" ht="12.75" customHeight="1">
      <c r="B7" s="112"/>
      <c r="D7" s="112"/>
      <c r="E7" s="112" t="s">
        <v>64</v>
      </c>
      <c r="F7" s="112" t="s">
        <v>65</v>
      </c>
      <c r="G7" s="112" t="s">
        <v>66</v>
      </c>
      <c r="H7" s="112" t="s">
        <v>67</v>
      </c>
      <c r="I7" s="112"/>
      <c r="J7" s="112" t="s">
        <v>68</v>
      </c>
      <c r="L7" s="112" t="s">
        <v>69</v>
      </c>
      <c r="M7" s="112" t="s">
        <v>70</v>
      </c>
      <c r="N7" s="112" t="s">
        <v>71</v>
      </c>
      <c r="O7" s="112"/>
      <c r="P7" s="112"/>
      <c r="Q7" s="112"/>
      <c r="R7" s="112"/>
      <c r="S7" s="112" t="s">
        <v>64</v>
      </c>
      <c r="T7" s="112" t="s">
        <v>65</v>
      </c>
      <c r="U7" s="112"/>
      <c r="V7" s="112" t="s">
        <v>66</v>
      </c>
      <c r="W7" s="112" t="s">
        <v>67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4:39" s="110" customFormat="1" ht="12.75" customHeight="1">
      <c r="D8" s="112"/>
      <c r="E8" s="112" t="s">
        <v>78</v>
      </c>
      <c r="F8" s="112" t="s">
        <v>78</v>
      </c>
      <c r="G8" s="112" t="s">
        <v>78</v>
      </c>
      <c r="H8" s="112" t="s">
        <v>78</v>
      </c>
      <c r="I8" s="112"/>
      <c r="J8" s="113"/>
      <c r="L8" s="114" t="s">
        <v>89</v>
      </c>
      <c r="M8" s="112"/>
      <c r="N8" s="114" t="s">
        <v>18</v>
      </c>
      <c r="O8" s="112"/>
      <c r="P8" s="112"/>
      <c r="Q8" s="112"/>
      <c r="R8" s="112"/>
      <c r="S8" s="112" t="s">
        <v>90</v>
      </c>
      <c r="T8" s="112" t="s">
        <v>90</v>
      </c>
      <c r="U8" s="112"/>
      <c r="V8" s="112" t="s">
        <v>91</v>
      </c>
      <c r="W8" s="112" t="s">
        <v>82</v>
      </c>
      <c r="X8" s="112" t="s">
        <v>92</v>
      </c>
      <c r="Y8" s="112"/>
      <c r="Z8" s="112" t="s">
        <v>82</v>
      </c>
      <c r="AA8" s="112" t="s">
        <v>82</v>
      </c>
      <c r="AB8" s="112"/>
      <c r="AC8" s="112" t="s">
        <v>114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4:39" s="110" customFormat="1" ht="12" customHeight="1">
      <c r="D9" s="112" t="s">
        <v>96</v>
      </c>
      <c r="E9" s="112" t="s">
        <v>97</v>
      </c>
      <c r="F9" s="112" t="s">
        <v>97</v>
      </c>
      <c r="G9" s="112" t="s">
        <v>97</v>
      </c>
      <c r="H9" s="112" t="s">
        <v>97</v>
      </c>
      <c r="I9" s="112"/>
      <c r="J9" s="112" t="s">
        <v>98</v>
      </c>
      <c r="L9" s="112" t="str">
        <f>J9</f>
        <v>At</v>
      </c>
      <c r="M9" s="112"/>
      <c r="N9" s="112" t="str">
        <f>J9</f>
        <v>At</v>
      </c>
      <c r="O9" s="112"/>
      <c r="P9" s="112"/>
      <c r="Q9" s="112"/>
      <c r="R9" s="112"/>
      <c r="S9" s="112">
        <v>2002</v>
      </c>
      <c r="T9" s="112">
        <v>2003</v>
      </c>
      <c r="U9" s="112"/>
      <c r="V9" s="112" t="s">
        <v>102</v>
      </c>
      <c r="W9" s="112" t="s">
        <v>103</v>
      </c>
      <c r="X9" s="112" t="s">
        <v>79</v>
      </c>
      <c r="Y9" s="112"/>
      <c r="Z9" s="112" t="s">
        <v>90</v>
      </c>
      <c r="AA9" s="112" t="s">
        <v>565</v>
      </c>
      <c r="AB9" s="112"/>
      <c r="AC9" s="112" t="s">
        <v>566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4:39" s="110" customFormat="1" ht="12.75" customHeight="1">
      <c r="D10" s="112" t="s">
        <v>106</v>
      </c>
      <c r="E10" s="115" t="s">
        <v>213</v>
      </c>
      <c r="F10" s="115" t="s">
        <v>346</v>
      </c>
      <c r="G10" s="115" t="s">
        <v>345</v>
      </c>
      <c r="H10" s="115" t="s">
        <v>352</v>
      </c>
      <c r="I10" s="115"/>
      <c r="J10" s="201" t="s">
        <v>562</v>
      </c>
      <c r="K10" s="112"/>
      <c r="L10" s="201" t="str">
        <f>J10</f>
        <v>Date of</v>
      </c>
      <c r="M10" s="112" t="s">
        <v>80</v>
      </c>
      <c r="N10" s="116" t="str">
        <f>L10</f>
        <v>Date of</v>
      </c>
      <c r="O10" s="112"/>
      <c r="P10" s="112"/>
      <c r="Q10" s="112"/>
      <c r="R10" s="112"/>
      <c r="S10" s="112"/>
      <c r="T10" s="112"/>
      <c r="U10" s="112"/>
      <c r="V10" s="112">
        <f>T9</f>
        <v>2003</v>
      </c>
      <c r="W10" s="112" t="s">
        <v>108</v>
      </c>
      <c r="X10" s="112">
        <f>S9</f>
        <v>2002</v>
      </c>
      <c r="Y10" s="112"/>
      <c r="Z10" s="112" t="s">
        <v>114</v>
      </c>
      <c r="AA10" s="112" t="s">
        <v>114</v>
      </c>
      <c r="AB10" s="112"/>
      <c r="AC10" s="112" t="s">
        <v>567</v>
      </c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4:39" s="110" customFormat="1" ht="11.25" customHeight="1">
      <c r="D11" s="112"/>
      <c r="E11" s="116"/>
      <c r="F11" s="116"/>
      <c r="G11" s="116"/>
      <c r="H11" s="116"/>
      <c r="I11" s="117"/>
      <c r="J11" s="116" t="s">
        <v>563</v>
      </c>
      <c r="K11" s="112"/>
      <c r="L11" s="112"/>
      <c r="M11" s="112" t="s">
        <v>23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6"/>
      <c r="X11" s="112"/>
      <c r="Y11" s="112"/>
      <c r="Z11" s="112" t="s">
        <v>564</v>
      </c>
      <c r="AA11" s="112" t="s">
        <v>564</v>
      </c>
      <c r="AB11" s="112"/>
      <c r="AC11" s="112" t="s">
        <v>568</v>
      </c>
      <c r="AE11" s="112"/>
      <c r="AF11" s="112"/>
      <c r="AG11" s="116"/>
      <c r="AH11" s="112"/>
      <c r="AI11" s="112"/>
      <c r="AJ11" s="112"/>
      <c r="AK11" s="112"/>
      <c r="AL11" s="112"/>
      <c r="AM11" s="112"/>
    </row>
    <row r="12" spans="4:39" s="110" customFormat="1" ht="12" customHeight="1">
      <c r="D12" s="112"/>
      <c r="E12" s="112" t="s">
        <v>8</v>
      </c>
      <c r="F12" s="112" t="str">
        <f>E12</f>
        <v>[A]</v>
      </c>
      <c r="G12" s="112" t="str">
        <f>F12</f>
        <v>[A]</v>
      </c>
      <c r="H12" s="112" t="str">
        <f>G12</f>
        <v>[A]</v>
      </c>
      <c r="I12" s="117"/>
      <c r="J12" s="112" t="s">
        <v>8</v>
      </c>
      <c r="K12" s="112"/>
      <c r="L12" s="112" t="s">
        <v>10</v>
      </c>
      <c r="M12" s="112" t="s">
        <v>8</v>
      </c>
      <c r="N12" s="112" t="s">
        <v>11</v>
      </c>
      <c r="O12" s="112"/>
      <c r="P12" s="112"/>
      <c r="Q12" s="112"/>
      <c r="R12" s="112"/>
      <c r="S12" s="112" t="s">
        <v>8</v>
      </c>
      <c r="T12" s="112" t="s">
        <v>8</v>
      </c>
      <c r="U12" s="112"/>
      <c r="V12" s="112" t="s">
        <v>10</v>
      </c>
      <c r="W12" s="112" t="s">
        <v>8</v>
      </c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</row>
    <row r="13" spans="12:39" s="117" customFormat="1" ht="11.25" customHeight="1">
      <c r="L13" s="143"/>
      <c r="M13" s="143"/>
      <c r="N13" s="143"/>
      <c r="O13" s="119"/>
      <c r="P13" s="119"/>
      <c r="Q13" s="143"/>
      <c r="R13" s="119"/>
      <c r="S13" s="118"/>
      <c r="T13" s="118"/>
      <c r="U13" s="139"/>
      <c r="V13" s="123"/>
      <c r="W13" s="123"/>
      <c r="AM13" s="186"/>
    </row>
    <row r="14" spans="1:39" s="117" customFormat="1" ht="15" customHeight="1">
      <c r="A14" s="117" t="s">
        <v>535</v>
      </c>
      <c r="D14" s="117" t="s">
        <v>547</v>
      </c>
      <c r="E14" s="383">
        <v>7.29</v>
      </c>
      <c r="F14" s="383">
        <v>7.53</v>
      </c>
      <c r="G14" s="383">
        <v>8.3</v>
      </c>
      <c r="H14" s="383">
        <v>9.03</v>
      </c>
      <c r="J14" s="383">
        <v>40.12</v>
      </c>
      <c r="L14" s="177">
        <f>J14/H14</f>
        <v>4.44296788482835</v>
      </c>
      <c r="M14" s="383">
        <f>0.14*4</f>
        <v>0.56</v>
      </c>
      <c r="N14" s="178">
        <f aca="true" t="shared" si="0" ref="N14:N28">M14/J14</f>
        <v>0.01395812562313061</v>
      </c>
      <c r="P14" s="117" t="str">
        <f>A14</f>
        <v>Auto Data Products</v>
      </c>
      <c r="Q14" s="164"/>
      <c r="S14" s="118">
        <v>1.75</v>
      </c>
      <c r="T14" s="118">
        <v>1.67</v>
      </c>
      <c r="V14" s="178">
        <f aca="true" t="shared" si="1" ref="V14:V28">T14/((H14+G14)/2)</f>
        <v>0.19272937103289095</v>
      </c>
      <c r="W14" s="123">
        <v>0.315</v>
      </c>
      <c r="X14" s="178">
        <f aca="true" t="shared" si="2" ref="X14:X28">S14/((G14+F14)/2)</f>
        <v>0.22109917877447882</v>
      </c>
      <c r="Z14" s="178">
        <v>0.095</v>
      </c>
      <c r="AA14" s="178">
        <v>0.08</v>
      </c>
      <c r="AB14" s="178"/>
      <c r="AC14" s="178">
        <v>0.1146</v>
      </c>
      <c r="AD14" s="178"/>
      <c r="AL14" s="112"/>
      <c r="AM14" s="112"/>
    </row>
    <row r="15" spans="1:39" s="117" customFormat="1" ht="15" customHeight="1">
      <c r="A15" s="117" t="s">
        <v>536</v>
      </c>
      <c r="D15" s="117" t="s">
        <v>548</v>
      </c>
      <c r="E15" s="383">
        <v>8.49</v>
      </c>
      <c r="F15" s="383">
        <v>9.5</v>
      </c>
      <c r="G15" s="383">
        <v>10.61</v>
      </c>
      <c r="H15" s="383">
        <v>13.24</v>
      </c>
      <c r="J15" s="383">
        <v>60.23</v>
      </c>
      <c r="L15" s="177">
        <f aca="true" t="shared" si="3" ref="L15:L28">J15/H15</f>
        <v>4.5490936555891235</v>
      </c>
      <c r="M15" s="383">
        <f>0.37*4</f>
        <v>1.48</v>
      </c>
      <c r="N15" s="178">
        <f t="shared" si="0"/>
        <v>0.02457247218993857</v>
      </c>
      <c r="P15" s="117" t="str">
        <f aca="true" t="shared" si="4" ref="P15:P28">A15</f>
        <v>Avery Dennison</v>
      </c>
      <c r="S15" s="118">
        <v>2.81</v>
      </c>
      <c r="T15" s="118">
        <v>2.65</v>
      </c>
      <c r="V15" s="178">
        <f t="shared" si="1"/>
        <v>0.2222222222222222</v>
      </c>
      <c r="W15" s="123">
        <v>0.21</v>
      </c>
      <c r="X15" s="178">
        <f t="shared" si="2"/>
        <v>0.2794629537543511</v>
      </c>
      <c r="Z15" s="178">
        <v>0.095</v>
      </c>
      <c r="AA15" s="178">
        <v>0.07</v>
      </c>
      <c r="AB15" s="178"/>
      <c r="AC15" s="178">
        <v>0.115</v>
      </c>
      <c r="AD15" s="178"/>
      <c r="AL15" s="112"/>
      <c r="AM15" s="112"/>
    </row>
    <row r="16" spans="1:39" s="117" customFormat="1" ht="15" customHeight="1">
      <c r="A16" s="117" t="s">
        <v>569</v>
      </c>
      <c r="D16" s="117" t="s">
        <v>573</v>
      </c>
      <c r="E16" s="383">
        <v>13.08</v>
      </c>
      <c r="F16" s="383">
        <v>12.66</v>
      </c>
      <c r="G16" s="383">
        <v>13.05</v>
      </c>
      <c r="H16" s="383">
        <v>15.81</v>
      </c>
      <c r="J16" s="383">
        <v>49.9</v>
      </c>
      <c r="L16" s="177">
        <f t="shared" si="3"/>
        <v>3.1562302340290955</v>
      </c>
      <c r="M16" s="383">
        <f>0.185*4</f>
        <v>0.74</v>
      </c>
      <c r="N16" s="178">
        <f t="shared" si="0"/>
        <v>0.014829659318637275</v>
      </c>
      <c r="P16" s="117" t="str">
        <f t="shared" si="4"/>
        <v>Diebold</v>
      </c>
      <c r="S16" s="118">
        <v>2.19</v>
      </c>
      <c r="T16" s="118">
        <v>2.4</v>
      </c>
      <c r="V16" s="178">
        <f t="shared" si="1"/>
        <v>0.16632016632016633</v>
      </c>
      <c r="W16" s="123">
        <v>0.165</v>
      </c>
      <c r="X16" s="178">
        <f t="shared" si="2"/>
        <v>0.1703617269544924</v>
      </c>
      <c r="Z16" s="178">
        <v>0.115</v>
      </c>
      <c r="AA16" s="178">
        <v>0.065</v>
      </c>
      <c r="AB16" s="178"/>
      <c r="AC16" s="178">
        <v>0.1217</v>
      </c>
      <c r="AD16" s="178"/>
      <c r="AL16" s="112"/>
      <c r="AM16" s="112"/>
    </row>
    <row r="17" spans="1:39" s="117" customFormat="1" ht="15" customHeight="1">
      <c r="A17" s="117" t="s">
        <v>570</v>
      </c>
      <c r="D17" s="117" t="s">
        <v>574</v>
      </c>
      <c r="E17" s="383">
        <v>4.74</v>
      </c>
      <c r="F17" s="383">
        <v>4.63</v>
      </c>
      <c r="G17" s="383">
        <v>5.52</v>
      </c>
      <c r="H17" s="383">
        <v>5.65</v>
      </c>
      <c r="J17" s="383">
        <v>41.19</v>
      </c>
      <c r="L17" s="177">
        <f t="shared" si="3"/>
        <v>7.290265486725663</v>
      </c>
      <c r="M17" s="383">
        <f>0.02*4</f>
        <v>0.08</v>
      </c>
      <c r="N17" s="178">
        <f t="shared" si="0"/>
        <v>0.0019422189851905805</v>
      </c>
      <c r="P17" s="117" t="str">
        <f t="shared" si="4"/>
        <v>First Data Corp.</v>
      </c>
      <c r="S17" s="118">
        <v>1.67</v>
      </c>
      <c r="T17" s="118">
        <v>1.9</v>
      </c>
      <c r="V17" s="178">
        <f t="shared" si="1"/>
        <v>0.34019695613249773</v>
      </c>
      <c r="W17" s="123">
        <v>0.265</v>
      </c>
      <c r="X17" s="178">
        <f t="shared" si="2"/>
        <v>0.329064039408867</v>
      </c>
      <c r="Z17" s="178">
        <v>0.105</v>
      </c>
      <c r="AA17" s="178">
        <v>0.08</v>
      </c>
      <c r="AB17" s="178"/>
      <c r="AC17" s="178">
        <v>0.1393</v>
      </c>
      <c r="AD17" s="178"/>
      <c r="AL17" s="112"/>
      <c r="AM17" s="112"/>
    </row>
    <row r="18" spans="1:39" s="117" customFormat="1" ht="15" customHeight="1">
      <c r="A18" s="117" t="s">
        <v>571</v>
      </c>
      <c r="D18" s="117" t="s">
        <v>575</v>
      </c>
      <c r="E18" s="383">
        <v>13.85</v>
      </c>
      <c r="F18" s="383">
        <v>14.15</v>
      </c>
      <c r="G18" s="383">
        <v>15.68</v>
      </c>
      <c r="H18" s="383">
        <v>18.54</v>
      </c>
      <c r="J18" s="383">
        <v>70.1</v>
      </c>
      <c r="L18" s="177">
        <f t="shared" si="3"/>
        <v>3.78101402373247</v>
      </c>
      <c r="M18" s="383">
        <f>0.3*4</f>
        <v>1.2</v>
      </c>
      <c r="N18" s="178">
        <f t="shared" si="0"/>
        <v>0.017118402282453638</v>
      </c>
      <c r="P18" s="117" t="str">
        <f t="shared" si="4"/>
        <v>Fortune Brands</v>
      </c>
      <c r="S18" s="118">
        <v>3.19</v>
      </c>
      <c r="T18" s="118">
        <v>3.86</v>
      </c>
      <c r="V18" s="178">
        <f t="shared" si="1"/>
        <v>0.2255990648743425</v>
      </c>
      <c r="W18" s="123">
        <v>0.18</v>
      </c>
      <c r="X18" s="178">
        <f t="shared" si="2"/>
        <v>0.21387864565873282</v>
      </c>
      <c r="Z18" s="178">
        <v>0.15</v>
      </c>
      <c r="AA18" s="178">
        <v>0.065</v>
      </c>
      <c r="AB18" s="178"/>
      <c r="AC18" s="178">
        <v>0.124</v>
      </c>
      <c r="AD18" s="178"/>
      <c r="AL18" s="112"/>
      <c r="AM18" s="112"/>
    </row>
    <row r="19" spans="1:39" s="117" customFormat="1" ht="15" customHeight="1">
      <c r="A19" s="117" t="s">
        <v>537</v>
      </c>
      <c r="D19" s="117" t="s">
        <v>546</v>
      </c>
      <c r="E19" s="383">
        <v>19.31</v>
      </c>
      <c r="F19" s="383">
        <v>21.58</v>
      </c>
      <c r="G19" s="383">
        <v>25.8</v>
      </c>
      <c r="H19" s="383">
        <v>30.92</v>
      </c>
      <c r="J19" s="383">
        <v>81.77</v>
      </c>
      <c r="L19" s="177">
        <f t="shared" si="3"/>
        <v>2.6445666235446312</v>
      </c>
      <c r="M19" s="383">
        <f>0.27*4</f>
        <v>1.08</v>
      </c>
      <c r="N19" s="178">
        <f t="shared" si="0"/>
        <v>0.013207777913660268</v>
      </c>
      <c r="P19" s="117" t="str">
        <f t="shared" si="4"/>
        <v>Gannett Co.</v>
      </c>
      <c r="S19" s="118">
        <v>4.31</v>
      </c>
      <c r="T19" s="118">
        <v>4.46</v>
      </c>
      <c r="V19" s="178">
        <f t="shared" si="1"/>
        <v>0.15726375176304655</v>
      </c>
      <c r="W19" s="123">
        <v>0.14</v>
      </c>
      <c r="X19" s="178">
        <f t="shared" si="2"/>
        <v>0.18193330519206416</v>
      </c>
      <c r="Z19" s="178">
        <v>0.105</v>
      </c>
      <c r="AA19" s="178">
        <v>0.065</v>
      </c>
      <c r="AB19" s="178"/>
      <c r="AC19" s="178">
        <v>0.0976</v>
      </c>
      <c r="AD19" s="178"/>
      <c r="AL19" s="112"/>
      <c r="AM19" s="112"/>
    </row>
    <row r="20" spans="1:39" s="117" customFormat="1" ht="15" customHeight="1">
      <c r="A20" s="117" t="s">
        <v>538</v>
      </c>
      <c r="D20" s="117" t="s">
        <v>549</v>
      </c>
      <c r="E20" s="383">
        <v>17.86</v>
      </c>
      <c r="F20" s="383">
        <v>19.79</v>
      </c>
      <c r="G20" s="383">
        <v>21.69</v>
      </c>
      <c r="H20" s="383">
        <v>25.51</v>
      </c>
      <c r="J20" s="383">
        <v>88.48</v>
      </c>
      <c r="L20" s="177">
        <f t="shared" si="3"/>
        <v>3.4684437475499803</v>
      </c>
      <c r="M20" s="383">
        <f>0.28*4</f>
        <v>1.12</v>
      </c>
      <c r="N20" s="178">
        <f t="shared" si="0"/>
        <v>0.012658227848101266</v>
      </c>
      <c r="P20" s="117" t="str">
        <f t="shared" si="4"/>
        <v>Illinois Tool Works</v>
      </c>
      <c r="S20" s="118">
        <v>3.02</v>
      </c>
      <c r="T20" s="118">
        <v>3.37</v>
      </c>
      <c r="V20" s="178">
        <f t="shared" si="1"/>
        <v>0.14279661016949152</v>
      </c>
      <c r="W20" s="123">
        <v>0.175</v>
      </c>
      <c r="X20" s="178">
        <f t="shared" si="2"/>
        <v>0.14561234329797493</v>
      </c>
      <c r="Z20" s="178">
        <v>0.165</v>
      </c>
      <c r="AA20" s="178">
        <v>0.06</v>
      </c>
      <c r="AB20" s="178"/>
      <c r="AC20" s="178">
        <v>0.14</v>
      </c>
      <c r="AD20" s="178"/>
      <c r="AL20" s="112"/>
      <c r="AM20" s="112"/>
    </row>
    <row r="21" spans="1:39" s="117" customFormat="1" ht="15" customHeight="1">
      <c r="A21" s="117" t="s">
        <v>539</v>
      </c>
      <c r="D21" s="117" t="s">
        <v>550</v>
      </c>
      <c r="E21" s="383">
        <v>0.36</v>
      </c>
      <c r="F21" s="383">
        <v>0.74</v>
      </c>
      <c r="G21" s="383">
        <v>0.79</v>
      </c>
      <c r="H21" s="383">
        <v>0.8</v>
      </c>
      <c r="J21" s="383">
        <v>23.91</v>
      </c>
      <c r="L21" s="177">
        <f t="shared" si="3"/>
        <v>29.8875</v>
      </c>
      <c r="M21" s="383">
        <f>0.02*4</f>
        <v>0.08</v>
      </c>
      <c r="N21" s="178">
        <f t="shared" si="0"/>
        <v>0.003345880384776244</v>
      </c>
      <c r="P21" s="117" t="str">
        <f t="shared" si="4"/>
        <v>IMS Health </v>
      </c>
      <c r="S21" s="118">
        <v>0.96</v>
      </c>
      <c r="T21" s="118">
        <v>1.01</v>
      </c>
      <c r="V21" s="178">
        <f t="shared" si="1"/>
        <v>1.270440251572327</v>
      </c>
      <c r="W21" s="123">
        <v>0.44</v>
      </c>
      <c r="X21" s="178">
        <f t="shared" si="2"/>
        <v>1.2549019607843137</v>
      </c>
      <c r="Z21" s="178">
        <v>0.135</v>
      </c>
      <c r="AA21" s="178">
        <v>0.1</v>
      </c>
      <c r="AB21" s="178"/>
      <c r="AC21" s="178">
        <v>0.1271</v>
      </c>
      <c r="AD21" s="178"/>
      <c r="AL21" s="112"/>
      <c r="AM21" s="112"/>
    </row>
    <row r="22" spans="1:39" s="117" customFormat="1" ht="15" customHeight="1">
      <c r="A22" s="117" t="s">
        <v>572</v>
      </c>
      <c r="D22" s="117" t="s">
        <v>576</v>
      </c>
      <c r="E22" s="383">
        <v>14.23</v>
      </c>
      <c r="F22" s="383">
        <v>16.36</v>
      </c>
      <c r="G22" s="383">
        <v>19.1</v>
      </c>
      <c r="H22" s="383">
        <v>23.09</v>
      </c>
      <c r="J22" s="383">
        <v>55.06</v>
      </c>
      <c r="L22" s="177">
        <f t="shared" si="3"/>
        <v>2.3845820701602425</v>
      </c>
      <c r="M22" s="383">
        <f>0.225*4</f>
        <v>0.9</v>
      </c>
      <c r="N22" s="178">
        <f t="shared" si="0"/>
        <v>0.01634580457682528</v>
      </c>
      <c r="P22" s="117" t="str">
        <f t="shared" si="4"/>
        <v>Johnson Controls</v>
      </c>
      <c r="S22" s="118">
        <v>3.18</v>
      </c>
      <c r="T22" s="118">
        <v>3.6</v>
      </c>
      <c r="V22" s="178">
        <f t="shared" si="1"/>
        <v>0.17065655368570753</v>
      </c>
      <c r="W22" s="123">
        <v>0.165</v>
      </c>
      <c r="X22" s="178">
        <f t="shared" si="2"/>
        <v>0.1793570219966159</v>
      </c>
      <c r="Z22" s="178">
        <v>0.135</v>
      </c>
      <c r="AA22" s="178">
        <v>0.13</v>
      </c>
      <c r="AB22" s="178"/>
      <c r="AC22" s="178">
        <v>0.1333</v>
      </c>
      <c r="AD22" s="178"/>
      <c r="AL22" s="112"/>
      <c r="AM22" s="112"/>
    </row>
    <row r="23" spans="1:39" s="117" customFormat="1" ht="15" customHeight="1">
      <c r="A23" s="117" t="s">
        <v>540</v>
      </c>
      <c r="D23" s="117" t="s">
        <v>551</v>
      </c>
      <c r="E23" s="383">
        <v>9.02</v>
      </c>
      <c r="F23" s="383">
        <v>15.49</v>
      </c>
      <c r="G23" s="383">
        <v>16.73</v>
      </c>
      <c r="H23" s="383">
        <v>17.98</v>
      </c>
      <c r="J23" s="383">
        <v>46.43</v>
      </c>
      <c r="L23" s="177">
        <f t="shared" si="3"/>
        <v>2.582313681868743</v>
      </c>
      <c r="M23" s="383">
        <f>0.18*4</f>
        <v>0.72</v>
      </c>
      <c r="N23" s="178">
        <f t="shared" si="0"/>
        <v>0.015507215162610381</v>
      </c>
      <c r="P23" s="117" t="str">
        <f t="shared" si="4"/>
        <v>Lee Enterprises</v>
      </c>
      <c r="S23" s="118">
        <v>1.6</v>
      </c>
      <c r="T23" s="118">
        <v>1.75</v>
      </c>
      <c r="V23" s="178">
        <f t="shared" si="1"/>
        <v>0.10083549409392106</v>
      </c>
      <c r="W23" s="123">
        <v>0.11</v>
      </c>
      <c r="X23" s="178">
        <f t="shared" si="2"/>
        <v>0.09931719428926133</v>
      </c>
      <c r="Z23" s="178">
        <v>0.1</v>
      </c>
      <c r="AA23" s="178">
        <v>0.04</v>
      </c>
      <c r="AB23" s="178"/>
      <c r="AC23" s="178">
        <v>0.0933</v>
      </c>
      <c r="AD23" s="178"/>
      <c r="AL23" s="112"/>
      <c r="AM23" s="112"/>
    </row>
    <row r="24" spans="1:39" s="117" customFormat="1" ht="15" customHeight="1">
      <c r="A24" s="117" t="s">
        <v>541</v>
      </c>
      <c r="D24" s="117" t="s">
        <v>552</v>
      </c>
      <c r="E24" s="383">
        <v>8.15</v>
      </c>
      <c r="F24" s="383">
        <v>10.04</v>
      </c>
      <c r="G24" s="383">
        <v>12.02</v>
      </c>
      <c r="H24" s="383">
        <v>14.4</v>
      </c>
      <c r="J24" s="383">
        <v>36.65</v>
      </c>
      <c r="L24" s="177">
        <f t="shared" si="3"/>
        <v>2.545138888888889</v>
      </c>
      <c r="M24" s="383">
        <f>0.057*4</f>
        <v>0.228</v>
      </c>
      <c r="N24" s="178">
        <f t="shared" si="0"/>
        <v>0.006221009549795362</v>
      </c>
      <c r="P24" s="117" t="str">
        <f t="shared" si="4"/>
        <v>Liz Claiborne</v>
      </c>
      <c r="S24" s="118">
        <v>2.2</v>
      </c>
      <c r="T24" s="118">
        <v>2.55</v>
      </c>
      <c r="V24" s="178">
        <f t="shared" si="1"/>
        <v>0.1930355791067373</v>
      </c>
      <c r="W24" s="123">
        <v>0.13</v>
      </c>
      <c r="X24" s="178">
        <f t="shared" si="2"/>
        <v>0.19945602901178608</v>
      </c>
      <c r="Z24" s="178">
        <v>0.09</v>
      </c>
      <c r="AA24" s="178">
        <v>0</v>
      </c>
      <c r="AB24" s="178"/>
      <c r="AC24" s="178">
        <v>0.1117</v>
      </c>
      <c r="AD24" s="178"/>
      <c r="AM24" s="186"/>
    </row>
    <row r="25" spans="1:39" s="117" customFormat="1" ht="15" customHeight="1">
      <c r="A25" s="117" t="s">
        <v>542</v>
      </c>
      <c r="D25" s="117" t="s">
        <v>553</v>
      </c>
      <c r="E25" s="383">
        <v>5.16</v>
      </c>
      <c r="F25" s="383">
        <v>3.68</v>
      </c>
      <c r="G25" s="383">
        <v>3.62</v>
      </c>
      <c r="H25" s="383">
        <v>4.68</v>
      </c>
      <c r="J25" s="383">
        <v>43.46</v>
      </c>
      <c r="L25" s="177">
        <f t="shared" si="3"/>
        <v>9.286324786324787</v>
      </c>
      <c r="M25" s="383">
        <f>0.305*4</f>
        <v>1.22</v>
      </c>
      <c r="N25" s="178">
        <f t="shared" si="0"/>
        <v>0.02807179015186378</v>
      </c>
      <c r="P25" s="117" t="str">
        <f t="shared" si="4"/>
        <v>Pitney Bowes</v>
      </c>
      <c r="S25" s="118">
        <v>2.37</v>
      </c>
      <c r="T25" s="118">
        <v>2.41</v>
      </c>
      <c r="V25" s="178">
        <f t="shared" si="1"/>
        <v>0.580722891566265</v>
      </c>
      <c r="W25" s="123">
        <v>0.36</v>
      </c>
      <c r="X25" s="178">
        <f t="shared" si="2"/>
        <v>0.6493150684931507</v>
      </c>
      <c r="Z25" s="178">
        <v>0.06</v>
      </c>
      <c r="AA25" s="178">
        <v>0.015</v>
      </c>
      <c r="AB25" s="178"/>
      <c r="AC25" s="178">
        <v>0.0833</v>
      </c>
      <c r="AD25" s="178"/>
      <c r="AL25" s="112"/>
      <c r="AM25" s="112"/>
    </row>
    <row r="26" spans="1:39" s="110" customFormat="1" ht="15" customHeight="1">
      <c r="A26" s="110" t="s">
        <v>543</v>
      </c>
      <c r="D26" s="110" t="s">
        <v>554</v>
      </c>
      <c r="E26" s="383">
        <v>4.35</v>
      </c>
      <c r="F26" s="383">
        <v>5.21</v>
      </c>
      <c r="G26" s="383">
        <v>6.21</v>
      </c>
      <c r="H26" s="383">
        <v>7.37</v>
      </c>
      <c r="I26" s="117"/>
      <c r="J26" s="128">
        <v>46.4</v>
      </c>
      <c r="K26" s="118"/>
      <c r="L26" s="177">
        <f t="shared" si="3"/>
        <v>6.295793758480325</v>
      </c>
      <c r="M26" s="383">
        <f>0.23*4</f>
        <v>0.92</v>
      </c>
      <c r="N26" s="178">
        <f t="shared" si="0"/>
        <v>0.019827586206896553</v>
      </c>
      <c r="O26" s="119"/>
      <c r="P26" s="117" t="str">
        <f t="shared" si="4"/>
        <v>Polaris Indus.</v>
      </c>
      <c r="Q26" s="119"/>
      <c r="R26" s="119"/>
      <c r="S26" s="118">
        <v>2.2</v>
      </c>
      <c r="T26" s="118">
        <v>2.46</v>
      </c>
      <c r="U26" s="139"/>
      <c r="V26" s="178">
        <f t="shared" si="1"/>
        <v>0.36229749631811486</v>
      </c>
      <c r="W26" s="123">
        <v>0.245</v>
      </c>
      <c r="X26" s="178">
        <f t="shared" si="2"/>
        <v>0.3852889667250438</v>
      </c>
      <c r="Z26" s="178">
        <v>0.12</v>
      </c>
      <c r="AA26" s="178">
        <v>0.12</v>
      </c>
      <c r="AB26" s="178"/>
      <c r="AC26" s="178">
        <v>0.1111</v>
      </c>
      <c r="AD26" s="178"/>
      <c r="AL26" s="112"/>
      <c r="AM26" s="112"/>
    </row>
    <row r="27" spans="1:39" s="110" customFormat="1" ht="15" customHeight="1">
      <c r="A27" s="110" t="s">
        <v>544</v>
      </c>
      <c r="D27" s="110" t="s">
        <v>555</v>
      </c>
      <c r="E27" s="383">
        <v>9.22</v>
      </c>
      <c r="F27" s="383">
        <v>9.66</v>
      </c>
      <c r="G27" s="383">
        <v>9.01</v>
      </c>
      <c r="H27" s="383">
        <v>10.17</v>
      </c>
      <c r="I27" s="117"/>
      <c r="J27" s="128">
        <v>40.53</v>
      </c>
      <c r="K27" s="118"/>
      <c r="L27" s="177">
        <f t="shared" si="3"/>
        <v>3.985250737463127</v>
      </c>
      <c r="M27" s="383">
        <f>0.17*4</f>
        <v>0.68</v>
      </c>
      <c r="N27" s="178">
        <f t="shared" si="0"/>
        <v>0.01677769553417222</v>
      </c>
      <c r="P27" s="117" t="str">
        <f t="shared" si="4"/>
        <v>Sherwin-Williams</v>
      </c>
      <c r="S27" s="118">
        <v>2.04</v>
      </c>
      <c r="T27" s="118">
        <v>2.26</v>
      </c>
      <c r="V27" s="178">
        <f t="shared" si="1"/>
        <v>0.23566214807090718</v>
      </c>
      <c r="W27" s="123">
        <v>0.21</v>
      </c>
      <c r="X27" s="178">
        <f t="shared" si="2"/>
        <v>0.21853240492769146</v>
      </c>
      <c r="Z27" s="178">
        <v>0.115</v>
      </c>
      <c r="AA27" s="178">
        <v>0.1</v>
      </c>
      <c r="AB27" s="178"/>
      <c r="AC27" s="178">
        <v>0.093</v>
      </c>
      <c r="AD27" s="178"/>
      <c r="AL27" s="112"/>
      <c r="AM27" s="112"/>
    </row>
    <row r="28" spans="1:39" s="110" customFormat="1" ht="12.75">
      <c r="A28" s="110" t="s">
        <v>545</v>
      </c>
      <c r="D28" s="110" t="s">
        <v>556</v>
      </c>
      <c r="E28" s="383">
        <v>2.15</v>
      </c>
      <c r="F28" s="383">
        <v>3.08</v>
      </c>
      <c r="G28" s="383">
        <v>6.15</v>
      </c>
      <c r="H28" s="383">
        <v>6.98</v>
      </c>
      <c r="I28" s="117"/>
      <c r="J28" s="128">
        <v>35.47</v>
      </c>
      <c r="K28" s="118"/>
      <c r="L28" s="177">
        <f t="shared" si="3"/>
        <v>5.081661891117478</v>
      </c>
      <c r="M28" s="383">
        <f>0.23*4</f>
        <v>0.92</v>
      </c>
      <c r="N28" s="178">
        <f t="shared" si="0"/>
        <v>0.025937411897378068</v>
      </c>
      <c r="P28" s="117" t="str">
        <f t="shared" si="4"/>
        <v>Wyeth</v>
      </c>
      <c r="S28" s="118">
        <v>2.24</v>
      </c>
      <c r="T28" s="118">
        <v>2.29</v>
      </c>
      <c r="V28" s="178">
        <f t="shared" si="1"/>
        <v>0.3488194973343488</v>
      </c>
      <c r="W28" s="123">
        <v>0.34</v>
      </c>
      <c r="X28" s="178">
        <f t="shared" si="2"/>
        <v>0.48537378114842905</v>
      </c>
      <c r="Z28" s="178">
        <v>0.105</v>
      </c>
      <c r="AA28" s="178">
        <v>0.035</v>
      </c>
      <c r="AB28" s="178"/>
      <c r="AC28" s="178">
        <v>0.0899</v>
      </c>
      <c r="AD28" s="178"/>
      <c r="AL28" s="112"/>
      <c r="AM28" s="112"/>
    </row>
    <row r="29" spans="4:39" s="110" customFormat="1" ht="9.75" customHeight="1">
      <c r="D29" s="114"/>
      <c r="E29" s="113"/>
      <c r="F29" s="114"/>
      <c r="G29" s="114"/>
      <c r="H29" s="384"/>
      <c r="I29" s="384"/>
      <c r="J29" s="385"/>
      <c r="K29" s="118"/>
      <c r="L29" s="227"/>
      <c r="M29" s="384"/>
      <c r="N29" s="208"/>
      <c r="S29" s="384"/>
      <c r="T29" s="384"/>
      <c r="V29" s="114"/>
      <c r="W29" s="132"/>
      <c r="X29" s="386"/>
      <c r="Z29" s="386"/>
      <c r="AA29" s="386"/>
      <c r="AB29" s="178"/>
      <c r="AC29" s="208"/>
      <c r="AD29" s="178"/>
      <c r="AL29" s="112"/>
      <c r="AM29" s="112"/>
    </row>
    <row r="30" spans="2:39" s="110" customFormat="1" ht="17.25" customHeight="1">
      <c r="B30" s="110" t="s">
        <v>17</v>
      </c>
      <c r="E30" s="118">
        <f>AVERAGE(E14:E28)</f>
        <v>9.150666666666668</v>
      </c>
      <c r="F30" s="118">
        <f>AVERAGE(F14:F28)</f>
        <v>10.273333333333335</v>
      </c>
      <c r="G30" s="118">
        <f>AVERAGE(G14:G28)</f>
        <v>11.618666666666668</v>
      </c>
      <c r="H30" s="118">
        <f>AVERAGE(H14:H28)</f>
        <v>13.611333333333333</v>
      </c>
      <c r="I30" s="118"/>
      <c r="J30" s="118">
        <f>AVERAGE(J14:J28)</f>
        <v>50.64666666666666</v>
      </c>
      <c r="K30" s="118"/>
      <c r="L30" s="177">
        <f>AVERAGE(L14:L28)</f>
        <v>6.092076498020194</v>
      </c>
      <c r="M30" s="118">
        <f>AVERAGE(M14:M28)</f>
        <v>0.7952</v>
      </c>
      <c r="N30" s="178">
        <f>AVERAGE(N14:N28)</f>
        <v>0.01535475184169534</v>
      </c>
      <c r="O30" s="123"/>
      <c r="P30" s="123"/>
      <c r="Q30" s="123"/>
      <c r="R30" s="123"/>
      <c r="S30" s="118">
        <f>AVERAGE(S14:S28)</f>
        <v>2.382</v>
      </c>
      <c r="T30" s="118">
        <f>AVERAGE(T14:T28)</f>
        <v>2.576</v>
      </c>
      <c r="U30" s="139"/>
      <c r="V30" s="178">
        <f>AVERAGE(V14:V28)</f>
        <v>0.3139732036175324</v>
      </c>
      <c r="W30" s="178">
        <f>AVERAGE(W14:W28)</f>
        <v>0.22999999999999995</v>
      </c>
      <c r="X30" s="178">
        <f>AVERAGE(X14:X28)</f>
        <v>0.3341969746944835</v>
      </c>
      <c r="Z30" s="178">
        <f>AVERAGE(Z14:Z28)</f>
        <v>0.11266666666666668</v>
      </c>
      <c r="AA30" s="178">
        <f>AVERAGE(AA14:AA28)</f>
        <v>0.06833333333333334</v>
      </c>
      <c r="AB30" s="178"/>
      <c r="AC30" s="178">
        <f>AVERAGE(AC14:AC28)</f>
        <v>0.11299333333333332</v>
      </c>
      <c r="AD30" s="178"/>
      <c r="AL30" s="117"/>
      <c r="AM30" s="186"/>
    </row>
    <row r="31" spans="7:39" s="110" customFormat="1" ht="12.75">
      <c r="G31" s="128"/>
      <c r="H31" s="128"/>
      <c r="I31" s="128"/>
      <c r="J31" s="128"/>
      <c r="L31" s="177"/>
      <c r="N31" s="123"/>
      <c r="U31" s="110" t="s">
        <v>577</v>
      </c>
      <c r="V31" s="178">
        <f>(V30*15-V21)/14</f>
        <v>0.24565412876361847</v>
      </c>
      <c r="W31" s="178">
        <f>(W30*15-W21)/14</f>
        <v>0.21499999999999994</v>
      </c>
      <c r="X31" s="178">
        <f>(X30*15-X21)/14</f>
        <v>0.2684323328309242</v>
      </c>
      <c r="Z31" s="178"/>
      <c r="AA31" s="178"/>
      <c r="AB31" s="178"/>
      <c r="AC31" s="178"/>
      <c r="AD31" s="178"/>
      <c r="AL31" s="112"/>
      <c r="AM31" s="112"/>
    </row>
    <row r="32" spans="7:39" s="110" customFormat="1" ht="12.75">
      <c r="G32" s="128"/>
      <c r="H32" s="128"/>
      <c r="I32" s="128"/>
      <c r="J32" s="128"/>
      <c r="Z32" s="178"/>
      <c r="AA32" s="178"/>
      <c r="AB32" s="178"/>
      <c r="AC32" s="178"/>
      <c r="AD32" s="178"/>
      <c r="AM32" s="186"/>
    </row>
    <row r="33" spans="7:39" s="110" customFormat="1" ht="12.75">
      <c r="G33" s="128"/>
      <c r="H33" s="128"/>
      <c r="I33" s="128"/>
      <c r="J33" s="128"/>
      <c r="Z33" s="178"/>
      <c r="AA33" s="178"/>
      <c r="AB33" s="178"/>
      <c r="AC33" s="178"/>
      <c r="AD33" s="178"/>
      <c r="AM33" s="186"/>
    </row>
    <row r="34" spans="26:30" ht="12.75">
      <c r="Z34" s="178"/>
      <c r="AA34" s="178"/>
      <c r="AB34" s="178"/>
      <c r="AC34" s="178"/>
      <c r="AD34" s="178"/>
    </row>
    <row r="35" spans="26:30" ht="12.75">
      <c r="Z35" s="178"/>
      <c r="AA35" s="178"/>
      <c r="AB35" s="178"/>
      <c r="AC35" s="178"/>
      <c r="AD35" s="178"/>
    </row>
    <row r="37" spans="1:4" ht="12.75">
      <c r="A37" s="110" t="s">
        <v>115</v>
      </c>
      <c r="B37" s="110" t="s">
        <v>8</v>
      </c>
      <c r="C37" s="110" t="s">
        <v>348</v>
      </c>
      <c r="D37" s="110"/>
    </row>
    <row r="38" spans="1:4" ht="12.75">
      <c r="A38" s="110"/>
      <c r="B38" s="110" t="s">
        <v>10</v>
      </c>
      <c r="C38" s="110" t="s">
        <v>120</v>
      </c>
      <c r="D38" s="112"/>
    </row>
    <row r="39" spans="1:4" ht="12.75">
      <c r="A39" s="110"/>
      <c r="B39" s="110" t="s">
        <v>11</v>
      </c>
      <c r="C39" s="110" t="s">
        <v>122</v>
      </c>
      <c r="D39" s="112"/>
    </row>
    <row r="41" spans="5:39" s="117" customFormat="1" ht="15" customHeight="1">
      <c r="E41" s="383"/>
      <c r="F41" s="383"/>
      <c r="G41" s="383"/>
      <c r="H41" s="383"/>
      <c r="L41" s="177"/>
      <c r="M41" s="383"/>
      <c r="N41" s="178"/>
      <c r="O41" s="123"/>
      <c r="Q41" s="123"/>
      <c r="R41" s="123"/>
      <c r="S41" s="118"/>
      <c r="T41" s="118"/>
      <c r="U41" s="139"/>
      <c r="V41" s="178"/>
      <c r="W41" s="123"/>
      <c r="X41" s="178"/>
      <c r="Z41" s="178"/>
      <c r="AA41" s="178"/>
      <c r="AB41" s="178"/>
      <c r="AC41"/>
      <c r="AD41" s="178"/>
      <c r="AM41" s="186"/>
    </row>
    <row r="42" spans="5:39" s="110" customFormat="1" ht="12.75">
      <c r="E42" s="383"/>
      <c r="F42" s="383"/>
      <c r="G42" s="383"/>
      <c r="H42" s="383"/>
      <c r="I42" s="117"/>
      <c r="J42" s="128"/>
      <c r="K42" s="118"/>
      <c r="L42" s="177"/>
      <c r="M42" s="383"/>
      <c r="N42" s="178"/>
      <c r="P42" s="117"/>
      <c r="S42" s="118"/>
      <c r="T42" s="118"/>
      <c r="V42" s="178"/>
      <c r="W42" s="123"/>
      <c r="X42" s="178"/>
      <c r="Z42" s="178"/>
      <c r="AA42" s="178"/>
      <c r="AB42" s="178"/>
      <c r="AC42"/>
      <c r="AD42" s="178"/>
      <c r="AL42" s="117"/>
      <c r="AM42" s="186"/>
    </row>
    <row r="43" spans="5:39" s="110" customFormat="1" ht="12.75">
      <c r="E43" s="383"/>
      <c r="F43" s="383"/>
      <c r="G43" s="383"/>
      <c r="H43" s="383"/>
      <c r="I43" s="117"/>
      <c r="J43" s="128"/>
      <c r="K43" s="118"/>
      <c r="L43" s="177"/>
      <c r="M43" s="383"/>
      <c r="N43" s="178"/>
      <c r="P43" s="117"/>
      <c r="S43" s="118"/>
      <c r="T43" s="118"/>
      <c r="V43" s="178"/>
      <c r="W43" s="123"/>
      <c r="X43" s="178"/>
      <c r="Z43" s="178"/>
      <c r="AA43" s="178"/>
      <c r="AB43" s="178"/>
      <c r="AC43"/>
      <c r="AD43" s="178"/>
      <c r="AL43" s="112"/>
      <c r="AM43" s="112"/>
    </row>
  </sheetData>
  <printOptions/>
  <pageMargins left="0.75" right="0.75" top="1" bottom="1" header="0.5" footer="0.5"/>
  <pageSetup horizontalDpi="600" verticalDpi="600" orientation="landscape" scale="65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5:G67"/>
  <sheetViews>
    <sheetView workbookViewId="0" topLeftCell="A1">
      <selection activeCell="D33" sqref="D33"/>
    </sheetView>
  </sheetViews>
  <sheetFormatPr defaultColWidth="9.140625" defaultRowHeight="12.75"/>
  <cols>
    <col min="1" max="1" width="12.8515625" style="0" customWidth="1"/>
    <col min="3" max="3" width="37.140625" style="0" customWidth="1"/>
  </cols>
  <sheetData>
    <row r="5" spans="4:5" ht="12.75">
      <c r="D5" s="106"/>
      <c r="E5" s="106"/>
    </row>
    <row r="6" spans="4:5" ht="12.75">
      <c r="D6" s="106"/>
      <c r="E6" s="106"/>
    </row>
    <row r="7" spans="1:7" ht="12.75">
      <c r="A7" t="s">
        <v>1</v>
      </c>
      <c r="D7" s="106" t="s">
        <v>131</v>
      </c>
      <c r="E7" s="106"/>
      <c r="G7" t="s">
        <v>132</v>
      </c>
    </row>
    <row r="8" spans="4:5" ht="12.75">
      <c r="D8" s="106"/>
      <c r="E8" s="106"/>
    </row>
    <row r="9" spans="1:7" ht="12.75">
      <c r="A9" t="s">
        <v>133</v>
      </c>
      <c r="D9" s="106"/>
      <c r="E9" s="106"/>
      <c r="G9" t="s">
        <v>134</v>
      </c>
    </row>
    <row r="10" spans="4:5" ht="12.75">
      <c r="D10" s="106"/>
      <c r="E10" s="106"/>
    </row>
    <row r="11" spans="4:5" ht="12.75">
      <c r="D11" s="106"/>
      <c r="E11" s="106"/>
    </row>
    <row r="12" spans="1:7" ht="12.75">
      <c r="A12" t="s">
        <v>135</v>
      </c>
      <c r="D12" s="106" t="s">
        <v>578</v>
      </c>
      <c r="E12" s="106"/>
      <c r="G12" t="s">
        <v>136</v>
      </c>
    </row>
    <row r="13" spans="1:5" ht="12.75">
      <c r="A13" t="s">
        <v>137</v>
      </c>
      <c r="D13" s="106"/>
      <c r="E13" s="106"/>
    </row>
    <row r="14" spans="4:5" ht="12.75">
      <c r="D14" s="106"/>
      <c r="E14" s="106"/>
    </row>
    <row r="15" spans="4:5" ht="12.75">
      <c r="D15" s="106"/>
      <c r="E15" s="106"/>
    </row>
    <row r="16" spans="1:7" ht="12.75">
      <c r="A16" t="s">
        <v>138</v>
      </c>
      <c r="D16" s="106" t="s">
        <v>149</v>
      </c>
      <c r="E16" s="106"/>
      <c r="G16" t="s">
        <v>139</v>
      </c>
    </row>
    <row r="17" spans="1:7" ht="12.75">
      <c r="A17" t="s">
        <v>140</v>
      </c>
      <c r="D17" s="106" t="s">
        <v>150</v>
      </c>
      <c r="E17" s="106"/>
      <c r="G17" t="s">
        <v>141</v>
      </c>
    </row>
    <row r="18" spans="1:7" ht="12.75">
      <c r="A18" t="s">
        <v>142</v>
      </c>
      <c r="D18" s="106" t="s">
        <v>342</v>
      </c>
      <c r="E18" s="106"/>
      <c r="G18" t="s">
        <v>143</v>
      </c>
    </row>
    <row r="19" spans="4:5" ht="12.75">
      <c r="D19" s="106"/>
      <c r="E19" s="106"/>
    </row>
    <row r="20" spans="4:5" ht="12.75">
      <c r="D20" s="106"/>
      <c r="E20" s="106"/>
    </row>
    <row r="21" spans="1:7" ht="12.75">
      <c r="A21" t="s">
        <v>144</v>
      </c>
      <c r="D21" s="106"/>
      <c r="E21" s="106"/>
      <c r="G21" t="s">
        <v>145</v>
      </c>
    </row>
    <row r="22" spans="1:7" ht="12.75">
      <c r="A22" t="s">
        <v>146</v>
      </c>
      <c r="D22" s="106"/>
      <c r="E22" s="106"/>
      <c r="G22" t="s">
        <v>147</v>
      </c>
    </row>
    <row r="23" spans="1:5" ht="12.75">
      <c r="A23" t="s">
        <v>148</v>
      </c>
      <c r="D23" s="106"/>
      <c r="E23" s="106"/>
    </row>
    <row r="24" spans="4:5" ht="12.75">
      <c r="D24" s="106"/>
      <c r="E24" s="106"/>
    </row>
    <row r="25" spans="1:7" ht="12.75">
      <c r="A25" t="s">
        <v>151</v>
      </c>
      <c r="D25" s="106"/>
      <c r="E25" s="106"/>
      <c r="G25" t="s">
        <v>152</v>
      </c>
    </row>
    <row r="26" spans="1:7" ht="12.75">
      <c r="A26" t="s">
        <v>153</v>
      </c>
      <c r="D26" s="106"/>
      <c r="E26" s="106"/>
      <c r="G26" t="s">
        <v>154</v>
      </c>
    </row>
    <row r="27" spans="1:7" ht="12.75">
      <c r="A27" t="s">
        <v>155</v>
      </c>
      <c r="D27" s="106"/>
      <c r="E27" s="106"/>
      <c r="G27" t="s">
        <v>156</v>
      </c>
    </row>
    <row r="28" spans="1:7" ht="12.75">
      <c r="A28" t="s">
        <v>157</v>
      </c>
      <c r="D28" s="106"/>
      <c r="E28" s="106"/>
      <c r="G28" t="s">
        <v>158</v>
      </c>
    </row>
    <row r="29" spans="4:5" ht="12.75">
      <c r="D29" s="106"/>
      <c r="E29" s="106"/>
    </row>
    <row r="30" spans="4:5" ht="12.75">
      <c r="D30" s="106"/>
      <c r="E30" s="106"/>
    </row>
    <row r="31" spans="1:5" ht="12.75">
      <c r="A31" t="s">
        <v>159</v>
      </c>
      <c r="D31" s="106" t="s">
        <v>160</v>
      </c>
      <c r="E31" s="106"/>
    </row>
    <row r="32" spans="1:5" ht="12.75">
      <c r="A32" t="s">
        <v>161</v>
      </c>
      <c r="D32" s="106"/>
      <c r="E32" s="106"/>
    </row>
    <row r="33" spans="4:5" ht="12.75">
      <c r="D33" s="106"/>
      <c r="E33" s="106"/>
    </row>
    <row r="34" spans="1:7" ht="12.75">
      <c r="A34" t="s">
        <v>162</v>
      </c>
      <c r="D34" s="106" t="s">
        <v>163</v>
      </c>
      <c r="E34" s="106"/>
      <c r="G34" t="s">
        <v>164</v>
      </c>
    </row>
    <row r="35" spans="1:7" ht="12.75">
      <c r="A35" t="s">
        <v>165</v>
      </c>
      <c r="D35" s="106" t="s">
        <v>166</v>
      </c>
      <c r="E35" s="106"/>
      <c r="G35" t="s">
        <v>167</v>
      </c>
    </row>
    <row r="36" spans="1:7" ht="12.75">
      <c r="A36" t="s">
        <v>168</v>
      </c>
      <c r="D36" s="106" t="s">
        <v>169</v>
      </c>
      <c r="E36" s="106"/>
      <c r="G36" t="s">
        <v>170</v>
      </c>
    </row>
    <row r="37" spans="4:5" ht="12.75">
      <c r="D37" s="106"/>
      <c r="E37" s="106"/>
    </row>
    <row r="38" spans="4:5" ht="12.75">
      <c r="D38" s="106"/>
      <c r="E38" s="106"/>
    </row>
    <row r="39" spans="1:7" ht="12.75">
      <c r="A39" t="s">
        <v>171</v>
      </c>
      <c r="D39" s="106" t="s">
        <v>306</v>
      </c>
      <c r="E39" s="106"/>
      <c r="G39" t="s">
        <v>173</v>
      </c>
    </row>
    <row r="40" spans="4:5" ht="12.75">
      <c r="D40" s="106"/>
      <c r="E40" s="106"/>
    </row>
    <row r="41" spans="4:5" ht="12.75">
      <c r="D41" s="106"/>
      <c r="E41" s="106"/>
    </row>
    <row r="42" spans="1:7" ht="12.75">
      <c r="A42" t="s">
        <v>174</v>
      </c>
      <c r="D42" s="106" t="s">
        <v>172</v>
      </c>
      <c r="E42" s="106"/>
      <c r="G42" t="s">
        <v>175</v>
      </c>
    </row>
    <row r="43" spans="4:5" ht="12.75">
      <c r="D43" s="106"/>
      <c r="E43" s="106"/>
    </row>
    <row r="44" spans="4:5" ht="12.75">
      <c r="D44" s="106"/>
      <c r="E44" s="106"/>
    </row>
    <row r="45" spans="4:5" ht="12.75">
      <c r="D45" s="106"/>
      <c r="E45" s="106"/>
    </row>
    <row r="46" spans="4:5" ht="12.75">
      <c r="D46" s="106"/>
      <c r="E46" s="106"/>
    </row>
    <row r="47" spans="4:5" ht="12.75">
      <c r="D47" s="106"/>
      <c r="E47" s="106"/>
    </row>
    <row r="48" spans="1:5" ht="12.75">
      <c r="A48" t="s">
        <v>176</v>
      </c>
      <c r="D48" s="106" t="s">
        <v>177</v>
      </c>
      <c r="E48" s="106"/>
    </row>
    <row r="49" spans="1:5" ht="12.75">
      <c r="A49" t="s">
        <v>178</v>
      </c>
      <c r="C49" t="s">
        <v>179</v>
      </c>
      <c r="D49" s="106" t="s">
        <v>180</v>
      </c>
      <c r="E49" s="106"/>
    </row>
    <row r="50" spans="4:5" ht="12.75">
      <c r="D50" s="106"/>
      <c r="E50" s="106"/>
    </row>
    <row r="51" spans="4:5" ht="12.75">
      <c r="D51" s="106"/>
      <c r="E51" s="106"/>
    </row>
    <row r="52" spans="1:7" ht="12.75">
      <c r="A52" t="s">
        <v>181</v>
      </c>
      <c r="D52" s="106" t="s">
        <v>182</v>
      </c>
      <c r="E52" s="107"/>
      <c r="G52" t="s">
        <v>183</v>
      </c>
    </row>
    <row r="53" spans="4:5" ht="12.75">
      <c r="D53" s="106"/>
      <c r="E53" s="106"/>
    </row>
    <row r="54" spans="4:5" ht="12.75">
      <c r="D54" s="106"/>
      <c r="E54" s="106"/>
    </row>
    <row r="55" spans="1:7" ht="12.75">
      <c r="A55" t="s">
        <v>184</v>
      </c>
      <c r="D55" s="106"/>
      <c r="E55" s="106"/>
      <c r="G55" t="s">
        <v>185</v>
      </c>
    </row>
    <row r="56" spans="4:5" ht="12.75">
      <c r="D56" s="106"/>
      <c r="E56" s="106"/>
    </row>
    <row r="57" spans="1:5" ht="12.75">
      <c r="A57" t="s">
        <v>186</v>
      </c>
      <c r="D57" s="106" t="s">
        <v>187</v>
      </c>
      <c r="E57" s="106"/>
    </row>
    <row r="58" spans="1:5" ht="12.75">
      <c r="A58" t="s">
        <v>188</v>
      </c>
      <c r="D58" s="106" t="s">
        <v>189</v>
      </c>
      <c r="E58" s="106"/>
    </row>
    <row r="59" spans="1:5" ht="12.75">
      <c r="A59" t="s">
        <v>190</v>
      </c>
      <c r="D59" s="108">
        <v>35611</v>
      </c>
      <c r="E59" s="106"/>
    </row>
    <row r="62" spans="1:7" ht="12.75">
      <c r="A62" t="s">
        <v>191</v>
      </c>
      <c r="G62" t="s">
        <v>192</v>
      </c>
    </row>
    <row r="63" spans="1:7" ht="12.75">
      <c r="A63" t="s">
        <v>193</v>
      </c>
      <c r="G63" t="s">
        <v>194</v>
      </c>
    </row>
    <row r="65" ht="12.75">
      <c r="A65" t="s">
        <v>195</v>
      </c>
    </row>
    <row r="66" spans="2:3" ht="12.75">
      <c r="B66" s="88">
        <v>5555.55</v>
      </c>
      <c r="C66" t="s">
        <v>196</v>
      </c>
    </row>
    <row r="67" spans="2:3" ht="12.75">
      <c r="B67" s="87">
        <v>5555.55</v>
      </c>
      <c r="C67" t="s">
        <v>197</v>
      </c>
    </row>
  </sheetData>
  <printOptions gridLine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E39" sqref="E39"/>
    </sheetView>
  </sheetViews>
  <sheetFormatPr defaultColWidth="9.140625" defaultRowHeight="12.75"/>
  <cols>
    <col min="1" max="1" width="8.140625" style="1" customWidth="1"/>
    <col min="2" max="2" width="41.8515625" style="1" customWidth="1"/>
    <col min="3" max="3" width="21.8515625" style="1" customWidth="1"/>
    <col min="4" max="4" width="9.28125" style="1" customWidth="1"/>
    <col min="5" max="5" width="20.421875" style="1" customWidth="1"/>
    <col min="6" max="6" width="6.421875" style="1" customWidth="1"/>
    <col min="7" max="7" width="9.140625" style="1" customWidth="1"/>
    <col min="8" max="8" width="12.7109375" style="1" customWidth="1"/>
    <col min="9" max="16384" width="9.140625" style="1" customWidth="1"/>
  </cols>
  <sheetData>
    <row r="1" ht="11.25">
      <c r="E1" s="197"/>
    </row>
    <row r="2" spans="3:5" ht="11.25">
      <c r="C2" s="2"/>
      <c r="D2" s="2"/>
      <c r="E2" s="2" t="s">
        <v>584</v>
      </c>
    </row>
    <row r="3" spans="3:5" ht="11.25">
      <c r="C3" s="2"/>
      <c r="D3" s="2"/>
      <c r="E3" s="2" t="s">
        <v>582</v>
      </c>
    </row>
    <row r="4" spans="3:5" ht="12.75">
      <c r="C4" s="15"/>
      <c r="D4" s="2"/>
      <c r="E4" s="2" t="s">
        <v>613</v>
      </c>
    </row>
    <row r="5" spans="3:5" ht="11.25">
      <c r="C5" s="2" t="s">
        <v>19</v>
      </c>
      <c r="D5" s="2"/>
      <c r="E5" s="2"/>
    </row>
    <row r="6" ht="14.25" customHeight="1"/>
    <row r="7" ht="12" customHeight="1"/>
    <row r="8" spans="1:8" ht="12.75">
      <c r="A8"/>
      <c r="B8"/>
      <c r="C8"/>
      <c r="D8"/>
      <c r="E8"/>
      <c r="F8"/>
      <c r="G8"/>
      <c r="H8" s="3"/>
    </row>
    <row r="9" spans="1:8" ht="12.75">
      <c r="A9"/>
      <c r="B9"/>
      <c r="C9" s="60" t="s">
        <v>483</v>
      </c>
      <c r="D9" s="191"/>
      <c r="E9" s="191" t="s">
        <v>344</v>
      </c>
      <c r="F9"/>
      <c r="G9"/>
      <c r="H9" s="3"/>
    </row>
    <row r="10" spans="1:8" ht="12.75">
      <c r="A10" s="60" t="s">
        <v>484</v>
      </c>
      <c r="B10"/>
      <c r="C10" s="343">
        <v>38230</v>
      </c>
      <c r="D10" s="191"/>
      <c r="E10" s="343">
        <v>38230</v>
      </c>
      <c r="F10" s="36"/>
      <c r="G10"/>
      <c r="H10" s="3"/>
    </row>
    <row r="11" spans="1:8" ht="12.75">
      <c r="A11"/>
      <c r="B11"/>
      <c r="C11" s="343"/>
      <c r="D11" s="191"/>
      <c r="E11" s="343"/>
      <c r="F11" s="36"/>
      <c r="G11"/>
      <c r="H11" s="3"/>
    </row>
    <row r="12" spans="2:8" ht="11.25">
      <c r="B12" s="1" t="s">
        <v>394</v>
      </c>
      <c r="C12" s="98">
        <f>DCF!H25</f>
        <v>0.09071107044902912</v>
      </c>
      <c r="D12" s="11"/>
      <c r="E12" s="98">
        <f>DCF!J25</f>
        <v>0.09370259887011938</v>
      </c>
      <c r="F12" s="3" t="s">
        <v>8</v>
      </c>
      <c r="G12" s="3"/>
      <c r="H12" s="3"/>
    </row>
    <row r="13" spans="3:8" ht="12.75">
      <c r="C13" s="23"/>
      <c r="D13" s="11"/>
      <c r="E13" s="98"/>
      <c r="F13" s="3"/>
      <c r="G13" s="3"/>
      <c r="H13" s="3"/>
    </row>
    <row r="14" spans="3:8" ht="11.25">
      <c r="C14" s="98"/>
      <c r="D14" s="11"/>
      <c r="E14" s="98"/>
      <c r="F14" s="3"/>
      <c r="G14" s="3"/>
      <c r="H14" s="3"/>
    </row>
    <row r="15" spans="2:8" ht="11.25">
      <c r="B15" s="1" t="s">
        <v>395</v>
      </c>
      <c r="C15" s="98"/>
      <c r="D15" s="99"/>
      <c r="E15" s="98">
        <f>'SP DCF'!H25</f>
        <v>0.0949523905098619</v>
      </c>
      <c r="F15" s="3" t="s">
        <v>10</v>
      </c>
      <c r="G15" s="3"/>
      <c r="H15" s="3"/>
    </row>
    <row r="16" spans="3:8" ht="11.25">
      <c r="C16" s="98"/>
      <c r="D16" s="3"/>
      <c r="E16" s="98"/>
      <c r="F16" s="3"/>
      <c r="G16" s="3"/>
      <c r="H16" s="3"/>
    </row>
    <row r="17" spans="2:8" ht="11.25">
      <c r="B17" s="1" t="s">
        <v>485</v>
      </c>
      <c r="C17" s="98">
        <f>DCF2!H25</f>
        <v>0.08842163241782286</v>
      </c>
      <c r="D17" s="3"/>
      <c r="E17" s="98">
        <f>DCF2!J25</f>
        <v>0.08844881443214345</v>
      </c>
      <c r="F17" s="3"/>
      <c r="G17" s="3"/>
      <c r="H17" s="3"/>
    </row>
    <row r="18" spans="5:8" ht="11.25">
      <c r="E18" s="98"/>
      <c r="F18" s="3"/>
      <c r="G18" s="3"/>
      <c r="H18" s="3"/>
    </row>
    <row r="19" spans="2:8" ht="11.25">
      <c r="B19" s="1" t="s">
        <v>486</v>
      </c>
      <c r="C19" s="98">
        <f>DCF2!H74</f>
        <v>0.08326769968821335</v>
      </c>
      <c r="E19" s="98">
        <f>DCF2!J74</f>
        <v>0.08619469601632326</v>
      </c>
      <c r="F19" s="3"/>
      <c r="G19" s="3"/>
      <c r="H19" s="3"/>
    </row>
    <row r="20" spans="3:8" ht="11.25">
      <c r="C20" s="98"/>
      <c r="E20" s="98"/>
      <c r="F20" s="3"/>
      <c r="G20" s="3"/>
      <c r="H20" s="3"/>
    </row>
    <row r="21" spans="6:8" ht="11.25">
      <c r="F21" s="3"/>
      <c r="G21" s="3"/>
      <c r="H21" s="3"/>
    </row>
    <row r="22" spans="3:8" ht="11.25">
      <c r="C22" s="98"/>
      <c r="E22" s="98"/>
      <c r="F22" s="3"/>
      <c r="G22" s="3"/>
      <c r="H22" s="3"/>
    </row>
    <row r="23" spans="3:8" ht="11.25">
      <c r="C23" s="98"/>
      <c r="E23" s="98"/>
      <c r="F23" s="3"/>
      <c r="G23" s="3"/>
      <c r="H23" s="3"/>
    </row>
    <row r="24" spans="3:8" ht="11.25">
      <c r="C24" s="98"/>
      <c r="D24" s="3"/>
      <c r="E24" s="98"/>
      <c r="F24" s="3"/>
      <c r="G24" s="3"/>
      <c r="H24" s="3"/>
    </row>
    <row r="25" spans="3:8" ht="11.25">
      <c r="C25" s="98"/>
      <c r="D25" s="3"/>
      <c r="E25" s="98"/>
      <c r="F25" s="3"/>
      <c r="G25" s="3"/>
      <c r="H25" s="3"/>
    </row>
    <row r="26" spans="1:8" ht="11.25">
      <c r="A26" s="197" t="s">
        <v>292</v>
      </c>
      <c r="C26" s="12"/>
      <c r="D26" s="3"/>
      <c r="E26" s="12"/>
      <c r="F26" s="3"/>
      <c r="G26" s="3"/>
      <c r="H26" s="3"/>
    </row>
    <row r="27" spans="1:8" ht="12.75">
      <c r="A27" s="34"/>
      <c r="B27"/>
      <c r="C27" s="4" t="s">
        <v>298</v>
      </c>
      <c r="D27" s="4"/>
      <c r="E27" s="4" t="s">
        <v>299</v>
      </c>
      <c r="F27" s="3"/>
      <c r="G27" s="3"/>
      <c r="H27" s="3"/>
    </row>
    <row r="28" spans="3:8" ht="11.25">
      <c r="C28" s="7"/>
      <c r="D28" s="3"/>
      <c r="E28" s="7"/>
      <c r="G28" s="3"/>
      <c r="H28" s="3"/>
    </row>
    <row r="29" spans="2:8" ht="11.25">
      <c r="B29" s="1" t="s">
        <v>330</v>
      </c>
      <c r="C29" s="7">
        <f>Infrp!F25</f>
        <v>0.096</v>
      </c>
      <c r="D29" s="3" t="s">
        <v>11</v>
      </c>
      <c r="E29" s="7">
        <f>Infrp!H25</f>
        <v>0.1</v>
      </c>
      <c r="F29" s="3" t="str">
        <f>D29</f>
        <v>[C]</v>
      </c>
      <c r="G29" s="3"/>
      <c r="H29" s="3"/>
    </row>
    <row r="30" spans="2:8" ht="11.25">
      <c r="B30" s="1" t="s">
        <v>360</v>
      </c>
      <c r="C30" s="7"/>
      <c r="D30" s="3"/>
      <c r="E30" s="7"/>
      <c r="F30" s="3"/>
      <c r="G30" s="3"/>
      <c r="H30" s="3"/>
    </row>
    <row r="31" spans="2:8" ht="11.25">
      <c r="B31" s="1" t="s">
        <v>361</v>
      </c>
      <c r="C31" s="7"/>
      <c r="D31" s="3"/>
      <c r="E31" s="7"/>
      <c r="F31" s="3"/>
      <c r="G31" s="3"/>
      <c r="H31" s="3"/>
    </row>
    <row r="32" spans="3:8" ht="11.25">
      <c r="C32" s="7"/>
      <c r="D32" s="3"/>
      <c r="E32" s="7"/>
      <c r="F32" s="3"/>
      <c r="G32" s="3"/>
      <c r="H32" s="3"/>
    </row>
    <row r="33" spans="2:8" ht="11.25">
      <c r="B33" s="1" t="s">
        <v>579</v>
      </c>
      <c r="C33" s="7"/>
      <c r="D33" s="11"/>
      <c r="E33" s="244"/>
      <c r="F33" s="3"/>
      <c r="G33" s="3"/>
      <c r="H33" s="3"/>
    </row>
    <row r="34" spans="2:8" ht="11.25">
      <c r="B34" s="1" t="s">
        <v>399</v>
      </c>
      <c r="C34" s="7"/>
      <c r="D34" s="11">
        <f>Rpremsum!M12</f>
        <v>0.0892</v>
      </c>
      <c r="E34" s="244" t="s">
        <v>13</v>
      </c>
      <c r="F34" s="3"/>
      <c r="G34" s="3"/>
      <c r="H34" s="3"/>
    </row>
    <row r="35" spans="2:8" ht="11.25">
      <c r="B35" s="1" t="s">
        <v>400</v>
      </c>
      <c r="C35" s="7"/>
      <c r="D35" s="35">
        <f>Rpremsum!M18</f>
        <v>0.09183839824033677</v>
      </c>
      <c r="E35" s="244" t="str">
        <f>E34</f>
        <v>[D]</v>
      </c>
      <c r="F35" s="3"/>
      <c r="G35" s="3"/>
      <c r="H35" s="3"/>
    </row>
    <row r="36" spans="2:8" ht="11.25">
      <c r="B36" s="5"/>
      <c r="C36" s="7"/>
      <c r="D36" s="11">
        <f>AVERAGE(D34:D35)</f>
        <v>0.09051919912016838</v>
      </c>
      <c r="E36" s="3"/>
      <c r="F36" s="3"/>
      <c r="G36" s="3"/>
      <c r="H36" s="3"/>
    </row>
    <row r="37" spans="2:8" ht="11.25">
      <c r="B37" s="5"/>
      <c r="C37" s="7"/>
      <c r="F37" s="3"/>
      <c r="G37" s="3"/>
      <c r="H37" s="3"/>
    </row>
    <row r="38" spans="2:8" ht="11.25">
      <c r="B38" s="5"/>
      <c r="C38" s="7"/>
      <c r="D38" s="11"/>
      <c r="E38" s="244"/>
      <c r="F38" s="3"/>
      <c r="G38" s="3"/>
      <c r="H38" s="3"/>
    </row>
    <row r="39" spans="2:8" ht="11.25">
      <c r="B39" s="5" t="s">
        <v>385</v>
      </c>
      <c r="C39" s="7"/>
      <c r="D39" s="35">
        <f>AVERAGE(C28:E37)</f>
        <v>0.09351151947210104</v>
      </c>
      <c r="E39" s="7"/>
      <c r="F39" s="3"/>
      <c r="G39" s="3"/>
      <c r="H39" s="3"/>
    </row>
    <row r="40" spans="2:8" ht="11.25">
      <c r="B40" s="5"/>
      <c r="C40" s="7"/>
      <c r="D40" s="11"/>
      <c r="E40" s="7"/>
      <c r="F40" s="3"/>
      <c r="G40" s="3"/>
      <c r="H40" s="3"/>
    </row>
    <row r="41" spans="2:8" ht="9" customHeight="1">
      <c r="B41" s="5"/>
      <c r="C41" s="7"/>
      <c r="D41" s="11"/>
      <c r="E41" s="7"/>
      <c r="F41" s="3"/>
      <c r="G41" s="11"/>
      <c r="H41" s="3"/>
    </row>
    <row r="42" spans="2:8" ht="9" customHeight="1">
      <c r="B42" s="5"/>
      <c r="C42" s="7"/>
      <c r="D42" s="11"/>
      <c r="E42" s="7"/>
      <c r="F42" s="3"/>
      <c r="G42" s="11"/>
      <c r="H42" s="3"/>
    </row>
    <row r="43" spans="2:8" ht="11.25">
      <c r="B43" s="5"/>
      <c r="C43" s="7"/>
      <c r="D43" s="11"/>
      <c r="E43" s="7"/>
      <c r="F43" s="3"/>
      <c r="G43" s="3"/>
      <c r="H43" s="3"/>
    </row>
    <row r="44" spans="2:8" ht="12" thickBot="1">
      <c r="B44" s="5" t="s">
        <v>487</v>
      </c>
      <c r="C44" s="7"/>
      <c r="D44" s="11"/>
      <c r="E44" s="388">
        <v>0.0925</v>
      </c>
      <c r="F44" s="3"/>
      <c r="G44" s="3"/>
      <c r="H44" s="3"/>
    </row>
    <row r="45" spans="1:8" ht="12" thickTop="1">
      <c r="A45" s="99"/>
      <c r="B45" s="99"/>
      <c r="C45" s="11"/>
      <c r="D45" s="11"/>
      <c r="E45" s="11"/>
      <c r="F45" s="11"/>
      <c r="G45" s="3"/>
      <c r="H45" s="3"/>
    </row>
    <row r="46" spans="3:8" ht="12.75">
      <c r="C46"/>
      <c r="D46"/>
      <c r="E46" s="3"/>
      <c r="F46" s="3"/>
      <c r="G46" s="3"/>
      <c r="H46" s="3"/>
    </row>
    <row r="47" spans="1:8" ht="11.25">
      <c r="A47" s="1" t="s">
        <v>14</v>
      </c>
      <c r="F47" s="3"/>
      <c r="G47" s="3"/>
      <c r="H47" s="3"/>
    </row>
    <row r="48" spans="1:8" ht="12" customHeight="1">
      <c r="A48" s="3" t="str">
        <f>F12</f>
        <v>[A]</v>
      </c>
      <c r="B48" s="1" t="str">
        <f>DCF!M2</f>
        <v>Exhibit___(JAR-3) Schedule 6, P. 1</v>
      </c>
      <c r="C48" s="5"/>
      <c r="F48" s="3"/>
      <c r="G48" s="3"/>
      <c r="H48" s="3"/>
    </row>
    <row r="49" spans="1:8" ht="11.25">
      <c r="A49" s="3" t="str">
        <f>F15</f>
        <v>[B]</v>
      </c>
      <c r="B49" s="1" t="str">
        <f>DCF!M2</f>
        <v>Exhibit___(JAR-3) Schedule 6, P. 1</v>
      </c>
      <c r="C49" s="8"/>
      <c r="D49" s="5"/>
      <c r="F49" s="3"/>
      <c r="G49" s="3"/>
      <c r="H49" s="3"/>
    </row>
    <row r="50" spans="1:4" ht="11.25">
      <c r="A50" s="244" t="str">
        <f>F29</f>
        <v>[C]</v>
      </c>
      <c r="B50" s="1" t="str">
        <f>Infrp!I2</f>
        <v>Exhibit ___(JAR-3) Schedule 9</v>
      </c>
      <c r="C50" s="5"/>
      <c r="D50" s="8"/>
    </row>
    <row r="51" spans="1:4" ht="11.25">
      <c r="A51" s="244" t="str">
        <f>E34</f>
        <v>[D]</v>
      </c>
      <c r="B51" s="1" t="str">
        <f>Rpremsum!M2</f>
        <v>Exhibit ___(JAR-3) Schedule 10, P. 1</v>
      </c>
      <c r="D51" s="8"/>
    </row>
    <row r="52" ht="11.25">
      <c r="B52" s="1" t="s">
        <v>532</v>
      </c>
    </row>
    <row r="53" ht="12.75" customHeight="1">
      <c r="B53" s="1" t="s">
        <v>533</v>
      </c>
    </row>
    <row r="54" ht="12.75" customHeight="1">
      <c r="B54" s="1" t="s">
        <v>606</v>
      </c>
    </row>
    <row r="58" ht="11.25">
      <c r="A58" s="5"/>
    </row>
    <row r="59" ht="11.25">
      <c r="A59" s="8"/>
    </row>
    <row r="60" ht="11.25">
      <c r="A60" s="8"/>
    </row>
  </sheetData>
  <printOptions horizontalCentered="1" verticalCentered="1"/>
  <pageMargins left="0.75" right="0.75" top="1" bottom="1" header="0.5" footer="0.5"/>
  <pageSetup fitToHeight="1" fitToWidth="1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6"/>
  <sheetViews>
    <sheetView view="pageBreakPreview" zoomScale="60" workbookViewId="0" topLeftCell="S1">
      <selection activeCell="AE7" sqref="AE7"/>
    </sheetView>
  </sheetViews>
  <sheetFormatPr defaultColWidth="9.140625" defaultRowHeight="12.75"/>
  <cols>
    <col min="1" max="1" width="8.140625" style="110" customWidth="1"/>
    <col min="2" max="2" width="3.140625" style="110" customWidth="1"/>
    <col min="3" max="3" width="14.421875" style="110" customWidth="1"/>
    <col min="4" max="4" width="5.421875" style="110" customWidth="1"/>
    <col min="5" max="5" width="8.00390625" style="110" customWidth="1"/>
    <col min="6" max="7" width="10.00390625" style="110" customWidth="1"/>
    <col min="8" max="8" width="8.7109375" style="110" customWidth="1"/>
    <col min="9" max="9" width="2.28125" style="110" customWidth="1"/>
    <col min="10" max="10" width="9.7109375" style="110" bestFit="1" customWidth="1"/>
    <col min="11" max="11" width="9.140625" style="110" customWidth="1"/>
    <col min="12" max="12" width="8.140625" style="110" customWidth="1"/>
    <col min="13" max="13" width="0.85546875" style="110" customWidth="1"/>
    <col min="14" max="14" width="8.8515625" style="110" customWidth="1"/>
    <col min="15" max="15" width="6.00390625" style="110" customWidth="1"/>
    <col min="16" max="16" width="8.8515625" style="110" customWidth="1"/>
    <col min="17" max="17" width="12.57421875" style="110" bestFit="1" customWidth="1"/>
    <col min="18" max="18" width="19.28125" style="110" customWidth="1"/>
    <col min="19" max="19" width="15.7109375" style="110" customWidth="1"/>
    <col min="20" max="20" width="2.00390625" style="110" customWidth="1"/>
    <col min="21" max="21" width="8.421875" style="110" customWidth="1"/>
    <col min="22" max="22" width="10.421875" style="110" customWidth="1"/>
    <col min="23" max="23" width="10.57421875" style="110" customWidth="1"/>
    <col min="24" max="25" width="9.28125" style="110" bestFit="1" customWidth="1"/>
    <col min="26" max="26" width="2.421875" style="110" customWidth="1"/>
    <col min="27" max="27" width="8.7109375" style="110" customWidth="1"/>
    <col min="28" max="29" width="11.57421875" style="110" customWidth="1"/>
    <col min="30" max="31" width="9.140625" style="110" customWidth="1"/>
    <col min="32" max="32" width="10.421875" style="110" customWidth="1"/>
    <col min="33" max="35" width="9.140625" style="110" customWidth="1"/>
    <col min="36" max="36" width="8.8515625" style="110" customWidth="1"/>
    <col min="37" max="37" width="8.421875" style="110" customWidth="1"/>
    <col min="38" max="38" width="12.8515625" style="110" customWidth="1"/>
    <col min="39" max="40" width="8.140625" style="110" customWidth="1"/>
    <col min="41" max="41" width="7.28125" style="110" customWidth="1"/>
    <col min="42" max="42" width="8.421875" style="110" customWidth="1"/>
    <col min="43" max="16384" width="9.140625" style="110" customWidth="1"/>
  </cols>
  <sheetData>
    <row r="1" ht="12.75">
      <c r="AP1" s="109"/>
    </row>
    <row r="2" spans="1:44" ht="12.75">
      <c r="A2" s="109"/>
      <c r="B2" s="109"/>
      <c r="C2" s="109"/>
      <c r="D2" s="109" t="s">
        <v>232</v>
      </c>
      <c r="E2" s="109"/>
      <c r="P2" s="109" t="s">
        <v>587</v>
      </c>
      <c r="S2" s="109"/>
      <c r="T2" s="109"/>
      <c r="U2" s="109" t="str">
        <f>D2</f>
        <v>COMPARATIVE COMPANIES</v>
      </c>
      <c r="V2" s="109"/>
      <c r="W2" s="109"/>
      <c r="X2" s="109"/>
      <c r="Y2" s="109"/>
      <c r="Z2" s="109"/>
      <c r="AA2" s="109" t="s">
        <v>588</v>
      </c>
      <c r="AB2" s="109"/>
      <c r="AC2" s="109"/>
      <c r="AD2" s="109"/>
      <c r="AE2" s="109"/>
      <c r="AF2" s="109"/>
      <c r="AG2" s="109"/>
      <c r="AH2" s="109"/>
      <c r="AI2" s="109" t="s">
        <v>84</v>
      </c>
      <c r="AJ2" s="109"/>
      <c r="AK2" s="109"/>
      <c r="AL2" s="109"/>
      <c r="AM2" s="109"/>
      <c r="AN2" s="109"/>
      <c r="AO2" s="109"/>
      <c r="AP2" s="109" t="s">
        <v>636</v>
      </c>
      <c r="AQ2" s="109"/>
      <c r="AR2" s="109"/>
    </row>
    <row r="3" spans="1:44" ht="12.75">
      <c r="A3" s="109"/>
      <c r="B3" s="109"/>
      <c r="C3" s="109"/>
      <c r="D3" s="109" t="s">
        <v>85</v>
      </c>
      <c r="E3" s="109"/>
      <c r="P3" s="60" t="s">
        <v>582</v>
      </c>
      <c r="S3" s="109"/>
      <c r="T3" s="109"/>
      <c r="U3" s="109" t="s">
        <v>86</v>
      </c>
      <c r="V3" s="109"/>
      <c r="W3" s="109"/>
      <c r="X3" s="109"/>
      <c r="Y3" s="109"/>
      <c r="Z3" s="109"/>
      <c r="AA3" s="109" t="str">
        <f>P3</f>
        <v>Docket No. UT-040788</v>
      </c>
      <c r="AB3" s="109"/>
      <c r="AC3" s="109"/>
      <c r="AD3" s="109"/>
      <c r="AE3" s="109"/>
      <c r="AF3" s="109"/>
      <c r="AG3" s="109"/>
      <c r="AH3" s="109"/>
      <c r="AI3" s="109" t="s">
        <v>87</v>
      </c>
      <c r="AJ3" s="109"/>
      <c r="AK3" s="109"/>
      <c r="AL3" s="109"/>
      <c r="AM3" s="109"/>
      <c r="AN3" s="109"/>
      <c r="AO3" s="109"/>
      <c r="AP3" s="109" t="str">
        <f>AA3</f>
        <v>Docket No. UT-040788</v>
      </c>
      <c r="AQ3" s="109"/>
      <c r="AR3" s="109"/>
    </row>
    <row r="4" spans="1:44" ht="12.75">
      <c r="A4" s="109"/>
      <c r="B4" s="109"/>
      <c r="C4" s="109"/>
      <c r="D4" s="109"/>
      <c r="E4" s="109"/>
      <c r="P4" s="60" t="s">
        <v>614</v>
      </c>
      <c r="S4" s="109"/>
      <c r="T4" s="109"/>
      <c r="U4" s="109"/>
      <c r="V4" s="109"/>
      <c r="W4" s="109"/>
      <c r="X4" s="109"/>
      <c r="Y4" s="109"/>
      <c r="Z4" s="109"/>
      <c r="AA4" s="109" t="s">
        <v>615</v>
      </c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 t="s">
        <v>616</v>
      </c>
      <c r="AQ4" s="109"/>
      <c r="AR4" s="109"/>
    </row>
    <row r="5" spans="1:44" ht="12.75">
      <c r="A5" s="109"/>
      <c r="B5" s="109"/>
      <c r="C5" s="109"/>
      <c r="D5" s="109"/>
      <c r="E5" s="109"/>
      <c r="S5" s="109"/>
      <c r="T5" s="109"/>
      <c r="U5" s="109"/>
      <c r="V5" s="109"/>
      <c r="W5" s="109"/>
      <c r="X5" s="109"/>
      <c r="Y5" s="109"/>
      <c r="Z5" s="109"/>
      <c r="AA5" s="14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49"/>
      <c r="AQ5" s="109"/>
      <c r="AR5" s="109"/>
    </row>
    <row r="6" spans="2:44" ht="12.75" customHeight="1">
      <c r="B6" s="112"/>
      <c r="D6" s="112"/>
      <c r="E6" s="112" t="s">
        <v>64</v>
      </c>
      <c r="F6" s="112" t="s">
        <v>65</v>
      </c>
      <c r="G6" s="112" t="s">
        <v>66</v>
      </c>
      <c r="H6" s="112" t="s">
        <v>67</v>
      </c>
      <c r="I6" s="112"/>
      <c r="J6" s="112" t="s">
        <v>68</v>
      </c>
      <c r="K6" s="112" t="s">
        <v>69</v>
      </c>
      <c r="L6" s="112" t="s">
        <v>70</v>
      </c>
      <c r="N6" s="112" t="s">
        <v>71</v>
      </c>
      <c r="O6" s="112" t="s">
        <v>72</v>
      </c>
      <c r="P6" s="112" t="s">
        <v>73</v>
      </c>
      <c r="Q6" s="112" t="s">
        <v>74</v>
      </c>
      <c r="R6" s="112" t="s">
        <v>75</v>
      </c>
      <c r="S6" s="112"/>
      <c r="T6" s="112"/>
      <c r="U6" s="112"/>
      <c r="V6" s="112"/>
      <c r="W6" s="112"/>
      <c r="X6" s="112" t="s">
        <v>64</v>
      </c>
      <c r="Y6" s="112" t="s">
        <v>65</v>
      </c>
      <c r="Z6" s="112"/>
      <c r="AA6" s="112" t="s">
        <v>66</v>
      </c>
      <c r="AB6" s="112" t="s">
        <v>67</v>
      </c>
      <c r="AC6" s="112"/>
      <c r="AD6" s="112"/>
      <c r="AE6" s="112"/>
      <c r="AF6" s="112"/>
      <c r="AG6" s="112"/>
      <c r="AH6" s="112"/>
      <c r="AI6" s="112"/>
      <c r="AJ6" s="112"/>
      <c r="AK6" s="112"/>
      <c r="AL6" s="112" t="s">
        <v>94</v>
      </c>
      <c r="AM6" s="112" t="s">
        <v>95</v>
      </c>
      <c r="AN6" s="112" t="s">
        <v>95</v>
      </c>
      <c r="AO6" s="112" t="s">
        <v>77</v>
      </c>
      <c r="AP6" s="112" t="s">
        <v>92</v>
      </c>
      <c r="AQ6" s="112"/>
      <c r="AR6" s="112"/>
    </row>
    <row r="7" spans="4:44" ht="12.75" customHeight="1">
      <c r="D7" s="112"/>
      <c r="E7" s="112" t="s">
        <v>78</v>
      </c>
      <c r="F7" s="112" t="s">
        <v>78</v>
      </c>
      <c r="G7" s="112" t="s">
        <v>78</v>
      </c>
      <c r="H7" s="112" t="s">
        <v>78</v>
      </c>
      <c r="I7" s="112"/>
      <c r="J7" s="113"/>
      <c r="K7" s="113" t="s">
        <v>88</v>
      </c>
      <c r="L7" s="113"/>
      <c r="N7" s="114" t="s">
        <v>89</v>
      </c>
      <c r="O7" s="113"/>
      <c r="P7" s="112"/>
      <c r="Q7" s="114" t="s">
        <v>18</v>
      </c>
      <c r="R7" s="113"/>
      <c r="S7" s="112"/>
      <c r="T7" s="112"/>
      <c r="U7" s="112"/>
      <c r="V7" s="112"/>
      <c r="W7" s="112"/>
      <c r="X7" s="112" t="s">
        <v>90</v>
      </c>
      <c r="Y7" s="112" t="s">
        <v>90</v>
      </c>
      <c r="Z7" s="112"/>
      <c r="AA7" s="112" t="s">
        <v>91</v>
      </c>
      <c r="AB7" s="112" t="s">
        <v>82</v>
      </c>
      <c r="AC7" s="112" t="s">
        <v>92</v>
      </c>
      <c r="AD7" s="112"/>
      <c r="AE7" s="112"/>
      <c r="AF7" s="112"/>
      <c r="AG7" s="112"/>
      <c r="AH7" s="112"/>
      <c r="AI7" s="112" t="s">
        <v>16</v>
      </c>
      <c r="AJ7" s="112" t="s">
        <v>77</v>
      </c>
      <c r="AK7" s="112" t="s">
        <v>93</v>
      </c>
      <c r="AL7" s="112" t="s">
        <v>104</v>
      </c>
      <c r="AM7" s="112" t="s">
        <v>105</v>
      </c>
      <c r="AN7" s="112" t="s">
        <v>105</v>
      </c>
      <c r="AO7" s="112">
        <f>AJ8+5</f>
        <v>2008</v>
      </c>
      <c r="AP7" s="112" t="s">
        <v>79</v>
      </c>
      <c r="AQ7" s="112"/>
      <c r="AR7" s="112" t="s">
        <v>242</v>
      </c>
    </row>
    <row r="8" spans="4:44" ht="12" customHeight="1">
      <c r="D8" s="112" t="s">
        <v>96</v>
      </c>
      <c r="E8" s="112" t="s">
        <v>97</v>
      </c>
      <c r="F8" s="112" t="s">
        <v>97</v>
      </c>
      <c r="G8" s="112" t="s">
        <v>97</v>
      </c>
      <c r="H8" s="112" t="s">
        <v>97</v>
      </c>
      <c r="I8" s="112"/>
      <c r="J8" s="112" t="s">
        <v>98</v>
      </c>
      <c r="K8" s="112" t="s">
        <v>99</v>
      </c>
      <c r="L8" s="112" t="s">
        <v>100</v>
      </c>
      <c r="N8" s="112" t="str">
        <f>J8</f>
        <v>At</v>
      </c>
      <c r="O8" s="112" t="s">
        <v>101</v>
      </c>
      <c r="P8" s="112"/>
      <c r="Q8" s="112" t="str">
        <f>J8</f>
        <v>At</v>
      </c>
      <c r="R8" s="112" t="s">
        <v>101</v>
      </c>
      <c r="S8" s="112"/>
      <c r="T8" s="112"/>
      <c r="U8" s="112"/>
      <c r="V8" s="112"/>
      <c r="W8" s="112"/>
      <c r="X8" s="112">
        <v>2002</v>
      </c>
      <c r="Y8" s="112">
        <v>2003</v>
      </c>
      <c r="Z8" s="112"/>
      <c r="AA8" s="112" t="s">
        <v>102</v>
      </c>
      <c r="AB8" s="112" t="s">
        <v>103</v>
      </c>
      <c r="AC8" s="112" t="s">
        <v>79</v>
      </c>
      <c r="AD8" s="112"/>
      <c r="AE8" s="112"/>
      <c r="AF8" s="112"/>
      <c r="AG8" s="112"/>
      <c r="AH8" s="112"/>
      <c r="AI8" s="112" t="s">
        <v>78</v>
      </c>
      <c r="AJ8" s="112">
        <f>Y8</f>
        <v>2003</v>
      </c>
      <c r="AK8" s="112"/>
      <c r="AL8" s="112" t="s">
        <v>109</v>
      </c>
      <c r="AM8" s="112">
        <f>AN8-1</f>
        <v>2007</v>
      </c>
      <c r="AN8" s="112">
        <f>AJ8+5</f>
        <v>2008</v>
      </c>
      <c r="AO8" s="112" t="s">
        <v>110</v>
      </c>
      <c r="AP8" s="112" t="s">
        <v>111</v>
      </c>
      <c r="AQ8" s="112"/>
      <c r="AR8" s="112" t="s">
        <v>243</v>
      </c>
    </row>
    <row r="9" spans="4:44" ht="12.75" customHeight="1">
      <c r="D9" s="112" t="s">
        <v>106</v>
      </c>
      <c r="E9" s="115" t="s">
        <v>213</v>
      </c>
      <c r="F9" s="115" t="s">
        <v>346</v>
      </c>
      <c r="G9" s="115" t="s">
        <v>345</v>
      </c>
      <c r="H9" s="115" t="s">
        <v>352</v>
      </c>
      <c r="I9" s="115"/>
      <c r="J9" s="201">
        <v>38230</v>
      </c>
      <c r="K9" s="112" t="s">
        <v>76</v>
      </c>
      <c r="L9" s="112" t="s">
        <v>76</v>
      </c>
      <c r="M9" s="112"/>
      <c r="N9" s="201">
        <f>J9</f>
        <v>38230</v>
      </c>
      <c r="O9" s="112" t="s">
        <v>107</v>
      </c>
      <c r="P9" s="112" t="s">
        <v>80</v>
      </c>
      <c r="Q9" s="116">
        <f>N9</f>
        <v>38230</v>
      </c>
      <c r="R9" s="112" t="s">
        <v>107</v>
      </c>
      <c r="S9" s="112"/>
      <c r="T9" s="112"/>
      <c r="U9" s="112"/>
      <c r="V9" s="112"/>
      <c r="W9" s="112"/>
      <c r="X9" s="112"/>
      <c r="Y9" s="112"/>
      <c r="Z9" s="112"/>
      <c r="AA9" s="112">
        <f>Y8</f>
        <v>2003</v>
      </c>
      <c r="AB9" s="112" t="s">
        <v>108</v>
      </c>
      <c r="AC9" s="112">
        <f>X8</f>
        <v>2002</v>
      </c>
      <c r="AD9" s="112"/>
      <c r="AE9" s="112"/>
      <c r="AF9" s="112"/>
      <c r="AG9" s="112"/>
      <c r="AH9" s="112"/>
      <c r="AI9" s="112" t="str">
        <f>G6</f>
        <v>[3]</v>
      </c>
      <c r="AJ9" s="112"/>
      <c r="AK9" s="112"/>
      <c r="AL9" s="112" t="s">
        <v>112</v>
      </c>
      <c r="AM9" s="112" t="str">
        <f>AN9</f>
        <v>at Zack's </v>
      </c>
      <c r="AN9" s="112" t="s">
        <v>113</v>
      </c>
      <c r="AO9" s="112" t="s">
        <v>94</v>
      </c>
      <c r="AP9" s="112" t="s">
        <v>94</v>
      </c>
      <c r="AQ9" s="112"/>
      <c r="AR9" s="112" t="s">
        <v>241</v>
      </c>
    </row>
    <row r="10" spans="4:44" ht="11.25" customHeight="1">
      <c r="D10" s="112"/>
      <c r="E10" s="116"/>
      <c r="F10" s="116"/>
      <c r="G10" s="116"/>
      <c r="H10" s="116"/>
      <c r="I10" s="117"/>
      <c r="J10" s="116"/>
      <c r="K10" s="112"/>
      <c r="L10" s="112"/>
      <c r="M10" s="112"/>
      <c r="N10" s="112"/>
      <c r="O10" s="112" t="s">
        <v>76</v>
      </c>
      <c r="P10" s="112" t="s">
        <v>23</v>
      </c>
      <c r="Q10" s="112"/>
      <c r="R10" s="112" t="s">
        <v>76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6"/>
      <c r="AC10" s="112"/>
      <c r="AD10" s="112"/>
      <c r="AE10" s="112"/>
      <c r="AF10" s="112"/>
      <c r="AG10" s="112"/>
      <c r="AH10" s="112"/>
      <c r="AJ10" s="112"/>
      <c r="AK10" s="112"/>
      <c r="AL10" s="116">
        <v>38250</v>
      </c>
      <c r="AM10" s="112" t="str">
        <f>AN10</f>
        <v>Growth</v>
      </c>
      <c r="AN10" s="112" t="s">
        <v>114</v>
      </c>
      <c r="AO10" s="112" t="s">
        <v>114</v>
      </c>
      <c r="AP10" s="112" t="s">
        <v>114</v>
      </c>
      <c r="AQ10" s="112"/>
      <c r="AR10" s="112"/>
    </row>
    <row r="11" spans="4:44" ht="12" customHeight="1">
      <c r="D11" s="112"/>
      <c r="E11" s="112" t="s">
        <v>8</v>
      </c>
      <c r="F11" s="112" t="str">
        <f>E11</f>
        <v>[A]</v>
      </c>
      <c r="G11" s="112" t="str">
        <f>F11</f>
        <v>[A]</v>
      </c>
      <c r="H11" s="112" t="str">
        <f>G11</f>
        <v>[A]</v>
      </c>
      <c r="I11" s="117"/>
      <c r="J11" s="112" t="s">
        <v>10</v>
      </c>
      <c r="K11" s="112" t="s">
        <v>10</v>
      </c>
      <c r="L11" s="112" t="s">
        <v>10</v>
      </c>
      <c r="M11" s="112"/>
      <c r="N11" s="112" t="s">
        <v>11</v>
      </c>
      <c r="O11" s="112" t="s">
        <v>11</v>
      </c>
      <c r="P11" s="112" t="s">
        <v>8</v>
      </c>
      <c r="Q11" s="112" t="s">
        <v>13</v>
      </c>
      <c r="R11" s="112" t="s">
        <v>13</v>
      </c>
      <c r="S11" s="112"/>
      <c r="T11" s="112"/>
      <c r="U11" s="112"/>
      <c r="V11" s="112"/>
      <c r="W11" s="112"/>
      <c r="X11" s="112" t="s">
        <v>8</v>
      </c>
      <c r="Y11" s="112" t="s">
        <v>8</v>
      </c>
      <c r="Z11" s="112"/>
      <c r="AA11" s="112" t="s">
        <v>10</v>
      </c>
      <c r="AB11" s="112" t="s">
        <v>8</v>
      </c>
      <c r="AC11" s="112"/>
      <c r="AD11" s="112"/>
      <c r="AE11" s="112"/>
      <c r="AF11" s="112"/>
      <c r="AG11" s="112"/>
      <c r="AH11" s="112"/>
      <c r="AI11" s="112" t="s">
        <v>8</v>
      </c>
      <c r="AJ11" s="112" t="s">
        <v>8</v>
      </c>
      <c r="AK11" s="112" t="s">
        <v>10</v>
      </c>
      <c r="AL11" s="112" t="s">
        <v>10</v>
      </c>
      <c r="AM11" s="112" t="s">
        <v>11</v>
      </c>
      <c r="AN11" s="112" t="s">
        <v>11</v>
      </c>
      <c r="AO11" s="112" t="s">
        <v>11</v>
      </c>
      <c r="AP11" s="112" t="s">
        <v>11</v>
      </c>
      <c r="AQ11" s="112"/>
      <c r="AR11" s="112" t="str">
        <f>AI11</f>
        <v>[A]</v>
      </c>
    </row>
    <row r="12" spans="7:45" ht="11.25" customHeight="1">
      <c r="G12" s="119"/>
      <c r="AS12" s="186"/>
    </row>
    <row r="13" spans="1:45" ht="11.25" customHeight="1">
      <c r="A13" s="109"/>
      <c r="AS13" s="186"/>
    </row>
    <row r="14" spans="1:45" ht="11.25" customHeight="1">
      <c r="A14" s="110" t="s">
        <v>335</v>
      </c>
      <c r="D14" s="110">
        <v>5</v>
      </c>
      <c r="E14" s="120">
        <v>9.03</v>
      </c>
      <c r="F14" s="120">
        <v>9.9</v>
      </c>
      <c r="G14" s="257">
        <v>9.51</v>
      </c>
      <c r="H14" s="134">
        <v>10.77</v>
      </c>
      <c r="I14" s="94"/>
      <c r="J14" s="120">
        <v>26.76</v>
      </c>
      <c r="K14" s="120">
        <v>31</v>
      </c>
      <c r="L14" s="120">
        <v>23.15</v>
      </c>
      <c r="M14" s="149"/>
      <c r="N14" s="177">
        <f>J14/H14</f>
        <v>2.484679665738162</v>
      </c>
      <c r="O14" s="177">
        <f>((K14+L14)/2)/((G14+H14)/2)</f>
        <v>2.670118343195266</v>
      </c>
      <c r="P14" s="122">
        <v>1</v>
      </c>
      <c r="Q14" s="178">
        <f>P14/J14</f>
        <v>0.03736920777279521</v>
      </c>
      <c r="R14" s="178">
        <f>P14/((K14+L14)/2)</f>
        <v>0.03693444136657433</v>
      </c>
      <c r="S14" s="178"/>
      <c r="T14" s="179"/>
      <c r="U14" s="180" t="str">
        <f>A14</f>
        <v>Bell South</v>
      </c>
      <c r="V14" s="178"/>
      <c r="W14" s="178"/>
      <c r="X14" s="122">
        <v>1.13</v>
      </c>
      <c r="Y14" s="122">
        <v>2.07</v>
      </c>
      <c r="Z14" s="125"/>
      <c r="AA14" s="178">
        <f>Y14/((H14+G14)/2)</f>
        <v>0.2041420118343195</v>
      </c>
      <c r="AB14" s="126">
        <v>0.16</v>
      </c>
      <c r="AC14" s="178">
        <f>X14/((G14+F14)/2)</f>
        <v>0.11643482740855228</v>
      </c>
      <c r="AD14" s="94"/>
      <c r="AE14" s="149" t="str">
        <f>U14</f>
        <v>Bell South</v>
      </c>
      <c r="AF14" s="175"/>
      <c r="AG14" s="175"/>
      <c r="AH14" s="175"/>
      <c r="AI14" s="181">
        <f>H14</f>
        <v>10.77</v>
      </c>
      <c r="AJ14" s="181">
        <f>Y14</f>
        <v>2.07</v>
      </c>
      <c r="AK14" s="181">
        <f>P14</f>
        <v>1</v>
      </c>
      <c r="AL14" s="127">
        <v>0.05</v>
      </c>
      <c r="AM14" s="181">
        <f>AI14+(AJ14*(1+AL14)-(AK14*(1+AL14)))+(AJ14*(1+AL14)^2-AK14*(1+AL14)^2)+(AJ14*(1+AL14)^3-AK14*(1+AL14)^3)+(AJ14*(1+AL14)^4-AK14*(1+AL14)^4)</f>
        <v>15.612425437499999</v>
      </c>
      <c r="AN14" s="182">
        <f>AI14+(AJ14*(1+AL14)-(AK14*(1+AL14)))+(AJ14*(1+AL14)^2-AK14*(1+AL14)^2)+(AJ14*(1+AL14)^3-AK14*(1+AL14)^3)+(AJ14*(1+AL14)^4-AK14*(1+AL14)^4)+(AJ14*(1+AL14)^5-AK14*(1+AL14)^5)</f>
        <v>16.978046709375</v>
      </c>
      <c r="AO14" s="182">
        <f>AJ14*(AL14+1)^5</f>
        <v>2.641902834375</v>
      </c>
      <c r="AP14" s="178">
        <f>AO14/((AN14+AM14)/2)</f>
        <v>0.16212731269855654</v>
      </c>
      <c r="AQ14" s="178" t="s">
        <v>340</v>
      </c>
      <c r="AR14" s="183">
        <v>0.95</v>
      </c>
      <c r="AS14" s="186"/>
    </row>
    <row r="15" spans="1:45" ht="11.25" customHeight="1">
      <c r="A15" s="110" t="s">
        <v>336</v>
      </c>
      <c r="D15" s="110">
        <v>5</v>
      </c>
      <c r="E15" s="120">
        <v>9</v>
      </c>
      <c r="F15" s="120">
        <v>9.69</v>
      </c>
      <c r="G15" s="257">
        <v>10.01</v>
      </c>
      <c r="H15" s="134">
        <v>11.57</v>
      </c>
      <c r="I15" s="94"/>
      <c r="J15" s="120">
        <v>25.79</v>
      </c>
      <c r="K15" s="120">
        <v>27.73</v>
      </c>
      <c r="L15" s="120">
        <v>21.16</v>
      </c>
      <c r="M15" s="149">
        <v>25.25</v>
      </c>
      <c r="N15" s="177">
        <f>J15/H15</f>
        <v>2.229040622299049</v>
      </c>
      <c r="O15" s="177">
        <f>((K15+L15)/2)/((G15+H15)/2)</f>
        <v>2.2655236329935127</v>
      </c>
      <c r="P15" s="122">
        <f>0.313*4</f>
        <v>1.252</v>
      </c>
      <c r="Q15" s="178">
        <f>P15/J15</f>
        <v>0.048545948041876695</v>
      </c>
      <c r="R15" s="178">
        <f>P15/((K15+L15)/2)</f>
        <v>0.05121701779505011</v>
      </c>
      <c r="S15" s="178"/>
      <c r="T15" s="179"/>
      <c r="U15" s="180" t="str">
        <f>A15</f>
        <v>SBC Communications</v>
      </c>
      <c r="V15" s="178"/>
      <c r="W15" s="178"/>
      <c r="X15" s="122">
        <v>2.16</v>
      </c>
      <c r="Y15" s="122">
        <v>1.52</v>
      </c>
      <c r="Z15" s="125"/>
      <c r="AA15" s="178">
        <f>Y15/((H15+G15)/2)</f>
        <v>0.14087117701575536</v>
      </c>
      <c r="AB15" s="126">
        <v>0.135</v>
      </c>
      <c r="AC15" s="178">
        <f>X15/((G15+F15)/2)</f>
        <v>0.21928934010152287</v>
      </c>
      <c r="AD15" s="94"/>
      <c r="AE15" s="149" t="str">
        <f>U15</f>
        <v>SBC Communications</v>
      </c>
      <c r="AF15" s="175"/>
      <c r="AG15" s="175"/>
      <c r="AH15" s="175"/>
      <c r="AI15" s="181">
        <f>H15</f>
        <v>11.57</v>
      </c>
      <c r="AJ15" s="181">
        <f>Y15</f>
        <v>1.52</v>
      </c>
      <c r="AK15" s="181">
        <f>P15</f>
        <v>1.252</v>
      </c>
      <c r="AL15" s="127">
        <v>0.063</v>
      </c>
      <c r="AM15" s="181">
        <f>AI15+(AJ15*(1+AL15)-(AK15*(1+AL15)))+(AJ15*(1+AL15)^2-AK15*(1+AL15)^2)+(AJ15*(1+AL15)^3-AK15*(1+AL15)^3)+(AJ15*(1+AL15)^4-AK15*(1+AL15)^4)</f>
        <v>12.82181620477355</v>
      </c>
      <c r="AN15" s="182">
        <f>AI15+(AJ15*(1+AL15)-(AK15*(1+AL15)))+(AJ15*(1+AL15)^2-AK15*(1+AL15)^2)+(AJ15*(1+AL15)^3-AK15*(1+AL15)^3)+(AJ15*(1+AL15)^4-AK15*(1+AL15)^4)+(AJ15*(1+AL15)^5-AK15*(1+AL15)^5)</f>
        <v>13.185564625674283</v>
      </c>
      <c r="AO15" s="182">
        <f>AJ15*(AL15+1)^5</f>
        <v>2.0630507454071445</v>
      </c>
      <c r="AP15" s="178">
        <f>AO15/((AN15+AM15)/2)</f>
        <v>0.1586511735923713</v>
      </c>
      <c r="AQ15" s="178" t="s">
        <v>339</v>
      </c>
      <c r="AR15" s="183">
        <v>1.05</v>
      </c>
      <c r="AS15" s="186"/>
    </row>
    <row r="16" spans="1:45" ht="11.25" customHeight="1">
      <c r="A16" s="110" t="s">
        <v>337</v>
      </c>
      <c r="D16" s="110">
        <v>5</v>
      </c>
      <c r="E16" s="120">
        <v>12.79</v>
      </c>
      <c r="F16" s="129">
        <v>11.98</v>
      </c>
      <c r="G16" s="257">
        <v>11.88</v>
      </c>
      <c r="H16" s="134">
        <v>12.08</v>
      </c>
      <c r="I16" s="94"/>
      <c r="J16" s="129">
        <v>39.25</v>
      </c>
      <c r="K16" s="129">
        <v>39.8</v>
      </c>
      <c r="L16" s="129">
        <v>32.44</v>
      </c>
      <c r="M16" s="149">
        <v>25.25</v>
      </c>
      <c r="N16" s="227">
        <f>J16/H16</f>
        <v>3.2491721854304636</v>
      </c>
      <c r="O16" s="227">
        <f>((K16+L16)/2)/((G16+H16)/2)</f>
        <v>3.0150250417362265</v>
      </c>
      <c r="P16" s="131">
        <f>0.385*4</f>
        <v>1.54</v>
      </c>
      <c r="Q16" s="208">
        <f>P16/J16</f>
        <v>0.03923566878980892</v>
      </c>
      <c r="R16" s="208">
        <f>P16/((K16+L16)/2)</f>
        <v>0.04263565891472869</v>
      </c>
      <c r="S16" s="178"/>
      <c r="T16" s="179"/>
      <c r="U16" s="180" t="str">
        <f>A16</f>
        <v>Verizon</v>
      </c>
      <c r="V16" s="178"/>
      <c r="W16" s="178"/>
      <c r="X16" s="131">
        <v>3.05</v>
      </c>
      <c r="Y16" s="131">
        <v>2.62</v>
      </c>
      <c r="Z16" s="125"/>
      <c r="AA16" s="208">
        <f>Y16/((H16+G16)/2)</f>
        <v>0.21869782971619367</v>
      </c>
      <c r="AB16" s="228">
        <v>0.165</v>
      </c>
      <c r="AC16" s="208">
        <f>X16/((G16+F16)/2)</f>
        <v>0.2556580050293378</v>
      </c>
      <c r="AD16" s="94"/>
      <c r="AE16" s="149" t="str">
        <f>U16</f>
        <v>Verizon</v>
      </c>
      <c r="AF16" s="175"/>
      <c r="AG16" s="175"/>
      <c r="AH16" s="175"/>
      <c r="AI16" s="206">
        <f>H16</f>
        <v>12.08</v>
      </c>
      <c r="AJ16" s="206">
        <f>Y16</f>
        <v>2.62</v>
      </c>
      <c r="AK16" s="206">
        <f>P16</f>
        <v>1.54</v>
      </c>
      <c r="AL16" s="234">
        <v>0.052</v>
      </c>
      <c r="AM16" s="206">
        <f>AI16+(AJ16*(1+AL16)-(AK16*(1+AL16)))+(AJ16*(1+AL16)^2-AK16*(1+AL16)^2)+(AJ16*(1+AL16)^3-AK16*(1+AL16)^3)+(AJ16*(1+AL16)^4-AK16*(1+AL16)^4)</f>
        <v>16.99157037974528</v>
      </c>
      <c r="AN16" s="231">
        <f>AI16+(AJ16*(1+AL16)-(AK16*(1+AL16)))+(AJ16*(1+AL16)^2-AK16*(1+AL16)^2)+(AJ16*(1+AL16)^3-AK16*(1+AL16)^3)+(AJ16*(1+AL16)^4-AK16*(1+AL16)^4)+(AJ16*(1+AL16)^5-AK16*(1+AL16)^5)</f>
        <v>18.383132039492036</v>
      </c>
      <c r="AO16" s="231">
        <f>AJ16*(AL16+1)^5</f>
        <v>3.375825507904165</v>
      </c>
      <c r="AP16" s="208">
        <f>AO16/((AN16+AM16)/2)</f>
        <v>0.19086099822953356</v>
      </c>
      <c r="AQ16" s="178" t="s">
        <v>338</v>
      </c>
      <c r="AR16" s="246">
        <v>1</v>
      </c>
      <c r="AS16" s="186"/>
    </row>
    <row r="17" spans="2:45" ht="11.25" customHeight="1">
      <c r="B17" s="149" t="s">
        <v>81</v>
      </c>
      <c r="E17" s="134">
        <f>AVERAGE(E14:E16)</f>
        <v>10.273333333333333</v>
      </c>
      <c r="F17" s="134">
        <f aca="true" t="shared" si="0" ref="F17:L17">AVERAGE(F14:F16)</f>
        <v>10.523333333333333</v>
      </c>
      <c r="G17" s="134">
        <f t="shared" si="0"/>
        <v>10.466666666666667</v>
      </c>
      <c r="H17" s="134">
        <f t="shared" si="0"/>
        <v>11.473333333333334</v>
      </c>
      <c r="I17" s="94"/>
      <c r="J17" s="134">
        <f t="shared" si="0"/>
        <v>30.599999999999998</v>
      </c>
      <c r="K17" s="134">
        <f t="shared" si="0"/>
        <v>32.843333333333334</v>
      </c>
      <c r="L17" s="134">
        <f t="shared" si="0"/>
        <v>25.583333333333332</v>
      </c>
      <c r="M17" s="118"/>
      <c r="N17" s="144">
        <f>AVERAGE(N14:N16)</f>
        <v>2.654297491155891</v>
      </c>
      <c r="O17" s="144">
        <f>AVERAGE(O14:O16)</f>
        <v>2.650222339308335</v>
      </c>
      <c r="P17" s="118">
        <f>AVERAGE(P14:P16)</f>
        <v>1.264</v>
      </c>
      <c r="Q17" s="146">
        <f>AVERAGE(Q14:Q16)</f>
        <v>0.04171694153482694</v>
      </c>
      <c r="R17" s="146">
        <f>AVERAGE(R14:R16)</f>
        <v>0.04359570602545104</v>
      </c>
      <c r="S17" s="123"/>
      <c r="T17" s="119"/>
      <c r="V17" s="149" t="s">
        <v>81</v>
      </c>
      <c r="X17" s="118">
        <f>AVERAGE(X14:X16)</f>
        <v>2.1133333333333333</v>
      </c>
      <c r="Y17" s="118">
        <f>AVERAGE(Y14:Y16)</f>
        <v>2.07</v>
      </c>
      <c r="Z17" s="125"/>
      <c r="AA17" s="146">
        <f>AVERAGE(AA14:AA16)</f>
        <v>0.18790367285542284</v>
      </c>
      <c r="AB17" s="146">
        <f>AVERAGE(AB14:AB16)</f>
        <v>0.15333333333333335</v>
      </c>
      <c r="AC17" s="146">
        <f>AVERAGE(AC14:AC16)</f>
        <v>0.197127390846471</v>
      </c>
      <c r="AF17" s="149" t="s">
        <v>81</v>
      </c>
      <c r="AH17" s="149"/>
      <c r="AI17" s="128">
        <f>AVERAGE(AI14:AI16)</f>
        <v>11.473333333333334</v>
      </c>
      <c r="AJ17" s="128">
        <f aca="true" t="shared" si="1" ref="AJ17:AO17">AVERAGE(AJ14:AJ16)</f>
        <v>2.07</v>
      </c>
      <c r="AK17" s="128">
        <f t="shared" si="1"/>
        <v>1.264</v>
      </c>
      <c r="AL17" s="174">
        <f t="shared" si="1"/>
        <v>0.055</v>
      </c>
      <c r="AM17" s="128">
        <f t="shared" si="1"/>
        <v>15.141937340672945</v>
      </c>
      <c r="AN17" s="128">
        <f t="shared" si="1"/>
        <v>16.182247791513774</v>
      </c>
      <c r="AO17" s="128">
        <f t="shared" si="1"/>
        <v>2.69359302922877</v>
      </c>
      <c r="AP17" s="233">
        <f>AVERAGE(AP14:AP16)</f>
        <v>0.17054649484015383</v>
      </c>
      <c r="AR17" s="186">
        <f>AVERAGE(AR14:AR16)</f>
        <v>1</v>
      </c>
      <c r="AS17" s="186"/>
    </row>
    <row r="18" spans="2:45" ht="11.25" customHeight="1">
      <c r="B18" s="242" t="s">
        <v>354</v>
      </c>
      <c r="E18" s="257"/>
      <c r="F18" s="134"/>
      <c r="G18" s="257"/>
      <c r="H18" s="134"/>
      <c r="I18" s="94"/>
      <c r="J18" s="134"/>
      <c r="K18" s="134"/>
      <c r="L18" s="134"/>
      <c r="M18" s="118"/>
      <c r="N18" s="241">
        <f>MEDIAN(N14:N16)</f>
        <v>2.484679665738162</v>
      </c>
      <c r="O18" s="241">
        <f>MEDIAN(O14:O16)</f>
        <v>2.670118343195266</v>
      </c>
      <c r="P18" s="118"/>
      <c r="Q18" s="174">
        <f>MEDIAN(Q14:Q16)</f>
        <v>0.03923566878980892</v>
      </c>
      <c r="R18" s="174">
        <f>MEDIAN(R14:R16)</f>
        <v>0.04263565891472869</v>
      </c>
      <c r="S18" s="123"/>
      <c r="T18" s="119"/>
      <c r="V18" s="242" t="s">
        <v>354</v>
      </c>
      <c r="X18" s="118"/>
      <c r="Y18" s="118"/>
      <c r="Z18" s="125"/>
      <c r="AA18" s="146">
        <f>MEDIAN(AA14:AA16)</f>
        <v>0.2041420118343195</v>
      </c>
      <c r="AB18" s="146">
        <f>MEDIAN(AB14:AB16)</f>
        <v>0.16</v>
      </c>
      <c r="AC18" s="146">
        <f>MEDIAN(AC14:AC16)</f>
        <v>0.21928934010152287</v>
      </c>
      <c r="AF18" s="242" t="s">
        <v>354</v>
      </c>
      <c r="AH18" s="247"/>
      <c r="AI18" s="118"/>
      <c r="AJ18" s="118"/>
      <c r="AK18" s="118"/>
      <c r="AL18" s="146">
        <f>MEDIAN(AL14:AL16)</f>
        <v>0.052</v>
      </c>
      <c r="AM18" s="118"/>
      <c r="AN18" s="118"/>
      <c r="AO18" s="118"/>
      <c r="AP18" s="146">
        <f>MEDIAN(AP14:AP16)</f>
        <v>0.16212731269855654</v>
      </c>
      <c r="AR18" s="232">
        <f>MEDIAN(AR14:AR16)</f>
        <v>1</v>
      </c>
      <c r="AS18" s="186"/>
    </row>
    <row r="19" spans="5:45" ht="11.25" customHeight="1">
      <c r="E19" s="134"/>
      <c r="F19" s="134"/>
      <c r="G19" s="257"/>
      <c r="H19" s="134"/>
      <c r="I19" s="94"/>
      <c r="J19" s="134"/>
      <c r="K19" s="134"/>
      <c r="L19" s="134"/>
      <c r="M19" s="118"/>
      <c r="N19" s="144"/>
      <c r="O19" s="144"/>
      <c r="P19" s="118"/>
      <c r="Q19" s="146"/>
      <c r="R19" s="146"/>
      <c r="S19" s="123"/>
      <c r="T19" s="119"/>
      <c r="U19" s="124"/>
      <c r="V19" s="123"/>
      <c r="W19" s="123"/>
      <c r="X19" s="118"/>
      <c r="Y19" s="118"/>
      <c r="Z19" s="125"/>
      <c r="AA19" s="146"/>
      <c r="AB19" s="146"/>
      <c r="AC19" s="146"/>
      <c r="AI19" s="128"/>
      <c r="AJ19" s="128"/>
      <c r="AK19" s="128"/>
      <c r="AL19" s="174"/>
      <c r="AM19" s="128"/>
      <c r="AN19" s="128"/>
      <c r="AO19" s="128"/>
      <c r="AP19" s="233"/>
      <c r="AR19" s="186"/>
      <c r="AS19" s="186"/>
    </row>
    <row r="20" spans="5:45" ht="11.25" customHeight="1">
      <c r="E20" s="257"/>
      <c r="F20" s="134"/>
      <c r="G20" s="257"/>
      <c r="H20" s="134"/>
      <c r="I20" s="94"/>
      <c r="J20" s="134"/>
      <c r="K20" s="134"/>
      <c r="L20" s="134"/>
      <c r="M20" s="118"/>
      <c r="N20" s="144"/>
      <c r="O20" s="144"/>
      <c r="P20" s="118"/>
      <c r="Q20" s="146"/>
      <c r="R20" s="146"/>
      <c r="S20" s="123"/>
      <c r="T20" s="119"/>
      <c r="U20" s="124"/>
      <c r="V20" s="123"/>
      <c r="W20" s="123"/>
      <c r="X20" s="118"/>
      <c r="Y20" s="118"/>
      <c r="Z20" s="125"/>
      <c r="AA20" s="146"/>
      <c r="AB20" s="146"/>
      <c r="AC20" s="146"/>
      <c r="AI20" s="118"/>
      <c r="AJ20" s="118"/>
      <c r="AK20" s="118"/>
      <c r="AL20" s="146"/>
      <c r="AM20" s="118"/>
      <c r="AN20" s="118"/>
      <c r="AO20" s="118"/>
      <c r="AP20" s="146"/>
      <c r="AR20" s="232"/>
      <c r="AS20" s="186"/>
    </row>
    <row r="21" spans="5:45" ht="12.75">
      <c r="E21" s="134"/>
      <c r="F21" s="134"/>
      <c r="G21" s="134"/>
      <c r="H21" s="134"/>
      <c r="I21" s="117"/>
      <c r="J21" s="243"/>
      <c r="K21" s="134"/>
      <c r="L21" s="134"/>
      <c r="M21" s="118"/>
      <c r="N21" s="144"/>
      <c r="O21" s="144"/>
      <c r="P21" s="118"/>
      <c r="Q21" s="146"/>
      <c r="R21" s="146"/>
      <c r="S21" s="123"/>
      <c r="T21" s="119"/>
      <c r="U21" s="123"/>
      <c r="V21" s="123"/>
      <c r="W21" s="123"/>
      <c r="X21" s="118"/>
      <c r="Y21" s="118"/>
      <c r="Z21" s="139"/>
      <c r="AA21" s="146"/>
      <c r="AB21" s="146"/>
      <c r="AC21" s="146"/>
      <c r="AL21" s="146"/>
      <c r="AM21" s="133"/>
      <c r="AP21" s="146"/>
      <c r="AR21" s="186"/>
      <c r="AS21" s="186"/>
    </row>
    <row r="22" spans="1:45" s="109" customFormat="1" ht="12.75" hidden="1">
      <c r="A22" s="109" t="s">
        <v>343</v>
      </c>
      <c r="E22" s="219"/>
      <c r="F22" s="219"/>
      <c r="G22" s="219"/>
      <c r="H22" s="219"/>
      <c r="I22" s="60"/>
      <c r="K22" s="171"/>
      <c r="L22" s="171"/>
      <c r="M22" s="171"/>
      <c r="N22" s="171"/>
      <c r="O22" s="220"/>
      <c r="P22" s="111"/>
      <c r="Q22" s="171"/>
      <c r="R22" s="172"/>
      <c r="S22" s="172"/>
      <c r="T22" s="172"/>
      <c r="U22" s="172" t="str">
        <f>A22</f>
        <v>ELECTRIC COMPANIES </v>
      </c>
      <c r="V22" s="172"/>
      <c r="W22" s="172"/>
      <c r="X22" s="171"/>
      <c r="Y22" s="171"/>
      <c r="Z22" s="221"/>
      <c r="AB22" s="222"/>
      <c r="AE22" s="172" t="str">
        <f>U22</f>
        <v>ELECTRIC COMPANIES </v>
      </c>
      <c r="AL22" s="111"/>
      <c r="AP22" s="111"/>
      <c r="AR22" s="185"/>
      <c r="AS22" s="185"/>
    </row>
    <row r="23" spans="1:45" s="149" customFormat="1" ht="12.75" hidden="1">
      <c r="A23" s="176" t="s">
        <v>308</v>
      </c>
      <c r="D23" s="175">
        <v>5</v>
      </c>
      <c r="E23" s="120">
        <v>23.3</v>
      </c>
      <c r="F23" s="120">
        <v>24.26</v>
      </c>
      <c r="G23" s="120">
        <v>24.93</v>
      </c>
      <c r="H23" s="120">
        <v>26.45</v>
      </c>
      <c r="I23" s="94" t="s">
        <v>207</v>
      </c>
      <c r="J23" s="120">
        <v>46</v>
      </c>
      <c r="K23" s="120">
        <v>46.5</v>
      </c>
      <c r="L23" s="120">
        <v>37.43</v>
      </c>
      <c r="N23" s="177">
        <f aca="true" t="shared" si="2" ref="N23:N31">J23/H23</f>
        <v>1.7391304347826086</v>
      </c>
      <c r="O23" s="177">
        <f aca="true" t="shared" si="3" ref="O23:O31">((K23+L23)/2)/((G23+H23)/2)</f>
        <v>1.633514986376022</v>
      </c>
      <c r="P23" s="122">
        <f>0.635*4</f>
        <v>2.54</v>
      </c>
      <c r="Q23" s="178">
        <f aca="true" t="shared" si="4" ref="Q23:Q31">P23/J23</f>
        <v>0.05521739130434783</v>
      </c>
      <c r="R23" s="178">
        <f aca="true" t="shared" si="5" ref="R23:R31">P23/((K23+L23)/2)</f>
        <v>0.06052662933396878</v>
      </c>
      <c r="S23" s="178"/>
      <c r="T23" s="179"/>
      <c r="U23" s="180" t="str">
        <f aca="true" t="shared" si="6" ref="U23:U38">A23</f>
        <v>Ameren</v>
      </c>
      <c r="V23" s="178"/>
      <c r="W23" s="178"/>
      <c r="X23" s="122">
        <v>2.66</v>
      </c>
      <c r="Y23" s="122">
        <v>2.95</v>
      </c>
      <c r="Z23" s="125" t="s">
        <v>207</v>
      </c>
      <c r="AA23" s="178">
        <f>Y23/((H23+G23)/2)</f>
        <v>0.1148306734137797</v>
      </c>
      <c r="AB23" s="126">
        <v>0.11</v>
      </c>
      <c r="AC23" s="178">
        <f>X23/((G23+F23)/2)</f>
        <v>0.10815206342752592</v>
      </c>
      <c r="AD23" s="94"/>
      <c r="AE23" s="149" t="str">
        <f aca="true" t="shared" si="7" ref="AE23:AE35">U23</f>
        <v>Ameren</v>
      </c>
      <c r="AF23" s="175"/>
      <c r="AG23" s="175"/>
      <c r="AH23" s="175"/>
      <c r="AI23" s="181">
        <f aca="true" t="shared" si="8" ref="AI23:AI38">H23</f>
        <v>26.45</v>
      </c>
      <c r="AJ23" s="181">
        <f aca="true" t="shared" si="9" ref="AJ23:AJ38">Y23</f>
        <v>2.95</v>
      </c>
      <c r="AK23" s="181">
        <f aca="true" t="shared" si="10" ref="AK23:AK38">P23</f>
        <v>2.54</v>
      </c>
      <c r="AL23" s="127">
        <v>0.029</v>
      </c>
      <c r="AM23" s="181">
        <f>AI23+(AJ23*(1+AL23)-(AK23*(1+AL23)))+(AJ23*(1+AL23)^2-AK23*(1+AL23)^2)+(AJ23*(1+AL23)^3-AK23*(1+AL23)^3)+(AJ23*(1+AL23)^4-AK23*(1+AL23)^4)</f>
        <v>28.21239838743521</v>
      </c>
      <c r="AN23" s="182">
        <f>AI23+(AJ23*(1+AL23)-(AK23*(1+AL23)))+(AJ23*(1+AL23)^2-AK23*(1+AL23)^2)+(AJ23*(1+AL23)^3-AK23*(1+AL23)^3)+(AJ23*(1+AL23)^4-AK23*(1+AL23)^4)+(AJ23*(1+AL23)^5-AK23*(1+AL23)^5)</f>
        <v>28.685397940670832</v>
      </c>
      <c r="AO23" s="182">
        <f>AJ23*(AL23+1)^5</f>
        <v>3.403289468402639</v>
      </c>
      <c r="AP23" s="178">
        <f>AO23/((AN23+AM23)/2)</f>
        <v>0.11962816446448214</v>
      </c>
      <c r="AQ23" s="178" t="s">
        <v>309</v>
      </c>
      <c r="AR23" s="183">
        <v>0.7</v>
      </c>
      <c r="AS23" s="205"/>
    </row>
    <row r="24" spans="1:45" s="149" customFormat="1" ht="12.75" hidden="1">
      <c r="A24" s="176" t="s">
        <v>332</v>
      </c>
      <c r="D24" s="175">
        <v>1</v>
      </c>
      <c r="E24" s="120">
        <v>26.32</v>
      </c>
      <c r="F24" s="120">
        <v>27.45</v>
      </c>
      <c r="G24" s="120">
        <v>28.73</v>
      </c>
      <c r="H24" s="120">
        <v>29.85</v>
      </c>
      <c r="I24" s="94" t="s">
        <v>391</v>
      </c>
      <c r="J24" s="120">
        <f>J22/(J18+J16)</f>
        <v>0</v>
      </c>
      <c r="K24" s="120">
        <v>46.1</v>
      </c>
      <c r="L24" s="120">
        <v>37.45</v>
      </c>
      <c r="M24" s="149">
        <v>25.25</v>
      </c>
      <c r="N24" s="177">
        <f t="shared" si="2"/>
        <v>0</v>
      </c>
      <c r="O24" s="177">
        <f t="shared" si="3"/>
        <v>1.426254694434961</v>
      </c>
      <c r="P24" s="122">
        <f>0.56*4</f>
        <v>2.24</v>
      </c>
      <c r="Q24" s="178" t="e">
        <f t="shared" si="4"/>
        <v>#DIV/0!</v>
      </c>
      <c r="R24" s="178">
        <f t="shared" si="5"/>
        <v>0.05362058647516457</v>
      </c>
      <c r="S24" s="178"/>
      <c r="T24" s="179"/>
      <c r="U24" s="180" t="str">
        <f t="shared" si="6"/>
        <v>Progress Energy (CP&amp;L+Florida Progress)</v>
      </c>
      <c r="V24" s="178"/>
      <c r="W24" s="178"/>
      <c r="X24" s="122">
        <v>3.84</v>
      </c>
      <c r="Y24" s="122">
        <v>3.55</v>
      </c>
      <c r="Z24" s="125" t="s">
        <v>207</v>
      </c>
      <c r="AA24" s="178">
        <f aca="true" t="shared" si="11" ref="AA24:AA38">Y24/((H24+G24)/2)</f>
        <v>0.12120177534994879</v>
      </c>
      <c r="AB24" s="126">
        <v>0.11</v>
      </c>
      <c r="AC24" s="178">
        <f aca="true" t="shared" si="12" ref="AC24:AC38">X24/((G24+F24)/2)</f>
        <v>0.13670345318618726</v>
      </c>
      <c r="AD24" s="94"/>
      <c r="AE24" s="149" t="str">
        <f t="shared" si="7"/>
        <v>Progress Energy (CP&amp;L+Florida Progress)</v>
      </c>
      <c r="AF24" s="175"/>
      <c r="AG24" s="175"/>
      <c r="AH24" s="175"/>
      <c r="AI24" s="181">
        <f t="shared" si="8"/>
        <v>29.85</v>
      </c>
      <c r="AJ24" s="181">
        <f t="shared" si="9"/>
        <v>3.55</v>
      </c>
      <c r="AK24" s="181">
        <f t="shared" si="10"/>
        <v>2.24</v>
      </c>
      <c r="AL24" s="127">
        <v>0.044</v>
      </c>
      <c r="AM24" s="181">
        <f>AI24+(AJ24*(1+AL24)-(AK24*(1+AL24)))+(AJ24*(1+AL24)^2-AK24*(1+AL24)^2)+(AJ24*(1+AL24)^3-AK24*(1+AL24)^3)+(AJ24*(1+AL24)^4-AK24*(1+AL24)^4)</f>
        <v>35.69232446520576</v>
      </c>
      <c r="AN24" s="182">
        <f>AI24+(AJ24*(1+AL24)-(AK24*(1+AL24)))+(AJ24*(1+AL24)^2-AK24*(1+AL24)^2)+(AJ24*(1+AL24)^3-AK24*(1+AL24)^3)+(AJ24*(1+AL24)^4-AK24*(1+AL24)^4)+(AJ24*(1+AL24)^5-AK24*(1+AL24)^5)</f>
        <v>37.31702674167481</v>
      </c>
      <c r="AO24" s="182">
        <f>AJ24*(AL24+1)^5</f>
        <v>4.402819146156595</v>
      </c>
      <c r="AP24" s="178">
        <f>AO24/((AN24+AM24)/2)</f>
        <v>0.12060973213364656</v>
      </c>
      <c r="AQ24" s="178" t="s">
        <v>331</v>
      </c>
      <c r="AR24" s="183">
        <v>0.8</v>
      </c>
      <c r="AS24" s="205"/>
    </row>
    <row r="25" spans="1:45" s="149" customFormat="1" ht="12.75" hidden="1">
      <c r="A25" s="149" t="s">
        <v>310</v>
      </c>
      <c r="D25" s="175">
        <v>5</v>
      </c>
      <c r="E25" s="120">
        <v>10.04</v>
      </c>
      <c r="F25" s="120">
        <v>10.69</v>
      </c>
      <c r="G25" s="120">
        <v>11.77</v>
      </c>
      <c r="H25" s="120">
        <v>10.45</v>
      </c>
      <c r="I25" s="94" t="s">
        <v>207</v>
      </c>
      <c r="J25" s="120">
        <v>17.98</v>
      </c>
      <c r="K25" s="120">
        <v>18.36</v>
      </c>
      <c r="L25" s="120">
        <v>10.95</v>
      </c>
      <c r="M25" s="149">
        <v>25.25</v>
      </c>
      <c r="N25" s="177">
        <f t="shared" si="2"/>
        <v>1.720574162679426</v>
      </c>
      <c r="O25" s="177">
        <f t="shared" si="3"/>
        <v>1.3190819081908192</v>
      </c>
      <c r="P25" s="122">
        <f>0.225*4</f>
        <v>0.9</v>
      </c>
      <c r="Q25" s="178">
        <f t="shared" si="4"/>
        <v>0.05005561735261402</v>
      </c>
      <c r="R25" s="178">
        <f t="shared" si="5"/>
        <v>0.061412487205731836</v>
      </c>
      <c r="S25" s="178"/>
      <c r="T25" s="179"/>
      <c r="U25" s="180" t="str">
        <f t="shared" si="6"/>
        <v>Cleco Corporation</v>
      </c>
      <c r="V25" s="178"/>
      <c r="W25" s="178"/>
      <c r="X25" s="122">
        <v>1.52</v>
      </c>
      <c r="Y25" s="122">
        <v>1.35</v>
      </c>
      <c r="Z25" s="125" t="s">
        <v>207</v>
      </c>
      <c r="AA25" s="178">
        <f t="shared" si="11"/>
        <v>0.12151215121512153</v>
      </c>
      <c r="AB25" s="126">
        <v>0.125</v>
      </c>
      <c r="AC25" s="178">
        <f t="shared" si="12"/>
        <v>0.13535173642030277</v>
      </c>
      <c r="AD25" s="94"/>
      <c r="AE25" s="149" t="str">
        <f t="shared" si="7"/>
        <v>Cleco Corporation</v>
      </c>
      <c r="AF25" s="175"/>
      <c r="AG25" s="175"/>
      <c r="AH25" s="175"/>
      <c r="AI25" s="181">
        <f t="shared" si="8"/>
        <v>10.45</v>
      </c>
      <c r="AJ25" s="181">
        <f t="shared" si="9"/>
        <v>1.35</v>
      </c>
      <c r="AK25" s="181">
        <f t="shared" si="10"/>
        <v>0.9</v>
      </c>
      <c r="AL25" s="127" t="s">
        <v>353</v>
      </c>
      <c r="AM25" s="181"/>
      <c r="AN25" s="182"/>
      <c r="AO25" s="182"/>
      <c r="AP25" s="178"/>
      <c r="AQ25" s="178" t="s">
        <v>311</v>
      </c>
      <c r="AR25" s="183">
        <v>1</v>
      </c>
      <c r="AS25" s="205"/>
    </row>
    <row r="26" spans="1:45" s="149" customFormat="1" ht="12.75" hidden="1">
      <c r="A26" s="176" t="s">
        <v>312</v>
      </c>
      <c r="B26" s="149" t="s">
        <v>611</v>
      </c>
      <c r="D26" s="175">
        <v>1</v>
      </c>
      <c r="E26" s="120">
        <v>25.81</v>
      </c>
      <c r="F26" s="120">
        <v>26.71</v>
      </c>
      <c r="G26" s="120">
        <v>27.68</v>
      </c>
      <c r="H26" s="120">
        <v>28.8</v>
      </c>
      <c r="I26" s="94" t="s">
        <v>207</v>
      </c>
      <c r="J26" s="120">
        <v>43.01</v>
      </c>
      <c r="K26" s="120">
        <v>46.02</v>
      </c>
      <c r="L26" s="120">
        <v>36.55</v>
      </c>
      <c r="M26" s="149">
        <v>25.25</v>
      </c>
      <c r="N26" s="177">
        <f t="shared" si="2"/>
        <v>1.4934027777777776</v>
      </c>
      <c r="O26" s="177">
        <f t="shared" si="3"/>
        <v>1.4619334277620395</v>
      </c>
      <c r="P26" s="122">
        <f>0.56*4</f>
        <v>2.24</v>
      </c>
      <c r="Q26" s="178">
        <f t="shared" si="4"/>
        <v>0.05208091141594979</v>
      </c>
      <c r="R26" s="178">
        <f t="shared" si="5"/>
        <v>0.05425699406564129</v>
      </c>
      <c r="S26" s="178"/>
      <c r="T26" s="179"/>
      <c r="U26" s="180" t="str">
        <f t="shared" si="6"/>
        <v>Con Edison</v>
      </c>
      <c r="V26" s="178"/>
      <c r="W26" s="178"/>
      <c r="X26" s="122">
        <v>3.13</v>
      </c>
      <c r="Y26" s="122">
        <v>2.85</v>
      </c>
      <c r="Z26" s="125" t="s">
        <v>207</v>
      </c>
      <c r="AA26" s="178">
        <f t="shared" si="11"/>
        <v>0.10092067988668554</v>
      </c>
      <c r="AB26" s="126">
        <v>0.1</v>
      </c>
      <c r="AC26" s="178">
        <f t="shared" si="12"/>
        <v>0.11509468652325795</v>
      </c>
      <c r="AD26" s="94"/>
      <c r="AE26" s="149" t="str">
        <f t="shared" si="7"/>
        <v>Con Edison</v>
      </c>
      <c r="AF26" s="175"/>
      <c r="AG26" s="175"/>
      <c r="AH26" s="175"/>
      <c r="AI26" s="181">
        <f t="shared" si="8"/>
        <v>28.8</v>
      </c>
      <c r="AJ26" s="181">
        <f t="shared" si="9"/>
        <v>2.85</v>
      </c>
      <c r="AK26" s="181">
        <f t="shared" si="10"/>
        <v>2.24</v>
      </c>
      <c r="AL26" s="127">
        <v>0.032</v>
      </c>
      <c r="AM26" s="181">
        <f aca="true" t="shared" si="13" ref="AM26:AM32">AI26+(AJ26*(1+AL26)-(AK26*(1+AL26)))+(AJ26*(1+AL26)^2-AK26*(1+AL26)^2)+(AJ26*(1+AL26)^3-AK26*(1+AL26)^3)+(AJ26*(1+AL26)^4-AK26*(1+AL26)^4)</f>
        <v>31.44154698203136</v>
      </c>
      <c r="AN26" s="182">
        <f aca="true" t="shared" si="14" ref="AN26:AN32">AI26+(AJ26*(1+AL26)-(AK26*(1+AL26)))+(AJ26*(1+AL26)^2-AK26*(1+AL26)^2)+(AJ26*(1+AL26)^3-AK26*(1+AL26)^3)+(AJ26*(1+AL26)^4-AK26*(1+AL26)^4)+(AJ26*(1+AL26)^5-AK26*(1+AL26)^5)</f>
        <v>32.155596485456364</v>
      </c>
      <c r="AO26" s="182">
        <f aca="true" t="shared" si="15" ref="AO26:AO32">AJ26*(AL26+1)^5</f>
        <v>3.3361329258381316</v>
      </c>
      <c r="AP26" s="178">
        <f aca="true" t="shared" si="16" ref="AP26:AP32">AO26/((AN26+AM26)/2)</f>
        <v>0.10491455257085995</v>
      </c>
      <c r="AQ26" s="178" t="s">
        <v>313</v>
      </c>
      <c r="AR26" s="183">
        <v>0.6</v>
      </c>
      <c r="AS26" s="205"/>
    </row>
    <row r="27" spans="1:45" s="149" customFormat="1" ht="12.75" hidden="1">
      <c r="A27" s="176" t="s">
        <v>83</v>
      </c>
      <c r="D27" s="175">
        <v>5</v>
      </c>
      <c r="E27" s="120">
        <v>6.8</v>
      </c>
      <c r="F27" s="120">
        <v>6.31</v>
      </c>
      <c r="G27" s="120">
        <v>6.38</v>
      </c>
      <c r="H27" s="120">
        <v>6.55</v>
      </c>
      <c r="I27" s="94" t="s">
        <v>207</v>
      </c>
      <c r="J27" s="120">
        <v>20.88</v>
      </c>
      <c r="K27" s="120">
        <v>21.42</v>
      </c>
      <c r="L27" s="120">
        <v>11.2</v>
      </c>
      <c r="N27" s="177">
        <f t="shared" si="2"/>
        <v>3.187786259541985</v>
      </c>
      <c r="O27" s="177">
        <f t="shared" si="3"/>
        <v>2.5228151585460172</v>
      </c>
      <c r="P27" s="122">
        <f>0.24*4</f>
        <v>0.96</v>
      </c>
      <c r="Q27" s="178">
        <f>P27/J27</f>
        <v>0.04597701149425287</v>
      </c>
      <c r="R27" s="178">
        <f>P27/((K27+L27)/2)</f>
        <v>0.058859595340282025</v>
      </c>
      <c r="S27" s="178"/>
      <c r="T27" s="179"/>
      <c r="U27" s="180" t="str">
        <f t="shared" si="6"/>
        <v>DPL Inc.</v>
      </c>
      <c r="V27" s="178"/>
      <c r="W27" s="178"/>
      <c r="X27" s="122">
        <v>0.72</v>
      </c>
      <c r="Y27" s="122">
        <v>0.95</v>
      </c>
      <c r="Z27" s="125" t="s">
        <v>207</v>
      </c>
      <c r="AA27" s="178">
        <f t="shared" si="11"/>
        <v>0.14694508894044855</v>
      </c>
      <c r="AB27" s="126">
        <v>0.15</v>
      </c>
      <c r="AC27" s="178">
        <f t="shared" si="12"/>
        <v>0.11347517730496454</v>
      </c>
      <c r="AD27" s="94"/>
      <c r="AE27" s="149" t="str">
        <f t="shared" si="7"/>
        <v>DPL Inc.</v>
      </c>
      <c r="AF27" s="175"/>
      <c r="AG27" s="175"/>
      <c r="AH27" s="175"/>
      <c r="AI27" s="181">
        <f t="shared" si="8"/>
        <v>6.55</v>
      </c>
      <c r="AJ27" s="181">
        <f t="shared" si="9"/>
        <v>0.95</v>
      </c>
      <c r="AK27" s="181">
        <f t="shared" si="10"/>
        <v>0.96</v>
      </c>
      <c r="AL27" s="127">
        <v>0.045</v>
      </c>
      <c r="AM27" s="181">
        <f t="shared" si="13"/>
        <v>6.50529290274375</v>
      </c>
      <c r="AN27" s="182">
        <f t="shared" si="14"/>
        <v>6.492831083367219</v>
      </c>
      <c r="AO27" s="182">
        <f t="shared" si="15"/>
        <v>1.1838728407704682</v>
      </c>
      <c r="AP27" s="178">
        <f t="shared" si="16"/>
        <v>0.18216057056164184</v>
      </c>
      <c r="AQ27" s="178" t="s">
        <v>209</v>
      </c>
      <c r="AR27" s="183">
        <v>0.85</v>
      </c>
      <c r="AS27" s="205"/>
    </row>
    <row r="28" spans="1:45" s="149" customFormat="1" ht="12.75" hidden="1">
      <c r="A28" s="176" t="s">
        <v>314</v>
      </c>
      <c r="B28" s="149" t="s">
        <v>387</v>
      </c>
      <c r="D28" s="175">
        <v>1</v>
      </c>
      <c r="E28" s="120">
        <v>14.02</v>
      </c>
      <c r="F28" s="120">
        <v>9.09</v>
      </c>
      <c r="G28" s="120">
        <v>6.09</v>
      </c>
      <c r="H28" s="120">
        <v>6.65</v>
      </c>
      <c r="I28" s="94" t="s">
        <v>207</v>
      </c>
      <c r="J28" s="120">
        <v>18.34</v>
      </c>
      <c r="K28" s="120">
        <v>18.39</v>
      </c>
      <c r="L28" s="120">
        <v>11.9</v>
      </c>
      <c r="N28" s="177">
        <f t="shared" si="2"/>
        <v>2.757894736842105</v>
      </c>
      <c r="O28" s="177">
        <f t="shared" si="3"/>
        <v>2.377551020408163</v>
      </c>
      <c r="P28" s="122">
        <f>0.25*4</f>
        <v>1</v>
      </c>
      <c r="Q28" s="178">
        <f>P28/J28</f>
        <v>0.05452562704471101</v>
      </c>
      <c r="R28" s="178">
        <f>P28/((K28+L28)/2)</f>
        <v>0.06602839220864973</v>
      </c>
      <c r="S28" s="178"/>
      <c r="T28" s="179"/>
      <c r="U28" s="180" t="str">
        <f t="shared" si="6"/>
        <v>DQE Inc.</v>
      </c>
      <c r="V28" s="178"/>
      <c r="W28" s="178"/>
      <c r="X28" s="122">
        <v>1.23</v>
      </c>
      <c r="Y28" s="122">
        <v>1.15</v>
      </c>
      <c r="Z28" s="125" t="s">
        <v>207</v>
      </c>
      <c r="AA28" s="178">
        <f t="shared" si="11"/>
        <v>0.18053375196232338</v>
      </c>
      <c r="AB28" s="126">
        <v>0.17</v>
      </c>
      <c r="AC28" s="178">
        <f t="shared" si="12"/>
        <v>0.16205533596837945</v>
      </c>
      <c r="AD28" s="94"/>
      <c r="AE28" s="149" t="str">
        <f t="shared" si="7"/>
        <v>DQE Inc.</v>
      </c>
      <c r="AF28" s="175"/>
      <c r="AG28" s="175"/>
      <c r="AH28" s="175"/>
      <c r="AI28" s="181">
        <f t="shared" si="8"/>
        <v>6.65</v>
      </c>
      <c r="AJ28" s="181">
        <f t="shared" si="9"/>
        <v>1.15</v>
      </c>
      <c r="AK28" s="181">
        <f t="shared" si="10"/>
        <v>1</v>
      </c>
      <c r="AL28" s="127">
        <v>0.05</v>
      </c>
      <c r="AM28" s="181">
        <f t="shared" si="13"/>
        <v>7.3288446875</v>
      </c>
      <c r="AN28" s="182">
        <f t="shared" si="14"/>
        <v>7.520286921875</v>
      </c>
      <c r="AO28" s="182">
        <f t="shared" si="15"/>
        <v>1.467723796875</v>
      </c>
      <c r="AP28" s="178">
        <f t="shared" si="16"/>
        <v>0.1976847987458543</v>
      </c>
      <c r="AQ28" s="178" t="s">
        <v>315</v>
      </c>
      <c r="AR28" s="183">
        <v>0.7</v>
      </c>
      <c r="AS28" s="205"/>
    </row>
    <row r="29" spans="1:45" s="149" customFormat="1" ht="12.75" hidden="1">
      <c r="A29" s="176" t="s">
        <v>316</v>
      </c>
      <c r="D29" s="175">
        <v>5</v>
      </c>
      <c r="E29" s="120">
        <v>28.15</v>
      </c>
      <c r="F29" s="120">
        <v>28.48</v>
      </c>
      <c r="G29" s="120">
        <v>27.26</v>
      </c>
      <c r="H29" s="120">
        <v>30.75</v>
      </c>
      <c r="I29" s="94" t="s">
        <v>207</v>
      </c>
      <c r="J29" s="120">
        <v>39.4</v>
      </c>
      <c r="K29" s="120">
        <v>49.5</v>
      </c>
      <c r="L29" s="120">
        <v>34</v>
      </c>
      <c r="N29" s="177">
        <f t="shared" si="2"/>
        <v>1.28130081300813</v>
      </c>
      <c r="O29" s="177">
        <f t="shared" si="3"/>
        <v>1.4394069987933114</v>
      </c>
      <c r="P29" s="122">
        <f>0.515*4</f>
        <v>2.06</v>
      </c>
      <c r="Q29" s="178">
        <f>P29/J29</f>
        <v>0.05228426395939086</v>
      </c>
      <c r="R29" s="178">
        <f>P29/((K29+L29)/2)</f>
        <v>0.04934131736526946</v>
      </c>
      <c r="S29" s="178"/>
      <c r="T29" s="179"/>
      <c r="U29" s="180" t="str">
        <f t="shared" si="6"/>
        <v>DTE Energy Co.</v>
      </c>
      <c r="V29" s="178"/>
      <c r="W29" s="178"/>
      <c r="X29" s="122">
        <v>2.15</v>
      </c>
      <c r="Y29" s="122">
        <v>3.83</v>
      </c>
      <c r="Z29" s="125" t="s">
        <v>207</v>
      </c>
      <c r="AA29" s="178">
        <f t="shared" si="11"/>
        <v>0.13204619893121874</v>
      </c>
      <c r="AB29" s="126">
        <v>0.105</v>
      </c>
      <c r="AC29" s="178">
        <f t="shared" si="12"/>
        <v>0.07714388231072837</v>
      </c>
      <c r="AD29" s="94"/>
      <c r="AE29" s="149" t="str">
        <f t="shared" si="7"/>
        <v>DTE Energy Co.</v>
      </c>
      <c r="AF29" s="175"/>
      <c r="AG29" s="175"/>
      <c r="AH29" s="175"/>
      <c r="AI29" s="181">
        <f t="shared" si="8"/>
        <v>30.75</v>
      </c>
      <c r="AJ29" s="181">
        <f t="shared" si="9"/>
        <v>3.83</v>
      </c>
      <c r="AK29" s="181">
        <f t="shared" si="10"/>
        <v>2.06</v>
      </c>
      <c r="AL29" s="127">
        <v>0.047</v>
      </c>
      <c r="AM29" s="181">
        <f t="shared" si="13"/>
        <v>38.70192677058537</v>
      </c>
      <c r="AN29" s="182">
        <f t="shared" si="14"/>
        <v>40.92885732880288</v>
      </c>
      <c r="AO29" s="182">
        <f t="shared" si="15"/>
        <v>4.818725445182525</v>
      </c>
      <c r="AP29" s="178">
        <f t="shared" si="16"/>
        <v>0.12102669839765007</v>
      </c>
      <c r="AQ29" s="178" t="s">
        <v>317</v>
      </c>
      <c r="AR29" s="183">
        <v>0.65</v>
      </c>
      <c r="AS29" s="205"/>
    </row>
    <row r="30" spans="1:45" s="149" customFormat="1" ht="12.75" hidden="1">
      <c r="A30" s="176" t="s">
        <v>318</v>
      </c>
      <c r="B30" s="149" t="s">
        <v>388</v>
      </c>
      <c r="D30" s="175">
        <v>1</v>
      </c>
      <c r="E30" s="120">
        <v>14.59</v>
      </c>
      <c r="F30" s="120">
        <v>15.26</v>
      </c>
      <c r="G30" s="120">
        <v>16.97</v>
      </c>
      <c r="H30" s="120">
        <v>17.45</v>
      </c>
      <c r="I30" s="94" t="s">
        <v>207</v>
      </c>
      <c r="J30" s="120">
        <v>22.4</v>
      </c>
      <c r="K30" s="120">
        <v>23.71</v>
      </c>
      <c r="L30" s="120">
        <v>17.4</v>
      </c>
      <c r="M30" s="149">
        <v>25.25</v>
      </c>
      <c r="N30" s="177">
        <f t="shared" si="2"/>
        <v>1.2836676217765042</v>
      </c>
      <c r="O30" s="177">
        <f t="shared" si="3"/>
        <v>1.194363742010459</v>
      </c>
      <c r="P30" s="122">
        <f>0.25*4</f>
        <v>1</v>
      </c>
      <c r="Q30" s="178">
        <f t="shared" si="4"/>
        <v>0.044642857142857144</v>
      </c>
      <c r="R30" s="178">
        <f t="shared" si="5"/>
        <v>0.048649963512527365</v>
      </c>
      <c r="S30" s="178"/>
      <c r="T30" s="179"/>
      <c r="U30" s="180" t="str">
        <f t="shared" si="6"/>
        <v>Energy East (NYSEG, CMP, CT Natural and So. Ct. Gas)</v>
      </c>
      <c r="V30" s="178"/>
      <c r="W30" s="178"/>
      <c r="X30" s="122">
        <v>1.5</v>
      </c>
      <c r="Y30" s="122">
        <v>1.6</v>
      </c>
      <c r="Z30" s="125" t="s">
        <v>207</v>
      </c>
      <c r="AA30" s="178">
        <f t="shared" si="11"/>
        <v>0.09296920395119117</v>
      </c>
      <c r="AB30" s="126">
        <v>0.095</v>
      </c>
      <c r="AC30" s="178">
        <f t="shared" si="12"/>
        <v>0.09308098045299411</v>
      </c>
      <c r="AD30" s="94"/>
      <c r="AE30" s="149" t="str">
        <f t="shared" si="7"/>
        <v>Energy East (NYSEG, CMP, CT Natural and So. Ct. Gas)</v>
      </c>
      <c r="AF30" s="175"/>
      <c r="AG30" s="175"/>
      <c r="AH30" s="175"/>
      <c r="AI30" s="181">
        <f t="shared" si="8"/>
        <v>17.45</v>
      </c>
      <c r="AJ30" s="181">
        <f t="shared" si="9"/>
        <v>1.6</v>
      </c>
      <c r="AK30" s="181">
        <f t="shared" si="10"/>
        <v>1</v>
      </c>
      <c r="AL30" s="127">
        <v>0.05</v>
      </c>
      <c r="AM30" s="181">
        <f t="shared" si="13"/>
        <v>20.16537875</v>
      </c>
      <c r="AN30" s="182">
        <f t="shared" si="14"/>
        <v>20.931147687499998</v>
      </c>
      <c r="AO30" s="182">
        <f t="shared" si="15"/>
        <v>2.0420505</v>
      </c>
      <c r="AP30" s="178">
        <f t="shared" si="16"/>
        <v>0.09937825295797545</v>
      </c>
      <c r="AQ30" s="178" t="s">
        <v>319</v>
      </c>
      <c r="AR30" s="183">
        <v>0.75</v>
      </c>
      <c r="AS30" s="205"/>
    </row>
    <row r="31" spans="1:45" s="149" customFormat="1" ht="12.75" hidden="1">
      <c r="A31" s="176" t="s">
        <v>211</v>
      </c>
      <c r="B31" s="149" t="s">
        <v>389</v>
      </c>
      <c r="D31" s="175">
        <v>1</v>
      </c>
      <c r="E31" s="120">
        <v>31.82</v>
      </c>
      <c r="F31" s="120">
        <v>34.2</v>
      </c>
      <c r="G31" s="120">
        <v>34.96</v>
      </c>
      <c r="H31" s="120">
        <v>37.75</v>
      </c>
      <c r="I31" s="94" t="s">
        <v>207</v>
      </c>
      <c r="J31" s="120">
        <v>65.42</v>
      </c>
      <c r="K31" s="120">
        <v>68.08</v>
      </c>
      <c r="L31" s="120">
        <v>53.55</v>
      </c>
      <c r="M31" s="149">
        <v>25.25</v>
      </c>
      <c r="N31" s="177">
        <f t="shared" si="2"/>
        <v>1.7329801324503311</v>
      </c>
      <c r="O31" s="177">
        <f t="shared" si="3"/>
        <v>1.672809792325677</v>
      </c>
      <c r="P31" s="122">
        <f>0.6*4</f>
        <v>2.4</v>
      </c>
      <c r="Q31" s="178">
        <f t="shared" si="4"/>
        <v>0.03668602873738917</v>
      </c>
      <c r="R31" s="178">
        <f t="shared" si="5"/>
        <v>0.03946394803913508</v>
      </c>
      <c r="S31" s="178"/>
      <c r="T31" s="179"/>
      <c r="U31" s="180" t="str">
        <f t="shared" si="6"/>
        <v>FPL Group, Inc.</v>
      </c>
      <c r="V31" s="178"/>
      <c r="W31" s="178"/>
      <c r="X31" s="122">
        <v>4.02</v>
      </c>
      <c r="Y31" s="122">
        <v>4.9</v>
      </c>
      <c r="Z31" s="125" t="s">
        <v>207</v>
      </c>
      <c r="AA31" s="178">
        <f t="shared" si="11"/>
        <v>0.13478201072754778</v>
      </c>
      <c r="AB31" s="126">
        <v>0.11</v>
      </c>
      <c r="AC31" s="178">
        <f t="shared" si="12"/>
        <v>0.11625216888374783</v>
      </c>
      <c r="AD31" s="94"/>
      <c r="AE31" s="149" t="str">
        <f t="shared" si="7"/>
        <v>FPL Group, Inc.</v>
      </c>
      <c r="AF31" s="175"/>
      <c r="AG31" s="175"/>
      <c r="AH31" s="175"/>
      <c r="AI31" s="181">
        <f t="shared" si="8"/>
        <v>37.75</v>
      </c>
      <c r="AJ31" s="181">
        <f t="shared" si="9"/>
        <v>4.9</v>
      </c>
      <c r="AK31" s="181">
        <f t="shared" si="10"/>
        <v>2.4</v>
      </c>
      <c r="AL31" s="127">
        <v>0.048</v>
      </c>
      <c r="AM31" s="181">
        <f t="shared" si="13"/>
        <v>49.008995671040005</v>
      </c>
      <c r="AN31" s="182">
        <f t="shared" si="14"/>
        <v>52.169427463249924</v>
      </c>
      <c r="AO31" s="182">
        <f t="shared" si="15"/>
        <v>6.194446312731446</v>
      </c>
      <c r="AP31" s="178">
        <f t="shared" si="16"/>
        <v>0.12244599433042783</v>
      </c>
      <c r="AQ31" s="178" t="s">
        <v>301</v>
      </c>
      <c r="AR31" s="183">
        <v>0.65</v>
      </c>
      <c r="AS31" s="205"/>
    </row>
    <row r="32" spans="1:45" s="149" customFormat="1" ht="12.75" hidden="1">
      <c r="A32" s="176" t="s">
        <v>208</v>
      </c>
      <c r="D32" s="175">
        <v>11</v>
      </c>
      <c r="E32" s="120">
        <v>21.82</v>
      </c>
      <c r="F32" s="120">
        <v>23.15</v>
      </c>
      <c r="G32" s="120">
        <v>23.01</v>
      </c>
      <c r="H32" s="120">
        <v>22.35</v>
      </c>
      <c r="I32" s="94" t="s">
        <v>207</v>
      </c>
      <c r="J32" s="120">
        <v>29.92</v>
      </c>
      <c r="K32" s="120">
        <v>30.19</v>
      </c>
      <c r="L32" s="120">
        <v>20.6</v>
      </c>
      <c r="M32" s="149">
        <v>25.25</v>
      </c>
      <c r="N32" s="177">
        <f>J32/H32</f>
        <v>1.338702460850112</v>
      </c>
      <c r="O32" s="177">
        <f>((K32+L32)/2)/((G32+H32)/2)</f>
        <v>1.1197089947089949</v>
      </c>
      <c r="P32" s="122">
        <f>0.3*4</f>
        <v>1.2</v>
      </c>
      <c r="Q32" s="178">
        <f>P32/J32</f>
        <v>0.04010695187165775</v>
      </c>
      <c r="R32" s="178">
        <f>P32/((K32+L32)/2)</f>
        <v>0.047253396337861776</v>
      </c>
      <c r="S32" s="178"/>
      <c r="T32" s="179"/>
      <c r="U32" s="180" t="str">
        <f t="shared" si="6"/>
        <v>Idacorp, Inc.</v>
      </c>
      <c r="V32" s="178"/>
      <c r="W32" s="178"/>
      <c r="X32" s="122">
        <v>1.63</v>
      </c>
      <c r="Y32" s="122">
        <v>1</v>
      </c>
      <c r="Z32" s="125" t="s">
        <v>207</v>
      </c>
      <c r="AA32" s="178">
        <f t="shared" si="11"/>
        <v>0.04409171075837742</v>
      </c>
      <c r="AB32" s="126">
        <v>0.075</v>
      </c>
      <c r="AC32" s="178">
        <f t="shared" si="12"/>
        <v>0.07062391681109186</v>
      </c>
      <c r="AD32" s="94"/>
      <c r="AE32" s="149" t="str">
        <f t="shared" si="7"/>
        <v>Idacorp, Inc.</v>
      </c>
      <c r="AF32" s="175"/>
      <c r="AG32" s="175"/>
      <c r="AH32" s="175"/>
      <c r="AI32" s="181">
        <f t="shared" si="8"/>
        <v>22.35</v>
      </c>
      <c r="AJ32" s="181">
        <f t="shared" si="9"/>
        <v>1</v>
      </c>
      <c r="AK32" s="181">
        <f t="shared" si="10"/>
        <v>1.2</v>
      </c>
      <c r="AL32" s="127">
        <v>0.05</v>
      </c>
      <c r="AM32" s="181">
        <f t="shared" si="13"/>
        <v>21.44487375</v>
      </c>
      <c r="AN32" s="182">
        <f t="shared" si="14"/>
        <v>21.1896174375</v>
      </c>
      <c r="AO32" s="182">
        <f t="shared" si="15"/>
        <v>1.2762815625000001</v>
      </c>
      <c r="AP32" s="178">
        <f t="shared" si="16"/>
        <v>0.059870847614299325</v>
      </c>
      <c r="AQ32" s="178" t="s">
        <v>210</v>
      </c>
      <c r="AR32" s="183">
        <v>0.75</v>
      </c>
      <c r="AS32" s="205"/>
    </row>
    <row r="33" spans="1:45" s="149" customFormat="1" ht="12.75" hidden="1">
      <c r="A33" s="176" t="s">
        <v>320</v>
      </c>
      <c r="D33" s="175">
        <v>5</v>
      </c>
      <c r="E33" s="120"/>
      <c r="F33" s="120"/>
      <c r="G33" s="120"/>
      <c r="H33" s="120"/>
      <c r="I33" s="94"/>
      <c r="J33" s="120"/>
      <c r="K33" s="120"/>
      <c r="L33" s="120"/>
      <c r="N33" s="177"/>
      <c r="O33" s="177"/>
      <c r="P33" s="122"/>
      <c r="Q33" s="178"/>
      <c r="R33" s="178"/>
      <c r="S33" s="178"/>
      <c r="T33" s="179"/>
      <c r="U33" s="180" t="str">
        <f t="shared" si="6"/>
        <v>IPALCO Enterprises</v>
      </c>
      <c r="V33" s="178"/>
      <c r="W33" s="178"/>
      <c r="X33" s="122"/>
      <c r="Y33" s="122"/>
      <c r="Z33" s="125"/>
      <c r="AA33" s="178"/>
      <c r="AB33" s="126"/>
      <c r="AC33" s="178"/>
      <c r="AD33" s="94"/>
      <c r="AE33" s="149" t="str">
        <f t="shared" si="7"/>
        <v>IPALCO Enterprises</v>
      </c>
      <c r="AF33" s="175"/>
      <c r="AG33" s="175"/>
      <c r="AH33" s="175"/>
      <c r="AI33" s="181"/>
      <c r="AJ33" s="181"/>
      <c r="AK33" s="181"/>
      <c r="AL33" s="127"/>
      <c r="AM33" s="181"/>
      <c r="AN33" s="182"/>
      <c r="AO33" s="182"/>
      <c r="AP33" s="178"/>
      <c r="AQ33" s="178"/>
      <c r="AR33" s="183"/>
      <c r="AS33" s="205"/>
    </row>
    <row r="34" spans="1:45" s="149" customFormat="1" ht="1.5" customHeight="1" hidden="1">
      <c r="A34" s="176" t="s">
        <v>321</v>
      </c>
      <c r="B34" s="149" t="s">
        <v>390</v>
      </c>
      <c r="D34" s="175">
        <v>1</v>
      </c>
      <c r="E34" s="120">
        <v>25.31</v>
      </c>
      <c r="F34" s="120">
        <v>23.81</v>
      </c>
      <c r="G34" s="120">
        <v>24.5</v>
      </c>
      <c r="H34" s="120">
        <v>25.75</v>
      </c>
      <c r="I34" s="94" t="s">
        <v>207</v>
      </c>
      <c r="J34" s="120">
        <v>48.5</v>
      </c>
      <c r="K34" s="120">
        <v>48.96</v>
      </c>
      <c r="L34" s="120">
        <v>38.67</v>
      </c>
      <c r="M34" s="149">
        <v>25.25</v>
      </c>
      <c r="N34" s="177">
        <f>J34/H34</f>
        <v>1.883495145631068</v>
      </c>
      <c r="O34" s="177">
        <f>((K34+L34)/2)/((G34+H34)/2)</f>
        <v>1.7438805970149254</v>
      </c>
      <c r="P34" s="122">
        <f>0.54*4</f>
        <v>2.16</v>
      </c>
      <c r="Q34" s="178">
        <f>P34/J34</f>
        <v>0.04453608247422681</v>
      </c>
      <c r="R34" s="178">
        <f>P34/((K34+L34)/2)</f>
        <v>0.04929818555289285</v>
      </c>
      <c r="S34" s="178"/>
      <c r="T34" s="179"/>
      <c r="U34" s="180" t="str">
        <f t="shared" si="6"/>
        <v>Nstar (Boston Edison)</v>
      </c>
      <c r="V34" s="178"/>
      <c r="W34" s="178"/>
      <c r="X34" s="122">
        <v>3.38</v>
      </c>
      <c r="Y34" s="122">
        <v>3.4</v>
      </c>
      <c r="Z34" s="125" t="s">
        <v>207</v>
      </c>
      <c r="AA34" s="178">
        <f t="shared" si="11"/>
        <v>0.13532338308457711</v>
      </c>
      <c r="AB34" s="126">
        <v>0.125</v>
      </c>
      <c r="AC34" s="178">
        <f t="shared" si="12"/>
        <v>0.13992962119643965</v>
      </c>
      <c r="AD34" s="94"/>
      <c r="AE34" s="149" t="str">
        <f t="shared" si="7"/>
        <v>Nstar (Boston Edison)</v>
      </c>
      <c r="AF34" s="175"/>
      <c r="AG34" s="175"/>
      <c r="AH34" s="175"/>
      <c r="AI34" s="181">
        <f t="shared" si="8"/>
        <v>25.75</v>
      </c>
      <c r="AJ34" s="181">
        <f t="shared" si="9"/>
        <v>3.4</v>
      </c>
      <c r="AK34" s="181">
        <f t="shared" si="10"/>
        <v>2.16</v>
      </c>
      <c r="AL34" s="127">
        <v>0.045</v>
      </c>
      <c r="AM34" s="181">
        <f>AI34+(AJ34*(1+AL34)-(AK34*(1+AL34)))+(AJ34*(1+AL34)^2-AK34*(1+AL34)^2)+(AJ34*(1+AL34)^3-AK34*(1+AL34)^3)+(AJ34*(1+AL34)^4-AK34*(1+AL34)^4)</f>
        <v>31.293680059775</v>
      </c>
      <c r="AN34" s="182">
        <f>AI34+(AJ34*(1+AL34)-(AK34*(1+AL34)))+(AJ34*(1+AL34)^2-AK34*(1+AL34)^2)+(AJ34*(1+AL34)^3-AK34*(1+AL34)^3)+(AJ34*(1+AL34)^4-AK34*(1+AL34)^4)+(AJ34*(1+AL34)^5-AK34*(1+AL34)^5)</f>
        <v>32.83894566246487</v>
      </c>
      <c r="AO34" s="182">
        <f>AJ34*(AL34+1)^5</f>
        <v>4.237018588020623</v>
      </c>
      <c r="AP34" s="178">
        <f>AO34/((AN34+AM34)/2)</f>
        <v>0.1321330146802741</v>
      </c>
      <c r="AQ34" s="178" t="s">
        <v>322</v>
      </c>
      <c r="AR34" s="183">
        <v>0.7</v>
      </c>
      <c r="AS34" s="205"/>
    </row>
    <row r="35" spans="1:45" s="149" customFormat="1" ht="1.5" customHeight="1" hidden="1">
      <c r="A35" s="176" t="s">
        <v>212</v>
      </c>
      <c r="B35" s="149" t="s">
        <v>392</v>
      </c>
      <c r="D35" s="175">
        <v>11</v>
      </c>
      <c r="E35" s="120">
        <v>28.09</v>
      </c>
      <c r="F35" s="120">
        <v>29.46</v>
      </c>
      <c r="G35" s="120">
        <v>29.44</v>
      </c>
      <c r="H35" s="120">
        <v>30.25</v>
      </c>
      <c r="I35" s="94" t="s">
        <v>207</v>
      </c>
      <c r="J35" s="120">
        <v>40.02</v>
      </c>
      <c r="K35" s="120">
        <v>40.48</v>
      </c>
      <c r="L35" s="120">
        <v>28.34</v>
      </c>
      <c r="M35" s="149">
        <v>25.25</v>
      </c>
      <c r="N35" s="177">
        <f>J35/H35</f>
        <v>1.3229752066115703</v>
      </c>
      <c r="O35" s="177">
        <f>((K35+L35)/2)/((G35+H35)/2)</f>
        <v>1.1529569442117606</v>
      </c>
      <c r="P35" s="122">
        <f>0.425*4</f>
        <v>1.7</v>
      </c>
      <c r="Q35" s="178">
        <f>P35/J35</f>
        <v>0.04247876061969015</v>
      </c>
      <c r="R35" s="178">
        <f>P35/((K35+L35)/2)</f>
        <v>0.04940424295263005</v>
      </c>
      <c r="S35" s="178"/>
      <c r="T35" s="179"/>
      <c r="U35" s="180" t="str">
        <f t="shared" si="6"/>
        <v>Pinnacle West</v>
      </c>
      <c r="V35" s="178"/>
      <c r="W35" s="178"/>
      <c r="X35" s="122">
        <v>2.53</v>
      </c>
      <c r="Y35" s="122">
        <v>2.55</v>
      </c>
      <c r="Z35" s="125" t="s">
        <v>207</v>
      </c>
      <c r="AA35" s="178">
        <f t="shared" si="11"/>
        <v>0.08544144747863963</v>
      </c>
      <c r="AB35" s="126">
        <v>0.095</v>
      </c>
      <c r="AC35" s="178">
        <f t="shared" si="12"/>
        <v>0.08590831918505941</v>
      </c>
      <c r="AD35" s="94"/>
      <c r="AE35" s="149" t="str">
        <f t="shared" si="7"/>
        <v>Pinnacle West</v>
      </c>
      <c r="AF35" s="175"/>
      <c r="AG35" s="175"/>
      <c r="AH35" s="175"/>
      <c r="AI35" s="181">
        <f t="shared" si="8"/>
        <v>30.25</v>
      </c>
      <c r="AJ35" s="181">
        <f t="shared" si="9"/>
        <v>2.55</v>
      </c>
      <c r="AK35" s="181">
        <f t="shared" si="10"/>
        <v>1.7</v>
      </c>
      <c r="AL35" s="127">
        <v>0.053</v>
      </c>
      <c r="AM35" s="181">
        <f>AI35+(AJ35*(1+AL35)-(AK35*(1+AL35)))+(AJ35*(1+AL35)^2-AK35*(1+AL35)^2)+(AJ35*(1+AL35)^3-AK35*(1+AL35)^3)+(AJ35*(1+AL35)^4-AK35*(1+AL35)^4)</f>
        <v>34.12501593415885</v>
      </c>
      <c r="AN35" s="182">
        <f>AI35+(AJ35*(1+AL35)-(AK35*(1+AL35)))+(AJ35*(1+AL35)^2-AK35*(1+AL35)^2)+(AJ35*(1+AL35)^3-AK35*(1+AL35)^3)+(AJ35*(1+AL35)^4-AK35*(1+AL35)^4)+(AJ35*(1+AL35)^5-AK35*(1+AL35)^5)</f>
        <v>35.22544177866927</v>
      </c>
      <c r="AO35" s="182">
        <f>AJ35*(AL35+1)^5</f>
        <v>3.3012775335312563</v>
      </c>
      <c r="AP35" s="178">
        <f>AO35/((AN35+AM35)/2)</f>
        <v>0.09520564513651655</v>
      </c>
      <c r="AQ35" s="178" t="s">
        <v>214</v>
      </c>
      <c r="AR35" s="183">
        <v>0.7</v>
      </c>
      <c r="AS35" s="205"/>
    </row>
    <row r="36" spans="1:45" s="149" customFormat="1" ht="1.5" customHeight="1" hidden="1">
      <c r="A36" s="176" t="s">
        <v>323</v>
      </c>
      <c r="D36" s="175">
        <v>1</v>
      </c>
      <c r="E36" s="120">
        <v>17.75</v>
      </c>
      <c r="F36" s="120">
        <v>18.41</v>
      </c>
      <c r="G36" s="120">
        <v>18.17</v>
      </c>
      <c r="H36" s="120">
        <v>17.75</v>
      </c>
      <c r="I36" s="94" t="s">
        <v>207</v>
      </c>
      <c r="J36" s="120">
        <v>19.54</v>
      </c>
      <c r="K36" s="120">
        <v>20.56</v>
      </c>
      <c r="L36" s="120">
        <v>16.1</v>
      </c>
      <c r="M36" s="149">
        <v>25.25</v>
      </c>
      <c r="N36" s="177">
        <f>J36/H36</f>
        <v>1.1008450704225352</v>
      </c>
      <c r="O36" s="177">
        <f>((K36+L36)/2)/((G36+H36)/2)</f>
        <v>1.0206013363028952</v>
      </c>
      <c r="P36" s="122">
        <f>0.25*4</f>
        <v>1</v>
      </c>
      <c r="Q36" s="178">
        <f>P36/J36</f>
        <v>0.0511770726714432</v>
      </c>
      <c r="R36" s="178">
        <f>P36/((K36+L36)/2)</f>
        <v>0.05455537370430988</v>
      </c>
      <c r="S36" s="178"/>
      <c r="T36" s="179"/>
      <c r="U36" s="180" t="str">
        <f t="shared" si="6"/>
        <v>Potomac Electric Power</v>
      </c>
      <c r="V36" s="178"/>
      <c r="W36" s="178"/>
      <c r="X36" s="122">
        <v>1.79</v>
      </c>
      <c r="Y36" s="122">
        <v>1.4</v>
      </c>
      <c r="Z36" s="125" t="s">
        <v>207</v>
      </c>
      <c r="AA36" s="178">
        <f t="shared" si="11"/>
        <v>0.07795100222717148</v>
      </c>
      <c r="AB36" s="126">
        <v>0.1</v>
      </c>
      <c r="AC36" s="178">
        <f t="shared" si="12"/>
        <v>0.09786768726079825</v>
      </c>
      <c r="AD36" s="94"/>
      <c r="AE36" s="149" t="str">
        <f>U36</f>
        <v>Potomac Electric Power</v>
      </c>
      <c r="AF36" s="175"/>
      <c r="AG36" s="175"/>
      <c r="AH36" s="175"/>
      <c r="AI36" s="181">
        <f t="shared" si="8"/>
        <v>17.75</v>
      </c>
      <c r="AJ36" s="181">
        <f t="shared" si="9"/>
        <v>1.4</v>
      </c>
      <c r="AK36" s="181">
        <f t="shared" si="10"/>
        <v>1</v>
      </c>
      <c r="AL36" s="127">
        <v>0.027</v>
      </c>
      <c r="AM36" s="181">
        <f>AI36+(AJ36*(1+AL36)-(AK36*(1+AL36)))+(AJ36*(1+AL36)^2-AK36*(1+AL36)^2)+(AJ36*(1+AL36)^3-AK36*(1+AL36)^3)+(AJ36*(1+AL36)^4-AK36*(1+AL36)^4)</f>
        <v>19.460955578576396</v>
      </c>
      <c r="AN36" s="182">
        <f>AI36+(AJ36*(1+AL36)-(AK36*(1+AL36)))+(AJ36*(1+AL36)^2-AK36*(1+AL36)^2)+(AJ36*(1+AL36)^3-AK36*(1+AL36)^3)+(AJ36*(1+AL36)^4-AK36*(1+AL36)^4)+(AJ36*(1+AL36)^5-AK36*(1+AL36)^5)</f>
        <v>19.91795137919796</v>
      </c>
      <c r="AO36" s="182">
        <f>AJ36*(AL36+1)^5</f>
        <v>1.599485302175469</v>
      </c>
      <c r="AP36" s="178">
        <f>AO36/((AN36+AM36)/2)</f>
        <v>0.08123563733704353</v>
      </c>
      <c r="AQ36" s="178" t="s">
        <v>324</v>
      </c>
      <c r="AR36" s="245" t="s">
        <v>333</v>
      </c>
      <c r="AS36" s="205"/>
    </row>
    <row r="37" spans="1:45" s="149" customFormat="1" ht="1.5" customHeight="1" hidden="1">
      <c r="A37" s="176" t="s">
        <v>325</v>
      </c>
      <c r="D37" s="175">
        <v>11</v>
      </c>
      <c r="E37" s="120">
        <v>16.61</v>
      </c>
      <c r="F37" s="120">
        <v>15.66</v>
      </c>
      <c r="G37" s="120">
        <v>16.27</v>
      </c>
      <c r="H37" s="120">
        <v>16.9</v>
      </c>
      <c r="I37" s="94" t="s">
        <v>207</v>
      </c>
      <c r="J37" s="120">
        <v>23.77</v>
      </c>
      <c r="K37" s="120">
        <v>24.4</v>
      </c>
      <c r="L37" s="120">
        <v>18.1</v>
      </c>
      <c r="M37" s="149">
        <v>24.25</v>
      </c>
      <c r="N37" s="177">
        <f>J37/H37</f>
        <v>1.4065088757396451</v>
      </c>
      <c r="O37" s="177">
        <f>((K37+L37)/2)/((G37+H37)/2)</f>
        <v>1.2812782634911064</v>
      </c>
      <c r="P37" s="122">
        <f>0.25*4</f>
        <v>1</v>
      </c>
      <c r="Q37" s="178">
        <f>P37/J37</f>
        <v>0.04206983592763988</v>
      </c>
      <c r="R37" s="178">
        <f>P37/((K37+L37)/2)</f>
        <v>0.047058823529411764</v>
      </c>
      <c r="S37" s="178"/>
      <c r="T37" s="179"/>
      <c r="U37" s="180" t="str">
        <f t="shared" si="6"/>
        <v>Puget Energy, Inc.</v>
      </c>
      <c r="V37" s="178"/>
      <c r="W37" s="178"/>
      <c r="X37" s="122">
        <v>1.24</v>
      </c>
      <c r="Y37" s="122">
        <v>1.35</v>
      </c>
      <c r="Z37" s="125" t="s">
        <v>207</v>
      </c>
      <c r="AA37" s="178">
        <f t="shared" si="11"/>
        <v>0.08139885438649382</v>
      </c>
      <c r="AB37" s="126">
        <v>0.095</v>
      </c>
      <c r="AC37" s="178">
        <f t="shared" si="12"/>
        <v>0.07766990291262135</v>
      </c>
      <c r="AD37" s="94"/>
      <c r="AE37" s="149" t="str">
        <f>U37</f>
        <v>Puget Energy, Inc.</v>
      </c>
      <c r="AI37" s="181">
        <f t="shared" si="8"/>
        <v>16.9</v>
      </c>
      <c r="AJ37" s="181">
        <f t="shared" si="9"/>
        <v>1.35</v>
      </c>
      <c r="AK37" s="181">
        <f t="shared" si="10"/>
        <v>1</v>
      </c>
      <c r="AL37" s="127">
        <v>0.05</v>
      </c>
      <c r="AM37" s="181">
        <f>AI37+(AJ37*(1+AL37)-(AK37*(1+AL37)))+(AJ37*(1+AL37)^2-AK37*(1+AL37)^2)+(AJ37*(1+AL37)^3-AK37*(1+AL37)^3)+(AJ37*(1+AL37)^4-AK37*(1+AL37)^4)</f>
        <v>18.483970937499997</v>
      </c>
      <c r="AN37" s="182">
        <f>AI37+(AJ37*(1+AL37)-(AK37*(1+AL37)))+(AJ37*(1+AL37)^2-AK37*(1+AL37)^2)+(AJ37*(1+AL37)^3-AK37*(1+AL37)^3)+(AJ37*(1+AL37)^4-AK37*(1+AL37)^4)+(AJ37*(1+AL37)^5-AK37*(1+AL37)^5)</f>
        <v>18.930669484375</v>
      </c>
      <c r="AO37" s="182">
        <f>AJ37*(AL37+1)^5</f>
        <v>1.7229801093750003</v>
      </c>
      <c r="AP37" s="178">
        <f>AO37/((AN37+AM37)/2)</f>
        <v>0.0921019199942724</v>
      </c>
      <c r="AQ37" s="178" t="s">
        <v>326</v>
      </c>
      <c r="AR37" s="183">
        <v>0.65</v>
      </c>
      <c r="AS37" s="205"/>
    </row>
    <row r="38" spans="1:45" s="149" customFormat="1" ht="1.5" customHeight="1" hidden="1">
      <c r="A38" s="176" t="s">
        <v>327</v>
      </c>
      <c r="D38" s="175">
        <v>1</v>
      </c>
      <c r="E38" s="120">
        <v>34.03</v>
      </c>
      <c r="F38" s="120">
        <v>35.42</v>
      </c>
      <c r="G38" s="120">
        <v>33.8</v>
      </c>
      <c r="H38" s="120">
        <v>32.85</v>
      </c>
      <c r="I38" s="94" t="s">
        <v>207</v>
      </c>
      <c r="J38" s="120">
        <v>45.1</v>
      </c>
      <c r="K38" s="120">
        <v>46.08</v>
      </c>
      <c r="L38" s="120">
        <v>30.8</v>
      </c>
      <c r="M38" s="149">
        <v>25.25</v>
      </c>
      <c r="N38" s="177">
        <f>J38/H38</f>
        <v>1.3729071537290716</v>
      </c>
      <c r="O38" s="177">
        <f>((K38+L38)/2)/((G38+H38)/2)</f>
        <v>1.1534883720930231</v>
      </c>
      <c r="P38" s="122">
        <f>0.72*4</f>
        <v>2.88</v>
      </c>
      <c r="Q38" s="178">
        <f>P38/J38</f>
        <v>0.06385809312638581</v>
      </c>
      <c r="R38" s="178">
        <f>P38/((K38+L38)/2)</f>
        <v>0.07492195629552549</v>
      </c>
      <c r="S38" s="178"/>
      <c r="T38" s="179"/>
      <c r="U38" s="180" t="str">
        <f t="shared" si="6"/>
        <v>UIL Holdings</v>
      </c>
      <c r="V38" s="178"/>
      <c r="W38" s="178"/>
      <c r="X38" s="122">
        <v>3.09</v>
      </c>
      <c r="Y38" s="122">
        <v>1.95</v>
      </c>
      <c r="Z38" s="125" t="s">
        <v>207</v>
      </c>
      <c r="AA38" s="178">
        <f t="shared" si="11"/>
        <v>0.05851462865716429</v>
      </c>
      <c r="AB38" s="126">
        <v>0.08</v>
      </c>
      <c r="AC38" s="178">
        <f t="shared" si="12"/>
        <v>0.08928055475296157</v>
      </c>
      <c r="AD38" s="94"/>
      <c r="AE38" s="149" t="str">
        <f>U38</f>
        <v>UIL Holdings</v>
      </c>
      <c r="AF38" s="175"/>
      <c r="AG38" s="175"/>
      <c r="AH38" s="175"/>
      <c r="AI38" s="181">
        <f t="shared" si="8"/>
        <v>32.85</v>
      </c>
      <c r="AJ38" s="181">
        <f t="shared" si="9"/>
        <v>1.95</v>
      </c>
      <c r="AK38" s="181">
        <f t="shared" si="10"/>
        <v>2.88</v>
      </c>
      <c r="AL38" s="127">
        <v>0.02</v>
      </c>
      <c r="AM38" s="181">
        <f>AI38+(AJ38*(1+AL38)-(AK38*(1+AL38)))+(AJ38*(1+AL38)^2-AK38*(1+AL38)^2)+(AJ38*(1+AL38)^3-AK38*(1+AL38)^3)+(AJ38*(1+AL38)^4-AK38*(1+AL38)^4)</f>
        <v>28.940242651200002</v>
      </c>
      <c r="AN38" s="182">
        <f>AI38+(AJ38*(1+AL38)-(AK38*(1+AL38)))+(AJ38*(1+AL38)^2-AK38*(1+AL38)^2)+(AJ38*(1+AL38)^3-AK38*(1+AL38)^3)+(AJ38*(1+AL38)^4-AK38*(1+AL38)^4)+(AJ38*(1+AL38)^5-AK38*(1+AL38)^5)</f>
        <v>27.913447504224003</v>
      </c>
      <c r="AO38" s="182">
        <f>AJ38*(AL38+1)^5</f>
        <v>2.15295756624</v>
      </c>
      <c r="AP38" s="178">
        <f>AO38/((AN38+AM38)/2)</f>
        <v>0.07573677488143139</v>
      </c>
      <c r="AQ38" s="178" t="s">
        <v>328</v>
      </c>
      <c r="AR38" s="183">
        <v>0.7</v>
      </c>
      <c r="AS38" s="205"/>
    </row>
    <row r="39" spans="4:45" s="149" customFormat="1" ht="1.5" customHeight="1" hidden="1">
      <c r="D39" s="175"/>
      <c r="E39" s="129"/>
      <c r="F39" s="129"/>
      <c r="G39" s="129"/>
      <c r="H39" s="129"/>
      <c r="I39" s="94"/>
      <c r="J39" s="130"/>
      <c r="K39" s="129"/>
      <c r="L39" s="129"/>
      <c r="M39" s="181"/>
      <c r="N39" s="177"/>
      <c r="O39" s="177"/>
      <c r="P39" s="131"/>
      <c r="Q39" s="178"/>
      <c r="R39" s="178"/>
      <c r="S39" s="178"/>
      <c r="T39" s="179"/>
      <c r="U39" s="178"/>
      <c r="V39" s="178"/>
      <c r="W39" s="178"/>
      <c r="X39" s="206"/>
      <c r="Y39" s="206"/>
      <c r="Z39" s="207"/>
      <c r="AA39" s="208"/>
      <c r="AB39" s="208"/>
      <c r="AC39" s="208"/>
      <c r="AQ39" s="209"/>
      <c r="AR39" s="210"/>
      <c r="AS39" s="205"/>
    </row>
    <row r="40" spans="2:45" s="149" customFormat="1" ht="1.5" customHeight="1" hidden="1">
      <c r="B40" s="149" t="s">
        <v>81</v>
      </c>
      <c r="E40" s="211">
        <f>AVERAGE(E23:E39)</f>
        <v>21.63066666666667</v>
      </c>
      <c r="F40" s="211">
        <f>AVERAGE(F23:F39)</f>
        <v>21.89066666666667</v>
      </c>
      <c r="G40" s="211">
        <f>AVERAGE(G23:G39)</f>
        <v>21.997333333333334</v>
      </c>
      <c r="H40" s="211">
        <f>AVERAGE(H23:H39)</f>
        <v>22.70333333333333</v>
      </c>
      <c r="I40" s="59"/>
      <c r="J40" s="211">
        <f>AVERAGE(J23:J39)</f>
        <v>32.01866666666667</v>
      </c>
      <c r="K40" s="211">
        <f>AVERAGE(K23:K39)</f>
        <v>36.58333333333333</v>
      </c>
      <c r="L40" s="211">
        <f>AVERAGE(L23:L39)</f>
        <v>26.869333333333337</v>
      </c>
      <c r="M40" s="181"/>
      <c r="N40" s="212">
        <f>AVERAGE(N23:N39)</f>
        <v>1.5748113901228578</v>
      </c>
      <c r="O40" s="213">
        <f>AVERAGE(O23:O39)</f>
        <v>1.501309749111345</v>
      </c>
      <c r="P40" s="181">
        <f>AVERAGE(P23:P39)</f>
        <v>1.6853333333333333</v>
      </c>
      <c r="Q40" s="214" t="e">
        <f>AVERAGE(Q23:Q39)</f>
        <v>#DIV/0!</v>
      </c>
      <c r="R40" s="215">
        <f>AVERAGE(R23:R39)</f>
        <v>0.05431012612793345</v>
      </c>
      <c r="S40" s="178"/>
      <c r="T40" s="179"/>
      <c r="U40" s="178"/>
      <c r="V40" s="149" t="s">
        <v>81</v>
      </c>
      <c r="W40" s="178"/>
      <c r="X40" s="181">
        <f>AVERAGE(X23:X39)</f>
        <v>2.295333333333333</v>
      </c>
      <c r="Y40" s="181">
        <f>AVERAGE(Y23:Y39)</f>
        <v>2.3186666666666667</v>
      </c>
      <c r="Z40" s="216"/>
      <c r="AA40" s="214">
        <f>AVERAGE(AA23:AA39)</f>
        <v>0.10856417073137924</v>
      </c>
      <c r="AB40" s="217">
        <f>AVERAGE(AB23:AB39)</f>
        <v>0.10966666666666666</v>
      </c>
      <c r="AC40" s="215">
        <f>AVERAGE(AC23:AC39)</f>
        <v>0.10790596577313734</v>
      </c>
      <c r="AF40" s="149" t="s">
        <v>81</v>
      </c>
      <c r="AL40" s="218">
        <f>AVERAGE(AL23:AL38)</f>
        <v>0.04214285714285714</v>
      </c>
      <c r="AM40" s="209"/>
      <c r="AP40" s="218">
        <f>AVERAGE(AP23:AP38)</f>
        <v>0.11458090027188397</v>
      </c>
      <c r="AR40" s="205">
        <f>AVERAGE(AR23:AR39)</f>
        <v>0.7285714285714285</v>
      </c>
      <c r="AS40" s="205"/>
    </row>
    <row r="41" spans="2:45" s="149" customFormat="1" ht="1.5" customHeight="1" hidden="1">
      <c r="B41" s="242" t="s">
        <v>354</v>
      </c>
      <c r="E41" s="211"/>
      <c r="F41" s="211"/>
      <c r="G41" s="211"/>
      <c r="H41" s="211"/>
      <c r="I41" s="59"/>
      <c r="J41" s="211"/>
      <c r="K41" s="211"/>
      <c r="L41" s="211"/>
      <c r="M41" s="181"/>
      <c r="N41" s="248">
        <f>MEDIAN(N23:N39)</f>
        <v>1.4065088757396451</v>
      </c>
      <c r="O41" s="248">
        <f>MEDIAN(O23:O39)</f>
        <v>1.426254694434961</v>
      </c>
      <c r="P41" s="181"/>
      <c r="Q41" s="249" t="e">
        <f>MEDIAN(Q23:Q39)</f>
        <v>#DIV/0!</v>
      </c>
      <c r="R41" s="249">
        <f>MEDIAN(R23:R39)</f>
        <v>0.05362058647516457</v>
      </c>
      <c r="S41" s="178"/>
      <c r="T41" s="179"/>
      <c r="U41" s="178"/>
      <c r="V41" s="242" t="s">
        <v>354</v>
      </c>
      <c r="W41" s="178"/>
      <c r="X41" s="181"/>
      <c r="Y41" s="181"/>
      <c r="Z41" s="216"/>
      <c r="AA41" s="249">
        <f>MEDIAN(AA23:AA39)</f>
        <v>0.1148306734137797</v>
      </c>
      <c r="AB41" s="249">
        <f>MEDIAN(AB23:AB39)</f>
        <v>0.105</v>
      </c>
      <c r="AC41" s="249">
        <f>MEDIAN(AC23:AC39)</f>
        <v>0.10815206342752592</v>
      </c>
      <c r="AF41" s="242" t="s">
        <v>354</v>
      </c>
      <c r="AL41" s="249">
        <f>MEDIAN(AL23:AL39)</f>
        <v>0.046</v>
      </c>
      <c r="AM41" s="209"/>
      <c r="AP41" s="249">
        <f>MEDIAN(AP23:AP39)</f>
        <v>0.11227135851767105</v>
      </c>
      <c r="AR41" s="250">
        <f>MEDIAN(AR23:AR39)</f>
        <v>0.7</v>
      </c>
      <c r="AS41" s="205"/>
    </row>
    <row r="42" spans="1:45" s="151" customFormat="1" ht="1.5" customHeight="1" hidden="1">
      <c r="A42" s="150"/>
      <c r="E42" s="152"/>
      <c r="F42" s="152"/>
      <c r="G42" s="152"/>
      <c r="H42" s="152"/>
      <c r="I42" s="143"/>
      <c r="K42" s="141"/>
      <c r="L42" s="141"/>
      <c r="M42" s="141"/>
      <c r="N42" s="141"/>
      <c r="O42" s="144"/>
      <c r="P42" s="141"/>
      <c r="Q42" s="141"/>
      <c r="R42" s="133"/>
      <c r="S42" s="133"/>
      <c r="T42" s="133"/>
      <c r="U42" s="153"/>
      <c r="V42" s="133"/>
      <c r="W42" s="133"/>
      <c r="X42" s="141"/>
      <c r="Y42" s="141"/>
      <c r="Z42" s="154"/>
      <c r="AB42" s="146"/>
      <c r="AE42" s="150"/>
      <c r="AL42" s="155"/>
      <c r="AR42" s="187"/>
      <c r="AS42" s="187"/>
    </row>
    <row r="43" spans="1:45" s="167" customFormat="1" ht="1.5" customHeight="1" hidden="1">
      <c r="A43" s="167" t="s">
        <v>233</v>
      </c>
      <c r="U43" s="153" t="str">
        <f>A43</f>
        <v>GAS COMPANIES</v>
      </c>
      <c r="AE43" s="168" t="str">
        <f>U43</f>
        <v>GAS COMPANIES</v>
      </c>
      <c r="AL43" s="169"/>
      <c r="AQ43" s="170"/>
      <c r="AR43" s="188"/>
      <c r="AS43" s="188"/>
    </row>
    <row r="44" spans="1:44" s="143" customFormat="1" ht="1.5" customHeight="1" hidden="1">
      <c r="A44" s="143" t="s">
        <v>215</v>
      </c>
      <c r="D44" s="143">
        <v>3</v>
      </c>
      <c r="E44" s="120">
        <v>10.79</v>
      </c>
      <c r="F44" s="120">
        <v>11.01</v>
      </c>
      <c r="G44" s="120">
        <v>10.34</v>
      </c>
      <c r="H44" s="120">
        <v>11.15</v>
      </c>
      <c r="I44" s="94" t="s">
        <v>207</v>
      </c>
      <c r="J44" s="120">
        <v>21.09</v>
      </c>
      <c r="K44" s="120">
        <v>21.99</v>
      </c>
      <c r="L44" s="120">
        <v>18.05</v>
      </c>
      <c r="M44" s="110">
        <v>24.25</v>
      </c>
      <c r="N44" s="121">
        <f>J44/H44</f>
        <v>1.8914798206278025</v>
      </c>
      <c r="O44" s="121">
        <f>((K44+L44)/2)/((G44+H44)/2)</f>
        <v>1.8631921824104232</v>
      </c>
      <c r="P44" s="122">
        <f>0.24*4</f>
        <v>0.96</v>
      </c>
      <c r="Q44" s="123">
        <f>P44/J44</f>
        <v>0.04551920341394025</v>
      </c>
      <c r="R44" s="123">
        <f>P44/((K44+L44)/2)</f>
        <v>0.04795204795204795</v>
      </c>
      <c r="S44" s="123"/>
      <c r="T44" s="119"/>
      <c r="U44" s="124" t="str">
        <f>A44</f>
        <v>Cascade Natural Gas</v>
      </c>
      <c r="V44" s="123"/>
      <c r="W44" s="123"/>
      <c r="X44" s="122">
        <v>1.13</v>
      </c>
      <c r="Y44" s="122">
        <v>0.87</v>
      </c>
      <c r="Z44" s="125" t="s">
        <v>207</v>
      </c>
      <c r="AA44" s="123">
        <f>Y44/((H44+G44)/2)</f>
        <v>0.0809678920428106</v>
      </c>
      <c r="AB44" s="126">
        <v>0.115</v>
      </c>
      <c r="AC44" s="123">
        <f>X44/((G44+F44)/2)</f>
        <v>0.10585480093676813</v>
      </c>
      <c r="AD44" s="94"/>
      <c r="AE44" s="110" t="str">
        <f>U44</f>
        <v>Cascade Natural Gas</v>
      </c>
      <c r="AF44" s="110"/>
      <c r="AG44" s="110"/>
      <c r="AH44" s="110"/>
      <c r="AI44" s="118">
        <f>H44</f>
        <v>11.15</v>
      </c>
      <c r="AJ44" s="118">
        <f>Y44</f>
        <v>0.87</v>
      </c>
      <c r="AK44" s="118">
        <f>P44</f>
        <v>0.96</v>
      </c>
      <c r="AL44" s="127"/>
      <c r="AM44" s="118"/>
      <c r="AN44" s="128"/>
      <c r="AO44" s="128"/>
      <c r="AP44" s="123"/>
      <c r="AQ44" s="165" t="s">
        <v>224</v>
      </c>
      <c r="AR44" s="203">
        <v>0.7</v>
      </c>
    </row>
    <row r="45" spans="1:44" s="143" customFormat="1" ht="1.5" customHeight="1" hidden="1">
      <c r="A45" s="143" t="s">
        <v>216</v>
      </c>
      <c r="D45" s="143">
        <v>3</v>
      </c>
      <c r="E45" s="120">
        <v>15.56</v>
      </c>
      <c r="F45" s="120">
        <v>16.39</v>
      </c>
      <c r="G45" s="120">
        <v>16.55</v>
      </c>
      <c r="H45" s="120">
        <v>16.85</v>
      </c>
      <c r="I45" s="94" t="s">
        <v>207</v>
      </c>
      <c r="J45" s="120">
        <v>34.04</v>
      </c>
      <c r="K45" s="120">
        <v>39.3</v>
      </c>
      <c r="L45" s="120">
        <v>23.7</v>
      </c>
      <c r="M45" s="110">
        <v>24.25</v>
      </c>
      <c r="N45" s="121">
        <f aca="true" t="shared" si="17" ref="N45:N51">J45/H45</f>
        <v>2.0201780415430264</v>
      </c>
      <c r="O45" s="121">
        <f aca="true" t="shared" si="18" ref="O45:O51">((K45+L45)/2)/((G45+H45)/2)</f>
        <v>1.8862275449101793</v>
      </c>
      <c r="P45" s="122">
        <f>0.465*4</f>
        <v>1.86</v>
      </c>
      <c r="Q45" s="123">
        <f aca="true" t="shared" si="19" ref="Q45:Q51">P45/J45</f>
        <v>0.05464159811985899</v>
      </c>
      <c r="R45" s="123">
        <f aca="true" t="shared" si="20" ref="R45:R51">P45/((K45+L45)/2)</f>
        <v>0.05904761904761905</v>
      </c>
      <c r="S45" s="123"/>
      <c r="T45" s="119"/>
      <c r="U45" s="124" t="str">
        <f aca="true" t="shared" si="21" ref="U45:U51">A45</f>
        <v>Nicor</v>
      </c>
      <c r="V45" s="123"/>
      <c r="W45" s="123"/>
      <c r="X45" s="122">
        <v>2.88</v>
      </c>
      <c r="Y45" s="122">
        <v>2.1</v>
      </c>
      <c r="Z45" s="125" t="s">
        <v>207</v>
      </c>
      <c r="AA45" s="123">
        <f aca="true" t="shared" si="22" ref="AA45:AA51">Y45/((H45+G45)/2)</f>
        <v>0.12574850299401197</v>
      </c>
      <c r="AB45" s="126">
        <v>0.165</v>
      </c>
      <c r="AC45" s="123">
        <f aca="true" t="shared" si="23" ref="AC45:AC51">X45/((G45+F45)/2)</f>
        <v>0.17486338797814208</v>
      </c>
      <c r="AD45" s="94"/>
      <c r="AE45" s="110" t="str">
        <f aca="true" t="shared" si="24" ref="AE45:AE51">U45</f>
        <v>Nicor</v>
      </c>
      <c r="AF45" s="110"/>
      <c r="AG45" s="110"/>
      <c r="AH45" s="110"/>
      <c r="AI45" s="118">
        <f aca="true" t="shared" si="25" ref="AI45:AI51">H45</f>
        <v>16.85</v>
      </c>
      <c r="AJ45" s="118">
        <f aca="true" t="shared" si="26" ref="AJ45:AJ51">Y45</f>
        <v>2.1</v>
      </c>
      <c r="AK45" s="118">
        <f aca="true" t="shared" si="27" ref="AK45:AK51">P45</f>
        <v>1.86</v>
      </c>
      <c r="AL45" s="127">
        <v>0.075</v>
      </c>
      <c r="AM45" s="118">
        <f aca="true" t="shared" si="28" ref="AM45:AM51">AI45+(AJ45*(1+AL45)-(AK45*(1+AL45)))+(AJ45*(1+AL45)^2-AK45*(1+AL45)^2)+(AJ45*(1+AL45)^3-AK45*(1+AL45)^3)+(AJ45*(1+AL45)^4-AK45*(1+AL45)^4)</f>
        <v>18.004013843750002</v>
      </c>
      <c r="AN45" s="128">
        <f aca="true" t="shared" si="29" ref="AN45:AN51">AI45+(AJ45*(1+AL45)-(AK45*(1+AL45)))+(AJ45*(1+AL45)^2-AK45*(1+AL45)^2)+(AJ45*(1+AL45)^3-AK45*(1+AL45)^3)+(AJ45*(1+AL45)^4-AK45*(1+AL45)^4)+(AJ45*(1+AL45)^5-AK45*(1+AL45)^5)</f>
        <v>18.34856488203125</v>
      </c>
      <c r="AO45" s="128">
        <f aca="true" t="shared" si="30" ref="AO45:AO51">AJ45*(AL45+1)^5</f>
        <v>3.0148215849609374</v>
      </c>
      <c r="AP45" s="123">
        <f aca="true" t="shared" si="31" ref="AP45:AP51">AO45/((AN45+AM45)/2)</f>
        <v>0.16586562442805883</v>
      </c>
      <c r="AQ45" s="165" t="s">
        <v>225</v>
      </c>
      <c r="AR45" s="203">
        <v>1</v>
      </c>
    </row>
    <row r="46" spans="1:44" s="143" customFormat="1" ht="1.5" customHeight="1" hidden="1">
      <c r="A46" s="143" t="s">
        <v>217</v>
      </c>
      <c r="D46" s="143">
        <v>3</v>
      </c>
      <c r="E46" s="120">
        <v>17.93</v>
      </c>
      <c r="F46" s="120">
        <v>18.56</v>
      </c>
      <c r="G46" s="120">
        <v>18.88</v>
      </c>
      <c r="H46" s="120">
        <v>19.4</v>
      </c>
      <c r="I46" s="94" t="s">
        <v>207</v>
      </c>
      <c r="J46" s="120">
        <v>30.75</v>
      </c>
      <c r="K46" s="120">
        <v>31.3</v>
      </c>
      <c r="L46" s="120">
        <v>24.05</v>
      </c>
      <c r="M46" s="110">
        <v>24.25</v>
      </c>
      <c r="N46" s="121">
        <f t="shared" si="17"/>
        <v>1.5850515463917527</v>
      </c>
      <c r="O46" s="121">
        <f t="shared" si="18"/>
        <v>1.4459247648902822</v>
      </c>
      <c r="P46" s="122">
        <f>0.325*4</f>
        <v>1.3</v>
      </c>
      <c r="Q46" s="123">
        <f t="shared" si="19"/>
        <v>0.04227642276422764</v>
      </c>
      <c r="R46" s="123">
        <f t="shared" si="20"/>
        <v>0.04697380307136405</v>
      </c>
      <c r="S46" s="123"/>
      <c r="T46" s="119"/>
      <c r="U46" s="124" t="str">
        <f t="shared" si="21"/>
        <v>N.W. Natural Gas</v>
      </c>
      <c r="V46" s="123"/>
      <c r="W46" s="123"/>
      <c r="X46" s="122">
        <v>1.62</v>
      </c>
      <c r="Y46" s="122">
        <v>1.75</v>
      </c>
      <c r="Z46" s="125" t="s">
        <v>207</v>
      </c>
      <c r="AA46" s="123">
        <f t="shared" si="22"/>
        <v>0.09143155694879833</v>
      </c>
      <c r="AB46" s="126">
        <v>0.1</v>
      </c>
      <c r="AC46" s="123">
        <f t="shared" si="23"/>
        <v>0.08653846153846155</v>
      </c>
      <c r="AD46" s="94"/>
      <c r="AE46" s="110" t="str">
        <f t="shared" si="24"/>
        <v>N.W. Natural Gas</v>
      </c>
      <c r="AF46" s="110"/>
      <c r="AG46" s="110"/>
      <c r="AH46" s="110"/>
      <c r="AI46" s="118">
        <f t="shared" si="25"/>
        <v>19.4</v>
      </c>
      <c r="AJ46" s="118">
        <f t="shared" si="26"/>
        <v>1.75</v>
      </c>
      <c r="AK46" s="118">
        <f t="shared" si="27"/>
        <v>1.3</v>
      </c>
      <c r="AL46" s="127">
        <v>0.042</v>
      </c>
      <c r="AM46" s="118">
        <f t="shared" si="28"/>
        <v>21.3971060982632</v>
      </c>
      <c r="AN46" s="128">
        <f t="shared" si="29"/>
        <v>21.949884554390255</v>
      </c>
      <c r="AO46" s="128">
        <f t="shared" si="30"/>
        <v>2.1496939960496566</v>
      </c>
      <c r="AP46" s="123">
        <f t="shared" si="31"/>
        <v>0.09918538582184433</v>
      </c>
      <c r="AQ46" s="165" t="s">
        <v>226</v>
      </c>
      <c r="AR46" s="203">
        <v>0.6</v>
      </c>
    </row>
    <row r="47" spans="1:44" s="143" customFormat="1" ht="1.5" customHeight="1" hidden="1">
      <c r="A47" s="164" t="s">
        <v>218</v>
      </c>
      <c r="D47" s="164">
        <v>3</v>
      </c>
      <c r="E47" s="120">
        <v>22.02</v>
      </c>
      <c r="F47" s="120">
        <v>22.76</v>
      </c>
      <c r="G47" s="120">
        <v>22.74</v>
      </c>
      <c r="H47" s="120">
        <v>23.05</v>
      </c>
      <c r="I47" s="94" t="s">
        <v>207</v>
      </c>
      <c r="J47" s="120">
        <v>42.04</v>
      </c>
      <c r="K47" s="120">
        <v>45.25</v>
      </c>
      <c r="L47" s="120">
        <v>34.93</v>
      </c>
      <c r="M47" s="110">
        <v>24.25</v>
      </c>
      <c r="N47" s="121">
        <f t="shared" si="17"/>
        <v>1.8238611713665942</v>
      </c>
      <c r="O47" s="121">
        <f t="shared" si="18"/>
        <v>1.7510373443983405</v>
      </c>
      <c r="P47" s="122">
        <f>0.53*4</f>
        <v>2.12</v>
      </c>
      <c r="Q47" s="123">
        <f t="shared" si="19"/>
        <v>0.050428163653663184</v>
      </c>
      <c r="R47" s="123">
        <f t="shared" si="20"/>
        <v>0.052881017710152155</v>
      </c>
      <c r="S47" s="123"/>
      <c r="T47" s="119"/>
      <c r="U47" s="124" t="str">
        <f t="shared" si="21"/>
        <v>Peoples Energy</v>
      </c>
      <c r="V47" s="123"/>
      <c r="W47" s="123"/>
      <c r="X47" s="122">
        <v>2.8</v>
      </c>
      <c r="Y47" s="122">
        <v>2.87</v>
      </c>
      <c r="Z47" s="125" t="s">
        <v>207</v>
      </c>
      <c r="AA47" s="123">
        <f t="shared" si="22"/>
        <v>0.12535488097837957</v>
      </c>
      <c r="AB47" s="126">
        <v>0.12</v>
      </c>
      <c r="AC47" s="123">
        <f t="shared" si="23"/>
        <v>0.12307692307692307</v>
      </c>
      <c r="AD47" s="94"/>
      <c r="AE47" s="110" t="str">
        <f t="shared" si="24"/>
        <v>Peoples Energy</v>
      </c>
      <c r="AF47" s="110"/>
      <c r="AG47" s="110"/>
      <c r="AH47" s="110"/>
      <c r="AI47" s="118">
        <f t="shared" si="25"/>
        <v>23.05</v>
      </c>
      <c r="AJ47" s="118">
        <f t="shared" si="26"/>
        <v>2.87</v>
      </c>
      <c r="AK47" s="118">
        <f t="shared" si="27"/>
        <v>2.12</v>
      </c>
      <c r="AL47" s="127">
        <v>0.04</v>
      </c>
      <c r="AM47" s="118">
        <f t="shared" si="28"/>
        <v>26.362241920000002</v>
      </c>
      <c r="AN47" s="128">
        <f t="shared" si="29"/>
        <v>27.274731596800002</v>
      </c>
      <c r="AO47" s="128">
        <f t="shared" si="30"/>
        <v>3.491793829888001</v>
      </c>
      <c r="AP47" s="123">
        <f t="shared" si="31"/>
        <v>0.13020100132213136</v>
      </c>
      <c r="AQ47" s="166" t="s">
        <v>227</v>
      </c>
      <c r="AR47" s="203">
        <v>0.75</v>
      </c>
    </row>
    <row r="48" spans="1:44" s="143" customFormat="1" ht="1.5" customHeight="1" hidden="1">
      <c r="A48" s="164" t="s">
        <v>219</v>
      </c>
      <c r="D48" s="164">
        <v>3</v>
      </c>
      <c r="E48" s="120">
        <v>16.52</v>
      </c>
      <c r="F48" s="120">
        <v>17.26</v>
      </c>
      <c r="G48" s="120">
        <v>17.82</v>
      </c>
      <c r="H48" s="120">
        <v>19.85</v>
      </c>
      <c r="I48" s="94" t="s">
        <v>207</v>
      </c>
      <c r="J48" s="120">
        <v>43.46</v>
      </c>
      <c r="K48" s="120">
        <v>43.95</v>
      </c>
      <c r="L48" s="120">
        <v>33.22</v>
      </c>
      <c r="M48" s="110">
        <v>24.25</v>
      </c>
      <c r="N48" s="121">
        <f t="shared" si="17"/>
        <v>2.1894206549118387</v>
      </c>
      <c r="O48" s="121">
        <f t="shared" si="18"/>
        <v>2.048579771701619</v>
      </c>
      <c r="P48" s="122">
        <f>0.415*4</f>
        <v>1.66</v>
      </c>
      <c r="Q48" s="123">
        <f t="shared" si="19"/>
        <v>0.038196042337781864</v>
      </c>
      <c r="R48" s="123">
        <f t="shared" si="20"/>
        <v>0.04302189970195672</v>
      </c>
      <c r="S48" s="123"/>
      <c r="T48" s="119"/>
      <c r="U48" s="124" t="str">
        <f t="shared" si="21"/>
        <v>Piedmont Natural Gas</v>
      </c>
      <c r="V48" s="123"/>
      <c r="W48" s="123"/>
      <c r="X48" s="122">
        <v>1.89</v>
      </c>
      <c r="Y48" s="122">
        <v>2.15</v>
      </c>
      <c r="Z48" s="125" t="s">
        <v>207</v>
      </c>
      <c r="AA48" s="123">
        <f t="shared" si="22"/>
        <v>0.1141491903371383</v>
      </c>
      <c r="AB48" s="126">
        <v>0.115</v>
      </c>
      <c r="AC48" s="123">
        <f t="shared" si="23"/>
        <v>0.10775370581527936</v>
      </c>
      <c r="AD48" s="94"/>
      <c r="AE48" s="110" t="str">
        <f t="shared" si="24"/>
        <v>Piedmont Natural Gas</v>
      </c>
      <c r="AF48" s="110"/>
      <c r="AG48" s="110"/>
      <c r="AH48" s="110"/>
      <c r="AI48" s="118">
        <f t="shared" si="25"/>
        <v>19.85</v>
      </c>
      <c r="AJ48" s="118">
        <f t="shared" si="26"/>
        <v>2.15</v>
      </c>
      <c r="AK48" s="118">
        <f t="shared" si="27"/>
        <v>1.66</v>
      </c>
      <c r="AL48" s="127">
        <v>0.052</v>
      </c>
      <c r="AM48" s="118">
        <f t="shared" si="28"/>
        <v>22.078397672291842</v>
      </c>
      <c r="AN48" s="128">
        <f t="shared" si="29"/>
        <v>22.709754351251018</v>
      </c>
      <c r="AO48" s="128">
        <f t="shared" si="30"/>
        <v>2.7702384893106693</v>
      </c>
      <c r="AP48" s="123">
        <f t="shared" si="31"/>
        <v>0.12370407637513131</v>
      </c>
      <c r="AQ48" s="166" t="s">
        <v>228</v>
      </c>
      <c r="AR48" s="203">
        <v>0.7</v>
      </c>
    </row>
    <row r="49" spans="1:44" s="143" customFormat="1" ht="1.5" customHeight="1" hidden="1">
      <c r="A49" s="164" t="s">
        <v>220</v>
      </c>
      <c r="D49" s="164">
        <v>3</v>
      </c>
      <c r="E49" s="120">
        <v>14.5</v>
      </c>
      <c r="F49" s="120">
        <v>15.62</v>
      </c>
      <c r="G49" s="120">
        <v>19.34</v>
      </c>
      <c r="H49" s="120">
        <v>20.2</v>
      </c>
      <c r="I49" s="94" t="s">
        <v>207</v>
      </c>
      <c r="J49" s="120">
        <v>40.5</v>
      </c>
      <c r="K49" s="120">
        <v>40.7</v>
      </c>
      <c r="L49" s="120">
        <v>30.55</v>
      </c>
      <c r="M49" s="110">
        <v>24.25</v>
      </c>
      <c r="N49" s="121">
        <f t="shared" si="17"/>
        <v>2.004950495049505</v>
      </c>
      <c r="O49" s="121">
        <f t="shared" si="18"/>
        <v>1.8019726858877088</v>
      </c>
      <c r="P49" s="122">
        <f>0.375*4</f>
        <v>1.5</v>
      </c>
      <c r="Q49" s="123">
        <f t="shared" si="19"/>
        <v>0.037037037037037035</v>
      </c>
      <c r="R49" s="123">
        <f t="shared" si="20"/>
        <v>0.042105263157894736</v>
      </c>
      <c r="S49" s="123"/>
      <c r="T49" s="119"/>
      <c r="U49" s="124" t="str">
        <f t="shared" si="21"/>
        <v>South Jersey Industries</v>
      </c>
      <c r="V49" s="123"/>
      <c r="W49" s="123"/>
      <c r="X49" s="122">
        <v>2.43</v>
      </c>
      <c r="Y49" s="122">
        <v>2.65</v>
      </c>
      <c r="Z49" s="125" t="s">
        <v>207</v>
      </c>
      <c r="AA49" s="123">
        <f t="shared" si="22"/>
        <v>0.1340414769853313</v>
      </c>
      <c r="AB49" s="126">
        <v>0.115</v>
      </c>
      <c r="AC49" s="123">
        <f t="shared" si="23"/>
        <v>0.13901601830663615</v>
      </c>
      <c r="AD49" s="94"/>
      <c r="AE49" s="110" t="str">
        <f t="shared" si="24"/>
        <v>South Jersey Industries</v>
      </c>
      <c r="AF49" s="110"/>
      <c r="AG49" s="110"/>
      <c r="AH49" s="110"/>
      <c r="AI49" s="118">
        <f t="shared" si="25"/>
        <v>20.2</v>
      </c>
      <c r="AJ49" s="118">
        <f t="shared" si="26"/>
        <v>2.65</v>
      </c>
      <c r="AK49" s="118">
        <f t="shared" si="27"/>
        <v>1.5</v>
      </c>
      <c r="AL49" s="127">
        <v>0.04</v>
      </c>
      <c r="AM49" s="118">
        <f t="shared" si="28"/>
        <v>25.278770944</v>
      </c>
      <c r="AN49" s="128">
        <f t="shared" si="29"/>
        <v>26.677921781760002</v>
      </c>
      <c r="AO49" s="128">
        <f t="shared" si="30"/>
        <v>3.224130191360001</v>
      </c>
      <c r="AP49" s="123">
        <f t="shared" si="31"/>
        <v>0.1241083688054488</v>
      </c>
      <c r="AQ49" s="166" t="s">
        <v>229</v>
      </c>
      <c r="AR49" s="203">
        <v>0.55</v>
      </c>
    </row>
    <row r="50" spans="1:44" s="143" customFormat="1" ht="1.5" customHeight="1" hidden="1">
      <c r="A50" s="164" t="s">
        <v>221</v>
      </c>
      <c r="D50" s="164">
        <v>3</v>
      </c>
      <c r="E50" s="120">
        <v>16.82</v>
      </c>
      <c r="F50" s="120">
        <v>17.27</v>
      </c>
      <c r="G50" s="120">
        <v>17.91</v>
      </c>
      <c r="H50" s="120">
        <v>18.65</v>
      </c>
      <c r="I50" s="94" t="s">
        <v>207</v>
      </c>
      <c r="J50" s="120">
        <v>22.45</v>
      </c>
      <c r="K50" s="120">
        <v>23.64</v>
      </c>
      <c r="L50" s="120">
        <v>19.3</v>
      </c>
      <c r="M50" s="110">
        <v>24.25</v>
      </c>
      <c r="N50" s="121">
        <f t="shared" si="17"/>
        <v>1.2037533512064345</v>
      </c>
      <c r="O50" s="121">
        <f t="shared" si="18"/>
        <v>1.1745076586433258</v>
      </c>
      <c r="P50" s="122">
        <f>0.205*4</f>
        <v>0.82</v>
      </c>
      <c r="Q50" s="123">
        <f t="shared" si="19"/>
        <v>0.03652561247216036</v>
      </c>
      <c r="R50" s="123">
        <f t="shared" si="20"/>
        <v>0.038192827200745225</v>
      </c>
      <c r="S50" s="123"/>
      <c r="T50" s="119"/>
      <c r="U50" s="124" t="str">
        <f t="shared" si="21"/>
        <v>Southwest Gas</v>
      </c>
      <c r="V50" s="123"/>
      <c r="W50" s="123"/>
      <c r="X50" s="122">
        <v>1.16</v>
      </c>
      <c r="Y50" s="122">
        <v>1.2</v>
      </c>
      <c r="Z50" s="125" t="s">
        <v>207</v>
      </c>
      <c r="AA50" s="123">
        <f t="shared" si="22"/>
        <v>0.06564551422319474</v>
      </c>
      <c r="AB50" s="126">
        <v>0.1</v>
      </c>
      <c r="AC50" s="123">
        <f t="shared" si="23"/>
        <v>0.06594656054576463</v>
      </c>
      <c r="AD50" s="94"/>
      <c r="AE50" s="110" t="str">
        <f t="shared" si="24"/>
        <v>Southwest Gas</v>
      </c>
      <c r="AF50" s="110"/>
      <c r="AG50" s="110"/>
      <c r="AH50" s="110"/>
      <c r="AI50" s="118">
        <f t="shared" si="25"/>
        <v>18.65</v>
      </c>
      <c r="AJ50" s="118">
        <f t="shared" si="26"/>
        <v>1.2</v>
      </c>
      <c r="AK50" s="118">
        <f t="shared" si="27"/>
        <v>0.82</v>
      </c>
      <c r="AL50" s="127">
        <v>0.055</v>
      </c>
      <c r="AM50" s="118">
        <f t="shared" si="28"/>
        <v>20.3908145897375</v>
      </c>
      <c r="AN50" s="128">
        <f t="shared" si="29"/>
        <v>20.88745939217306</v>
      </c>
      <c r="AO50" s="128">
        <f t="shared" si="30"/>
        <v>1.5683520076912496</v>
      </c>
      <c r="AP50" s="123">
        <f t="shared" si="31"/>
        <v>0.075989224180185</v>
      </c>
      <c r="AQ50" s="166" t="s">
        <v>230</v>
      </c>
      <c r="AR50" s="203">
        <v>0.75</v>
      </c>
    </row>
    <row r="51" spans="1:44" s="143" customFormat="1" ht="1.5" customHeight="1" hidden="1">
      <c r="A51" s="164" t="s">
        <v>222</v>
      </c>
      <c r="D51" s="164">
        <v>3</v>
      </c>
      <c r="E51" s="120">
        <v>15.31</v>
      </c>
      <c r="F51" s="120">
        <v>16.24</v>
      </c>
      <c r="G51" s="120">
        <v>15.78</v>
      </c>
      <c r="H51" s="120">
        <v>16.25</v>
      </c>
      <c r="I51" s="94" t="s">
        <v>207</v>
      </c>
      <c r="J51" s="120">
        <v>27.79</v>
      </c>
      <c r="K51" s="120">
        <v>28.55</v>
      </c>
      <c r="L51" s="120">
        <v>23.15</v>
      </c>
      <c r="M51" s="110">
        <v>24.25</v>
      </c>
      <c r="N51" s="121">
        <f t="shared" si="17"/>
        <v>1.7101538461538461</v>
      </c>
      <c r="O51" s="121">
        <f t="shared" si="18"/>
        <v>1.614111770215423</v>
      </c>
      <c r="P51" s="122">
        <f>0.32*4</f>
        <v>1.28</v>
      </c>
      <c r="Q51" s="123">
        <f t="shared" si="19"/>
        <v>0.04605973371716445</v>
      </c>
      <c r="R51" s="123">
        <f t="shared" si="20"/>
        <v>0.04951644100580271</v>
      </c>
      <c r="S51" s="123"/>
      <c r="T51" s="119"/>
      <c r="U51" s="124" t="str">
        <f t="shared" si="21"/>
        <v>WGL Holdings</v>
      </c>
      <c r="V51" s="123"/>
      <c r="W51" s="123"/>
      <c r="X51" s="122">
        <v>1.14</v>
      </c>
      <c r="Y51" s="122">
        <v>2.3</v>
      </c>
      <c r="Z51" s="125" t="s">
        <v>207</v>
      </c>
      <c r="AA51" s="123">
        <f t="shared" si="22"/>
        <v>0.14361536059943802</v>
      </c>
      <c r="AB51" s="126">
        <v>0.11</v>
      </c>
      <c r="AC51" s="123">
        <f t="shared" si="23"/>
        <v>0.0712054965646471</v>
      </c>
      <c r="AD51" s="94"/>
      <c r="AE51" s="110" t="str">
        <f t="shared" si="24"/>
        <v>WGL Holdings</v>
      </c>
      <c r="AF51" s="110"/>
      <c r="AG51" s="110"/>
      <c r="AH51" s="110"/>
      <c r="AI51" s="118">
        <f t="shared" si="25"/>
        <v>16.25</v>
      </c>
      <c r="AJ51" s="118">
        <f t="shared" si="26"/>
        <v>2.3</v>
      </c>
      <c r="AK51" s="118">
        <f t="shared" si="27"/>
        <v>1.28</v>
      </c>
      <c r="AL51" s="127">
        <v>0.039</v>
      </c>
      <c r="AM51" s="118">
        <f t="shared" si="28"/>
        <v>20.743619086609815</v>
      </c>
      <c r="AN51" s="128">
        <f t="shared" si="29"/>
        <v>21.978650230987597</v>
      </c>
      <c r="AO51" s="128">
        <f t="shared" si="30"/>
        <v>2.784874149087156</v>
      </c>
      <c r="AP51" s="123">
        <f t="shared" si="31"/>
        <v>0.13037107782755628</v>
      </c>
      <c r="AQ51" s="166" t="s">
        <v>231</v>
      </c>
      <c r="AR51" s="203">
        <v>0.7</v>
      </c>
    </row>
    <row r="52" spans="5:44" s="143" customFormat="1" ht="1.5" customHeight="1" hidden="1">
      <c r="E52" s="173"/>
      <c r="F52" s="173"/>
      <c r="G52" s="173"/>
      <c r="H52" s="173"/>
      <c r="J52" s="173"/>
      <c r="K52" s="173"/>
      <c r="L52" s="173"/>
      <c r="M52" s="173"/>
      <c r="N52" s="173"/>
      <c r="O52" s="173"/>
      <c r="P52" s="173"/>
      <c r="Q52" s="173"/>
      <c r="R52" s="173"/>
      <c r="U52" s="156"/>
      <c r="AE52" s="151"/>
      <c r="AL52" s="132"/>
      <c r="AP52" s="173"/>
      <c r="AQ52" s="166"/>
      <c r="AR52" s="189"/>
    </row>
    <row r="53" spans="2:44" ht="1.5" customHeight="1" hidden="1">
      <c r="B53" s="149" t="s">
        <v>81</v>
      </c>
      <c r="E53" s="134">
        <f>AVERAGE(E44:E51)</f>
        <v>16.18125</v>
      </c>
      <c r="F53" s="134">
        <f aca="true" t="shared" si="32" ref="F53:R53">AVERAGE(F44:F51)</f>
        <v>16.88875</v>
      </c>
      <c r="G53" s="134">
        <f t="shared" si="32"/>
        <v>17.419999999999998</v>
      </c>
      <c r="H53" s="134">
        <f t="shared" si="32"/>
        <v>18.175</v>
      </c>
      <c r="I53" s="117"/>
      <c r="J53" s="134">
        <f t="shared" si="32"/>
        <v>32.765</v>
      </c>
      <c r="K53" s="134">
        <f t="shared" si="32"/>
        <v>34.334999999999994</v>
      </c>
      <c r="L53" s="134">
        <f t="shared" si="32"/>
        <v>25.868750000000002</v>
      </c>
      <c r="M53" s="118">
        <f t="shared" si="32"/>
        <v>24.25</v>
      </c>
      <c r="N53" s="135">
        <f t="shared" si="32"/>
        <v>1.80360611590635</v>
      </c>
      <c r="O53" s="136">
        <f t="shared" si="32"/>
        <v>1.6981942153821628</v>
      </c>
      <c r="P53" s="118">
        <f t="shared" si="32"/>
        <v>1.4375</v>
      </c>
      <c r="Q53" s="137">
        <f t="shared" si="32"/>
        <v>0.04383547668947922</v>
      </c>
      <c r="R53" s="138">
        <f t="shared" si="32"/>
        <v>0.04746136485594783</v>
      </c>
      <c r="S53" s="123"/>
      <c r="T53" s="119"/>
      <c r="U53" s="123"/>
      <c r="V53" s="149" t="s">
        <v>81</v>
      </c>
      <c r="W53" s="123"/>
      <c r="X53" s="118">
        <f aca="true" t="shared" si="33" ref="X53:AC53">AVERAGE(X44:X51)</f>
        <v>1.88125</v>
      </c>
      <c r="Y53" s="118">
        <f t="shared" si="33"/>
        <v>1.98625</v>
      </c>
      <c r="Z53" s="139" t="e">
        <f t="shared" si="33"/>
        <v>#DIV/0!</v>
      </c>
      <c r="AA53" s="137">
        <f t="shared" si="33"/>
        <v>0.11011929688863786</v>
      </c>
      <c r="AB53" s="140">
        <f t="shared" si="33"/>
        <v>0.1175</v>
      </c>
      <c r="AC53" s="138">
        <f t="shared" si="33"/>
        <v>0.10928191934532776</v>
      </c>
      <c r="AF53" s="149" t="s">
        <v>81</v>
      </c>
      <c r="AL53" s="174">
        <f>AVERAGE(AL44:AL51)</f>
        <v>0.048999999999999995</v>
      </c>
      <c r="AP53" s="174">
        <f>AVERAGE(AP44:AP51)</f>
        <v>0.12134639410862227</v>
      </c>
      <c r="AR53" s="186">
        <f>AVERAGE(AR44:AR51)</f>
        <v>0.71875</v>
      </c>
    </row>
    <row r="54" spans="2:44" s="143" customFormat="1" ht="1.5" customHeight="1" hidden="1">
      <c r="B54" s="242" t="s">
        <v>354</v>
      </c>
      <c r="E54" s="157"/>
      <c r="F54" s="157"/>
      <c r="G54" s="157"/>
      <c r="H54" s="157"/>
      <c r="J54" s="157"/>
      <c r="K54" s="157"/>
      <c r="L54" s="157"/>
      <c r="M54" s="141"/>
      <c r="N54" s="251">
        <f>MEDIAN(N45:N52)</f>
        <v>1.8238611713665942</v>
      </c>
      <c r="O54" s="251">
        <f>MEDIAN(O45:O52)</f>
        <v>1.7510373443983405</v>
      </c>
      <c r="P54" s="141"/>
      <c r="Q54" s="146">
        <f>MEDIAN(Q45:Q52)</f>
        <v>0.04227642276422764</v>
      </c>
      <c r="R54" s="146">
        <f>MEDIAN(R45:R52)</f>
        <v>0.04697380307136405</v>
      </c>
      <c r="V54" s="242" t="s">
        <v>354</v>
      </c>
      <c r="X54" s="158"/>
      <c r="Y54" s="158"/>
      <c r="Z54" s="159"/>
      <c r="AA54" s="146">
        <f>MEDIAN(AA45:AA52)</f>
        <v>0.12535488097837957</v>
      </c>
      <c r="AB54" s="146">
        <f>MEDIAN(AB45:AB52)</f>
        <v>0.115</v>
      </c>
      <c r="AC54" s="146">
        <f>MEDIAN(AC45:AC52)</f>
        <v>0.10775370581527936</v>
      </c>
      <c r="AD54" s="155"/>
      <c r="AE54" s="151"/>
      <c r="AF54" s="242" t="s">
        <v>354</v>
      </c>
      <c r="AG54" s="155"/>
      <c r="AH54" s="155"/>
      <c r="AI54" s="141"/>
      <c r="AJ54" s="141"/>
      <c r="AK54" s="141"/>
      <c r="AL54" s="146">
        <f>MEDIAN(AL45:AL52)</f>
        <v>0.042</v>
      </c>
      <c r="AM54" s="141"/>
      <c r="AN54" s="152"/>
      <c r="AO54" s="152"/>
      <c r="AP54" s="146">
        <f>MEDIAN(AP45:AP52)</f>
        <v>0.1241083688054488</v>
      </c>
      <c r="AQ54" s="165"/>
      <c r="AR54" s="187">
        <f>MEDIAN(AR44:AR52)</f>
        <v>0.7</v>
      </c>
    </row>
    <row r="55" spans="5:44" s="143" customFormat="1" ht="1.5" customHeight="1" hidden="1">
      <c r="E55" s="157"/>
      <c r="F55" s="157"/>
      <c r="G55" s="157"/>
      <c r="H55" s="157"/>
      <c r="J55" s="157"/>
      <c r="K55" s="157"/>
      <c r="L55" s="157"/>
      <c r="M55" s="141"/>
      <c r="N55" s="144"/>
      <c r="O55" s="144"/>
      <c r="P55" s="141"/>
      <c r="Q55" s="146"/>
      <c r="R55" s="145"/>
      <c r="X55" s="158"/>
      <c r="Y55" s="158"/>
      <c r="Z55" s="159"/>
      <c r="AA55" s="146"/>
      <c r="AB55" s="146"/>
      <c r="AC55" s="146"/>
      <c r="AD55" s="155"/>
      <c r="AE55" s="151"/>
      <c r="AF55" s="155"/>
      <c r="AG55" s="155"/>
      <c r="AH55" s="155"/>
      <c r="AI55" s="141"/>
      <c r="AJ55" s="141"/>
      <c r="AK55" s="141"/>
      <c r="AL55" s="146"/>
      <c r="AM55" s="141"/>
      <c r="AN55" s="152"/>
      <c r="AO55" s="152"/>
      <c r="AP55" s="146"/>
      <c r="AQ55" s="165"/>
      <c r="AR55" s="187"/>
    </row>
    <row r="56" spans="1:44" s="143" customFormat="1" ht="1.5" customHeight="1" hidden="1">
      <c r="A56" s="143" t="s">
        <v>223</v>
      </c>
      <c r="E56" s="157"/>
      <c r="F56" s="157"/>
      <c r="G56" s="157"/>
      <c r="H56" s="157"/>
      <c r="J56" s="157"/>
      <c r="K56" s="157"/>
      <c r="L56" s="157"/>
      <c r="M56" s="141"/>
      <c r="N56" s="144"/>
      <c r="O56" s="144"/>
      <c r="P56" s="141"/>
      <c r="Q56" s="146"/>
      <c r="R56" s="145"/>
      <c r="X56" s="158"/>
      <c r="Y56" s="158"/>
      <c r="Z56" s="159"/>
      <c r="AA56" s="146"/>
      <c r="AB56" s="146"/>
      <c r="AC56" s="146"/>
      <c r="AD56" s="155"/>
      <c r="AE56" s="151"/>
      <c r="AF56" s="155"/>
      <c r="AG56" s="155"/>
      <c r="AH56" s="155"/>
      <c r="AI56" s="141"/>
      <c r="AJ56" s="141"/>
      <c r="AK56" s="141"/>
      <c r="AL56" s="146"/>
      <c r="AM56" s="141"/>
      <c r="AN56" s="152"/>
      <c r="AO56" s="152"/>
      <c r="AP56" s="146"/>
      <c r="AQ56" s="165"/>
      <c r="AR56" s="187"/>
    </row>
    <row r="57" spans="5:44" s="143" customFormat="1" ht="1.5" customHeight="1" hidden="1">
      <c r="E57" s="157"/>
      <c r="F57" s="157"/>
      <c r="G57" s="157"/>
      <c r="H57" s="157"/>
      <c r="J57" s="157"/>
      <c r="K57" s="157"/>
      <c r="L57" s="157"/>
      <c r="M57" s="141"/>
      <c r="N57" s="144"/>
      <c r="O57" s="144"/>
      <c r="P57" s="141"/>
      <c r="Q57" s="146"/>
      <c r="R57" s="145"/>
      <c r="X57" s="158"/>
      <c r="Y57" s="158"/>
      <c r="Z57" s="159"/>
      <c r="AA57" s="146"/>
      <c r="AB57" s="146"/>
      <c r="AC57" s="146"/>
      <c r="AD57" s="155"/>
      <c r="AE57" s="151"/>
      <c r="AF57" s="155"/>
      <c r="AG57" s="155"/>
      <c r="AH57" s="155"/>
      <c r="AI57" s="141"/>
      <c r="AJ57" s="141"/>
      <c r="AK57" s="141"/>
      <c r="AL57" s="146"/>
      <c r="AM57" s="141"/>
      <c r="AN57" s="152"/>
      <c r="AO57" s="152"/>
      <c r="AP57" s="146"/>
      <c r="AQ57" s="165"/>
      <c r="AR57" s="187"/>
    </row>
    <row r="58" spans="1:44" s="143" customFormat="1" ht="1.5" customHeight="1" hidden="1">
      <c r="A58" s="167" t="s">
        <v>329</v>
      </c>
      <c r="E58" s="157"/>
      <c r="F58" s="157"/>
      <c r="G58" s="157"/>
      <c r="H58" s="157"/>
      <c r="J58" s="157"/>
      <c r="K58" s="157"/>
      <c r="L58" s="157"/>
      <c r="M58" s="141"/>
      <c r="N58" s="144"/>
      <c r="O58" s="144"/>
      <c r="P58" s="141"/>
      <c r="Q58" s="146"/>
      <c r="R58" s="145"/>
      <c r="U58" s="167" t="str">
        <f>A58</f>
        <v>WATER COMPANIES COVERED BY VALUE LINE</v>
      </c>
      <c r="X58" s="158"/>
      <c r="Y58" s="158"/>
      <c r="Z58" s="159"/>
      <c r="AA58" s="146"/>
      <c r="AB58" s="146"/>
      <c r="AC58" s="146"/>
      <c r="AD58" s="155"/>
      <c r="AE58" s="150" t="str">
        <f>U58</f>
        <v>WATER COMPANIES COVERED BY VALUE LINE</v>
      </c>
      <c r="AF58" s="155"/>
      <c r="AG58" s="155"/>
      <c r="AH58" s="155"/>
      <c r="AI58" s="141"/>
      <c r="AJ58" s="141"/>
      <c r="AK58" s="141"/>
      <c r="AL58" s="146"/>
      <c r="AM58" s="141"/>
      <c r="AN58" s="152"/>
      <c r="AO58" s="152"/>
      <c r="AP58" s="146"/>
      <c r="AQ58" s="165"/>
      <c r="AR58" s="187"/>
    </row>
    <row r="59" spans="5:44" s="143" customFormat="1" ht="1.5" customHeight="1" hidden="1">
      <c r="E59" s="157"/>
      <c r="F59" s="157"/>
      <c r="G59" s="157"/>
      <c r="H59" s="157"/>
      <c r="J59" s="157"/>
      <c r="K59" s="157"/>
      <c r="L59" s="157"/>
      <c r="M59" s="141"/>
      <c r="N59" s="144"/>
      <c r="O59" s="144"/>
      <c r="P59" s="141"/>
      <c r="Q59" s="146"/>
      <c r="R59" s="145"/>
      <c r="X59" s="158"/>
      <c r="Y59" s="158"/>
      <c r="Z59" s="159"/>
      <c r="AA59" s="146"/>
      <c r="AB59" s="146"/>
      <c r="AC59" s="146"/>
      <c r="AD59" s="155"/>
      <c r="AE59" s="150"/>
      <c r="AF59" s="155"/>
      <c r="AG59" s="155"/>
      <c r="AH59" s="155"/>
      <c r="AI59" s="141"/>
      <c r="AJ59" s="141"/>
      <c r="AK59" s="141"/>
      <c r="AL59" s="146"/>
      <c r="AM59" s="141"/>
      <c r="AN59" s="152"/>
      <c r="AO59" s="152"/>
      <c r="AP59" s="146"/>
      <c r="AQ59" s="165"/>
      <c r="AR59" s="187"/>
    </row>
    <row r="60" spans="1:45" s="149" customFormat="1" ht="1.5" customHeight="1" hidden="1">
      <c r="A60" s="176" t="s">
        <v>235</v>
      </c>
      <c r="E60" s="120">
        <v>12.74</v>
      </c>
      <c r="F60" s="120">
        <v>13.22</v>
      </c>
      <c r="G60" s="120">
        <v>14.05</v>
      </c>
      <c r="H60" s="120">
        <v>14</v>
      </c>
      <c r="I60" s="94" t="s">
        <v>207</v>
      </c>
      <c r="J60" s="120">
        <v>25</v>
      </c>
      <c r="K60" s="120">
        <v>28.95</v>
      </c>
      <c r="L60" s="120">
        <v>21.57</v>
      </c>
      <c r="M60" s="149">
        <v>25.25</v>
      </c>
      <c r="N60" s="177">
        <f>J60/H60</f>
        <v>1.7857142857142858</v>
      </c>
      <c r="O60" s="177">
        <f>((K60+L60)/2)/((G60+H60)/2)</f>
        <v>1.8010695187165773</v>
      </c>
      <c r="P60" s="122">
        <f>0.221*4</f>
        <v>0.884</v>
      </c>
      <c r="Q60" s="178">
        <f>P60/J60</f>
        <v>0.03536</v>
      </c>
      <c r="R60" s="178">
        <f>P60/((K60+L60)/2)</f>
        <v>0.034996041171813146</v>
      </c>
      <c r="S60" s="178"/>
      <c r="T60" s="179"/>
      <c r="U60" s="180" t="str">
        <f>A60</f>
        <v>American States Water Co.</v>
      </c>
      <c r="V60" s="178"/>
      <c r="W60" s="178"/>
      <c r="X60" s="122">
        <v>1.34</v>
      </c>
      <c r="Y60" s="122">
        <v>1.05</v>
      </c>
      <c r="Z60" s="125"/>
      <c r="AA60" s="178">
        <f>Y60/((F60+G60)/2)</f>
        <v>0.077007700770077</v>
      </c>
      <c r="AB60" s="126">
        <v>0.105</v>
      </c>
      <c r="AC60" s="178">
        <f>X60/((E60+F60)/2)</f>
        <v>0.10323574730354391</v>
      </c>
      <c r="AD60" s="126"/>
      <c r="AE60" s="149" t="str">
        <f>U60</f>
        <v>American States Water Co.</v>
      </c>
      <c r="AF60" s="175"/>
      <c r="AG60" s="175"/>
      <c r="AH60" s="175"/>
      <c r="AI60" s="181">
        <f>G60</f>
        <v>14.05</v>
      </c>
      <c r="AJ60" s="181">
        <f>Y60</f>
        <v>1.05</v>
      </c>
      <c r="AK60" s="181">
        <f>P60</f>
        <v>0.884</v>
      </c>
      <c r="AL60" s="127" t="s">
        <v>353</v>
      </c>
      <c r="AM60" s="181"/>
      <c r="AN60" s="182"/>
      <c r="AO60" s="182"/>
      <c r="AP60" s="178"/>
      <c r="AQ60" s="175" t="s">
        <v>236</v>
      </c>
      <c r="AR60" s="183">
        <v>0.65</v>
      </c>
      <c r="AS60" s="184"/>
    </row>
    <row r="61" spans="1:45" s="149" customFormat="1" ht="1.5" customHeight="1" hidden="1">
      <c r="A61" s="176" t="s">
        <v>237</v>
      </c>
      <c r="E61" s="120">
        <v>12.9</v>
      </c>
      <c r="F61" s="120">
        <v>12.95</v>
      </c>
      <c r="G61" s="120">
        <v>13.12</v>
      </c>
      <c r="H61" s="120">
        <v>13.9</v>
      </c>
      <c r="I61" s="94" t="s">
        <v>207</v>
      </c>
      <c r="J61" s="120">
        <v>27.4</v>
      </c>
      <c r="K61" s="120">
        <v>31.4</v>
      </c>
      <c r="L61" s="120">
        <v>23.68</v>
      </c>
      <c r="M61" s="149">
        <v>25.25</v>
      </c>
      <c r="N61" s="177">
        <f>J61/H61</f>
        <v>1.9712230215827338</v>
      </c>
      <c r="O61" s="177">
        <f>((K61+L61)/2)/((G61+H61)/2)</f>
        <v>2.0384900074019243</v>
      </c>
      <c r="P61" s="122">
        <f>0.281*4</f>
        <v>1.124</v>
      </c>
      <c r="Q61" s="178">
        <f>P61/J61</f>
        <v>0.041021897810218984</v>
      </c>
      <c r="R61" s="178">
        <f>P61/((K61+L61)/2)</f>
        <v>0.04081336238198984</v>
      </c>
      <c r="S61" s="178"/>
      <c r="T61" s="179"/>
      <c r="U61" s="180" t="str">
        <f>A61</f>
        <v>California Water Service</v>
      </c>
      <c r="V61" s="178"/>
      <c r="W61" s="178"/>
      <c r="X61" s="122">
        <v>1.25</v>
      </c>
      <c r="Y61" s="122">
        <v>1.03</v>
      </c>
      <c r="Z61" s="125"/>
      <c r="AA61" s="178">
        <f>Y61/((F61+G61)/2)</f>
        <v>0.079018028385117</v>
      </c>
      <c r="AB61" s="126">
        <v>0.105</v>
      </c>
      <c r="AC61" s="178">
        <f>X61/((E61+F61)/2)</f>
        <v>0.09671179883945841</v>
      </c>
      <c r="AD61" s="126"/>
      <c r="AE61" s="149" t="str">
        <f>U61</f>
        <v>California Water Service</v>
      </c>
      <c r="AF61" s="175"/>
      <c r="AG61" s="175"/>
      <c r="AH61" s="175"/>
      <c r="AI61" s="181">
        <f>G61</f>
        <v>13.12</v>
      </c>
      <c r="AJ61" s="181">
        <f>Y61</f>
        <v>1.03</v>
      </c>
      <c r="AK61" s="181">
        <f>P61</f>
        <v>1.124</v>
      </c>
      <c r="AL61" s="127">
        <v>0.04</v>
      </c>
      <c r="AM61" s="181">
        <f>AI61+(AJ61*(1+AL61)-(AK61*(1+AL61)))+(AJ61*(1+AL61)^2-AK61*(1+AL61)^2)+(AJ61*(1+AL61)^3-AK61*(1+AL61)^3)+(AJ61*(1+AL61)^4-AK61*(1+AL61)^4)</f>
        <v>12.704865679360001</v>
      </c>
      <c r="AN61" s="182">
        <f>AI61+(AJ61*(1+AL61)-(AK61*(1+AL61)))+(AJ61*(1+AL61)^2-AK61*(1+AL61)^2)+(AJ61*(1+AL61)^3-AK61*(1+AL61)^3)+(AJ61*(1+AL61)^4-AK61*(1+AL61)^4)+(AJ61*(1+AL61)^5-AK61*(1+AL61)^5)</f>
        <v>12.5905003065344</v>
      </c>
      <c r="AO61" s="182">
        <f>AJ61*(AL61+1)^5</f>
        <v>1.2531524894720003</v>
      </c>
      <c r="AP61" s="178">
        <f>AO61/((AN61+AM61)/2)</f>
        <v>0.09908158594509389</v>
      </c>
      <c r="AQ61" s="175" t="s">
        <v>238</v>
      </c>
      <c r="AR61" s="183">
        <v>0.6</v>
      </c>
      <c r="AS61" s="184"/>
    </row>
    <row r="62" spans="1:45" s="149" customFormat="1" ht="1.5" customHeight="1" hidden="1">
      <c r="A62" s="176" t="s">
        <v>239</v>
      </c>
      <c r="E62" s="120">
        <v>5.13</v>
      </c>
      <c r="F62" s="120">
        <v>5.53</v>
      </c>
      <c r="G62" s="120">
        <v>5.81</v>
      </c>
      <c r="H62" s="120">
        <v>6.45</v>
      </c>
      <c r="I62" s="94" t="s">
        <v>207</v>
      </c>
      <c r="J62" s="120">
        <v>22.1</v>
      </c>
      <c r="K62" s="120">
        <v>27.95</v>
      </c>
      <c r="L62" s="120">
        <v>19.71</v>
      </c>
      <c r="M62" s="149">
        <v>25.25</v>
      </c>
      <c r="N62" s="177">
        <f>J62/H62</f>
        <v>3.426356589147287</v>
      </c>
      <c r="O62" s="177">
        <f>((K62+L62)/2)/((G62+H62)/2)</f>
        <v>3.887438825448613</v>
      </c>
      <c r="P62" s="122">
        <f>0.112*4</f>
        <v>0.448</v>
      </c>
      <c r="Q62" s="178">
        <f>P62/J62</f>
        <v>0.020271493212669682</v>
      </c>
      <c r="R62" s="178">
        <f>P62/((K62+L62)/2)</f>
        <v>0.018799832144355856</v>
      </c>
      <c r="S62" s="178"/>
      <c r="T62" s="179"/>
      <c r="U62" s="180" t="str">
        <f>A62</f>
        <v>Philadelphia Suburban</v>
      </c>
      <c r="V62" s="178"/>
      <c r="W62" s="178"/>
      <c r="X62" s="122">
        <v>0.72</v>
      </c>
      <c r="Y62" s="122">
        <v>0.8</v>
      </c>
      <c r="Z62" s="125" t="s">
        <v>207</v>
      </c>
      <c r="AA62" s="178">
        <f>Y62/((F62+G62)/2)</f>
        <v>0.14109347442680778</v>
      </c>
      <c r="AB62" s="126">
        <v>0.145</v>
      </c>
      <c r="AC62" s="178">
        <f>X62/((E62+F62)/2)</f>
        <v>0.1350844277673546</v>
      </c>
      <c r="AD62" s="126"/>
      <c r="AE62" s="149" t="str">
        <f>U62</f>
        <v>Philadelphia Suburban</v>
      </c>
      <c r="AF62" s="175"/>
      <c r="AG62" s="175"/>
      <c r="AH62" s="175"/>
      <c r="AI62" s="181">
        <f>G62</f>
        <v>5.81</v>
      </c>
      <c r="AJ62" s="181">
        <f>Y62</f>
        <v>0.8</v>
      </c>
      <c r="AK62" s="181">
        <f>P62</f>
        <v>0.448</v>
      </c>
      <c r="AL62" s="127">
        <v>0.087</v>
      </c>
      <c r="AM62" s="181">
        <f>AI62+(AJ62*(1+AL62)-(AK62*(1+AL62)))+(AJ62*(1+AL62)^2-AK62*(1+AL62)^2)+(AJ62*(1+AL62)^3-AK62*(1+AL62)^3)+(AJ62*(1+AL62)^4-AK62*(1+AL62)^4)</f>
        <v>7.552062011275872</v>
      </c>
      <c r="AN62" s="182">
        <f>AI62+(AJ62*(1+AL62)-(AK62*(1+AL62)))+(AJ62*(1+AL62)^2-AK62*(1+AL62)^2)+(AJ62*(1+AL62)^3-AK62*(1+AL62)^3)+(AJ62*(1+AL62)^4-AK62*(1+AL62)^4)+(AJ62*(1+AL62)^5-AK62*(1+AL62)^5)</f>
        <v>8.086245406256873</v>
      </c>
      <c r="AO62" s="182">
        <f>AJ62*(AL62+1)^5</f>
        <v>1.2140531704113653</v>
      </c>
      <c r="AP62" s="178">
        <f>AO62/((AN62+AM62)/2)</f>
        <v>0.15526656920048018</v>
      </c>
      <c r="AQ62" s="175" t="s">
        <v>240</v>
      </c>
      <c r="AR62" s="183">
        <v>0.7</v>
      </c>
      <c r="AS62" s="184"/>
    </row>
    <row r="63" spans="5:44" s="143" customFormat="1" ht="0.75" customHeight="1" hidden="1">
      <c r="E63" s="173"/>
      <c r="F63" s="173"/>
      <c r="G63" s="173"/>
      <c r="H63" s="173"/>
      <c r="J63" s="173"/>
      <c r="K63" s="173"/>
      <c r="L63" s="173"/>
      <c r="M63" s="173"/>
      <c r="N63" s="173"/>
      <c r="O63" s="173"/>
      <c r="P63" s="173"/>
      <c r="Q63" s="173"/>
      <c r="R63" s="173"/>
      <c r="U63" s="156"/>
      <c r="AE63" s="151"/>
      <c r="AL63" s="132"/>
      <c r="AP63" s="173"/>
      <c r="AQ63" s="166"/>
      <c r="AR63" s="189"/>
    </row>
    <row r="64" spans="2:44" ht="1.5" customHeight="1" hidden="1">
      <c r="B64" s="149" t="s">
        <v>81</v>
      </c>
      <c r="E64" s="134">
        <f>AVERAGE(E60:E62)</f>
        <v>10.256666666666666</v>
      </c>
      <c r="F64" s="134">
        <f>AVERAGE(F60:F62)</f>
        <v>10.566666666666668</v>
      </c>
      <c r="G64" s="134">
        <f>AVERAGE(G60:G62)</f>
        <v>10.993333333333334</v>
      </c>
      <c r="H64" s="134">
        <f>AVERAGE(H60:H62)</f>
        <v>11.450000000000001</v>
      </c>
      <c r="I64" s="117"/>
      <c r="J64" s="134">
        <f aca="true" t="shared" si="34" ref="J64:R64">AVERAGE(J60:J62)</f>
        <v>24.833333333333332</v>
      </c>
      <c r="K64" s="134">
        <f t="shared" si="34"/>
        <v>29.433333333333334</v>
      </c>
      <c r="L64" s="134">
        <f t="shared" si="34"/>
        <v>21.653333333333336</v>
      </c>
      <c r="M64" s="118">
        <f t="shared" si="34"/>
        <v>25.25</v>
      </c>
      <c r="N64" s="135">
        <f t="shared" si="34"/>
        <v>2.394431298814769</v>
      </c>
      <c r="O64" s="136">
        <f t="shared" si="34"/>
        <v>2.5756661171890385</v>
      </c>
      <c r="P64" s="118">
        <f t="shared" si="34"/>
        <v>0.8186666666666667</v>
      </c>
      <c r="Q64" s="137">
        <f t="shared" si="34"/>
        <v>0.032217797007629556</v>
      </c>
      <c r="R64" s="138">
        <f t="shared" si="34"/>
        <v>0.03153641189938628</v>
      </c>
      <c r="T64" s="119"/>
      <c r="V64" s="149" t="s">
        <v>81</v>
      </c>
      <c r="W64" s="123"/>
      <c r="X64" s="118">
        <f>AVERAGE(X60:X62)</f>
        <v>1.1033333333333333</v>
      </c>
      <c r="Y64" s="118">
        <f>AVERAGE(Y60:Y62)</f>
        <v>0.96</v>
      </c>
      <c r="Z64" s="139"/>
      <c r="AA64" s="137">
        <f>AVERAGE(AA60:AA62)</f>
        <v>0.09903973452733393</v>
      </c>
      <c r="AB64" s="140">
        <f>AVERAGE(AB60:AB62)</f>
        <v>0.11833333333333333</v>
      </c>
      <c r="AC64" s="138">
        <f>AVERAGE(AC60:AC62)</f>
        <v>0.11167732463678563</v>
      </c>
      <c r="AF64" s="149" t="s">
        <v>81</v>
      </c>
      <c r="AL64" s="174">
        <f>AVERAGE(AL60:AL62)</f>
        <v>0.0635</v>
      </c>
      <c r="AP64" s="174">
        <f>AVERAGE(AP60:AP62)</f>
        <v>0.12717407757278704</v>
      </c>
      <c r="AR64" s="186">
        <f>AVERAGE(AR60:AR62)</f>
        <v>0.65</v>
      </c>
    </row>
    <row r="65" spans="2:44" ht="12.75" hidden="1">
      <c r="B65" s="242" t="s">
        <v>354</v>
      </c>
      <c r="E65" s="134"/>
      <c r="F65" s="134"/>
      <c r="G65" s="134"/>
      <c r="H65" s="134"/>
      <c r="I65" s="117"/>
      <c r="J65" s="134"/>
      <c r="K65" s="134"/>
      <c r="L65" s="134"/>
      <c r="M65" s="118"/>
      <c r="N65" s="144">
        <f>MEDIAN(N60:N63)</f>
        <v>1.9712230215827338</v>
      </c>
      <c r="O65" s="144">
        <f>MEDIAN(O60:O63)</f>
        <v>2.0384900074019243</v>
      </c>
      <c r="P65" s="118"/>
      <c r="Q65" s="146">
        <f>MEDIAN(Q60:Q63)</f>
        <v>0.03536</v>
      </c>
      <c r="R65" s="146">
        <f>MEDIAN(R60:R63)</f>
        <v>0.034996041171813146</v>
      </c>
      <c r="T65" s="119"/>
      <c r="V65" s="242" t="s">
        <v>354</v>
      </c>
      <c r="W65" s="123"/>
      <c r="X65" s="118"/>
      <c r="Y65" s="118"/>
      <c r="Z65" s="139"/>
      <c r="AA65" s="146">
        <f>MEDIAN(AA60:AA63)</f>
        <v>0.079018028385117</v>
      </c>
      <c r="AB65" s="146">
        <f>MEDIAN(AB60:AB63)</f>
        <v>0.105</v>
      </c>
      <c r="AC65" s="146">
        <f>MEDIAN(AC60:AC63)</f>
        <v>0.10323574730354391</v>
      </c>
      <c r="AF65" s="242" t="s">
        <v>354</v>
      </c>
      <c r="AL65" s="146">
        <f>MEDIAN(AL60:AL63)</f>
        <v>0.0635</v>
      </c>
      <c r="AP65" s="146">
        <f>MEDIAN(AP60:AP63)</f>
        <v>0.12717407757278704</v>
      </c>
      <c r="AR65" s="186">
        <f>MEDIAN(AR60:AR63)</f>
        <v>0.65</v>
      </c>
    </row>
    <row r="66" spans="1:44" s="143" customFormat="1" ht="11.25" customHeight="1">
      <c r="A66" s="110" t="s">
        <v>234</v>
      </c>
      <c r="E66" s="157"/>
      <c r="F66" s="157"/>
      <c r="G66" s="157"/>
      <c r="H66" s="157"/>
      <c r="J66" s="157"/>
      <c r="K66" s="157"/>
      <c r="L66" s="157"/>
      <c r="M66" s="141"/>
      <c r="N66" s="144"/>
      <c r="O66" s="144"/>
      <c r="P66" s="141"/>
      <c r="Q66" s="146"/>
      <c r="R66" s="145"/>
      <c r="X66" s="158"/>
      <c r="Y66" s="158"/>
      <c r="Z66" s="159"/>
      <c r="AA66" s="146"/>
      <c r="AB66" s="146"/>
      <c r="AC66" s="146"/>
      <c r="AD66" s="155"/>
      <c r="AE66" s="151"/>
      <c r="AF66" s="155"/>
      <c r="AG66" s="155"/>
      <c r="AH66" s="155"/>
      <c r="AI66" s="141"/>
      <c r="AJ66" s="141"/>
      <c r="AK66" s="141"/>
      <c r="AL66" s="146"/>
      <c r="AM66" s="141"/>
      <c r="AN66" s="152"/>
      <c r="AO66" s="152"/>
      <c r="AP66" s="146"/>
      <c r="AQ66" s="165"/>
      <c r="AR66" s="187"/>
    </row>
    <row r="67" spans="1:44" s="143" customFormat="1" ht="11.25" customHeight="1">
      <c r="A67" s="110" t="s">
        <v>115</v>
      </c>
      <c r="B67" s="110" t="s">
        <v>8</v>
      </c>
      <c r="C67" s="110" t="s">
        <v>348</v>
      </c>
      <c r="D67" s="110"/>
      <c r="E67" s="157"/>
      <c r="F67" s="157"/>
      <c r="G67" s="157"/>
      <c r="H67" s="157"/>
      <c r="J67" s="157"/>
      <c r="K67" s="157"/>
      <c r="L67" s="157"/>
      <c r="M67" s="141"/>
      <c r="N67" s="144"/>
      <c r="O67" s="144"/>
      <c r="P67" s="141"/>
      <c r="Q67" s="146"/>
      <c r="R67" s="145"/>
      <c r="U67" s="124" t="str">
        <f>A66</f>
        <v>e= Estimated by Value Line</v>
      </c>
      <c r="X67" s="158"/>
      <c r="Y67" s="158"/>
      <c r="Z67" s="159"/>
      <c r="AA67" s="146"/>
      <c r="AB67" s="146"/>
      <c r="AC67" s="146"/>
      <c r="AD67" s="155"/>
      <c r="AE67" s="151"/>
      <c r="AF67" s="155"/>
      <c r="AG67" s="155"/>
      <c r="AH67" s="155"/>
      <c r="AI67" s="141"/>
      <c r="AJ67" s="141"/>
      <c r="AK67" s="141"/>
      <c r="AL67" s="146"/>
      <c r="AM67" s="141"/>
      <c r="AN67" s="152"/>
      <c r="AO67" s="152"/>
      <c r="AP67" s="146"/>
      <c r="AQ67" s="165"/>
      <c r="AR67" s="187"/>
    </row>
    <row r="68" spans="1:44" s="143" customFormat="1" ht="11.25" customHeight="1">
      <c r="A68" s="110"/>
      <c r="B68" s="110" t="s">
        <v>10</v>
      </c>
      <c r="C68" s="110" t="s">
        <v>351</v>
      </c>
      <c r="D68" s="110"/>
      <c r="E68" s="157"/>
      <c r="F68" s="157"/>
      <c r="G68" s="157"/>
      <c r="H68" s="157"/>
      <c r="J68" s="157"/>
      <c r="K68" s="157"/>
      <c r="L68" s="157"/>
      <c r="M68" s="141"/>
      <c r="N68" s="144"/>
      <c r="O68" s="144"/>
      <c r="P68" s="141"/>
      <c r="Q68" s="146"/>
      <c r="R68" s="145"/>
      <c r="U68" s="123"/>
      <c r="X68" s="158"/>
      <c r="Y68" s="158"/>
      <c r="Z68" s="159"/>
      <c r="AA68" s="146"/>
      <c r="AB68" s="146"/>
      <c r="AC68" s="146"/>
      <c r="AE68" s="155" t="s">
        <v>8</v>
      </c>
      <c r="AF68" s="151" t="s">
        <v>82</v>
      </c>
      <c r="AG68" s="155"/>
      <c r="AH68" s="155"/>
      <c r="AI68" s="141"/>
      <c r="AJ68" s="141"/>
      <c r="AK68" s="141"/>
      <c r="AL68" s="146"/>
      <c r="AM68" s="141"/>
      <c r="AN68" s="152"/>
      <c r="AO68" s="152"/>
      <c r="AP68" s="146"/>
      <c r="AQ68" s="165"/>
      <c r="AR68" s="187"/>
    </row>
    <row r="69" spans="1:44" s="143" customFormat="1" ht="11.25" customHeight="1">
      <c r="A69" s="110"/>
      <c r="B69" s="110" t="s">
        <v>11</v>
      </c>
      <c r="C69" s="110" t="s">
        <v>120</v>
      </c>
      <c r="D69" s="112"/>
      <c r="E69" s="157"/>
      <c r="F69" s="157"/>
      <c r="G69" s="157"/>
      <c r="H69" s="157"/>
      <c r="J69" s="157"/>
      <c r="K69" s="157"/>
      <c r="L69" s="157"/>
      <c r="M69" s="141"/>
      <c r="N69" s="144"/>
      <c r="O69" s="144"/>
      <c r="P69" s="141"/>
      <c r="Q69" s="146"/>
      <c r="R69" s="145"/>
      <c r="S69" s="119" t="s">
        <v>14</v>
      </c>
      <c r="T69" s="119" t="s">
        <v>116</v>
      </c>
      <c r="U69" s="119"/>
      <c r="V69" s="119"/>
      <c r="X69" s="158"/>
      <c r="Y69" s="158"/>
      <c r="Z69" s="159"/>
      <c r="AA69" s="146"/>
      <c r="AB69" s="146"/>
      <c r="AC69" s="146"/>
      <c r="AE69" s="155" t="str">
        <f>AL11</f>
        <v>[B]</v>
      </c>
      <c r="AF69" s="151" t="s">
        <v>482</v>
      </c>
      <c r="AG69" s="155"/>
      <c r="AH69" s="155"/>
      <c r="AI69" s="141"/>
      <c r="AJ69" s="141"/>
      <c r="AK69" s="141"/>
      <c r="AL69" s="146"/>
      <c r="AM69" s="141"/>
      <c r="AN69" s="152"/>
      <c r="AO69" s="152"/>
      <c r="AP69" s="146"/>
      <c r="AQ69" s="165"/>
      <c r="AR69" s="187"/>
    </row>
    <row r="70" spans="1:44" s="143" customFormat="1" ht="11.25" customHeight="1">
      <c r="A70" s="110"/>
      <c r="B70" s="110" t="s">
        <v>13</v>
      </c>
      <c r="C70" s="110" t="s">
        <v>122</v>
      </c>
      <c r="D70" s="112"/>
      <c r="E70" s="118"/>
      <c r="F70" s="118"/>
      <c r="G70" s="157"/>
      <c r="H70" s="157"/>
      <c r="J70" s="157"/>
      <c r="K70" s="157"/>
      <c r="L70" s="157"/>
      <c r="M70" s="141"/>
      <c r="N70" s="144"/>
      <c r="O70" s="144"/>
      <c r="P70" s="141"/>
      <c r="Q70" s="146"/>
      <c r="R70" s="145"/>
      <c r="S70" s="119"/>
      <c r="T70" s="119" t="s">
        <v>118</v>
      </c>
      <c r="U70" s="119"/>
      <c r="V70" s="123"/>
      <c r="X70" s="158"/>
      <c r="Y70" s="158"/>
      <c r="Z70" s="159"/>
      <c r="AA70" s="146"/>
      <c r="AB70" s="146"/>
      <c r="AC70" s="146"/>
      <c r="AE70" s="165" t="str">
        <f>AM11</f>
        <v>[C]</v>
      </c>
      <c r="AF70" s="110" t="s">
        <v>117</v>
      </c>
      <c r="AH70" s="155"/>
      <c r="AI70" s="141"/>
      <c r="AJ70" s="141"/>
      <c r="AK70" s="141"/>
      <c r="AL70" s="146"/>
      <c r="AM70" s="141"/>
      <c r="AN70" s="152"/>
      <c r="AO70" s="152"/>
      <c r="AP70" s="146"/>
      <c r="AR70" s="187"/>
    </row>
    <row r="71" spans="1:44" s="143" customFormat="1" ht="11.25" customHeight="1">
      <c r="A71" s="110"/>
      <c r="B71" s="110"/>
      <c r="C71" s="110"/>
      <c r="D71" s="112"/>
      <c r="E71" s="118"/>
      <c r="F71" s="118"/>
      <c r="G71" s="157"/>
      <c r="H71" s="157"/>
      <c r="J71" s="157"/>
      <c r="K71" s="157"/>
      <c r="L71" s="157"/>
      <c r="M71" s="141"/>
      <c r="N71" s="144"/>
      <c r="O71" s="144"/>
      <c r="P71" s="141"/>
      <c r="Q71" s="146"/>
      <c r="R71" s="145"/>
      <c r="S71" s="119"/>
      <c r="T71" s="119"/>
      <c r="U71" s="119" t="str">
        <f>P2</f>
        <v>Exhibit___ (JAR 3) Schedule 3, P. 1</v>
      </c>
      <c r="V71" s="123"/>
      <c r="W71" s="119"/>
      <c r="X71" s="118"/>
      <c r="Y71" s="118"/>
      <c r="Z71" s="139"/>
      <c r="AA71" s="123"/>
      <c r="AB71" s="146"/>
      <c r="AC71" s="146"/>
      <c r="AF71" s="110" t="s">
        <v>119</v>
      </c>
      <c r="AH71" s="155"/>
      <c r="AI71" s="141"/>
      <c r="AJ71" s="141"/>
      <c r="AK71" s="141"/>
      <c r="AL71" s="146"/>
      <c r="AM71" s="141"/>
      <c r="AN71" s="152"/>
      <c r="AO71" s="152"/>
      <c r="AP71" s="146"/>
      <c r="AR71" s="187"/>
    </row>
    <row r="72" spans="5:44" s="143" customFormat="1" ht="11.25" customHeight="1">
      <c r="E72" s="118"/>
      <c r="F72" s="118"/>
      <c r="G72" s="157"/>
      <c r="H72" s="157"/>
      <c r="J72" s="157"/>
      <c r="K72" s="157"/>
      <c r="L72" s="157"/>
      <c r="M72" s="141"/>
      <c r="N72" s="144"/>
      <c r="O72" s="144"/>
      <c r="P72" s="141"/>
      <c r="Q72" s="146"/>
      <c r="R72" s="145"/>
      <c r="W72" s="123"/>
      <c r="X72" s="118"/>
      <c r="Y72" s="118"/>
      <c r="Z72" s="139"/>
      <c r="AA72" s="123"/>
      <c r="AB72" s="146"/>
      <c r="AC72" s="146"/>
      <c r="AF72" s="110" t="s">
        <v>121</v>
      </c>
      <c r="AH72" s="155"/>
      <c r="AI72" s="141"/>
      <c r="AJ72" s="141"/>
      <c r="AK72" s="141"/>
      <c r="AL72" s="146"/>
      <c r="AM72" s="141"/>
      <c r="AN72" s="152"/>
      <c r="AO72" s="152"/>
      <c r="AP72" s="146"/>
      <c r="AR72" s="187"/>
    </row>
    <row r="73" spans="5:44" s="143" customFormat="1" ht="30.75" customHeight="1">
      <c r="E73" s="118"/>
      <c r="F73" s="118"/>
      <c r="G73" s="157"/>
      <c r="H73" s="157"/>
      <c r="J73" s="157"/>
      <c r="K73" s="157"/>
      <c r="L73" s="157"/>
      <c r="M73" s="141"/>
      <c r="N73" s="144"/>
      <c r="O73" s="144"/>
      <c r="P73" s="141"/>
      <c r="Q73" s="146"/>
      <c r="R73" s="145"/>
      <c r="W73" s="123"/>
      <c r="X73" s="118"/>
      <c r="Y73" s="118"/>
      <c r="Z73" s="139"/>
      <c r="AA73" s="123"/>
      <c r="AB73" s="145"/>
      <c r="AC73" s="145"/>
      <c r="AL73" s="145"/>
      <c r="AP73" s="147"/>
      <c r="AR73" s="187"/>
    </row>
    <row r="74" spans="1:44" s="143" customFormat="1" ht="11.25" customHeight="1">
      <c r="A74" s="167"/>
      <c r="E74" s="118"/>
      <c r="F74" s="118"/>
      <c r="G74" s="157"/>
      <c r="H74" s="157"/>
      <c r="Q74" s="147"/>
      <c r="R74" s="145"/>
      <c r="V74" s="164"/>
      <c r="AL74" s="146"/>
      <c r="AR74" s="187"/>
    </row>
    <row r="75" spans="1:44" s="143" customFormat="1" ht="11.25" customHeight="1">
      <c r="A75" s="117"/>
      <c r="B75" s="117"/>
      <c r="C75" s="117"/>
      <c r="D75" s="117"/>
      <c r="E75" s="117"/>
      <c r="F75" s="117"/>
      <c r="G75" s="160"/>
      <c r="H75" s="160"/>
      <c r="J75" s="161"/>
      <c r="K75" s="161"/>
      <c r="L75" s="161"/>
      <c r="N75" s="144"/>
      <c r="O75" s="144"/>
      <c r="P75" s="148"/>
      <c r="Q75" s="146"/>
      <c r="R75" s="146"/>
      <c r="X75" s="160"/>
      <c r="Y75" s="160"/>
      <c r="AA75" s="146"/>
      <c r="AB75" s="162"/>
      <c r="AC75" s="146"/>
      <c r="AI75" s="141"/>
      <c r="AJ75" s="141"/>
      <c r="AK75" s="141"/>
      <c r="AL75" s="163"/>
      <c r="AM75" s="141"/>
      <c r="AN75" s="152"/>
      <c r="AO75" s="152"/>
      <c r="AP75" s="146"/>
      <c r="AR75" s="187"/>
    </row>
    <row r="76" spans="14:44" s="117" customFormat="1" ht="11.25" customHeight="1">
      <c r="N76" s="143"/>
      <c r="O76" s="143"/>
      <c r="P76" s="143"/>
      <c r="Q76" s="143"/>
      <c r="R76" s="143"/>
      <c r="S76" s="119"/>
      <c r="T76" s="119"/>
      <c r="U76" s="119"/>
      <c r="V76" s="143"/>
      <c r="W76" s="119"/>
      <c r="X76" s="118"/>
      <c r="Y76" s="118"/>
      <c r="Z76" s="139"/>
      <c r="AA76" s="123"/>
      <c r="AB76" s="123"/>
      <c r="AR76" s="186"/>
    </row>
    <row r="77" spans="5:44" s="117" customFormat="1" ht="15" customHeight="1">
      <c r="E77" s="383"/>
      <c r="F77" s="383"/>
      <c r="G77" s="383"/>
      <c r="H77" s="383"/>
      <c r="N77" s="177"/>
      <c r="P77" s="383"/>
      <c r="Q77" s="178"/>
      <c r="V77" s="164"/>
      <c r="X77" s="118"/>
      <c r="Y77" s="118"/>
      <c r="AA77" s="178"/>
      <c r="AB77" s="123"/>
      <c r="AC77" s="178"/>
      <c r="AR77" s="186"/>
    </row>
    <row r="78" spans="5:44" s="117" customFormat="1" ht="15" customHeight="1">
      <c r="E78" s="383"/>
      <c r="F78" s="383"/>
      <c r="G78" s="383"/>
      <c r="H78" s="383"/>
      <c r="N78" s="177"/>
      <c r="P78" s="383"/>
      <c r="Q78" s="178"/>
      <c r="X78" s="118"/>
      <c r="Y78" s="118"/>
      <c r="AA78" s="178"/>
      <c r="AB78" s="123"/>
      <c r="AC78" s="178"/>
      <c r="AR78" s="186"/>
    </row>
    <row r="79" spans="5:44" s="117" customFormat="1" ht="15" customHeight="1">
      <c r="E79" s="383"/>
      <c r="F79" s="383"/>
      <c r="G79" s="383"/>
      <c r="H79" s="383"/>
      <c r="N79" s="177"/>
      <c r="P79" s="383"/>
      <c r="Q79" s="178"/>
      <c r="X79" s="118"/>
      <c r="Y79" s="118"/>
      <c r="AA79" s="178"/>
      <c r="AB79" s="123"/>
      <c r="AC79" s="178"/>
      <c r="AR79" s="186"/>
    </row>
    <row r="80" spans="5:44" s="117" customFormat="1" ht="15" customHeight="1">
      <c r="E80" s="383"/>
      <c r="F80" s="383"/>
      <c r="G80" s="383"/>
      <c r="H80" s="383"/>
      <c r="N80" s="177"/>
      <c r="P80" s="383"/>
      <c r="Q80" s="178"/>
      <c r="S80" s="123"/>
      <c r="T80" s="139"/>
      <c r="V80" s="123"/>
      <c r="W80" s="123"/>
      <c r="X80" s="118"/>
      <c r="Y80" s="118"/>
      <c r="Z80" s="139"/>
      <c r="AA80" s="178"/>
      <c r="AB80" s="123"/>
      <c r="AC80" s="178"/>
      <c r="AR80" s="186"/>
    </row>
    <row r="81" spans="5:44" s="117" customFormat="1" ht="15" customHeight="1">
      <c r="E81" s="383"/>
      <c r="F81" s="383"/>
      <c r="G81" s="383"/>
      <c r="H81" s="383"/>
      <c r="N81" s="177"/>
      <c r="P81" s="383"/>
      <c r="Q81" s="178"/>
      <c r="X81" s="118"/>
      <c r="Y81" s="118"/>
      <c r="AA81" s="178"/>
      <c r="AB81" s="123"/>
      <c r="AC81" s="178"/>
      <c r="AR81" s="186"/>
    </row>
    <row r="82" spans="5:44" s="117" customFormat="1" ht="15" customHeight="1">
      <c r="E82" s="383"/>
      <c r="F82" s="383"/>
      <c r="G82" s="383"/>
      <c r="H82" s="383"/>
      <c r="N82" s="177"/>
      <c r="P82" s="383"/>
      <c r="Q82" s="178"/>
      <c r="X82" s="118"/>
      <c r="Y82" s="118"/>
      <c r="AA82" s="178"/>
      <c r="AB82" s="123"/>
      <c r="AC82" s="178"/>
      <c r="AR82" s="186"/>
    </row>
    <row r="83" spans="5:44" s="117" customFormat="1" ht="15" customHeight="1">
      <c r="E83" s="383"/>
      <c r="F83" s="383"/>
      <c r="G83" s="383"/>
      <c r="H83" s="383"/>
      <c r="J83" s="383"/>
      <c r="N83" s="177"/>
      <c r="P83" s="383"/>
      <c r="Q83" s="178"/>
      <c r="X83" s="118"/>
      <c r="Y83" s="118"/>
      <c r="AA83" s="178"/>
      <c r="AB83" s="123"/>
      <c r="AC83" s="178"/>
      <c r="AR83" s="186"/>
    </row>
    <row r="84" spans="5:44" s="117" customFormat="1" ht="15" customHeight="1">
      <c r="E84" s="383"/>
      <c r="F84" s="383"/>
      <c r="G84" s="383"/>
      <c r="H84" s="383"/>
      <c r="J84" s="383"/>
      <c r="N84" s="177"/>
      <c r="P84" s="383"/>
      <c r="Q84" s="178"/>
      <c r="X84" s="118"/>
      <c r="Y84" s="118"/>
      <c r="AA84" s="178"/>
      <c r="AB84" s="123"/>
      <c r="AC84" s="178"/>
      <c r="AR84" s="186"/>
    </row>
    <row r="85" spans="5:44" s="117" customFormat="1" ht="15" customHeight="1">
      <c r="E85" s="383"/>
      <c r="F85" s="383"/>
      <c r="G85" s="383"/>
      <c r="H85" s="383"/>
      <c r="J85" s="383"/>
      <c r="N85" s="177"/>
      <c r="P85" s="383"/>
      <c r="Q85" s="178"/>
      <c r="X85" s="118"/>
      <c r="Y85" s="118"/>
      <c r="AA85" s="178"/>
      <c r="AB85" s="123"/>
      <c r="AC85" s="178"/>
      <c r="AR85" s="186"/>
    </row>
    <row r="86" spans="5:44" ht="15" customHeight="1">
      <c r="E86" s="383"/>
      <c r="F86" s="383"/>
      <c r="G86" s="383"/>
      <c r="H86" s="383"/>
      <c r="I86" s="117"/>
      <c r="J86" s="128"/>
      <c r="K86" s="118"/>
      <c r="L86" s="118"/>
      <c r="M86" s="118"/>
      <c r="N86" s="177"/>
      <c r="O86" s="121"/>
      <c r="P86" s="383"/>
      <c r="Q86" s="178"/>
      <c r="R86" s="119"/>
      <c r="S86" s="119"/>
      <c r="T86" s="119"/>
      <c r="U86" s="117"/>
      <c r="V86" s="119"/>
      <c r="W86" s="119"/>
      <c r="X86" s="118"/>
      <c r="Y86" s="118"/>
      <c r="Z86" s="139"/>
      <c r="AA86" s="178"/>
      <c r="AB86" s="123"/>
      <c r="AC86" s="178"/>
      <c r="AR86" s="186"/>
    </row>
    <row r="87" spans="5:44" ht="15" customHeight="1">
      <c r="E87" s="383"/>
      <c r="F87" s="383"/>
      <c r="G87" s="383"/>
      <c r="H87" s="383"/>
      <c r="I87" s="117"/>
      <c r="J87" s="128"/>
      <c r="K87" s="118"/>
      <c r="L87" s="118"/>
      <c r="M87" s="118"/>
      <c r="N87" s="177"/>
      <c r="O87" s="121"/>
      <c r="P87" s="383"/>
      <c r="Q87" s="178"/>
      <c r="R87" s="119"/>
      <c r="U87" s="117"/>
      <c r="X87" s="118"/>
      <c r="Y87" s="118"/>
      <c r="AA87" s="178"/>
      <c r="AB87" s="123"/>
      <c r="AC87" s="178"/>
      <c r="AR87" s="186"/>
    </row>
    <row r="88" spans="5:44" ht="12.75">
      <c r="E88" s="383"/>
      <c r="F88" s="383"/>
      <c r="G88" s="383"/>
      <c r="H88" s="383"/>
      <c r="I88" s="117"/>
      <c r="J88" s="128"/>
      <c r="K88" s="118"/>
      <c r="L88" s="118"/>
      <c r="M88" s="118"/>
      <c r="N88" s="177"/>
      <c r="O88" s="121"/>
      <c r="P88" s="383"/>
      <c r="Q88" s="178"/>
      <c r="R88" s="119"/>
      <c r="U88" s="117"/>
      <c r="X88" s="118"/>
      <c r="Y88" s="118"/>
      <c r="AA88" s="178"/>
      <c r="AB88" s="123"/>
      <c r="AC88" s="178"/>
      <c r="AR88" s="186"/>
    </row>
    <row r="89" spans="5:44" ht="12.75">
      <c r="E89" s="383"/>
      <c r="F89" s="383"/>
      <c r="G89" s="383"/>
      <c r="H89" s="383"/>
      <c r="I89" s="117"/>
      <c r="J89" s="128"/>
      <c r="K89" s="118"/>
      <c r="L89" s="118"/>
      <c r="M89" s="118"/>
      <c r="N89" s="177"/>
      <c r="O89" s="121"/>
      <c r="P89" s="383"/>
      <c r="Q89" s="178"/>
      <c r="R89" s="123"/>
      <c r="U89" s="117"/>
      <c r="X89" s="118"/>
      <c r="Y89" s="118"/>
      <c r="AA89" s="178"/>
      <c r="AB89" s="123"/>
      <c r="AC89" s="178"/>
      <c r="AR89" s="186"/>
    </row>
    <row r="90" spans="5:44" ht="12.75">
      <c r="E90" s="383"/>
      <c r="F90" s="383"/>
      <c r="G90" s="383"/>
      <c r="H90" s="383"/>
      <c r="I90" s="117"/>
      <c r="J90" s="128"/>
      <c r="K90" s="118"/>
      <c r="L90" s="118"/>
      <c r="M90" s="118"/>
      <c r="N90" s="177"/>
      <c r="O90" s="121"/>
      <c r="P90" s="383"/>
      <c r="Q90" s="178"/>
      <c r="R90" s="123"/>
      <c r="U90" s="117"/>
      <c r="X90" s="118"/>
      <c r="Y90" s="118"/>
      <c r="AA90" s="178"/>
      <c r="AB90" s="123"/>
      <c r="AC90" s="178"/>
      <c r="AR90" s="186"/>
    </row>
    <row r="91" spans="5:44" ht="9.75" customHeight="1">
      <c r="E91" s="383"/>
      <c r="F91" s="383"/>
      <c r="G91" s="383"/>
      <c r="H91" s="383"/>
      <c r="I91" s="117"/>
      <c r="J91" s="128"/>
      <c r="K91" s="118"/>
      <c r="L91" s="118"/>
      <c r="M91" s="118"/>
      <c r="N91" s="177"/>
      <c r="O91" s="121"/>
      <c r="P91" s="383"/>
      <c r="Q91" s="178"/>
      <c r="R91" s="123"/>
      <c r="U91" s="117"/>
      <c r="X91" s="118"/>
      <c r="Y91" s="118"/>
      <c r="AA91" s="178"/>
      <c r="AB91" s="123"/>
      <c r="AC91" s="178"/>
      <c r="AR91" s="186"/>
    </row>
    <row r="92" spans="5:44" ht="17.25" customHeight="1">
      <c r="E92" s="383"/>
      <c r="F92" s="383"/>
      <c r="G92" s="383"/>
      <c r="H92" s="383"/>
      <c r="I92" s="117"/>
      <c r="J92" s="128"/>
      <c r="K92" s="118"/>
      <c r="L92" s="118"/>
      <c r="M92" s="118"/>
      <c r="N92" s="177"/>
      <c r="O92" s="121"/>
      <c r="P92" s="383"/>
      <c r="Q92" s="178"/>
      <c r="R92" s="123"/>
      <c r="U92" s="117"/>
      <c r="X92" s="118"/>
      <c r="Y92" s="118"/>
      <c r="AA92" s="178"/>
      <c r="AB92" s="123"/>
      <c r="AC92" s="178"/>
      <c r="AR92" s="186"/>
    </row>
    <row r="93" spans="5:44" ht="12.75">
      <c r="E93" s="383"/>
      <c r="F93" s="383"/>
      <c r="G93" s="383"/>
      <c r="H93" s="383"/>
      <c r="I93" s="117"/>
      <c r="J93" s="128"/>
      <c r="K93" s="118"/>
      <c r="L93" s="118"/>
      <c r="M93" s="118"/>
      <c r="N93" s="177"/>
      <c r="O93" s="121"/>
      <c r="P93" s="383"/>
      <c r="Q93" s="178"/>
      <c r="R93" s="123"/>
      <c r="U93" s="117"/>
      <c r="X93" s="118"/>
      <c r="Y93" s="118"/>
      <c r="AA93" s="178"/>
      <c r="AB93" s="123"/>
      <c r="AC93" s="178"/>
      <c r="AR93" s="186"/>
    </row>
    <row r="94" spans="5:44" ht="12.75">
      <c r="E94" s="383"/>
      <c r="F94" s="383"/>
      <c r="G94" s="383"/>
      <c r="H94" s="383"/>
      <c r="I94" s="117"/>
      <c r="J94" s="128"/>
      <c r="K94" s="118"/>
      <c r="L94" s="118"/>
      <c r="M94" s="118"/>
      <c r="N94" s="177"/>
      <c r="O94" s="121"/>
      <c r="P94" s="383"/>
      <c r="Q94" s="178"/>
      <c r="R94" s="123"/>
      <c r="U94" s="117"/>
      <c r="X94" s="118"/>
      <c r="Y94" s="118"/>
      <c r="AA94" s="178"/>
      <c r="AB94" s="123"/>
      <c r="AC94" s="178"/>
      <c r="AR94" s="186"/>
    </row>
    <row r="95" spans="5:44" ht="12.75">
      <c r="E95" s="383"/>
      <c r="F95" s="383"/>
      <c r="G95" s="383"/>
      <c r="H95" s="383"/>
      <c r="I95" s="117"/>
      <c r="J95" s="128"/>
      <c r="K95" s="118"/>
      <c r="L95" s="118"/>
      <c r="M95" s="118"/>
      <c r="N95" s="177"/>
      <c r="O95" s="121"/>
      <c r="P95" s="383"/>
      <c r="Q95" s="178"/>
      <c r="R95" s="123"/>
      <c r="U95" s="117"/>
      <c r="X95" s="118"/>
      <c r="Y95" s="118"/>
      <c r="AA95" s="178"/>
      <c r="AB95" s="123"/>
      <c r="AC95" s="178"/>
      <c r="AR95" s="186"/>
    </row>
    <row r="96" spans="7:44" ht="12.75">
      <c r="G96" s="128"/>
      <c r="H96" s="128"/>
      <c r="I96" s="128"/>
      <c r="J96" s="128"/>
      <c r="K96" s="128"/>
      <c r="AR96" s="186"/>
    </row>
    <row r="97" spans="7:44" ht="12.75">
      <c r="G97" s="128"/>
      <c r="H97" s="128"/>
      <c r="I97" s="128"/>
      <c r="J97" s="128"/>
      <c r="K97" s="128"/>
      <c r="AR97" s="186"/>
    </row>
    <row r="98" ht="12.75">
      <c r="AR98" s="186"/>
    </row>
    <row r="99" ht="12.75">
      <c r="AR99" s="186"/>
    </row>
    <row r="100" ht="12.75">
      <c r="AR100" s="186"/>
    </row>
    <row r="101" ht="12.75">
      <c r="AR101" s="186"/>
    </row>
    <row r="102" ht="12.75">
      <c r="AR102" s="186"/>
    </row>
    <row r="103" ht="12.75">
      <c r="AR103" s="186"/>
    </row>
    <row r="104" ht="12.75">
      <c r="AR104" s="186"/>
    </row>
    <row r="105" ht="12.75">
      <c r="AR105" s="186"/>
    </row>
    <row r="106" ht="12.75">
      <c r="AR106" s="186"/>
    </row>
    <row r="107" ht="12.75">
      <c r="AR107" s="186"/>
    </row>
    <row r="108" ht="12.75">
      <c r="AR108" s="186"/>
    </row>
    <row r="109" ht="12.75">
      <c r="AR109" s="186"/>
    </row>
    <row r="110" ht="12.75">
      <c r="AR110" s="186"/>
    </row>
    <row r="111" ht="12.75">
      <c r="AR111" s="186"/>
    </row>
    <row r="112" ht="12.75">
      <c r="AR112" s="186"/>
    </row>
    <row r="113" ht="12.75">
      <c r="AR113" s="186"/>
    </row>
    <row r="114" ht="12.75">
      <c r="AR114" s="186"/>
    </row>
    <row r="115" ht="12.75">
      <c r="AR115" s="186"/>
    </row>
    <row r="116" ht="12.75">
      <c r="AR116" s="186"/>
    </row>
    <row r="117" ht="12.75">
      <c r="AR117" s="186"/>
    </row>
    <row r="118" ht="12.75">
      <c r="AR118" s="186"/>
    </row>
    <row r="119" ht="12.75">
      <c r="AR119" s="186"/>
    </row>
    <row r="120" ht="12.75">
      <c r="AR120" s="186"/>
    </row>
    <row r="121" ht="12.75">
      <c r="AR121" s="186"/>
    </row>
    <row r="122" ht="12.75">
      <c r="AR122" s="186"/>
    </row>
    <row r="123" ht="12.75">
      <c r="AR123" s="186"/>
    </row>
    <row r="124" ht="12.75">
      <c r="AR124" s="186"/>
    </row>
    <row r="125" ht="12.75">
      <c r="AR125" s="186"/>
    </row>
    <row r="126" ht="12.75">
      <c r="AR126" s="186"/>
    </row>
    <row r="127" ht="12.75">
      <c r="AR127" s="186"/>
    </row>
    <row r="128" ht="12.75">
      <c r="AR128" s="186"/>
    </row>
    <row r="129" ht="12.75">
      <c r="AR129" s="186"/>
    </row>
    <row r="130" ht="12.75">
      <c r="AR130" s="186"/>
    </row>
    <row r="131" ht="12.75">
      <c r="AR131" s="186"/>
    </row>
    <row r="132" ht="12.75">
      <c r="AR132" s="186"/>
    </row>
    <row r="133" ht="12.75">
      <c r="AR133" s="186"/>
    </row>
    <row r="134" ht="12.75">
      <c r="AR134" s="186"/>
    </row>
    <row r="135" ht="12.75">
      <c r="AR135" s="186"/>
    </row>
    <row r="136" ht="12.75">
      <c r="AR136" s="186"/>
    </row>
    <row r="137" ht="12.75">
      <c r="AR137" s="186"/>
    </row>
    <row r="138" ht="12.75">
      <c r="AR138" s="186"/>
    </row>
    <row r="139" ht="12.75">
      <c r="AR139" s="186"/>
    </row>
    <row r="140" ht="12.75">
      <c r="AR140" s="186"/>
    </row>
    <row r="141" ht="12.75">
      <c r="AR141" s="186"/>
    </row>
    <row r="142" ht="12.75">
      <c r="AR142" s="186"/>
    </row>
    <row r="143" ht="12.75">
      <c r="AR143" s="186"/>
    </row>
    <row r="144" ht="12.75">
      <c r="AR144" s="186"/>
    </row>
    <row r="145" ht="12.75">
      <c r="AR145" s="186"/>
    </row>
    <row r="146" ht="12.75">
      <c r="AR146" s="186"/>
    </row>
    <row r="147" ht="12.75">
      <c r="AR147" s="186"/>
    </row>
    <row r="148" ht="12.75">
      <c r="AR148" s="186"/>
    </row>
    <row r="149" ht="12.75">
      <c r="AR149" s="186"/>
    </row>
    <row r="150" ht="12.75">
      <c r="AR150" s="186"/>
    </row>
    <row r="151" ht="12.75">
      <c r="AR151" s="186"/>
    </row>
    <row r="152" ht="12.75">
      <c r="AR152" s="186"/>
    </row>
    <row r="153" ht="12.75">
      <c r="AR153" s="186"/>
    </row>
    <row r="154" ht="12.75">
      <c r="AR154" s="186"/>
    </row>
    <row r="155" ht="12.75">
      <c r="AR155" s="186"/>
    </row>
    <row r="156" ht="12.75">
      <c r="AR156" s="186"/>
    </row>
    <row r="157" ht="12.75">
      <c r="AR157" s="186"/>
    </row>
    <row r="158" ht="12.75">
      <c r="AR158" s="186"/>
    </row>
    <row r="159" ht="12.75">
      <c r="AR159" s="186"/>
    </row>
    <row r="160" ht="12.75">
      <c r="AR160" s="186"/>
    </row>
    <row r="161" ht="12.75">
      <c r="AR161" s="186"/>
    </row>
    <row r="162" ht="12.75">
      <c r="AR162" s="186"/>
    </row>
    <row r="163" ht="12.75">
      <c r="AR163" s="186"/>
    </row>
    <row r="164" ht="12.75">
      <c r="AR164" s="186"/>
    </row>
    <row r="165" ht="12.75">
      <c r="AR165" s="186"/>
    </row>
    <row r="166" ht="12.75">
      <c r="AR166" s="186"/>
    </row>
    <row r="167" ht="12.75">
      <c r="AR167" s="186"/>
    </row>
    <row r="168" ht="12.75">
      <c r="AR168" s="186"/>
    </row>
    <row r="169" ht="12.75">
      <c r="AR169" s="186"/>
    </row>
    <row r="170" ht="12.75">
      <c r="AR170" s="186"/>
    </row>
    <row r="171" ht="12.75">
      <c r="AR171" s="186"/>
    </row>
    <row r="172" ht="12.75">
      <c r="AR172" s="186"/>
    </row>
    <row r="173" ht="12.75">
      <c r="AR173" s="186"/>
    </row>
    <row r="174" ht="12.75">
      <c r="AR174" s="186"/>
    </row>
    <row r="175" ht="12.75">
      <c r="AR175" s="186"/>
    </row>
    <row r="176" ht="12.75">
      <c r="AR176" s="186"/>
    </row>
    <row r="177" ht="12.75">
      <c r="AR177" s="186"/>
    </row>
    <row r="178" ht="12.75">
      <c r="AR178" s="186"/>
    </row>
    <row r="179" ht="12.75">
      <c r="AR179" s="186"/>
    </row>
    <row r="180" ht="12.75">
      <c r="AR180" s="186"/>
    </row>
    <row r="181" ht="12.75">
      <c r="AR181" s="186"/>
    </row>
    <row r="182" ht="12.75">
      <c r="AR182" s="186"/>
    </row>
    <row r="183" ht="12.75">
      <c r="AR183" s="186"/>
    </row>
    <row r="184" ht="12.75">
      <c r="AR184" s="186"/>
    </row>
    <row r="185" ht="12.75">
      <c r="AR185" s="186"/>
    </row>
    <row r="186" ht="12.75">
      <c r="AR186" s="186"/>
    </row>
  </sheetData>
  <printOptions horizontalCentered="1" verticalCentered="1"/>
  <pageMargins left="0.75" right="0.75" top="1" bottom="1" header="0.5" footer="0.5"/>
  <pageSetup fitToWidth="0" orientation="landscape" scale="66" r:id="rId1"/>
  <colBreaks count="2" manualBreakCount="2">
    <brk id="18" max="65535" man="1"/>
    <brk id="3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0"/>
  <sheetViews>
    <sheetView workbookViewId="0" topLeftCell="A1">
      <selection activeCell="A39" sqref="A39"/>
    </sheetView>
  </sheetViews>
  <sheetFormatPr defaultColWidth="9.140625" defaultRowHeight="12.75"/>
  <cols>
    <col min="1" max="1" width="13.8515625" style="149" customWidth="1"/>
    <col min="2" max="2" width="8.28125" style="149" customWidth="1"/>
    <col min="3" max="3" width="22.00390625" style="149" customWidth="1"/>
    <col min="4" max="4" width="8.421875" style="149" customWidth="1"/>
    <col min="5" max="5" width="8.00390625" style="149" customWidth="1"/>
    <col min="6" max="7" width="10.00390625" style="149" customWidth="1"/>
    <col min="8" max="8" width="11.00390625" style="149" customWidth="1"/>
    <col min="9" max="9" width="3.421875" style="149" bestFit="1" customWidth="1"/>
    <col min="10" max="10" width="10.7109375" style="149" bestFit="1" customWidth="1"/>
    <col min="11" max="11" width="10.57421875" style="149" bestFit="1" customWidth="1"/>
    <col min="12" max="12" width="8.140625" style="149" customWidth="1"/>
    <col min="13" max="13" width="3.57421875" style="149" bestFit="1" customWidth="1"/>
    <col min="14" max="14" width="10.7109375" style="149" customWidth="1"/>
    <col min="15" max="15" width="7.28125" style="149" bestFit="1" customWidth="1"/>
    <col min="16" max="16" width="7.00390625" style="149" customWidth="1"/>
    <col min="17" max="17" width="8.8515625" style="149" customWidth="1"/>
    <col min="18" max="18" width="5.28125" style="149" customWidth="1"/>
    <col min="19" max="19" width="11.421875" style="149" bestFit="1" customWidth="1"/>
    <col min="20" max="20" width="11.00390625" style="149" customWidth="1"/>
    <col min="21" max="21" width="24.57421875" style="149" customWidth="1"/>
    <col min="22" max="22" width="5.8515625" style="149" customWidth="1"/>
    <col min="23" max="23" width="8.421875" style="149" customWidth="1"/>
    <col min="24" max="24" width="9.140625" style="149" customWidth="1"/>
    <col min="25" max="25" width="17.7109375" style="149" customWidth="1"/>
    <col min="26" max="26" width="9.57421875" style="149" bestFit="1" customWidth="1"/>
    <col min="27" max="27" width="9.421875" style="149" customWidth="1"/>
    <col min="28" max="28" width="9.421875" style="149" bestFit="1" customWidth="1"/>
    <col min="29" max="29" width="4.28125" style="149" customWidth="1"/>
    <col min="30" max="31" width="8.7109375" style="149" customWidth="1"/>
    <col min="32" max="32" width="11.57421875" style="149" customWidth="1"/>
    <col min="33" max="33" width="4.7109375" style="149" customWidth="1"/>
    <col min="34" max="34" width="9.00390625" style="149" customWidth="1"/>
    <col min="35" max="40" width="9.140625" style="149" customWidth="1"/>
    <col min="41" max="41" width="8.8515625" style="149" customWidth="1"/>
    <col min="42" max="42" width="8.421875" style="149" customWidth="1"/>
    <col min="43" max="43" width="14.7109375" style="149" customWidth="1"/>
    <col min="44" max="44" width="9.00390625" style="149" customWidth="1"/>
    <col min="45" max="45" width="8.140625" style="149" customWidth="1"/>
    <col min="46" max="46" width="7.28125" style="149" customWidth="1"/>
    <col min="47" max="47" width="10.28125" style="149" customWidth="1"/>
    <col min="48" max="16384" width="9.140625" style="149" customWidth="1"/>
  </cols>
  <sheetData>
    <row r="1" spans="17:47" ht="12.75">
      <c r="Q1" s="109"/>
      <c r="AD1" s="109"/>
      <c r="AU1" s="109"/>
    </row>
    <row r="2" spans="1:49" ht="12.75">
      <c r="A2" s="109"/>
      <c r="B2" s="109"/>
      <c r="C2" s="109"/>
      <c r="D2" s="109" t="s">
        <v>232</v>
      </c>
      <c r="E2" s="109"/>
      <c r="Q2" s="109" t="s">
        <v>586</v>
      </c>
      <c r="R2" s="109"/>
      <c r="U2" s="109"/>
      <c r="V2" s="109"/>
      <c r="W2" s="109" t="str">
        <f>D2</f>
        <v>COMPARATIVE COMPANIES</v>
      </c>
      <c r="X2" s="109"/>
      <c r="Y2" s="109"/>
      <c r="Z2" s="109"/>
      <c r="AA2" s="109"/>
      <c r="AB2" s="109"/>
      <c r="AC2" s="109"/>
      <c r="AD2" s="109" t="s">
        <v>589</v>
      </c>
      <c r="AE2" s="109"/>
      <c r="AF2" s="109"/>
      <c r="AG2" s="109"/>
      <c r="AH2" s="109"/>
      <c r="AI2" s="109"/>
      <c r="AJ2" s="109"/>
      <c r="AK2" s="109"/>
      <c r="AL2" s="109"/>
      <c r="AM2" s="109"/>
      <c r="AN2" s="109" t="s">
        <v>84</v>
      </c>
      <c r="AO2" s="109"/>
      <c r="AP2" s="109"/>
      <c r="AQ2" s="109"/>
      <c r="AR2" s="109"/>
      <c r="AS2" s="109"/>
      <c r="AT2" s="109"/>
      <c r="AU2" s="109" t="s">
        <v>590</v>
      </c>
      <c r="AV2" s="109"/>
      <c r="AW2" s="109"/>
    </row>
    <row r="3" spans="1:49" ht="12.75">
      <c r="A3" s="109"/>
      <c r="B3" s="109"/>
      <c r="C3" s="109"/>
      <c r="D3" s="109" t="s">
        <v>85</v>
      </c>
      <c r="E3" s="109"/>
      <c r="Q3" s="109" t="str">
        <f>OCC!I3</f>
        <v>Docket No. UT-040788</v>
      </c>
      <c r="R3" s="109"/>
      <c r="U3" s="109"/>
      <c r="V3" s="109"/>
      <c r="W3" s="109" t="s">
        <v>86</v>
      </c>
      <c r="X3" s="109"/>
      <c r="Y3" s="109"/>
      <c r="Z3" s="109"/>
      <c r="AA3" s="109"/>
      <c r="AB3" s="109"/>
      <c r="AC3" s="109"/>
      <c r="AD3" s="109" t="str">
        <f>Q3</f>
        <v>Docket No. UT-040788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 t="s">
        <v>421</v>
      </c>
      <c r="AO3" s="109"/>
      <c r="AP3" s="109"/>
      <c r="AQ3" s="109"/>
      <c r="AR3" s="109"/>
      <c r="AS3" s="109"/>
      <c r="AT3" s="109"/>
      <c r="AU3" s="109" t="str">
        <f>AD3</f>
        <v>Docket No. UT-040788</v>
      </c>
      <c r="AV3" s="109"/>
      <c r="AW3" s="109"/>
    </row>
    <row r="4" spans="1:49" ht="12.75">
      <c r="A4" s="109"/>
      <c r="B4" s="109"/>
      <c r="C4" s="109"/>
      <c r="D4" s="109"/>
      <c r="E4" s="109"/>
      <c r="Q4" s="109" t="s">
        <v>617</v>
      </c>
      <c r="R4" s="109"/>
      <c r="U4" s="109"/>
      <c r="V4" s="109"/>
      <c r="W4" s="109"/>
      <c r="X4" s="109"/>
      <c r="Y4" s="109"/>
      <c r="Z4" s="109"/>
      <c r="AA4" s="109"/>
      <c r="AB4" s="109"/>
      <c r="AC4" s="109"/>
      <c r="AD4" s="109" t="s">
        <v>618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 t="s">
        <v>619</v>
      </c>
      <c r="AV4" s="109"/>
      <c r="AW4" s="109"/>
    </row>
    <row r="5" spans="2:49" ht="12.75" customHeight="1">
      <c r="B5" s="175"/>
      <c r="D5" s="175"/>
      <c r="E5" s="175" t="s">
        <v>64</v>
      </c>
      <c r="F5" s="175" t="s">
        <v>65</v>
      </c>
      <c r="G5" s="175" t="s">
        <v>66</v>
      </c>
      <c r="H5" s="175" t="s">
        <v>67</v>
      </c>
      <c r="I5" s="175"/>
      <c r="J5" s="175" t="s">
        <v>68</v>
      </c>
      <c r="K5" s="175" t="s">
        <v>69</v>
      </c>
      <c r="L5" s="175" t="s">
        <v>70</v>
      </c>
      <c r="N5" s="175" t="s">
        <v>71</v>
      </c>
      <c r="O5" s="175" t="s">
        <v>72</v>
      </c>
      <c r="P5" s="175"/>
      <c r="Q5" s="175" t="s">
        <v>73</v>
      </c>
      <c r="R5" s="175"/>
      <c r="S5" s="175" t="s">
        <v>74</v>
      </c>
      <c r="T5" s="175" t="s">
        <v>75</v>
      </c>
      <c r="U5" s="175"/>
      <c r="V5" s="175"/>
      <c r="W5" s="175"/>
      <c r="X5" s="175"/>
      <c r="Y5" s="175"/>
      <c r="Z5" s="175" t="s">
        <v>64</v>
      </c>
      <c r="AA5" s="175" t="s">
        <v>65</v>
      </c>
      <c r="AB5" s="175" t="s">
        <v>66</v>
      </c>
      <c r="AC5" s="175"/>
      <c r="AD5" s="175" t="s">
        <v>67</v>
      </c>
      <c r="AE5" s="175" t="s">
        <v>68</v>
      </c>
      <c r="AF5" s="175" t="s">
        <v>69</v>
      </c>
      <c r="AG5" s="175"/>
      <c r="AH5" s="175" t="s">
        <v>70</v>
      </c>
      <c r="AI5" s="175"/>
      <c r="AJ5" s="175"/>
      <c r="AK5" s="175"/>
      <c r="AL5" s="175"/>
      <c r="AM5" s="175"/>
      <c r="AN5" s="263" t="str">
        <f>H8</f>
        <v>Dec. 03</v>
      </c>
      <c r="AO5" s="175"/>
      <c r="AP5" s="175"/>
      <c r="AQ5" s="175" t="s">
        <v>422</v>
      </c>
      <c r="AR5" s="175" t="s">
        <v>95</v>
      </c>
      <c r="AS5" s="175" t="s">
        <v>95</v>
      </c>
      <c r="AT5" s="175" t="s">
        <v>77</v>
      </c>
      <c r="AU5" s="175" t="s">
        <v>92</v>
      </c>
      <c r="AV5" s="175"/>
      <c r="AW5" s="175"/>
    </row>
    <row r="6" spans="4:49" ht="12.75" customHeight="1">
      <c r="D6" s="175"/>
      <c r="E6" s="175" t="s">
        <v>78</v>
      </c>
      <c r="F6" s="175" t="s">
        <v>78</v>
      </c>
      <c r="G6" s="175" t="s">
        <v>78</v>
      </c>
      <c r="H6" s="175" t="s">
        <v>78</v>
      </c>
      <c r="I6" s="175"/>
      <c r="J6" s="264"/>
      <c r="K6" s="264" t="s">
        <v>88</v>
      </c>
      <c r="L6" s="264"/>
      <c r="N6" s="265" t="s">
        <v>89</v>
      </c>
      <c r="O6" s="264"/>
      <c r="P6" s="266"/>
      <c r="Q6" s="175"/>
      <c r="R6" s="175"/>
      <c r="S6" s="265" t="s">
        <v>18</v>
      </c>
      <c r="T6" s="264"/>
      <c r="U6" s="175"/>
      <c r="V6" s="175"/>
      <c r="W6" s="175"/>
      <c r="X6" s="175"/>
      <c r="Y6" s="175"/>
      <c r="Z6" s="175" t="s">
        <v>90</v>
      </c>
      <c r="AA6" s="175" t="s">
        <v>90</v>
      </c>
      <c r="AB6" s="175" t="s">
        <v>90</v>
      </c>
      <c r="AC6" s="175"/>
      <c r="AD6" s="175" t="s">
        <v>91</v>
      </c>
      <c r="AE6" s="175" t="s">
        <v>91</v>
      </c>
      <c r="AF6" s="175" t="s">
        <v>82</v>
      </c>
      <c r="AG6" s="175"/>
      <c r="AH6" s="175" t="s">
        <v>92</v>
      </c>
      <c r="AI6" s="175"/>
      <c r="AJ6" s="175"/>
      <c r="AK6" s="175"/>
      <c r="AL6" s="175"/>
      <c r="AM6" s="175"/>
      <c r="AN6" s="175" t="s">
        <v>16</v>
      </c>
      <c r="AO6" s="175" t="s">
        <v>77</v>
      </c>
      <c r="AP6" s="175" t="s">
        <v>93</v>
      </c>
      <c r="AQ6" s="175"/>
      <c r="AR6" s="175" t="s">
        <v>105</v>
      </c>
      <c r="AS6" s="175" t="s">
        <v>105</v>
      </c>
      <c r="AT6" s="175">
        <f>AO7+5</f>
        <v>2008</v>
      </c>
      <c r="AU6" s="175" t="s">
        <v>79</v>
      </c>
      <c r="AV6" s="175"/>
      <c r="AW6" s="175" t="s">
        <v>242</v>
      </c>
    </row>
    <row r="7" spans="4:49" ht="12" customHeight="1">
      <c r="D7" s="175" t="s">
        <v>96</v>
      </c>
      <c r="E7" s="175" t="s">
        <v>97</v>
      </c>
      <c r="F7" s="175" t="s">
        <v>97</v>
      </c>
      <c r="G7" s="175" t="s">
        <v>97</v>
      </c>
      <c r="H7" s="175" t="s">
        <v>97</v>
      </c>
      <c r="I7" s="175"/>
      <c r="J7" s="175" t="s">
        <v>98</v>
      </c>
      <c r="K7" s="175" t="s">
        <v>99</v>
      </c>
      <c r="L7" s="175" t="s">
        <v>100</v>
      </c>
      <c r="N7" s="175" t="str">
        <f>J7</f>
        <v>At</v>
      </c>
      <c r="O7" s="175" t="s">
        <v>101</v>
      </c>
      <c r="P7" s="175"/>
      <c r="Q7" s="175"/>
      <c r="R7" s="175"/>
      <c r="S7" s="175" t="str">
        <f>J7</f>
        <v>At</v>
      </c>
      <c r="T7" s="175" t="s">
        <v>101</v>
      </c>
      <c r="U7" s="175"/>
      <c r="V7" s="175"/>
      <c r="W7" s="175"/>
      <c r="X7" s="175"/>
      <c r="Y7" s="175"/>
      <c r="Z7" s="175">
        <v>2001</v>
      </c>
      <c r="AA7" s="175">
        <v>2002</v>
      </c>
      <c r="AB7" s="175">
        <v>2003</v>
      </c>
      <c r="AC7" s="175"/>
      <c r="AD7" s="175" t="s">
        <v>102</v>
      </c>
      <c r="AE7" s="175" t="s">
        <v>102</v>
      </c>
      <c r="AF7" s="175" t="s">
        <v>103</v>
      </c>
      <c r="AG7" s="175"/>
      <c r="AH7" s="175" t="s">
        <v>79</v>
      </c>
      <c r="AI7" s="175"/>
      <c r="AJ7" s="175"/>
      <c r="AK7" s="175"/>
      <c r="AL7" s="175"/>
      <c r="AM7" s="175"/>
      <c r="AN7" s="175" t="s">
        <v>78</v>
      </c>
      <c r="AO7" s="175">
        <f>AB7</f>
        <v>2003</v>
      </c>
      <c r="AP7" s="175"/>
      <c r="AQ7" s="175" t="s">
        <v>109</v>
      </c>
      <c r="AR7" s="175">
        <f>AS7-1</f>
        <v>2007</v>
      </c>
      <c r="AS7" s="175">
        <f>AO7+5</f>
        <v>2008</v>
      </c>
      <c r="AT7" s="175" t="s">
        <v>110</v>
      </c>
      <c r="AU7" s="175" t="s">
        <v>111</v>
      </c>
      <c r="AV7" s="175"/>
      <c r="AW7" s="175" t="s">
        <v>243</v>
      </c>
    </row>
    <row r="8" spans="4:49" ht="12.75" customHeight="1">
      <c r="D8" s="175" t="s">
        <v>106</v>
      </c>
      <c r="E8" s="263" t="s">
        <v>213</v>
      </c>
      <c r="F8" s="263" t="s">
        <v>346</v>
      </c>
      <c r="G8" s="263" t="s">
        <v>345</v>
      </c>
      <c r="H8" s="263" t="s">
        <v>352</v>
      </c>
      <c r="I8" s="263"/>
      <c r="J8" s="267">
        <v>38230</v>
      </c>
      <c r="K8" s="175" t="s">
        <v>76</v>
      </c>
      <c r="L8" s="175" t="s">
        <v>76</v>
      </c>
      <c r="M8" s="175"/>
      <c r="N8" s="267">
        <f>J8</f>
        <v>38230</v>
      </c>
      <c r="O8" s="175" t="s">
        <v>107</v>
      </c>
      <c r="P8" s="175"/>
      <c r="Q8" s="175" t="s">
        <v>80</v>
      </c>
      <c r="R8" s="175"/>
      <c r="S8" s="268">
        <f>N8</f>
        <v>38230</v>
      </c>
      <c r="T8" s="175" t="s">
        <v>107</v>
      </c>
      <c r="U8" s="175"/>
      <c r="V8" s="175"/>
      <c r="W8" s="175"/>
      <c r="X8" s="175"/>
      <c r="Y8" s="175"/>
      <c r="Z8" s="175"/>
      <c r="AA8" s="175"/>
      <c r="AB8" s="175"/>
      <c r="AC8" s="175"/>
      <c r="AD8" s="175">
        <f>AA7</f>
        <v>2002</v>
      </c>
      <c r="AE8" s="175">
        <f>AB7</f>
        <v>2003</v>
      </c>
      <c r="AF8" s="175" t="s">
        <v>108</v>
      </c>
      <c r="AG8" s="175"/>
      <c r="AH8" s="175">
        <f>Z7</f>
        <v>2001</v>
      </c>
      <c r="AI8" s="175"/>
      <c r="AJ8" s="175"/>
      <c r="AK8" s="175"/>
      <c r="AL8" s="175"/>
      <c r="AM8" s="175"/>
      <c r="AN8" s="175" t="str">
        <f>G5</f>
        <v>[3]</v>
      </c>
      <c r="AO8" s="175"/>
      <c r="AP8" s="175"/>
      <c r="AQ8" s="175" t="s">
        <v>112</v>
      </c>
      <c r="AR8" s="175" t="str">
        <f>AS8</f>
        <v>at Zack's </v>
      </c>
      <c r="AS8" s="175" t="s">
        <v>113</v>
      </c>
      <c r="AT8" s="175" t="s">
        <v>94</v>
      </c>
      <c r="AU8" s="175" t="s">
        <v>423</v>
      </c>
      <c r="AV8" s="175"/>
      <c r="AW8" s="175" t="s">
        <v>241</v>
      </c>
    </row>
    <row r="9" spans="4:49" ht="11.25" customHeight="1">
      <c r="D9" s="175"/>
      <c r="E9" s="268"/>
      <c r="F9" s="268"/>
      <c r="G9" s="268"/>
      <c r="H9" s="268"/>
      <c r="I9" s="59"/>
      <c r="J9" s="268"/>
      <c r="K9" s="175"/>
      <c r="L9" s="175"/>
      <c r="M9" s="175"/>
      <c r="N9" s="175"/>
      <c r="O9" s="175" t="s">
        <v>76</v>
      </c>
      <c r="P9" s="175"/>
      <c r="Q9" s="175" t="s">
        <v>23</v>
      </c>
      <c r="R9" s="175"/>
      <c r="S9" s="175"/>
      <c r="T9" s="175" t="s">
        <v>76</v>
      </c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268"/>
      <c r="AG9" s="268"/>
      <c r="AH9" s="175"/>
      <c r="AI9" s="175"/>
      <c r="AJ9" s="175"/>
      <c r="AK9" s="175"/>
      <c r="AL9" s="175"/>
      <c r="AM9" s="175"/>
      <c r="AO9" s="175"/>
      <c r="AP9" s="175"/>
      <c r="AQ9" s="268" t="s">
        <v>424</v>
      </c>
      <c r="AR9" s="175" t="str">
        <f>AS9</f>
        <v>Growth</v>
      </c>
      <c r="AS9" s="175" t="s">
        <v>114</v>
      </c>
      <c r="AT9" s="175" t="s">
        <v>114</v>
      </c>
      <c r="AU9" s="175" t="s">
        <v>114</v>
      </c>
      <c r="AV9" s="175"/>
      <c r="AW9" s="175"/>
    </row>
    <row r="10" spans="4:49" ht="12" customHeight="1">
      <c r="D10" s="175"/>
      <c r="E10" s="175" t="s">
        <v>8</v>
      </c>
      <c r="F10" s="175" t="str">
        <f>E10</f>
        <v>[A]</v>
      </c>
      <c r="G10" s="175" t="str">
        <f>F10</f>
        <v>[A]</v>
      </c>
      <c r="H10" s="175" t="str">
        <f>G10</f>
        <v>[A]</v>
      </c>
      <c r="I10" s="59"/>
      <c r="J10" s="175" t="s">
        <v>10</v>
      </c>
      <c r="K10" s="175" t="s">
        <v>10</v>
      </c>
      <c r="L10" s="175" t="s">
        <v>10</v>
      </c>
      <c r="M10" s="175"/>
      <c r="N10" s="175" t="s">
        <v>11</v>
      </c>
      <c r="O10" s="175" t="s">
        <v>11</v>
      </c>
      <c r="P10" s="175"/>
      <c r="Q10" s="175" t="s">
        <v>8</v>
      </c>
      <c r="R10" s="175"/>
      <c r="S10" s="175" t="s">
        <v>13</v>
      </c>
      <c r="T10" s="175" t="s">
        <v>13</v>
      </c>
      <c r="U10" s="175"/>
      <c r="V10" s="175"/>
      <c r="W10" s="175"/>
      <c r="X10" s="175"/>
      <c r="Y10" s="175"/>
      <c r="Z10" s="175" t="s">
        <v>8</v>
      </c>
      <c r="AA10" s="175" t="s">
        <v>8</v>
      </c>
      <c r="AB10" s="175" t="s">
        <v>8</v>
      </c>
      <c r="AC10" s="175"/>
      <c r="AD10" s="175" t="s">
        <v>10</v>
      </c>
      <c r="AE10" s="175"/>
      <c r="AF10" s="175" t="s">
        <v>8</v>
      </c>
      <c r="AG10" s="175"/>
      <c r="AH10" s="175"/>
      <c r="AI10" s="175"/>
      <c r="AJ10" s="175"/>
      <c r="AK10" s="175"/>
      <c r="AL10" s="175"/>
      <c r="AM10" s="175"/>
      <c r="AN10" s="175" t="s">
        <v>8</v>
      </c>
      <c r="AO10" s="175" t="s">
        <v>8</v>
      </c>
      <c r="AP10" s="175" t="s">
        <v>8</v>
      </c>
      <c r="AQ10" s="175" t="s">
        <v>10</v>
      </c>
      <c r="AR10" s="175" t="s">
        <v>11</v>
      </c>
      <c r="AS10" s="175" t="s">
        <v>11</v>
      </c>
      <c r="AT10" s="175" t="s">
        <v>11</v>
      </c>
      <c r="AU10" s="175" t="s">
        <v>11</v>
      </c>
      <c r="AV10" s="175"/>
      <c r="AW10" s="175" t="str">
        <f>AN10</f>
        <v>[A]</v>
      </c>
    </row>
    <row r="11" ht="11.25" customHeight="1">
      <c r="AX11" s="205"/>
    </row>
    <row r="12" spans="1:50" ht="11.25" customHeight="1">
      <c r="A12" s="269" t="s">
        <v>425</v>
      </c>
      <c r="W12" s="269" t="str">
        <f>A12</f>
        <v>Investement Grade Vertically Integrated Electric Companies</v>
      </c>
      <c r="AJ12" s="172" t="str">
        <f>W12</f>
        <v>Investement Grade Vertically Integrated Electric Companies</v>
      </c>
      <c r="AX12" s="205"/>
    </row>
    <row r="13" spans="1:50" ht="11.25" customHeight="1">
      <c r="A13" s="180" t="s">
        <v>308</v>
      </c>
      <c r="D13" s="149">
        <v>5</v>
      </c>
      <c r="E13" s="270">
        <v>23.3</v>
      </c>
      <c r="F13" s="270">
        <v>24.26</v>
      </c>
      <c r="G13" s="270">
        <v>24.93</v>
      </c>
      <c r="H13" s="270">
        <v>26.73</v>
      </c>
      <c r="I13" s="94"/>
      <c r="J13" s="271">
        <v>46.79</v>
      </c>
      <c r="K13" s="271">
        <v>48.34</v>
      </c>
      <c r="L13" s="271">
        <v>40.55</v>
      </c>
      <c r="N13" s="177">
        <f>J13/H13</f>
        <v>1.7504676393565282</v>
      </c>
      <c r="O13" s="177">
        <f>((K13+L13)/2)/((G13+H13)/2)</f>
        <v>1.7206736353077818</v>
      </c>
      <c r="P13" s="177"/>
      <c r="Q13" s="272">
        <f>0.635*4</f>
        <v>2.54</v>
      </c>
      <c r="R13" s="272"/>
      <c r="S13" s="178">
        <f>Q13/J13</f>
        <v>0.05428510365462706</v>
      </c>
      <c r="T13" s="178">
        <f>Q13/((K13+L13)/2)</f>
        <v>0.05714928563392958</v>
      </c>
      <c r="U13" s="178"/>
      <c r="V13" s="179"/>
      <c r="W13" s="180" t="str">
        <f>A13</f>
        <v>Ameren</v>
      </c>
      <c r="X13" s="178"/>
      <c r="Y13" s="178"/>
      <c r="Z13" s="272">
        <v>3.41</v>
      </c>
      <c r="AA13" s="272">
        <v>2.66</v>
      </c>
      <c r="AB13" s="272">
        <v>3.14</v>
      </c>
      <c r="AC13" s="125"/>
      <c r="AD13" s="178">
        <f>AA13/((G13+F13)/2)</f>
        <v>0.10815206342752592</v>
      </c>
      <c r="AE13" s="178">
        <f>AB13/((H13+G13)/2)</f>
        <v>0.121564072783585</v>
      </c>
      <c r="AF13" s="273">
        <v>0.095</v>
      </c>
      <c r="AG13" s="273"/>
      <c r="AH13" s="178">
        <f>Z13/((F13+E13)/2)</f>
        <v>0.1433978132884777</v>
      </c>
      <c r="AI13" s="94"/>
      <c r="AJ13" s="149" t="str">
        <f>W13</f>
        <v>Ameren</v>
      </c>
      <c r="AK13" s="175"/>
      <c r="AL13" s="175"/>
      <c r="AM13" s="175" t="s">
        <v>309</v>
      </c>
      <c r="AN13" s="181">
        <f>H13</f>
        <v>26.73</v>
      </c>
      <c r="AO13" s="181">
        <f>AB13</f>
        <v>3.14</v>
      </c>
      <c r="AP13" s="181">
        <f>Q13</f>
        <v>2.54</v>
      </c>
      <c r="AQ13" s="274">
        <v>0.03</v>
      </c>
      <c r="AR13" s="181">
        <f>AN13+(AO13*(1+AQ13)-(AP13*(1+AQ13)))+(AO13*(1+AQ13)^2-AP13*(1+AQ13)^2)+(AO13*(1+AQ13)^3-AP13*(1+AQ13)^3)+(AO13*(1+AQ13)^4-AP13*(1+AQ13)^4)</f>
        <v>29.315481486</v>
      </c>
      <c r="AS13" s="182">
        <f>AN13+(AO13*(1+AQ13)-(AP13*(1+AQ13)))+(AO13*(1+AQ13)^2-AP13*(1+AQ13)^2)+(AO13*(1+AQ13)^3-AP13*(1+AQ13)^3)+(AO13*(1+AQ13)^4-AP13*(1+AQ13)^4)+(AO13*(1+AQ13)^5-AP13*(1+AQ13)^5)</f>
        <v>30.01104593058</v>
      </c>
      <c r="AT13" s="182">
        <f>AO13*(AQ13+1)^5</f>
        <v>3.6401205933019996</v>
      </c>
      <c r="AU13" s="178">
        <f>AT13/((AS13+AR13)/2)</f>
        <v>0.1227147703334038</v>
      </c>
      <c r="AV13" s="275"/>
      <c r="AW13" s="276">
        <v>0.7</v>
      </c>
      <c r="AX13" s="205"/>
    </row>
    <row r="14" spans="1:50" ht="11.25" customHeight="1">
      <c r="A14" s="180" t="s">
        <v>426</v>
      </c>
      <c r="D14" s="149">
        <v>5</v>
      </c>
      <c r="E14" s="270">
        <v>17.36</v>
      </c>
      <c r="F14" s="270">
        <v>18.45</v>
      </c>
      <c r="G14" s="270">
        <v>19.53</v>
      </c>
      <c r="H14" s="270">
        <v>20.74</v>
      </c>
      <c r="I14" s="94"/>
      <c r="J14" s="271">
        <v>40.48</v>
      </c>
      <c r="K14" s="271">
        <v>41.1</v>
      </c>
      <c r="L14" s="271">
        <v>34.06</v>
      </c>
      <c r="N14" s="177">
        <f aca="true" t="shared" si="0" ref="N14:N25">J14/H14</f>
        <v>1.9517839922854388</v>
      </c>
      <c r="O14" s="177">
        <f aca="true" t="shared" si="1" ref="O14:O25">((K14+L14)/2)/((G14+H14)/2)</f>
        <v>1.8664017879314627</v>
      </c>
      <c r="P14" s="177"/>
      <c r="Q14" s="272">
        <f>0.47*4</f>
        <v>1.88</v>
      </c>
      <c r="R14" s="272"/>
      <c r="S14" s="178">
        <f aca="true" t="shared" si="2" ref="S14:S25">Q14/J14</f>
        <v>0.046442687747035576</v>
      </c>
      <c r="T14" s="178">
        <f aca="true" t="shared" si="3" ref="T14:T25">Q14/((K14+L14)/2)</f>
        <v>0.050026609898882385</v>
      </c>
      <c r="U14" s="178"/>
      <c r="V14" s="179"/>
      <c r="W14" s="180" t="str">
        <f aca="true" t="shared" si="4" ref="W14:W26">A14</f>
        <v>Cinergy</v>
      </c>
      <c r="X14" s="178"/>
      <c r="Y14" s="178"/>
      <c r="Z14" s="272">
        <v>2.75</v>
      </c>
      <c r="AA14" s="272">
        <v>2.22</v>
      </c>
      <c r="AB14" s="272">
        <v>2.43</v>
      </c>
      <c r="AC14" s="125"/>
      <c r="AD14" s="178">
        <f>AA14/((G14+F14)/2)</f>
        <v>0.11690363349131122</v>
      </c>
      <c r="AE14" s="178">
        <f>AB14/((H14+G14)/2)</f>
        <v>0.12068537372734048</v>
      </c>
      <c r="AF14" s="273">
        <v>0.115</v>
      </c>
      <c r="AG14" s="273"/>
      <c r="AH14" s="178">
        <f aca="true" t="shared" si="5" ref="AH14:AH25">Z14/((F14+E14)/2)</f>
        <v>0.153588383133203</v>
      </c>
      <c r="AI14" s="94"/>
      <c r="AJ14" s="149" t="str">
        <f aca="true" t="shared" si="6" ref="AJ14:AJ26">W14</f>
        <v>Cinergy</v>
      </c>
      <c r="AK14" s="175"/>
      <c r="AL14" s="175"/>
      <c r="AM14" s="175" t="s">
        <v>427</v>
      </c>
      <c r="AN14" s="181">
        <f>H14</f>
        <v>20.74</v>
      </c>
      <c r="AO14" s="181">
        <f>AB14</f>
        <v>2.43</v>
      </c>
      <c r="AP14" s="181">
        <f>Q14</f>
        <v>1.88</v>
      </c>
      <c r="AQ14" s="274">
        <v>0.04</v>
      </c>
      <c r="AR14" s="181">
        <f aca="true" t="shared" si="7" ref="AR14:AR26">AN14+(AO14*(1+AQ14)-(AP14*(1+AQ14)))+(AO14*(1+AQ14)^2-AP14*(1+AQ14)^2)+(AO14*(1+AQ14)^3-AP14*(1+AQ14)^3)+(AO14*(1+AQ14)^4-AP14*(1+AQ14)^4)</f>
        <v>23.168977408</v>
      </c>
      <c r="AS14" s="182">
        <f aca="true" t="shared" si="8" ref="AS14:AS26">AN14+(AO14*(1+AQ14)-(AP14*(1+AQ14)))+(AO14*(1+AQ14)^2-AP14*(1+AQ14)^2)+(AO14*(1+AQ14)^3-AP14*(1+AQ14)^3)+(AO14*(1+AQ14)^4-AP14*(1+AQ14)^4)+(AO14*(1+AQ14)^5-AP14*(1+AQ14)^5)</f>
        <v>23.83813650432</v>
      </c>
      <c r="AT14" s="182">
        <f aca="true" t="shared" si="9" ref="AT14:AT26">AO14*(AQ14+1)^5</f>
        <v>2.956466552832001</v>
      </c>
      <c r="AU14" s="178">
        <f aca="true" t="shared" si="10" ref="AU14:AU26">AT14/((AS14+AR14)/2)</f>
        <v>0.1257880480961477</v>
      </c>
      <c r="AV14" s="275"/>
      <c r="AW14" s="276">
        <v>0.8</v>
      </c>
      <c r="AX14" s="205"/>
    </row>
    <row r="15" spans="1:50" ht="11.25" customHeight="1">
      <c r="A15" s="180" t="s">
        <v>428</v>
      </c>
      <c r="D15" s="149">
        <v>1</v>
      </c>
      <c r="E15" s="270">
        <v>28.45</v>
      </c>
      <c r="F15" s="270">
        <v>31.61</v>
      </c>
      <c r="G15" s="270">
        <v>33.15</v>
      </c>
      <c r="H15" s="270">
        <v>32.42</v>
      </c>
      <c r="I15" s="94"/>
      <c r="J15" s="271">
        <v>64.89</v>
      </c>
      <c r="K15" s="271">
        <v>65.85</v>
      </c>
      <c r="L15" s="271">
        <v>59.27</v>
      </c>
      <c r="N15" s="177">
        <f t="shared" si="0"/>
        <v>2.001542257865515</v>
      </c>
      <c r="O15" s="177">
        <f t="shared" si="1"/>
        <v>1.9081897209089524</v>
      </c>
      <c r="P15" s="177"/>
      <c r="Q15" s="272">
        <f>0.645*4</f>
        <v>2.58</v>
      </c>
      <c r="R15" s="272"/>
      <c r="S15" s="178">
        <f t="shared" si="2"/>
        <v>0.03975959315765141</v>
      </c>
      <c r="T15" s="178">
        <f t="shared" si="3"/>
        <v>0.04124040920716113</v>
      </c>
      <c r="U15" s="178"/>
      <c r="V15" s="179"/>
      <c r="W15" s="180" t="str">
        <f t="shared" si="4"/>
        <v>Dominion Resources</v>
      </c>
      <c r="X15" s="178"/>
      <c r="Y15" s="178"/>
      <c r="Z15" s="272">
        <v>2.97</v>
      </c>
      <c r="AA15" s="272">
        <v>4.82</v>
      </c>
      <c r="AB15" s="272">
        <v>3.91</v>
      </c>
      <c r="AC15" s="125"/>
      <c r="AD15" s="178">
        <f aca="true" t="shared" si="11" ref="AD15:AE25">AA15/((G15+F15)/2)</f>
        <v>0.1488573193329216</v>
      </c>
      <c r="AE15" s="178">
        <f t="shared" si="11"/>
        <v>0.11926185755680953</v>
      </c>
      <c r="AF15" s="273">
        <v>0.135</v>
      </c>
      <c r="AG15" s="273"/>
      <c r="AH15" s="178">
        <f t="shared" si="5"/>
        <v>0.09890109890109891</v>
      </c>
      <c r="AI15" s="94"/>
      <c r="AJ15" s="149" t="str">
        <f t="shared" si="6"/>
        <v>Dominion Resources</v>
      </c>
      <c r="AK15" s="175"/>
      <c r="AL15" s="175"/>
      <c r="AM15" s="175" t="s">
        <v>429</v>
      </c>
      <c r="AN15" s="181">
        <f aca="true" t="shared" si="12" ref="AN15:AN26">H15</f>
        <v>32.42</v>
      </c>
      <c r="AO15" s="181">
        <f aca="true" t="shared" si="13" ref="AO15:AO26">AB15</f>
        <v>3.91</v>
      </c>
      <c r="AP15" s="181">
        <f aca="true" t="shared" si="14" ref="AP15:AP26">Q15</f>
        <v>2.58</v>
      </c>
      <c r="AQ15" s="274">
        <v>0.05</v>
      </c>
      <c r="AR15" s="181">
        <f t="shared" si="7"/>
        <v>38.43908956250001</v>
      </c>
      <c r="AS15" s="182">
        <f t="shared" si="8"/>
        <v>40.13654404062501</v>
      </c>
      <c r="AT15" s="182">
        <f t="shared" si="9"/>
        <v>4.990260909375</v>
      </c>
      <c r="AU15" s="178">
        <f t="shared" si="10"/>
        <v>0.1270180253227136</v>
      </c>
      <c r="AV15" s="275"/>
      <c r="AW15" s="276">
        <v>0.85</v>
      </c>
      <c r="AX15" s="205"/>
    </row>
    <row r="16" spans="1:50" ht="11.25" customHeight="1">
      <c r="A16" s="180" t="s">
        <v>430</v>
      </c>
      <c r="D16" s="149">
        <v>5</v>
      </c>
      <c r="E16" s="270">
        <v>6.8</v>
      </c>
      <c r="F16" s="270">
        <v>6.31</v>
      </c>
      <c r="G16" s="270">
        <v>6.38</v>
      </c>
      <c r="H16" s="270">
        <v>6.75</v>
      </c>
      <c r="I16" s="94" t="s">
        <v>207</v>
      </c>
      <c r="J16" s="271">
        <v>20.33</v>
      </c>
      <c r="K16" s="271">
        <v>21.42</v>
      </c>
      <c r="L16" s="271">
        <v>15.52</v>
      </c>
      <c r="N16" s="177">
        <f t="shared" si="0"/>
        <v>3.011851851851852</v>
      </c>
      <c r="O16" s="177">
        <f t="shared" si="1"/>
        <v>2.8134044173648136</v>
      </c>
      <c r="P16" s="177"/>
      <c r="Q16" s="272">
        <f>0.24*4</f>
        <v>0.96</v>
      </c>
      <c r="R16" s="272"/>
      <c r="S16" s="178">
        <f t="shared" si="2"/>
        <v>0.047220855878012793</v>
      </c>
      <c r="T16" s="178">
        <f t="shared" si="3"/>
        <v>0.05197617758527342</v>
      </c>
      <c r="U16" s="178"/>
      <c r="V16" s="179"/>
      <c r="W16" s="180" t="str">
        <f t="shared" si="4"/>
        <v>DPL, Inc.</v>
      </c>
      <c r="X16" s="178"/>
      <c r="Y16" s="178"/>
      <c r="Z16" s="272">
        <v>1.74</v>
      </c>
      <c r="AA16" s="272">
        <v>0.72</v>
      </c>
      <c r="AB16" s="272">
        <v>1.14</v>
      </c>
      <c r="AC16" s="125"/>
      <c r="AD16" s="178">
        <f t="shared" si="11"/>
        <v>0.11347517730496454</v>
      </c>
      <c r="AE16" s="178">
        <f t="shared" si="11"/>
        <v>0.17364813404417365</v>
      </c>
      <c r="AF16" s="273">
        <v>0.165</v>
      </c>
      <c r="AG16" s="273"/>
      <c r="AH16" s="178">
        <f t="shared" si="5"/>
        <v>0.26544622425629294</v>
      </c>
      <c r="AI16" s="94"/>
      <c r="AJ16" s="149" t="str">
        <f t="shared" si="6"/>
        <v>DPL, Inc.</v>
      </c>
      <c r="AK16" s="175"/>
      <c r="AL16" s="175"/>
      <c r="AM16" s="175" t="s">
        <v>209</v>
      </c>
      <c r="AN16" s="181">
        <f t="shared" si="12"/>
        <v>6.75</v>
      </c>
      <c r="AO16" s="181">
        <f t="shared" si="13"/>
        <v>1.14</v>
      </c>
      <c r="AP16" s="181">
        <f t="shared" si="14"/>
        <v>0.96</v>
      </c>
      <c r="AQ16" s="274">
        <v>0.04</v>
      </c>
      <c r="AR16" s="181">
        <f t="shared" si="7"/>
        <v>7.5449380608</v>
      </c>
      <c r="AS16" s="182">
        <f t="shared" si="8"/>
        <v>7.763935583232</v>
      </c>
      <c r="AT16" s="182">
        <f t="shared" si="9"/>
        <v>1.3869843087360003</v>
      </c>
      <c r="AU16" s="178">
        <f t="shared" si="10"/>
        <v>0.1812000465856221</v>
      </c>
      <c r="AV16" s="275"/>
      <c r="AW16" s="276">
        <v>0.9</v>
      </c>
      <c r="AX16" s="205"/>
    </row>
    <row r="17" spans="1:50" ht="11.25" customHeight="1">
      <c r="A17" s="180" t="s">
        <v>431</v>
      </c>
      <c r="D17" s="149">
        <v>5</v>
      </c>
      <c r="E17" s="270">
        <v>13.65</v>
      </c>
      <c r="F17" s="270">
        <v>13.58</v>
      </c>
      <c r="G17" s="270">
        <v>14.59</v>
      </c>
      <c r="H17" s="270">
        <v>15.17</v>
      </c>
      <c r="I17" s="94"/>
      <c r="J17" s="271">
        <v>20.41</v>
      </c>
      <c r="K17" s="271">
        <v>23.48</v>
      </c>
      <c r="L17" s="271">
        <v>19.48</v>
      </c>
      <c r="N17" s="177">
        <f t="shared" si="0"/>
        <v>1.3454185893210284</v>
      </c>
      <c r="O17" s="177">
        <f t="shared" si="1"/>
        <v>1.4435483870967742</v>
      </c>
      <c r="P17" s="177"/>
      <c r="Q17" s="272">
        <f>0.32*4</f>
        <v>1.28</v>
      </c>
      <c r="R17" s="272"/>
      <c r="S17" s="178">
        <f t="shared" si="2"/>
        <v>0.06271435570798628</v>
      </c>
      <c r="T17" s="178">
        <f t="shared" si="3"/>
        <v>0.0595903165735568</v>
      </c>
      <c r="U17" s="178"/>
      <c r="V17" s="179"/>
      <c r="W17" s="180" t="str">
        <f t="shared" si="4"/>
        <v>Empire District Electric</v>
      </c>
      <c r="X17" s="178"/>
      <c r="Y17" s="178"/>
      <c r="Z17" s="272">
        <v>0.59</v>
      </c>
      <c r="AA17" s="272">
        <v>1.19</v>
      </c>
      <c r="AB17" s="272">
        <v>1.29</v>
      </c>
      <c r="AC17" s="125"/>
      <c r="AD17" s="178">
        <f t="shared" si="11"/>
        <v>0.08448704295349661</v>
      </c>
      <c r="AE17" s="178">
        <f t="shared" si="11"/>
        <v>0.08669354838709678</v>
      </c>
      <c r="AF17" s="273">
        <v>0.095</v>
      </c>
      <c r="AG17" s="273"/>
      <c r="AH17" s="178">
        <f t="shared" si="5"/>
        <v>0.04333455747337495</v>
      </c>
      <c r="AI17" s="94"/>
      <c r="AJ17" s="149" t="str">
        <f t="shared" si="6"/>
        <v>Empire District Electric</v>
      </c>
      <c r="AK17" s="175"/>
      <c r="AL17" s="175"/>
      <c r="AM17" s="175" t="s">
        <v>432</v>
      </c>
      <c r="AN17" s="181">
        <f t="shared" si="12"/>
        <v>15.17</v>
      </c>
      <c r="AO17" s="181">
        <f t="shared" si="13"/>
        <v>1.29</v>
      </c>
      <c r="AP17" s="181">
        <f t="shared" si="14"/>
        <v>1.28</v>
      </c>
      <c r="AQ17" s="274">
        <v>0.025</v>
      </c>
      <c r="AR17" s="181">
        <f t="shared" si="7"/>
        <v>15.212563285156252</v>
      </c>
      <c r="AS17" s="182">
        <f t="shared" si="8"/>
        <v>15.223877367285159</v>
      </c>
      <c r="AT17" s="182">
        <f t="shared" si="9"/>
        <v>1.459516594628906</v>
      </c>
      <c r="AU17" s="178">
        <f t="shared" si="10"/>
        <v>0.09590586568878796</v>
      </c>
      <c r="AV17" s="275"/>
      <c r="AW17" s="276">
        <v>0.65</v>
      </c>
      <c r="AX17" s="205"/>
    </row>
    <row r="18" spans="1:50" ht="11.25" customHeight="1">
      <c r="A18" s="180" t="s">
        <v>433</v>
      </c>
      <c r="D18" s="149">
        <v>5</v>
      </c>
      <c r="E18" s="270">
        <v>31.89</v>
      </c>
      <c r="F18" s="270">
        <v>33.78</v>
      </c>
      <c r="G18" s="270">
        <v>35.24</v>
      </c>
      <c r="H18" s="270">
        <v>38.02</v>
      </c>
      <c r="I18" s="94"/>
      <c r="J18" s="271">
        <v>60.3</v>
      </c>
      <c r="K18" s="271">
        <v>60.2</v>
      </c>
      <c r="L18" s="271">
        <v>50.64</v>
      </c>
      <c r="N18" s="177">
        <f t="shared" si="0"/>
        <v>1.5860073645449762</v>
      </c>
      <c r="O18" s="177">
        <f t="shared" si="1"/>
        <v>1.5129675129675129</v>
      </c>
      <c r="P18" s="177"/>
      <c r="Q18" s="272">
        <f>0.45*4</f>
        <v>1.8</v>
      </c>
      <c r="R18" s="272"/>
      <c r="S18" s="178">
        <f t="shared" si="2"/>
        <v>0.02985074626865672</v>
      </c>
      <c r="T18" s="178">
        <f t="shared" si="3"/>
        <v>0.03247924936845904</v>
      </c>
      <c r="U18" s="178"/>
      <c r="V18" s="179"/>
      <c r="W18" s="180" t="str">
        <f t="shared" si="4"/>
        <v>Entergy Corp.</v>
      </c>
      <c r="X18" s="178"/>
      <c r="Y18" s="178"/>
      <c r="Z18" s="272">
        <v>3.08</v>
      </c>
      <c r="AA18" s="272">
        <v>3.68</v>
      </c>
      <c r="AB18" s="272">
        <v>3.69</v>
      </c>
      <c r="AC18" s="125"/>
      <c r="AD18" s="178">
        <f t="shared" si="11"/>
        <v>0.1066357577513764</v>
      </c>
      <c r="AE18" s="178">
        <f t="shared" si="11"/>
        <v>0.10073710073710072</v>
      </c>
      <c r="AF18" s="273">
        <v>0.095</v>
      </c>
      <c r="AG18" s="273"/>
      <c r="AH18" s="178">
        <f t="shared" si="5"/>
        <v>0.09380234505862646</v>
      </c>
      <c r="AI18" s="94"/>
      <c r="AJ18" s="149" t="str">
        <f t="shared" si="6"/>
        <v>Entergy Corp.</v>
      </c>
      <c r="AK18" s="175"/>
      <c r="AL18" s="175"/>
      <c r="AM18" s="175" t="s">
        <v>434</v>
      </c>
      <c r="AN18" s="181">
        <f t="shared" si="12"/>
        <v>38.02</v>
      </c>
      <c r="AO18" s="181">
        <f t="shared" si="13"/>
        <v>3.69</v>
      </c>
      <c r="AP18" s="181">
        <f t="shared" si="14"/>
        <v>1.8</v>
      </c>
      <c r="AQ18" s="274">
        <v>0.05</v>
      </c>
      <c r="AR18" s="181">
        <f t="shared" si="7"/>
        <v>46.5734430625</v>
      </c>
      <c r="AS18" s="182">
        <f t="shared" si="8"/>
        <v>48.985615215624996</v>
      </c>
      <c r="AT18" s="182">
        <f t="shared" si="9"/>
        <v>4.709478965625</v>
      </c>
      <c r="AU18" s="178">
        <f t="shared" si="10"/>
        <v>0.09856687687143262</v>
      </c>
      <c r="AV18" s="275"/>
      <c r="AW18" s="276">
        <v>0.75</v>
      </c>
      <c r="AX18" s="205"/>
    </row>
    <row r="19" spans="1:50" ht="11.25" customHeight="1">
      <c r="A19" s="180" t="s">
        <v>211</v>
      </c>
      <c r="D19" s="149">
        <v>1</v>
      </c>
      <c r="E19" s="270">
        <v>31.82</v>
      </c>
      <c r="F19" s="270">
        <v>34.2</v>
      </c>
      <c r="G19" s="270">
        <v>34.96</v>
      </c>
      <c r="H19" s="270">
        <v>37.81</v>
      </c>
      <c r="I19" s="94"/>
      <c r="J19" s="271">
        <v>69.2</v>
      </c>
      <c r="K19" s="271">
        <v>69</v>
      </c>
      <c r="L19" s="271">
        <v>60.2</v>
      </c>
      <c r="N19" s="177">
        <f t="shared" si="0"/>
        <v>1.8302036498280878</v>
      </c>
      <c r="O19" s="177">
        <f t="shared" si="1"/>
        <v>1.7754569190600518</v>
      </c>
      <c r="P19" s="177"/>
      <c r="Q19" s="272">
        <f>0.62*4</f>
        <v>2.48</v>
      </c>
      <c r="R19" s="272"/>
      <c r="S19" s="178">
        <f t="shared" si="2"/>
        <v>0.03583815028901734</v>
      </c>
      <c r="T19" s="178">
        <f t="shared" si="3"/>
        <v>0.038390092879256967</v>
      </c>
      <c r="U19" s="178"/>
      <c r="V19" s="179"/>
      <c r="W19" s="180" t="str">
        <f t="shared" si="4"/>
        <v>FPL Group, Inc.</v>
      </c>
      <c r="X19" s="178"/>
      <c r="Y19" s="178"/>
      <c r="Z19" s="272">
        <v>4.62</v>
      </c>
      <c r="AA19" s="272">
        <v>4.02</v>
      </c>
      <c r="AB19" s="272">
        <v>4.89</v>
      </c>
      <c r="AC19" s="125"/>
      <c r="AD19" s="178">
        <f t="shared" si="11"/>
        <v>0.11625216888374783</v>
      </c>
      <c r="AE19" s="178">
        <f t="shared" si="11"/>
        <v>0.13439604232513397</v>
      </c>
      <c r="AF19" s="273">
        <v>0.105</v>
      </c>
      <c r="AG19" s="273"/>
      <c r="AH19" s="178">
        <f t="shared" si="5"/>
        <v>0.13995758860951224</v>
      </c>
      <c r="AI19" s="94"/>
      <c r="AJ19" s="149" t="str">
        <f t="shared" si="6"/>
        <v>FPL Group, Inc.</v>
      </c>
      <c r="AK19" s="175"/>
      <c r="AL19" s="175"/>
      <c r="AM19" s="175" t="s">
        <v>301</v>
      </c>
      <c r="AN19" s="181">
        <f t="shared" si="12"/>
        <v>37.81</v>
      </c>
      <c r="AO19" s="181">
        <f t="shared" si="13"/>
        <v>4.89</v>
      </c>
      <c r="AP19" s="181">
        <f t="shared" si="14"/>
        <v>2.48</v>
      </c>
      <c r="AQ19" s="274">
        <v>0.05</v>
      </c>
      <c r="AR19" s="181">
        <f t="shared" si="7"/>
        <v>48.7167713125</v>
      </c>
      <c r="AS19" s="182">
        <f t="shared" si="8"/>
        <v>51.792609878125</v>
      </c>
      <c r="AT19" s="182">
        <f t="shared" si="9"/>
        <v>6.241016840625</v>
      </c>
      <c r="AU19" s="178">
        <f t="shared" si="10"/>
        <v>0.12418774778422634</v>
      </c>
      <c r="AV19" s="275"/>
      <c r="AW19" s="276">
        <v>0.7</v>
      </c>
      <c r="AX19" s="205"/>
    </row>
    <row r="20" spans="1:50" ht="11.25" customHeight="1">
      <c r="A20" s="180" t="s">
        <v>435</v>
      </c>
      <c r="D20" s="149">
        <v>5</v>
      </c>
      <c r="E20" s="270">
        <v>14.88</v>
      </c>
      <c r="F20" s="270">
        <v>12.59</v>
      </c>
      <c r="G20" s="270">
        <v>13.58</v>
      </c>
      <c r="H20" s="270">
        <v>13.82</v>
      </c>
      <c r="I20" s="94"/>
      <c r="J20" s="271">
        <v>30.16</v>
      </c>
      <c r="K20" s="271">
        <v>35.69</v>
      </c>
      <c r="L20" s="271">
        <v>28.26</v>
      </c>
      <c r="N20" s="177">
        <f t="shared" si="0"/>
        <v>2.1823444283646887</v>
      </c>
      <c r="O20" s="177">
        <f t="shared" si="1"/>
        <v>2.3339416058394162</v>
      </c>
      <c r="P20" s="177"/>
      <c r="Q20" s="272">
        <f>0.415*4</f>
        <v>1.66</v>
      </c>
      <c r="R20" s="272"/>
      <c r="S20" s="178">
        <f t="shared" si="2"/>
        <v>0.055039787798408485</v>
      </c>
      <c r="T20" s="178">
        <f t="shared" si="3"/>
        <v>0.05191555903049257</v>
      </c>
      <c r="U20" s="178"/>
      <c r="V20" s="179"/>
      <c r="W20" s="180" t="str">
        <f t="shared" si="4"/>
        <v>Great Plains Energy</v>
      </c>
      <c r="X20" s="178"/>
      <c r="Y20" s="178"/>
      <c r="Z20" s="272">
        <v>1.59</v>
      </c>
      <c r="AA20" s="272">
        <v>2.04</v>
      </c>
      <c r="AB20" s="272">
        <v>2.27</v>
      </c>
      <c r="AC20" s="125"/>
      <c r="AD20" s="178">
        <f t="shared" si="11"/>
        <v>0.15590370653419947</v>
      </c>
      <c r="AE20" s="178">
        <f t="shared" si="11"/>
        <v>0.16569343065693432</v>
      </c>
      <c r="AF20" s="273">
        <v>0.135</v>
      </c>
      <c r="AG20" s="273"/>
      <c r="AH20" s="178">
        <f t="shared" si="5"/>
        <v>0.11576265016381508</v>
      </c>
      <c r="AI20" s="94"/>
      <c r="AJ20" s="149" t="str">
        <f t="shared" si="6"/>
        <v>Great Plains Energy</v>
      </c>
      <c r="AK20" s="175"/>
      <c r="AL20" s="175"/>
      <c r="AM20" s="175" t="s">
        <v>436</v>
      </c>
      <c r="AN20" s="181">
        <f t="shared" si="12"/>
        <v>13.82</v>
      </c>
      <c r="AO20" s="181">
        <f t="shared" si="13"/>
        <v>2.27</v>
      </c>
      <c r="AP20" s="181">
        <f t="shared" si="14"/>
        <v>1.66</v>
      </c>
      <c r="AQ20" s="274">
        <v>0.03</v>
      </c>
      <c r="AR20" s="181">
        <f t="shared" si="7"/>
        <v>16.4485728441</v>
      </c>
      <c r="AS20" s="182">
        <f t="shared" si="8"/>
        <v>17.155730029422998</v>
      </c>
      <c r="AT20" s="182">
        <f t="shared" si="9"/>
        <v>2.6315521486609996</v>
      </c>
      <c r="AU20" s="178">
        <f t="shared" si="10"/>
        <v>0.1566199518297053</v>
      </c>
      <c r="AV20" s="275"/>
      <c r="AW20" s="276">
        <v>0.75</v>
      </c>
      <c r="AX20" s="205"/>
    </row>
    <row r="21" spans="1:50" ht="11.25" customHeight="1">
      <c r="A21" s="180" t="s">
        <v>437</v>
      </c>
      <c r="D21" s="149">
        <v>1</v>
      </c>
      <c r="E21" s="270">
        <v>16.53</v>
      </c>
      <c r="F21" s="270">
        <v>17.81</v>
      </c>
      <c r="G21" s="270">
        <v>18.51</v>
      </c>
      <c r="H21" s="270">
        <v>19.85</v>
      </c>
      <c r="I21" s="94"/>
      <c r="J21" s="271">
        <v>26.48</v>
      </c>
      <c r="K21" s="271">
        <v>26.82</v>
      </c>
      <c r="L21" s="271">
        <v>21.17</v>
      </c>
      <c r="N21" s="177">
        <f t="shared" si="0"/>
        <v>1.3340050377833752</v>
      </c>
      <c r="O21" s="177">
        <f t="shared" si="1"/>
        <v>1.2510427528675705</v>
      </c>
      <c r="P21" s="177"/>
      <c r="Q21" s="272">
        <f>0.22*4</f>
        <v>0.88</v>
      </c>
      <c r="R21" s="272"/>
      <c r="S21" s="178">
        <f t="shared" si="2"/>
        <v>0.03323262839879154</v>
      </c>
      <c r="T21" s="178">
        <f t="shared" si="3"/>
        <v>0.03667430714732236</v>
      </c>
      <c r="U21" s="178"/>
      <c r="V21" s="179"/>
      <c r="W21" s="180" t="str">
        <f t="shared" si="4"/>
        <v>Green Mountain Power</v>
      </c>
      <c r="X21" s="178"/>
      <c r="Y21" s="178"/>
      <c r="Z21" s="272">
        <v>1.88</v>
      </c>
      <c r="AA21" s="272">
        <v>1.96</v>
      </c>
      <c r="AB21" s="272">
        <v>2.01</v>
      </c>
      <c r="AC21" s="125"/>
      <c r="AD21" s="178">
        <f t="shared" si="11"/>
        <v>0.1079295154185022</v>
      </c>
      <c r="AE21" s="178">
        <f t="shared" si="11"/>
        <v>0.10479666319082377</v>
      </c>
      <c r="AF21" s="273">
        <v>0.105</v>
      </c>
      <c r="AG21" s="273"/>
      <c r="AH21" s="178">
        <f t="shared" si="5"/>
        <v>0.1094933022714036</v>
      </c>
      <c r="AI21" s="94"/>
      <c r="AJ21" s="149" t="str">
        <f t="shared" si="6"/>
        <v>Green Mountain Power</v>
      </c>
      <c r="AK21" s="175"/>
      <c r="AL21" s="175"/>
      <c r="AM21" s="175" t="s">
        <v>438</v>
      </c>
      <c r="AN21" s="181">
        <f t="shared" si="12"/>
        <v>19.85</v>
      </c>
      <c r="AO21" s="181">
        <f t="shared" si="13"/>
        <v>2.01</v>
      </c>
      <c r="AP21" s="181">
        <f t="shared" si="14"/>
        <v>0.88</v>
      </c>
      <c r="AQ21" s="274" t="s">
        <v>353</v>
      </c>
      <c r="AR21" s="181"/>
      <c r="AS21" s="182"/>
      <c r="AT21" s="182"/>
      <c r="AU21" s="178"/>
      <c r="AV21" s="275"/>
      <c r="AW21" s="276">
        <v>0.65</v>
      </c>
      <c r="AX21" s="205"/>
    </row>
    <row r="22" spans="1:50" ht="11.25" customHeight="1">
      <c r="A22" s="180" t="s">
        <v>439</v>
      </c>
      <c r="D22" s="149">
        <v>11</v>
      </c>
      <c r="E22" s="270">
        <v>12.72</v>
      </c>
      <c r="F22" s="270">
        <v>13.06</v>
      </c>
      <c r="G22" s="270">
        <v>14.21</v>
      </c>
      <c r="H22" s="270">
        <v>14.36</v>
      </c>
      <c r="I22" s="94"/>
      <c r="J22" s="271">
        <v>25.81</v>
      </c>
      <c r="K22" s="271">
        <v>26.875</v>
      </c>
      <c r="L22" s="271">
        <v>21.44</v>
      </c>
      <c r="N22" s="177">
        <f t="shared" si="0"/>
        <v>1.7973537604456824</v>
      </c>
      <c r="O22" s="177">
        <f t="shared" si="1"/>
        <v>1.6911095554777738</v>
      </c>
      <c r="P22" s="177"/>
      <c r="Q22" s="272">
        <f>0.31*4</f>
        <v>1.24</v>
      </c>
      <c r="R22" s="272"/>
      <c r="S22" s="178">
        <f t="shared" si="2"/>
        <v>0.04804339403332042</v>
      </c>
      <c r="T22" s="178">
        <f t="shared" si="3"/>
        <v>0.05132981475732174</v>
      </c>
      <c r="U22" s="178"/>
      <c r="V22" s="179"/>
      <c r="W22" s="180" t="str">
        <f t="shared" si="4"/>
        <v>Hawaiian Electric</v>
      </c>
      <c r="X22" s="178"/>
      <c r="Y22" s="178"/>
      <c r="Z22" s="272">
        <v>1.6</v>
      </c>
      <c r="AA22" s="272">
        <v>1.62</v>
      </c>
      <c r="AB22" s="272">
        <v>1.58</v>
      </c>
      <c r="AC22" s="125"/>
      <c r="AD22" s="178">
        <f t="shared" si="11"/>
        <v>0.1188118811881188</v>
      </c>
      <c r="AE22" s="178">
        <f t="shared" si="11"/>
        <v>0.11060553027651383</v>
      </c>
      <c r="AF22" s="273">
        <v>0.105</v>
      </c>
      <c r="AG22" s="273"/>
      <c r="AH22" s="178">
        <f t="shared" si="5"/>
        <v>0.12412723041117145</v>
      </c>
      <c r="AI22" s="94"/>
      <c r="AJ22" s="149" t="str">
        <f t="shared" si="6"/>
        <v>Hawaiian Electric</v>
      </c>
      <c r="AK22" s="175"/>
      <c r="AL22" s="175"/>
      <c r="AM22" s="175" t="s">
        <v>440</v>
      </c>
      <c r="AN22" s="181">
        <f t="shared" si="12"/>
        <v>14.36</v>
      </c>
      <c r="AO22" s="181">
        <f t="shared" si="13"/>
        <v>1.58</v>
      </c>
      <c r="AP22" s="181">
        <f t="shared" si="14"/>
        <v>1.24</v>
      </c>
      <c r="AQ22" s="274">
        <v>0.028</v>
      </c>
      <c r="AR22" s="181">
        <f t="shared" si="7"/>
        <v>15.81790312738304</v>
      </c>
      <c r="AS22" s="182">
        <f t="shared" si="8"/>
        <v>16.208244414949764</v>
      </c>
      <c r="AT22" s="182">
        <f t="shared" si="9"/>
        <v>1.8139389245747815</v>
      </c>
      <c r="AU22" s="178">
        <f t="shared" si="10"/>
        <v>0.11327862161236099</v>
      </c>
      <c r="AV22" s="275"/>
      <c r="AW22" s="276">
        <v>0.65</v>
      </c>
      <c r="AX22" s="205"/>
    </row>
    <row r="23" spans="1:50" ht="11.25" customHeight="1">
      <c r="A23" s="180" t="s">
        <v>441</v>
      </c>
      <c r="D23" s="149">
        <v>1</v>
      </c>
      <c r="E23" s="270">
        <v>15.43</v>
      </c>
      <c r="F23" s="270">
        <v>16.27</v>
      </c>
      <c r="G23" s="270">
        <v>17.33</v>
      </c>
      <c r="H23" s="270">
        <v>17.73</v>
      </c>
      <c r="I23" s="94"/>
      <c r="J23" s="271">
        <v>19.17</v>
      </c>
      <c r="K23" s="271">
        <v>20.32</v>
      </c>
      <c r="L23" s="271">
        <v>17.27</v>
      </c>
      <c r="N23" s="177">
        <f t="shared" si="0"/>
        <v>1.0812182741116751</v>
      </c>
      <c r="O23" s="177">
        <f t="shared" si="1"/>
        <v>1.0721620079863092</v>
      </c>
      <c r="P23" s="177"/>
      <c r="Q23" s="272">
        <f>0.1625*4</f>
        <v>0.65</v>
      </c>
      <c r="R23" s="272"/>
      <c r="S23" s="178">
        <f t="shared" si="2"/>
        <v>0.03390714658320292</v>
      </c>
      <c r="T23" s="178">
        <f t="shared" si="3"/>
        <v>0.03458366586858207</v>
      </c>
      <c r="U23" s="178"/>
      <c r="V23" s="179"/>
      <c r="W23" s="180" t="str">
        <f t="shared" si="4"/>
        <v>Northeast Utilities</v>
      </c>
      <c r="X23" s="178"/>
      <c r="Y23" s="178"/>
      <c r="Z23" s="272">
        <v>1.37</v>
      </c>
      <c r="AA23" s="272">
        <v>1.08</v>
      </c>
      <c r="AB23" s="272">
        <v>1.24</v>
      </c>
      <c r="AC23" s="125"/>
      <c r="AD23" s="178">
        <f t="shared" si="11"/>
        <v>0.06428571428571431</v>
      </c>
      <c r="AE23" s="178">
        <f t="shared" si="11"/>
        <v>0.07073588134626355</v>
      </c>
      <c r="AF23" s="273">
        <v>0.095</v>
      </c>
      <c r="AG23" s="273"/>
      <c r="AH23" s="178">
        <f t="shared" si="5"/>
        <v>0.08643533123028392</v>
      </c>
      <c r="AI23" s="94"/>
      <c r="AJ23" s="149" t="str">
        <f t="shared" si="6"/>
        <v>Northeast Utilities</v>
      </c>
      <c r="AK23" s="175"/>
      <c r="AL23" s="175"/>
      <c r="AM23" s="175" t="s">
        <v>442</v>
      </c>
      <c r="AN23" s="181">
        <f t="shared" si="12"/>
        <v>17.73</v>
      </c>
      <c r="AO23" s="181">
        <f t="shared" si="13"/>
        <v>1.24</v>
      </c>
      <c r="AP23" s="181">
        <f t="shared" si="14"/>
        <v>0.65</v>
      </c>
      <c r="AQ23" s="274">
        <v>0.045</v>
      </c>
      <c r="AR23" s="181">
        <f t="shared" si="7"/>
        <v>20.36771873811875</v>
      </c>
      <c r="AS23" s="182">
        <f t="shared" si="8"/>
        <v>21.102966081334095</v>
      </c>
      <c r="AT23" s="182">
        <f t="shared" si="9"/>
        <v>1.5452656026898743</v>
      </c>
      <c r="AU23" s="178">
        <f t="shared" si="10"/>
        <v>0.07452327394241773</v>
      </c>
      <c r="AV23" s="275"/>
      <c r="AW23" s="276">
        <v>0.7</v>
      </c>
      <c r="AX23" s="205"/>
    </row>
    <row r="24" spans="1:50" ht="11.25" customHeight="1">
      <c r="A24" s="180" t="s">
        <v>443</v>
      </c>
      <c r="D24" s="149">
        <v>1</v>
      </c>
      <c r="E24" s="270">
        <v>26.32</v>
      </c>
      <c r="F24" s="270">
        <v>27.45</v>
      </c>
      <c r="G24" s="270">
        <v>28.73</v>
      </c>
      <c r="H24" s="270">
        <v>30.26</v>
      </c>
      <c r="I24" s="94"/>
      <c r="J24" s="271">
        <v>43.89</v>
      </c>
      <c r="K24" s="271">
        <v>47.95</v>
      </c>
      <c r="L24" s="271">
        <v>40.09</v>
      </c>
      <c r="N24" s="177">
        <f t="shared" si="0"/>
        <v>1.4504296100462657</v>
      </c>
      <c r="O24" s="177">
        <f t="shared" si="1"/>
        <v>1.4924563485336497</v>
      </c>
      <c r="P24" s="177"/>
      <c r="Q24" s="272">
        <f>0.575*4</f>
        <v>2.3</v>
      </c>
      <c r="R24" s="272"/>
      <c r="S24" s="178">
        <f t="shared" si="2"/>
        <v>0.052403736614262925</v>
      </c>
      <c r="T24" s="178">
        <f t="shared" si="3"/>
        <v>0.05224897773739209</v>
      </c>
      <c r="U24" s="178"/>
      <c r="V24" s="179"/>
      <c r="W24" s="180" t="str">
        <f t="shared" si="4"/>
        <v>Progress Energy</v>
      </c>
      <c r="X24" s="178"/>
      <c r="Y24" s="178"/>
      <c r="Z24" s="272">
        <v>3.43</v>
      </c>
      <c r="AA24" s="272">
        <v>3.84</v>
      </c>
      <c r="AB24" s="272">
        <v>3.41</v>
      </c>
      <c r="AC24" s="125"/>
      <c r="AD24" s="178">
        <f t="shared" si="11"/>
        <v>0.13670345318618726</v>
      </c>
      <c r="AE24" s="178">
        <f t="shared" si="11"/>
        <v>0.11561281573147991</v>
      </c>
      <c r="AF24" s="273">
        <v>0.09</v>
      </c>
      <c r="AG24" s="273"/>
      <c r="AH24" s="178">
        <f t="shared" si="5"/>
        <v>0.1275804351869072</v>
      </c>
      <c r="AI24" s="94"/>
      <c r="AJ24" s="149" t="str">
        <f t="shared" si="6"/>
        <v>Progress Energy</v>
      </c>
      <c r="AK24" s="175"/>
      <c r="AL24" s="175"/>
      <c r="AM24" s="175" t="s">
        <v>331</v>
      </c>
      <c r="AN24" s="181">
        <f t="shared" si="12"/>
        <v>30.26</v>
      </c>
      <c r="AO24" s="181">
        <f t="shared" si="13"/>
        <v>3.41</v>
      </c>
      <c r="AP24" s="181">
        <f t="shared" si="14"/>
        <v>2.3</v>
      </c>
      <c r="AQ24" s="274">
        <v>0.04</v>
      </c>
      <c r="AR24" s="181">
        <f t="shared" si="7"/>
        <v>35.1621180416</v>
      </c>
      <c r="AS24" s="182">
        <f t="shared" si="8"/>
        <v>36.512602763264006</v>
      </c>
      <c r="AT24" s="182">
        <f t="shared" si="9"/>
        <v>4.1487863971840016</v>
      </c>
      <c r="AU24" s="178">
        <f t="shared" si="10"/>
        <v>0.11576707521412362</v>
      </c>
      <c r="AV24" s="275"/>
      <c r="AW24" s="276">
        <v>0.8</v>
      </c>
      <c r="AX24" s="205"/>
    </row>
    <row r="25" spans="1:50" ht="11.25" customHeight="1">
      <c r="A25" s="180" t="s">
        <v>472</v>
      </c>
      <c r="D25" s="149">
        <v>11</v>
      </c>
      <c r="E25" s="270">
        <v>16.61</v>
      </c>
      <c r="F25" s="270">
        <v>15.66</v>
      </c>
      <c r="G25" s="270">
        <v>16.27</v>
      </c>
      <c r="H25" s="270">
        <v>16.71</v>
      </c>
      <c r="I25" s="94"/>
      <c r="J25" s="271">
        <v>22.91</v>
      </c>
      <c r="K25" s="271">
        <v>23.99</v>
      </c>
      <c r="L25" s="271">
        <v>20.51</v>
      </c>
      <c r="N25" s="177">
        <f t="shared" si="0"/>
        <v>1.3710353081986835</v>
      </c>
      <c r="O25" s="177">
        <f t="shared" si="1"/>
        <v>1.3493026076409944</v>
      </c>
      <c r="P25" s="177"/>
      <c r="Q25" s="272">
        <f>0.25*4</f>
        <v>1</v>
      </c>
      <c r="R25" s="272"/>
      <c r="S25" s="178">
        <f t="shared" si="2"/>
        <v>0.04364906154517678</v>
      </c>
      <c r="T25" s="178">
        <f t="shared" si="3"/>
        <v>0.0449438202247191</v>
      </c>
      <c r="U25" s="178"/>
      <c r="V25" s="179"/>
      <c r="W25" s="180" t="str">
        <f t="shared" si="4"/>
        <v>Puget Energy, Inc</v>
      </c>
      <c r="X25" s="178"/>
      <c r="Y25" s="178"/>
      <c r="Z25" s="272">
        <v>1.22</v>
      </c>
      <c r="AA25" s="272">
        <v>1.24</v>
      </c>
      <c r="AB25" s="272">
        <v>1.22</v>
      </c>
      <c r="AC25" s="125"/>
      <c r="AD25" s="178">
        <f t="shared" si="11"/>
        <v>0.07766990291262135</v>
      </c>
      <c r="AE25" s="178">
        <f t="shared" si="11"/>
        <v>0.07398423286840508</v>
      </c>
      <c r="AF25" s="273">
        <v>0.09</v>
      </c>
      <c r="AG25" s="273"/>
      <c r="AH25" s="178">
        <f t="shared" si="5"/>
        <v>0.07561202355128603</v>
      </c>
      <c r="AI25" s="94"/>
      <c r="AJ25" s="149" t="str">
        <f t="shared" si="6"/>
        <v>Puget Energy, Inc</v>
      </c>
      <c r="AK25" s="175"/>
      <c r="AL25" s="175"/>
      <c r="AM25" s="175" t="s">
        <v>326</v>
      </c>
      <c r="AN25" s="181">
        <f t="shared" si="12"/>
        <v>16.71</v>
      </c>
      <c r="AO25" s="181">
        <f t="shared" si="13"/>
        <v>1.22</v>
      </c>
      <c r="AP25" s="181">
        <f t="shared" si="14"/>
        <v>1</v>
      </c>
      <c r="AQ25" s="274">
        <v>0.06</v>
      </c>
      <c r="AR25" s="181">
        <f t="shared" si="7"/>
        <v>17.730160451200003</v>
      </c>
      <c r="AS25" s="182">
        <f t="shared" si="8"/>
        <v>18.024570078272003</v>
      </c>
      <c r="AT25" s="182">
        <f t="shared" si="9"/>
        <v>1.6326352046720005</v>
      </c>
      <c r="AU25" s="178">
        <f t="shared" si="10"/>
        <v>0.09132415098618894</v>
      </c>
      <c r="AV25" s="275"/>
      <c r="AW25" s="276">
        <v>0.75</v>
      </c>
      <c r="AX25" s="205"/>
    </row>
    <row r="26" spans="1:50" ht="12.75" customHeight="1">
      <c r="A26" s="180" t="s">
        <v>444</v>
      </c>
      <c r="D26" s="149">
        <v>1</v>
      </c>
      <c r="E26" s="270">
        <v>15.67</v>
      </c>
      <c r="F26" s="270">
        <v>11.42</v>
      </c>
      <c r="G26" s="270">
        <v>12.15</v>
      </c>
      <c r="H26" s="270">
        <v>13.13</v>
      </c>
      <c r="I26" s="94"/>
      <c r="J26" s="277">
        <v>30.35</v>
      </c>
      <c r="K26" s="277">
        <v>31</v>
      </c>
      <c r="L26" s="277">
        <v>27.44</v>
      </c>
      <c r="N26" s="177">
        <f>J26/H26</f>
        <v>2.3115003808073116</v>
      </c>
      <c r="O26" s="177">
        <f>((K26+L26)/2)/((G26+H26)/2)</f>
        <v>2.3117088607594933</v>
      </c>
      <c r="P26" s="177"/>
      <c r="Q26" s="272">
        <f>0.35*4</f>
        <v>1.4</v>
      </c>
      <c r="R26" s="272"/>
      <c r="S26" s="178">
        <f>Q26/J26</f>
        <v>0.046128500823723224</v>
      </c>
      <c r="T26" s="178">
        <f>Q26/((K26+L26)/2)</f>
        <v>0.04791238877481177</v>
      </c>
      <c r="U26" s="178"/>
      <c r="V26" s="179"/>
      <c r="W26" s="180" t="str">
        <f t="shared" si="4"/>
        <v>Southern Co.</v>
      </c>
      <c r="X26" s="178"/>
      <c r="Y26" s="178"/>
      <c r="Z26" s="272">
        <v>1.61</v>
      </c>
      <c r="AA26" s="272">
        <v>1.85</v>
      </c>
      <c r="AB26" s="272">
        <v>1.97</v>
      </c>
      <c r="AC26" s="125"/>
      <c r="AD26" s="178">
        <f>AA26/((G26+F26)/2)</f>
        <v>0.15697921086126432</v>
      </c>
      <c r="AE26" s="178">
        <f>AB26/((H26+G26)/2)</f>
        <v>0.15585443037974683</v>
      </c>
      <c r="AF26" s="273">
        <v>0.135</v>
      </c>
      <c r="AG26" s="273"/>
      <c r="AH26" s="178">
        <f>Z26/((F26+E26)/2)</f>
        <v>0.11886304909560724</v>
      </c>
      <c r="AI26" s="94"/>
      <c r="AJ26" s="149" t="str">
        <f t="shared" si="6"/>
        <v>Southern Co.</v>
      </c>
      <c r="AK26" s="175"/>
      <c r="AL26" s="175"/>
      <c r="AM26" s="175" t="s">
        <v>445</v>
      </c>
      <c r="AN26" s="181">
        <f t="shared" si="12"/>
        <v>13.13</v>
      </c>
      <c r="AO26" s="181">
        <f t="shared" si="13"/>
        <v>1.97</v>
      </c>
      <c r="AP26" s="181">
        <f t="shared" si="14"/>
        <v>1.4</v>
      </c>
      <c r="AQ26" s="274">
        <v>0.0494</v>
      </c>
      <c r="AR26" s="181">
        <f t="shared" si="7"/>
        <v>15.70583702483785</v>
      </c>
      <c r="AS26" s="182">
        <f t="shared" si="8"/>
        <v>16.43124137386484</v>
      </c>
      <c r="AT26" s="182">
        <f t="shared" si="9"/>
        <v>2.507099241373981</v>
      </c>
      <c r="AU26" s="178">
        <f t="shared" si="10"/>
        <v>0.15602533685670614</v>
      </c>
      <c r="AV26" s="275"/>
      <c r="AW26" s="276">
        <v>0.65</v>
      </c>
      <c r="AX26" s="205"/>
    </row>
    <row r="27" spans="1:50" ht="11.25" customHeight="1">
      <c r="A27" s="180"/>
      <c r="E27" s="278"/>
      <c r="F27" s="278"/>
      <c r="G27" s="278"/>
      <c r="H27" s="278"/>
      <c r="I27" s="94"/>
      <c r="J27" s="279"/>
      <c r="K27" s="279"/>
      <c r="L27" s="279"/>
      <c r="N27" s="227"/>
      <c r="O27" s="227"/>
      <c r="P27" s="227"/>
      <c r="Q27" s="280"/>
      <c r="R27" s="280"/>
      <c r="S27" s="208"/>
      <c r="T27" s="208"/>
      <c r="U27" s="178"/>
      <c r="V27" s="179"/>
      <c r="W27" s="180"/>
      <c r="X27" s="178"/>
      <c r="Y27" s="178"/>
      <c r="Z27" s="280"/>
      <c r="AA27" s="280"/>
      <c r="AB27" s="280"/>
      <c r="AC27" s="125"/>
      <c r="AD27" s="208"/>
      <c r="AE27" s="208"/>
      <c r="AF27" s="281"/>
      <c r="AG27" s="281"/>
      <c r="AH27" s="208"/>
      <c r="AI27" s="94"/>
      <c r="AK27" s="175"/>
      <c r="AL27" s="175"/>
      <c r="AM27" s="175"/>
      <c r="AN27" s="206"/>
      <c r="AO27" s="206"/>
      <c r="AP27" s="206"/>
      <c r="AQ27" s="282"/>
      <c r="AR27" s="206"/>
      <c r="AS27" s="231"/>
      <c r="AT27" s="231"/>
      <c r="AU27" s="208"/>
      <c r="AV27" s="275"/>
      <c r="AW27" s="283"/>
      <c r="AX27" s="205"/>
    </row>
    <row r="28" spans="1:50" ht="11.25" customHeight="1">
      <c r="A28" s="178"/>
      <c r="B28" s="149" t="s">
        <v>81</v>
      </c>
      <c r="E28" s="211">
        <f>AVERAGE(E13:E27)</f>
        <v>19.387857142857143</v>
      </c>
      <c r="F28" s="211">
        <f aca="true" t="shared" si="15" ref="F28:L28">AVERAGE(F13:F27)</f>
        <v>19.746428571428574</v>
      </c>
      <c r="G28" s="211">
        <f t="shared" si="15"/>
        <v>20.68285714285714</v>
      </c>
      <c r="H28" s="211">
        <f t="shared" si="15"/>
        <v>21.678571428571427</v>
      </c>
      <c r="I28" s="94"/>
      <c r="J28" s="211">
        <f t="shared" si="15"/>
        <v>37.22642857142858</v>
      </c>
      <c r="K28" s="211">
        <f t="shared" si="15"/>
        <v>38.71678571428571</v>
      </c>
      <c r="L28" s="211">
        <f t="shared" si="15"/>
        <v>32.56428571428571</v>
      </c>
      <c r="M28" s="181"/>
      <c r="N28" s="248">
        <f>AVERAGE(N13:N27)</f>
        <v>1.7860830103436502</v>
      </c>
      <c r="O28" s="248">
        <f>AVERAGE(O13:O27)</f>
        <v>1.7530261514101824</v>
      </c>
      <c r="P28" s="248"/>
      <c r="Q28" s="181">
        <f>AVERAGE(Q13:Q27)</f>
        <v>1.6178571428571427</v>
      </c>
      <c r="R28" s="181"/>
      <c r="S28" s="249">
        <f>AVERAGE(S13:S27)</f>
        <v>0.04489398203570525</v>
      </c>
      <c r="T28" s="249">
        <f>AVERAGE(T13:T27)</f>
        <v>0.04646147676336864</v>
      </c>
      <c r="U28" s="178"/>
      <c r="V28" s="179"/>
      <c r="W28" s="178"/>
      <c r="X28" s="178"/>
      <c r="Y28" s="178"/>
      <c r="Z28" s="181">
        <f>AVERAGE(Z13:Z27)</f>
        <v>2.275714285714286</v>
      </c>
      <c r="AA28" s="181">
        <f>AVERAGE(AA13:AA27)</f>
        <v>2.352857142857143</v>
      </c>
      <c r="AB28" s="181">
        <f>AVERAGE(AB13:AB27)</f>
        <v>2.4421428571428563</v>
      </c>
      <c r="AC28" s="125"/>
      <c r="AD28" s="249">
        <f>AVERAGE(AD13:AD27)</f>
        <v>0.11521761053799653</v>
      </c>
      <c r="AE28" s="249">
        <f>AVERAGE(AE13:AE27)</f>
        <v>0.11816207957224341</v>
      </c>
      <c r="AF28" s="249">
        <f>AVERAGE(AF13:AF27)</f>
        <v>0.11142857142857143</v>
      </c>
      <c r="AG28" s="249"/>
      <c r="AH28" s="249">
        <f>AVERAGE(AH13:AH27)</f>
        <v>0.12116443090221862</v>
      </c>
      <c r="AN28" s="182">
        <f>AVERAGE(AN13:AN27)</f>
        <v>21.678571428571427</v>
      </c>
      <c r="AO28" s="182">
        <f aca="true" t="shared" si="16" ref="AO28:AT28">AVERAGE(AO13:AO27)</f>
        <v>2.4421428571428563</v>
      </c>
      <c r="AP28" s="182">
        <f t="shared" si="16"/>
        <v>1.6178571428571427</v>
      </c>
      <c r="AQ28" s="284">
        <f t="shared" si="16"/>
        <v>0.04133846153846153</v>
      </c>
      <c r="AR28" s="182">
        <f t="shared" si="16"/>
        <v>25.40027495420738</v>
      </c>
      <c r="AS28" s="182">
        <f t="shared" si="16"/>
        <v>26.399009173915378</v>
      </c>
      <c r="AT28" s="182">
        <f t="shared" si="16"/>
        <v>3.051009406483042</v>
      </c>
      <c r="AU28" s="284">
        <f>AVERAGE(AU13:AU27)</f>
        <v>0.12176306085567976</v>
      </c>
      <c r="AW28" s="205">
        <f>AVERAGE(AW13:AW27)</f>
        <v>0.7357142857142859</v>
      </c>
      <c r="AX28" s="205"/>
    </row>
    <row r="29" spans="1:50" ht="11.25" customHeight="1">
      <c r="A29" s="180"/>
      <c r="B29" s="242" t="s">
        <v>354</v>
      </c>
      <c r="E29" s="211"/>
      <c r="F29" s="211"/>
      <c r="G29" s="211"/>
      <c r="H29" s="211"/>
      <c r="I29" s="94"/>
      <c r="J29" s="211"/>
      <c r="K29" s="211"/>
      <c r="L29" s="211"/>
      <c r="M29" s="181"/>
      <c r="N29" s="285">
        <f>MEDIAN(N13:N27)</f>
        <v>1.7739106999011054</v>
      </c>
      <c r="O29" s="285">
        <f>MEDIAN(O13:O27)</f>
        <v>1.7058915953927778</v>
      </c>
      <c r="P29" s="285"/>
      <c r="Q29" s="181"/>
      <c r="R29" s="181"/>
      <c r="S29" s="284">
        <f>MEDIAN(S13:S27)</f>
        <v>0.0462855942853794</v>
      </c>
      <c r="T29" s="284">
        <f>MEDIAN(T13:T27)</f>
        <v>0.04896949933684708</v>
      </c>
      <c r="U29" s="178"/>
      <c r="V29" s="179"/>
      <c r="W29" s="180"/>
      <c r="X29" s="178"/>
      <c r="Y29" s="178"/>
      <c r="Z29" s="181"/>
      <c r="AA29" s="181"/>
      <c r="AB29" s="181"/>
      <c r="AC29" s="125"/>
      <c r="AD29" s="284">
        <f>MEDIAN(AD13:AD27)</f>
        <v>0.11486367309435619</v>
      </c>
      <c r="AE29" s="284">
        <f>MEDIAN(AE13:AE27)</f>
        <v>0.11743733664414471</v>
      </c>
      <c r="AF29" s="284">
        <f>MEDIAN(AF13:AF27)</f>
        <v>0.105</v>
      </c>
      <c r="AG29" s="284"/>
      <c r="AH29" s="284">
        <f>MEDIAN(AH13:AH27)</f>
        <v>0.11731284962971117</v>
      </c>
      <c r="AJ29" s="179"/>
      <c r="AN29" s="181"/>
      <c r="AO29" s="181"/>
      <c r="AP29" s="181"/>
      <c r="AQ29" s="284">
        <f>MEDIAN(AQ13:AQ27)</f>
        <v>0.04</v>
      </c>
      <c r="AR29" s="181"/>
      <c r="AS29" s="181"/>
      <c r="AT29" s="181"/>
      <c r="AU29" s="284">
        <f>MEDIAN(AU13:AU27)</f>
        <v>0.1227147703334038</v>
      </c>
      <c r="AW29" s="286">
        <f>MEDIAN(AW13:AW27)</f>
        <v>0.725</v>
      </c>
      <c r="AX29" s="205"/>
    </row>
    <row r="30" spans="1:50" ht="11.25" customHeight="1">
      <c r="A30" s="180"/>
      <c r="E30" s="211"/>
      <c r="F30" s="211"/>
      <c r="G30" s="211"/>
      <c r="H30" s="211"/>
      <c r="I30" s="94"/>
      <c r="J30" s="211"/>
      <c r="K30" s="211"/>
      <c r="L30" s="211"/>
      <c r="M30" s="181"/>
      <c r="N30" s="248"/>
      <c r="O30" s="248"/>
      <c r="P30" s="248"/>
      <c r="Q30" s="181"/>
      <c r="R30" s="181"/>
      <c r="S30" s="249"/>
      <c r="T30" s="249"/>
      <c r="U30" s="178"/>
      <c r="V30" s="179"/>
      <c r="W30" s="180"/>
      <c r="X30" s="178"/>
      <c r="Y30" s="178"/>
      <c r="Z30" s="181"/>
      <c r="AA30" s="181"/>
      <c r="AB30" s="181"/>
      <c r="AC30" s="125"/>
      <c r="AD30" s="249"/>
      <c r="AE30" s="249"/>
      <c r="AF30" s="249"/>
      <c r="AG30" s="249"/>
      <c r="AH30" s="249"/>
      <c r="AN30" s="182"/>
      <c r="AO30" s="182"/>
      <c r="AP30" s="182"/>
      <c r="AQ30" s="284"/>
      <c r="AR30" s="182"/>
      <c r="AS30" s="182"/>
      <c r="AT30" s="182"/>
      <c r="AU30" s="61"/>
      <c r="AW30" s="205"/>
      <c r="AX30" s="205"/>
    </row>
    <row r="31" spans="1:49" ht="11.25" customHeight="1">
      <c r="A31" s="269" t="s">
        <v>446</v>
      </c>
      <c r="E31" s="211"/>
      <c r="F31" s="211"/>
      <c r="G31" s="211"/>
      <c r="H31" s="211"/>
      <c r="I31" s="59"/>
      <c r="J31" s="211"/>
      <c r="K31" s="211"/>
      <c r="L31" s="211"/>
      <c r="M31" s="181"/>
      <c r="N31" s="248"/>
      <c r="O31" s="248"/>
      <c r="P31" s="248"/>
      <c r="Q31" s="287"/>
      <c r="R31" s="287"/>
      <c r="S31" s="249"/>
      <c r="T31" s="249"/>
      <c r="V31" s="179"/>
      <c r="W31" s="269" t="str">
        <f>A31</f>
        <v>Gas Distribution Companies </v>
      </c>
      <c r="X31" s="178"/>
      <c r="Y31" s="178"/>
      <c r="Z31" s="181"/>
      <c r="AA31" s="181"/>
      <c r="AB31" s="181"/>
      <c r="AC31" s="288"/>
      <c r="AD31" s="249"/>
      <c r="AE31" s="249"/>
      <c r="AF31" s="249"/>
      <c r="AG31" s="249"/>
      <c r="AH31" s="249"/>
      <c r="AI31" s="289"/>
      <c r="AJ31" s="269" t="str">
        <f aca="true" t="shared" si="17" ref="AJ31:AJ44">W31</f>
        <v>Gas Distribution Companies </v>
      </c>
      <c r="AQ31" s="290"/>
      <c r="AU31" s="284"/>
      <c r="AW31" s="205"/>
    </row>
    <row r="32" spans="1:49" s="242" customFormat="1" ht="11.25" customHeight="1">
      <c r="A32" s="180" t="s">
        <v>447</v>
      </c>
      <c r="D32" s="242">
        <v>3</v>
      </c>
      <c r="E32" s="270">
        <v>11.5</v>
      </c>
      <c r="F32" s="270">
        <v>12.19</v>
      </c>
      <c r="G32" s="270">
        <v>12.52</v>
      </c>
      <c r="H32" s="270">
        <v>14.66</v>
      </c>
      <c r="I32" s="291"/>
      <c r="J32" s="271">
        <v>30.49</v>
      </c>
      <c r="K32" s="271">
        <v>30.63</v>
      </c>
      <c r="L32" s="271">
        <v>26.5</v>
      </c>
      <c r="M32" s="287"/>
      <c r="N32" s="177">
        <f>J32/H32</f>
        <v>2.0798090040927693</v>
      </c>
      <c r="O32" s="177">
        <f>((K32+L32)/2)/((G32+H32)/2)</f>
        <v>2.101913171449595</v>
      </c>
      <c r="P32" s="177"/>
      <c r="Q32" s="272">
        <f>0.29*4</f>
        <v>1.16</v>
      </c>
      <c r="R32" s="272"/>
      <c r="S32" s="178">
        <f>Q32/J32</f>
        <v>0.03804526074122663</v>
      </c>
      <c r="T32" s="178">
        <f>Q32/((K32+L32)/2)</f>
        <v>0.04060913705583757</v>
      </c>
      <c r="W32" s="180" t="str">
        <f>A32</f>
        <v>AGL Resources</v>
      </c>
      <c r="Z32" s="292">
        <v>1.5</v>
      </c>
      <c r="AA32" s="292">
        <v>1.82</v>
      </c>
      <c r="AB32" s="292">
        <v>2.08</v>
      </c>
      <c r="AC32" s="159"/>
      <c r="AD32" s="178">
        <f>AA32/((G32+F32)/2)</f>
        <v>0.14730878186968838</v>
      </c>
      <c r="AE32" s="178">
        <f>AB32/((H32+G32)/2)</f>
        <v>0.15305371596762327</v>
      </c>
      <c r="AF32" s="273">
        <v>0.115</v>
      </c>
      <c r="AG32" s="273"/>
      <c r="AH32" s="178">
        <f>Z32/((F32+E32)/2)</f>
        <v>0.12663571127057832</v>
      </c>
      <c r="AI32" s="266"/>
      <c r="AJ32" s="180" t="str">
        <f t="shared" si="17"/>
        <v>AGL Resources</v>
      </c>
      <c r="AK32" s="266"/>
      <c r="AL32" s="266"/>
      <c r="AM32" s="266" t="s">
        <v>448</v>
      </c>
      <c r="AN32" s="181">
        <f>H32</f>
        <v>14.66</v>
      </c>
      <c r="AO32" s="181">
        <f>AB32</f>
        <v>2.08</v>
      </c>
      <c r="AP32" s="181">
        <f>Q32</f>
        <v>1.16</v>
      </c>
      <c r="AQ32" s="293">
        <v>0.05</v>
      </c>
      <c r="AR32" s="181">
        <f>AN32+(AO32*(1+AQ32)-(AP32*(1+AQ32)))+(AO32*(1+AQ32)^2-AP32*(1+AQ32)^2)+(AO32*(1+AQ32)^3-AP32*(1+AQ32)^3)+(AO32*(1+AQ32)^4-AP32*(1+AQ32)^4)</f>
        <v>18.823580749999998</v>
      </c>
      <c r="AS32" s="182">
        <f>AN32+(AO32*(1+AQ32)-(AP32*(1+AQ32)))+(AO32*(1+AQ32)^2-AP32*(1+AQ32)^2)+(AO32*(1+AQ32)^3-AP32*(1+AQ32)^3)+(AO32*(1+AQ32)^4-AP32*(1+AQ32)^4)+(AO32*(1+AQ32)^5-AP32*(1+AQ32)^5)</f>
        <v>19.997759787499998</v>
      </c>
      <c r="AT32" s="182">
        <f>AO32*(AQ32+1)^5</f>
        <v>2.6546656500000005</v>
      </c>
      <c r="AU32" s="178">
        <f>AT32/((AS32+AR32)/2)</f>
        <v>0.13676321390476925</v>
      </c>
      <c r="AV32" s="275"/>
      <c r="AW32" s="276">
        <v>0.8</v>
      </c>
    </row>
    <row r="33" spans="1:49" s="242" customFormat="1" ht="11.25" customHeight="1">
      <c r="A33" s="180" t="s">
        <v>449</v>
      </c>
      <c r="D33" s="149">
        <v>3</v>
      </c>
      <c r="E33" s="271">
        <v>12.28</v>
      </c>
      <c r="F33" s="271">
        <v>14.31</v>
      </c>
      <c r="G33" s="271">
        <v>13.75</v>
      </c>
      <c r="H33" s="271">
        <v>16.66</v>
      </c>
      <c r="I33" s="294"/>
      <c r="J33" s="271">
        <v>25.29</v>
      </c>
      <c r="K33" s="271">
        <v>27</v>
      </c>
      <c r="L33" s="271">
        <v>23.4</v>
      </c>
      <c r="M33" s="287"/>
      <c r="N33" s="177">
        <f>J33/H33</f>
        <v>1.5180072028811524</v>
      </c>
      <c r="O33" s="177">
        <f>((K33+L33)/2)/((G33+H33)/2)</f>
        <v>1.6573495560670832</v>
      </c>
      <c r="P33" s="294"/>
      <c r="Q33" s="272">
        <f>0.305*4</f>
        <v>1.22</v>
      </c>
      <c r="R33" s="294"/>
      <c r="S33" s="178">
        <f>Q33/J33</f>
        <v>0.048240411229735075</v>
      </c>
      <c r="T33" s="178">
        <f>Q33/((K33+L33)/2)</f>
        <v>0.048412698412698414</v>
      </c>
      <c r="W33" s="180" t="str">
        <f aca="true" t="shared" si="18" ref="W33:W44">A33</f>
        <v>Atmos Energy</v>
      </c>
      <c r="Z33" s="292">
        <v>1.47</v>
      </c>
      <c r="AA33" s="292">
        <v>1.45</v>
      </c>
      <c r="AB33" s="295">
        <v>1.71</v>
      </c>
      <c r="AC33" s="296"/>
      <c r="AD33" s="178">
        <f>AA33/((G33+F33)/2)</f>
        <v>0.10334996436208124</v>
      </c>
      <c r="AE33" s="178">
        <f>AB33/((H33+G33)/2)</f>
        <v>0.11246300559026635</v>
      </c>
      <c r="AF33" s="273">
        <v>0.095</v>
      </c>
      <c r="AG33" s="296"/>
      <c r="AH33" s="178">
        <f>Z33/((F33+E33)/2)</f>
        <v>0.11056788266265513</v>
      </c>
      <c r="AI33" s="266"/>
      <c r="AJ33" s="180" t="str">
        <f t="shared" si="17"/>
        <v>Atmos Energy</v>
      </c>
      <c r="AK33" s="266"/>
      <c r="AL33" s="266"/>
      <c r="AM33" s="266" t="s">
        <v>450</v>
      </c>
      <c r="AN33" s="181">
        <f>H33</f>
        <v>16.66</v>
      </c>
      <c r="AO33" s="181">
        <f>AB33</f>
        <v>1.71</v>
      </c>
      <c r="AP33" s="181">
        <f>Q33</f>
        <v>1.22</v>
      </c>
      <c r="AQ33" s="293">
        <v>0.032</v>
      </c>
      <c r="AR33" s="181">
        <f>AN33+(AO33*(1+AQ33)-(AP33*(1+AQ33)))+(AO33*(1+AQ33)^2-AP33*(1+AQ33)^2)+(AO33*(1+AQ33)^3-AP33*(1+AQ33)^3)+(AO33*(1+AQ33)^4-AP33*(1+AQ33)^4)</f>
        <v>18.781898395402244</v>
      </c>
      <c r="AS33" s="182">
        <f>AN33+(AO33*(1+AQ33)-(AP33*(1+AQ33)))+(AO33*(1+AQ33)^2-AP33*(1+AQ33)^2)+(AO33*(1+AQ33)^3-AP33*(1+AQ33)^3)+(AO33*(1+AQ33)^4-AP33*(1+AQ33)^4)+(AO33*(1+AQ33)^5-AP33*(1+AQ33)^5)</f>
        <v>19.355479144055117</v>
      </c>
      <c r="AT33" s="182">
        <f>AO33*(AQ33+1)^5</f>
        <v>2.0016797555028787</v>
      </c>
      <c r="AU33" s="178">
        <f>AT33/((AS33+AR33)/2)</f>
        <v>0.10497207121448864</v>
      </c>
      <c r="AV33" s="275"/>
      <c r="AW33" s="276">
        <v>0.65</v>
      </c>
    </row>
    <row r="34" spans="1:49" s="242" customFormat="1" ht="11.25" customHeight="1">
      <c r="A34" s="180" t="s">
        <v>451</v>
      </c>
      <c r="D34" s="149">
        <v>3</v>
      </c>
      <c r="E34" s="271">
        <v>13.31</v>
      </c>
      <c r="F34" s="271">
        <v>15.45</v>
      </c>
      <c r="G34" s="271">
        <v>16.77</v>
      </c>
      <c r="H34" s="271">
        <v>19.3</v>
      </c>
      <c r="I34" s="294"/>
      <c r="J34" s="271">
        <v>47.44</v>
      </c>
      <c r="K34" s="271">
        <v>49.4</v>
      </c>
      <c r="L34" s="271">
        <v>35.3</v>
      </c>
      <c r="M34" s="287"/>
      <c r="N34" s="177">
        <f aca="true" t="shared" si="19" ref="N34:N44">J34/H34</f>
        <v>2.4580310880829015</v>
      </c>
      <c r="O34" s="177">
        <f aca="true" t="shared" si="20" ref="O34:O44">((K34+L34)/2)/((G34+H34)/2)</f>
        <v>2.3482118103687273</v>
      </c>
      <c r="P34" s="294"/>
      <c r="Q34" s="272">
        <f>0.185*4</f>
        <v>0.74</v>
      </c>
      <c r="R34" s="294"/>
      <c r="S34" s="178">
        <f aca="true" t="shared" si="21" ref="S34:S44">Q34/J34</f>
        <v>0.015598650927487353</v>
      </c>
      <c r="T34" s="178">
        <f aca="true" t="shared" si="22" ref="T34:T44">Q34/((K34+L34)/2)</f>
        <v>0.01747343565525384</v>
      </c>
      <c r="W34" s="180" t="str">
        <f t="shared" si="18"/>
        <v>Energen Corp.</v>
      </c>
      <c r="Z34" s="292">
        <v>2.23</v>
      </c>
      <c r="AA34" s="292">
        <v>1.99</v>
      </c>
      <c r="AB34" s="295">
        <v>3.09</v>
      </c>
      <c r="AC34" s="296"/>
      <c r="AD34" s="178">
        <f aca="true" t="shared" si="23" ref="AD34:AE44">AA34/((G34+F34)/2)</f>
        <v>0.12352576039726879</v>
      </c>
      <c r="AE34" s="178">
        <f t="shared" si="23"/>
        <v>0.171333518159135</v>
      </c>
      <c r="AF34" s="273">
        <v>0.16</v>
      </c>
      <c r="AG34" s="296"/>
      <c r="AH34" s="178">
        <f aca="true" t="shared" si="24" ref="AH34:AH44">Z34/((F34+E34)/2)</f>
        <v>0.15507649513212796</v>
      </c>
      <c r="AI34" s="266"/>
      <c r="AJ34" s="180" t="str">
        <f t="shared" si="17"/>
        <v>Energen Corp.</v>
      </c>
      <c r="AK34" s="266"/>
      <c r="AL34" s="266"/>
      <c r="AM34" s="266" t="s">
        <v>452</v>
      </c>
      <c r="AN34" s="181">
        <f aca="true" t="shared" si="25" ref="AN34:AN43">H34</f>
        <v>19.3</v>
      </c>
      <c r="AO34" s="181">
        <f aca="true" t="shared" si="26" ref="AO34:AO43">AB34</f>
        <v>3.09</v>
      </c>
      <c r="AP34" s="181">
        <f aca="true" t="shared" si="27" ref="AP34:AP43">Q34</f>
        <v>0.74</v>
      </c>
      <c r="AQ34" s="293">
        <v>0.07</v>
      </c>
      <c r="AR34" s="181">
        <f aca="true" t="shared" si="28" ref="AR34:AR44">AN34+(AO34*(1+AQ34)-(AP34*(1+AQ34)))+(AO34*(1+AQ34)^2-AP34*(1+AQ34)^2)+(AO34*(1+AQ34)^3-AP34*(1+AQ34)^3)+(AO34*(1+AQ34)^4-AP34*(1+AQ34)^4)</f>
        <v>30.464236673500004</v>
      </c>
      <c r="AS34" s="182">
        <f aca="true" t="shared" si="29" ref="AS34:AS44">AN34+(AO34*(1+AQ34)-(AP34*(1+AQ34)))+(AO34*(1+AQ34)^2-AP34*(1+AQ34)^2)+(AO34*(1+AQ34)^3-AP34*(1+AQ34)^3)+(AO34*(1+AQ34)^4-AP34*(1+AQ34)^4)+(AO34*(1+AQ34)^5-AP34*(1+AQ34)^5)</f>
        <v>33.76023324064501</v>
      </c>
      <c r="AT34" s="182">
        <f aca="true" t="shared" si="30" ref="AT34:AT44">AO34*(AQ34+1)^5</f>
        <v>4.3338848478630005</v>
      </c>
      <c r="AU34" s="178">
        <f aca="true" t="shared" si="31" ref="AU34:AU44">AT34/((AS34+AR34)/2)</f>
        <v>0.13496054863999715</v>
      </c>
      <c r="AV34" s="275"/>
      <c r="AW34" s="276">
        <v>0.7</v>
      </c>
    </row>
    <row r="35" spans="1:49" s="242" customFormat="1" ht="11.25" customHeight="1">
      <c r="A35" s="180" t="s">
        <v>453</v>
      </c>
      <c r="D35" s="149">
        <v>3</v>
      </c>
      <c r="E35" s="271">
        <v>20.65</v>
      </c>
      <c r="F35" s="271">
        <v>20.73</v>
      </c>
      <c r="G35" s="271">
        <v>20.67</v>
      </c>
      <c r="H35" s="271">
        <v>22.94</v>
      </c>
      <c r="I35" s="294"/>
      <c r="J35" s="271">
        <v>38.1</v>
      </c>
      <c r="K35" s="271">
        <v>38.99</v>
      </c>
      <c r="L35" s="271">
        <v>33.64</v>
      </c>
      <c r="M35" s="287"/>
      <c r="N35" s="177">
        <f t="shared" si="19"/>
        <v>1.6608544027898866</v>
      </c>
      <c r="O35" s="177">
        <f t="shared" si="20"/>
        <v>1.6654437055721163</v>
      </c>
      <c r="P35" s="294"/>
      <c r="Q35" s="272">
        <f>0.445*4</f>
        <v>1.78</v>
      </c>
      <c r="R35" s="294"/>
      <c r="S35" s="178">
        <f t="shared" si="21"/>
        <v>0.046719160104986876</v>
      </c>
      <c r="T35" s="178">
        <f t="shared" si="22"/>
        <v>0.04901555830923861</v>
      </c>
      <c r="W35" s="180" t="str">
        <f t="shared" si="18"/>
        <v>Keyspan Corp.</v>
      </c>
      <c r="Z35" s="292">
        <v>1.72</v>
      </c>
      <c r="AA35" s="292">
        <v>2.75</v>
      </c>
      <c r="AB35" s="295">
        <v>2.62</v>
      </c>
      <c r="AC35" s="296"/>
      <c r="AD35" s="178">
        <f t="shared" si="23"/>
        <v>0.1328502415458937</v>
      </c>
      <c r="AE35" s="178">
        <f t="shared" si="23"/>
        <v>0.12015592753955516</v>
      </c>
      <c r="AF35" s="273">
        <v>0.12</v>
      </c>
      <c r="AG35" s="296"/>
      <c r="AH35" s="178">
        <f t="shared" si="24"/>
        <v>0.08313194780086999</v>
      </c>
      <c r="AI35" s="266"/>
      <c r="AJ35" s="180" t="str">
        <f t="shared" si="17"/>
        <v>Keyspan Corp.</v>
      </c>
      <c r="AK35" s="266"/>
      <c r="AL35" s="266"/>
      <c r="AM35" s="266" t="s">
        <v>454</v>
      </c>
      <c r="AN35" s="181">
        <f t="shared" si="25"/>
        <v>22.94</v>
      </c>
      <c r="AO35" s="181">
        <f t="shared" si="26"/>
        <v>2.62</v>
      </c>
      <c r="AP35" s="181">
        <f t="shared" si="27"/>
        <v>1.78</v>
      </c>
      <c r="AQ35" s="293">
        <v>0.05</v>
      </c>
      <c r="AR35" s="181">
        <f t="shared" si="28"/>
        <v>26.741530250000004</v>
      </c>
      <c r="AS35" s="182">
        <f t="shared" si="29"/>
        <v>27.813606762500005</v>
      </c>
      <c r="AT35" s="182">
        <f t="shared" si="30"/>
        <v>3.3438576937500004</v>
      </c>
      <c r="AU35" s="178">
        <f t="shared" si="31"/>
        <v>0.12258635490123818</v>
      </c>
      <c r="AV35" s="275"/>
      <c r="AW35" s="276">
        <v>0.75</v>
      </c>
    </row>
    <row r="36" spans="1:49" s="242" customFormat="1" ht="11.25" customHeight="1">
      <c r="A36" s="180" t="s">
        <v>455</v>
      </c>
      <c r="D36" s="149">
        <v>3</v>
      </c>
      <c r="E36" s="271">
        <v>14.99</v>
      </c>
      <c r="F36" s="271">
        <v>15.26</v>
      </c>
      <c r="G36" s="271">
        <v>15.07</v>
      </c>
      <c r="H36" s="271">
        <v>15.65</v>
      </c>
      <c r="I36" s="294"/>
      <c r="J36" s="271">
        <v>28.86</v>
      </c>
      <c r="K36" s="271">
        <v>31.87</v>
      </c>
      <c r="L36" s="271">
        <v>26.05</v>
      </c>
      <c r="M36" s="287"/>
      <c r="N36" s="177">
        <f t="shared" si="19"/>
        <v>1.8440894568690096</v>
      </c>
      <c r="O36" s="177">
        <f t="shared" si="20"/>
        <v>1.8854166666666667</v>
      </c>
      <c r="P36" s="294"/>
      <c r="Q36" s="272">
        <f>0.34*4</f>
        <v>1.36</v>
      </c>
      <c r="R36" s="294"/>
      <c r="S36" s="178">
        <f t="shared" si="21"/>
        <v>0.04712404712404713</v>
      </c>
      <c r="T36" s="178">
        <f t="shared" si="22"/>
        <v>0.046961325966850834</v>
      </c>
      <c r="W36" s="180" t="str">
        <f t="shared" si="18"/>
        <v>Laclede Group</v>
      </c>
      <c r="Z36" s="292">
        <v>1.61</v>
      </c>
      <c r="AA36" s="292">
        <v>1.18</v>
      </c>
      <c r="AB36" s="295">
        <v>1.82</v>
      </c>
      <c r="AC36" s="296"/>
      <c r="AD36" s="178">
        <f t="shared" si="23"/>
        <v>0.07781074843389384</v>
      </c>
      <c r="AE36" s="178">
        <f t="shared" si="23"/>
        <v>0.11848958333333334</v>
      </c>
      <c r="AF36" s="273">
        <v>0.11</v>
      </c>
      <c r="AG36" s="296"/>
      <c r="AH36" s="178">
        <f t="shared" si="24"/>
        <v>0.10644628099173555</v>
      </c>
      <c r="AI36" s="266"/>
      <c r="AJ36" s="180" t="str">
        <f t="shared" si="17"/>
        <v>Laclede Group</v>
      </c>
      <c r="AK36" s="266"/>
      <c r="AL36" s="266"/>
      <c r="AM36" s="266" t="s">
        <v>456</v>
      </c>
      <c r="AN36" s="181">
        <f t="shared" si="25"/>
        <v>15.65</v>
      </c>
      <c r="AO36" s="181">
        <f t="shared" si="26"/>
        <v>1.82</v>
      </c>
      <c r="AP36" s="181">
        <f t="shared" si="27"/>
        <v>1.36</v>
      </c>
      <c r="AQ36" s="293">
        <v>0.05</v>
      </c>
      <c r="AR36" s="181">
        <f t="shared" si="28"/>
        <v>17.731790375</v>
      </c>
      <c r="AS36" s="182">
        <f t="shared" si="29"/>
        <v>18.31887989375</v>
      </c>
      <c r="AT36" s="182">
        <f t="shared" si="30"/>
        <v>2.3228324437500003</v>
      </c>
      <c r="AU36" s="178">
        <f t="shared" si="31"/>
        <v>0.12886486861041882</v>
      </c>
      <c r="AV36" s="275"/>
      <c r="AW36" s="276">
        <v>0.7</v>
      </c>
    </row>
    <row r="37" spans="1:49" s="242" customFormat="1" ht="11.25" customHeight="1">
      <c r="A37" s="180" t="s">
        <v>457</v>
      </c>
      <c r="D37" s="149">
        <v>3</v>
      </c>
      <c r="E37" s="271">
        <v>12.43</v>
      </c>
      <c r="F37" s="271">
        <v>13.2</v>
      </c>
      <c r="G37" s="271">
        <v>13.06</v>
      </c>
      <c r="H37" s="271">
        <v>15.38</v>
      </c>
      <c r="I37" s="294"/>
      <c r="J37" s="271">
        <v>40.85</v>
      </c>
      <c r="K37" s="271">
        <v>42.4</v>
      </c>
      <c r="L37" s="271">
        <v>35.76</v>
      </c>
      <c r="M37" s="287"/>
      <c r="N37" s="177">
        <f t="shared" si="19"/>
        <v>2.6560468140442133</v>
      </c>
      <c r="O37" s="177">
        <f t="shared" si="20"/>
        <v>2.7482419127988744</v>
      </c>
      <c r="P37" s="294"/>
      <c r="Q37" s="272">
        <f>0.325*4</f>
        <v>1.3</v>
      </c>
      <c r="R37" s="294"/>
      <c r="S37" s="178">
        <f t="shared" si="21"/>
        <v>0.03182374541003672</v>
      </c>
      <c r="T37" s="178">
        <f t="shared" si="22"/>
        <v>0.03326509723643808</v>
      </c>
      <c r="W37" s="180" t="str">
        <f t="shared" si="18"/>
        <v>New Jersey Resources</v>
      </c>
      <c r="Z37" s="292">
        <v>1.95</v>
      </c>
      <c r="AA37" s="292">
        <v>2.09</v>
      </c>
      <c r="AB37" s="295">
        <v>2.38</v>
      </c>
      <c r="AC37" s="296"/>
      <c r="AD37" s="178">
        <f t="shared" si="23"/>
        <v>0.15917745620715917</v>
      </c>
      <c r="AE37" s="178">
        <f t="shared" si="23"/>
        <v>0.16736990154711673</v>
      </c>
      <c r="AF37" s="273">
        <v>0.115</v>
      </c>
      <c r="AG37" s="296"/>
      <c r="AH37" s="178">
        <f t="shared" si="24"/>
        <v>0.15216543113538822</v>
      </c>
      <c r="AI37" s="266"/>
      <c r="AJ37" s="180" t="str">
        <f t="shared" si="17"/>
        <v>New Jersey Resources</v>
      </c>
      <c r="AK37" s="266"/>
      <c r="AL37" s="266"/>
      <c r="AM37" s="266" t="s">
        <v>458</v>
      </c>
      <c r="AN37" s="181">
        <f t="shared" si="25"/>
        <v>15.38</v>
      </c>
      <c r="AO37" s="181">
        <f t="shared" si="26"/>
        <v>2.38</v>
      </c>
      <c r="AP37" s="181">
        <f t="shared" si="27"/>
        <v>1.3</v>
      </c>
      <c r="AQ37" s="293">
        <v>0.055</v>
      </c>
      <c r="AR37" s="181">
        <f t="shared" si="28"/>
        <v>20.327578307675</v>
      </c>
      <c r="AS37" s="182">
        <f t="shared" si="29"/>
        <v>21.739095114597127</v>
      </c>
      <c r="AT37" s="182">
        <f t="shared" si="30"/>
        <v>3.1105648152543117</v>
      </c>
      <c r="AU37" s="178">
        <f t="shared" si="31"/>
        <v>0.14788736841774744</v>
      </c>
      <c r="AV37" s="275"/>
      <c r="AW37" s="276">
        <v>0.7</v>
      </c>
    </row>
    <row r="38" spans="1:49" s="242" customFormat="1" ht="11.25" customHeight="1">
      <c r="A38" s="180" t="s">
        <v>459</v>
      </c>
      <c r="D38" s="149">
        <v>3</v>
      </c>
      <c r="E38" s="271">
        <v>15.56</v>
      </c>
      <c r="F38" s="271">
        <v>16.39</v>
      </c>
      <c r="G38" s="271">
        <v>16.55</v>
      </c>
      <c r="H38" s="271">
        <v>17.13</v>
      </c>
      <c r="I38" s="294"/>
      <c r="J38" s="271">
        <v>35.85</v>
      </c>
      <c r="K38" s="271">
        <v>37.43</v>
      </c>
      <c r="L38" s="271">
        <v>32.03</v>
      </c>
      <c r="M38" s="287"/>
      <c r="N38" s="177">
        <f t="shared" si="19"/>
        <v>2.0928196147110336</v>
      </c>
      <c r="O38" s="177">
        <f t="shared" si="20"/>
        <v>2.062351543942993</v>
      </c>
      <c r="P38" s="294"/>
      <c r="Q38" s="272">
        <f>0.465*4</f>
        <v>1.86</v>
      </c>
      <c r="R38" s="294"/>
      <c r="S38" s="178">
        <f t="shared" si="21"/>
        <v>0.05188284518828452</v>
      </c>
      <c r="T38" s="178">
        <f t="shared" si="22"/>
        <v>0.05355600345522603</v>
      </c>
      <c r="W38" s="180" t="str">
        <f t="shared" si="18"/>
        <v>Nicor, Inc.</v>
      </c>
      <c r="Z38" s="292">
        <v>3.01</v>
      </c>
      <c r="AA38" s="292">
        <v>2.88</v>
      </c>
      <c r="AB38" s="295">
        <v>2.11</v>
      </c>
      <c r="AC38" s="296"/>
      <c r="AD38" s="178">
        <f t="shared" si="23"/>
        <v>0.17486338797814208</v>
      </c>
      <c r="AE38" s="178">
        <f t="shared" si="23"/>
        <v>0.12529691211401425</v>
      </c>
      <c r="AF38" s="273">
        <v>0.135</v>
      </c>
      <c r="AG38" s="296"/>
      <c r="AH38" s="178">
        <f t="shared" si="24"/>
        <v>0.18841940532081375</v>
      </c>
      <c r="AI38" s="266"/>
      <c r="AJ38" s="180" t="str">
        <f t="shared" si="17"/>
        <v>Nicor, Inc.</v>
      </c>
      <c r="AK38" s="266"/>
      <c r="AL38" s="266"/>
      <c r="AM38" s="266" t="s">
        <v>225</v>
      </c>
      <c r="AN38" s="181">
        <f t="shared" si="25"/>
        <v>17.13</v>
      </c>
      <c r="AO38" s="181">
        <f t="shared" si="26"/>
        <v>2.11</v>
      </c>
      <c r="AP38" s="181">
        <f t="shared" si="27"/>
        <v>1.86</v>
      </c>
      <c r="AQ38" s="293">
        <v>0.023</v>
      </c>
      <c r="AR38" s="181">
        <f t="shared" si="28"/>
        <v>18.188837778710248</v>
      </c>
      <c r="AS38" s="182">
        <f t="shared" si="29"/>
        <v>18.468941047620582</v>
      </c>
      <c r="AT38" s="182">
        <f t="shared" si="30"/>
        <v>2.3640715896032325</v>
      </c>
      <c r="AU38" s="178">
        <f t="shared" si="31"/>
        <v>0.12898062377446334</v>
      </c>
      <c r="AV38" s="275"/>
      <c r="AW38" s="276">
        <v>1</v>
      </c>
    </row>
    <row r="39" spans="1:49" s="242" customFormat="1" ht="11.25" customHeight="1">
      <c r="A39" s="180" t="s">
        <v>217</v>
      </c>
      <c r="D39" s="149">
        <v>3</v>
      </c>
      <c r="E39" s="271">
        <v>17.93</v>
      </c>
      <c r="F39" s="271">
        <v>18.56</v>
      </c>
      <c r="G39" s="271">
        <v>18.88</v>
      </c>
      <c r="H39" s="271">
        <v>19.52</v>
      </c>
      <c r="I39" s="294"/>
      <c r="J39" s="271">
        <v>30.83</v>
      </c>
      <c r="K39" s="271">
        <v>33</v>
      </c>
      <c r="L39" s="271">
        <v>27.46</v>
      </c>
      <c r="M39" s="287"/>
      <c r="N39" s="177">
        <f t="shared" si="19"/>
        <v>1.579405737704918</v>
      </c>
      <c r="O39" s="177">
        <f t="shared" si="20"/>
        <v>1.5744791666666667</v>
      </c>
      <c r="P39" s="294"/>
      <c r="Q39" s="272">
        <f>0.325*4</f>
        <v>1.3</v>
      </c>
      <c r="R39" s="294"/>
      <c r="S39" s="178">
        <f t="shared" si="21"/>
        <v>0.042166720726565035</v>
      </c>
      <c r="T39" s="178">
        <f t="shared" si="22"/>
        <v>0.04300363876943434</v>
      </c>
      <c r="W39" s="180" t="str">
        <f t="shared" si="18"/>
        <v>N.W. Natural Gas</v>
      </c>
      <c r="Z39" s="292">
        <v>1.88</v>
      </c>
      <c r="AA39" s="292">
        <v>1.62</v>
      </c>
      <c r="AB39" s="295">
        <v>1.76</v>
      </c>
      <c r="AC39" s="296"/>
      <c r="AD39" s="178">
        <f t="shared" si="23"/>
        <v>0.08653846153846155</v>
      </c>
      <c r="AE39" s="178">
        <f t="shared" si="23"/>
        <v>0.09166666666666667</v>
      </c>
      <c r="AF39" s="273">
        <v>0.1</v>
      </c>
      <c r="AG39" s="296"/>
      <c r="AH39" s="178">
        <f t="shared" si="24"/>
        <v>0.10304192929569746</v>
      </c>
      <c r="AI39" s="266"/>
      <c r="AJ39" s="180" t="str">
        <f t="shared" si="17"/>
        <v>N.W. Natural Gas</v>
      </c>
      <c r="AK39" s="266"/>
      <c r="AL39" s="266"/>
      <c r="AM39" s="266" t="s">
        <v>226</v>
      </c>
      <c r="AN39" s="181">
        <f t="shared" si="25"/>
        <v>19.52</v>
      </c>
      <c r="AO39" s="181">
        <f t="shared" si="26"/>
        <v>1.76</v>
      </c>
      <c r="AP39" s="181">
        <f t="shared" si="27"/>
        <v>1.3</v>
      </c>
      <c r="AQ39" s="293">
        <v>0.043</v>
      </c>
      <c r="AR39" s="181">
        <f t="shared" si="28"/>
        <v>21.56648983874846</v>
      </c>
      <c r="AS39" s="182">
        <f t="shared" si="29"/>
        <v>22.134268901814643</v>
      </c>
      <c r="AT39" s="182">
        <f t="shared" si="30"/>
        <v>2.172372067383659</v>
      </c>
      <c r="AU39" s="178">
        <f t="shared" si="31"/>
        <v>0.09942033639645988</v>
      </c>
      <c r="AV39" s="275"/>
      <c r="AW39" s="276">
        <v>0.65</v>
      </c>
    </row>
    <row r="40" spans="1:49" s="242" customFormat="1" ht="11.25" customHeight="1">
      <c r="A40" s="180" t="s">
        <v>218</v>
      </c>
      <c r="D40" s="149">
        <v>3</v>
      </c>
      <c r="E40" s="271">
        <v>22.02</v>
      </c>
      <c r="F40" s="271">
        <v>22.76</v>
      </c>
      <c r="G40" s="271">
        <v>22.74</v>
      </c>
      <c r="H40" s="271">
        <v>23.11</v>
      </c>
      <c r="I40" s="294"/>
      <c r="J40" s="271">
        <v>41.55</v>
      </c>
      <c r="K40" s="271">
        <v>46.03</v>
      </c>
      <c r="L40" s="271">
        <v>38.5</v>
      </c>
      <c r="M40" s="287"/>
      <c r="N40" s="177">
        <f t="shared" si="19"/>
        <v>1.797922977066205</v>
      </c>
      <c r="O40" s="177">
        <f t="shared" si="20"/>
        <v>1.843620501635769</v>
      </c>
      <c r="P40" s="294"/>
      <c r="Q40" s="272">
        <f>0.54*4</f>
        <v>2.16</v>
      </c>
      <c r="R40" s="294"/>
      <c r="S40" s="178">
        <f t="shared" si="21"/>
        <v>0.051985559566787014</v>
      </c>
      <c r="T40" s="178">
        <f t="shared" si="22"/>
        <v>0.05110611617177334</v>
      </c>
      <c r="W40" s="180" t="str">
        <f t="shared" si="18"/>
        <v>Peoples Energy</v>
      </c>
      <c r="Z40" s="292">
        <v>3.16</v>
      </c>
      <c r="AA40" s="292">
        <v>2.8</v>
      </c>
      <c r="AB40" s="295">
        <v>2.87</v>
      </c>
      <c r="AC40" s="296"/>
      <c r="AD40" s="178">
        <f t="shared" si="23"/>
        <v>0.12307692307692307</v>
      </c>
      <c r="AE40" s="178">
        <f t="shared" si="23"/>
        <v>0.1251908396946565</v>
      </c>
      <c r="AF40" s="273">
        <v>0.105</v>
      </c>
      <c r="AG40" s="296"/>
      <c r="AH40" s="178">
        <f t="shared" si="24"/>
        <v>0.14113443501563197</v>
      </c>
      <c r="AI40" s="266"/>
      <c r="AJ40" s="180" t="str">
        <f t="shared" si="17"/>
        <v>Peoples Energy</v>
      </c>
      <c r="AK40" s="266"/>
      <c r="AL40" s="266"/>
      <c r="AM40" s="266" t="s">
        <v>227</v>
      </c>
      <c r="AN40" s="181">
        <f t="shared" si="25"/>
        <v>23.11</v>
      </c>
      <c r="AO40" s="181">
        <f t="shared" si="26"/>
        <v>2.87</v>
      </c>
      <c r="AP40" s="181">
        <f t="shared" si="27"/>
        <v>2.16</v>
      </c>
      <c r="AQ40" s="293">
        <v>0.04</v>
      </c>
      <c r="AR40" s="181">
        <f t="shared" si="28"/>
        <v>26.245589017599997</v>
      </c>
      <c r="AS40" s="182">
        <f t="shared" si="29"/>
        <v>27.109412578303996</v>
      </c>
      <c r="AT40" s="182">
        <f t="shared" si="30"/>
        <v>3.491793829888001</v>
      </c>
      <c r="AU40" s="178">
        <f t="shared" si="31"/>
        <v>0.13088909101095642</v>
      </c>
      <c r="AV40" s="275"/>
      <c r="AW40" s="276">
        <v>0.75</v>
      </c>
    </row>
    <row r="41" spans="1:49" s="242" customFormat="1" ht="11.25" customHeight="1">
      <c r="A41" s="180" t="s">
        <v>219</v>
      </c>
      <c r="D41" s="149">
        <v>3</v>
      </c>
      <c r="E41" s="271">
        <v>16.52</v>
      </c>
      <c r="F41" s="271">
        <v>17.26</v>
      </c>
      <c r="G41" s="271">
        <v>17.82</v>
      </c>
      <c r="H41" s="271">
        <v>18.73</v>
      </c>
      <c r="I41" s="294"/>
      <c r="J41" s="271">
        <v>43.4</v>
      </c>
      <c r="K41" s="271">
        <v>43.95</v>
      </c>
      <c r="L41" s="271">
        <v>38.32</v>
      </c>
      <c r="M41" s="287"/>
      <c r="N41" s="177">
        <f t="shared" si="19"/>
        <v>2.3171382808328884</v>
      </c>
      <c r="O41" s="177">
        <f t="shared" si="20"/>
        <v>2.2508891928864574</v>
      </c>
      <c r="P41" s="294"/>
      <c r="Q41" s="272">
        <f>0.43*4</f>
        <v>1.72</v>
      </c>
      <c r="R41" s="294"/>
      <c r="S41" s="178">
        <f t="shared" si="21"/>
        <v>0.03963133640552995</v>
      </c>
      <c r="T41" s="178">
        <f t="shared" si="22"/>
        <v>0.04181354078035735</v>
      </c>
      <c r="W41" s="180" t="str">
        <f t="shared" si="18"/>
        <v>Piedmont Natural Gas</v>
      </c>
      <c r="Z41" s="292">
        <v>2.02</v>
      </c>
      <c r="AA41" s="292">
        <v>1.89</v>
      </c>
      <c r="AB41" s="295">
        <v>2.22</v>
      </c>
      <c r="AC41" s="296"/>
      <c r="AD41" s="178">
        <f t="shared" si="23"/>
        <v>0.10775370581527936</v>
      </c>
      <c r="AE41" s="178">
        <f t="shared" si="23"/>
        <v>0.12147742818057458</v>
      </c>
      <c r="AF41" s="273">
        <v>0.11</v>
      </c>
      <c r="AG41" s="296"/>
      <c r="AH41" s="178">
        <f t="shared" si="24"/>
        <v>0.11959739490822972</v>
      </c>
      <c r="AI41" s="266"/>
      <c r="AJ41" s="180" t="str">
        <f t="shared" si="17"/>
        <v>Piedmont Natural Gas</v>
      </c>
      <c r="AK41" s="266"/>
      <c r="AL41" s="266"/>
      <c r="AM41" s="266" t="s">
        <v>228</v>
      </c>
      <c r="AN41" s="181">
        <f t="shared" si="25"/>
        <v>18.73</v>
      </c>
      <c r="AO41" s="181">
        <f t="shared" si="26"/>
        <v>2.22</v>
      </c>
      <c r="AP41" s="181">
        <f t="shared" si="27"/>
        <v>1.72</v>
      </c>
      <c r="AQ41" s="293">
        <v>0.05</v>
      </c>
      <c r="AR41" s="181">
        <f t="shared" si="28"/>
        <v>20.992815625000006</v>
      </c>
      <c r="AS41" s="182">
        <f t="shared" si="29"/>
        <v>21.630956406250007</v>
      </c>
      <c r="AT41" s="182">
        <f t="shared" si="30"/>
        <v>2.8333450687500004</v>
      </c>
      <c r="AU41" s="178">
        <f t="shared" si="31"/>
        <v>0.13294670714139084</v>
      </c>
      <c r="AV41" s="275"/>
      <c r="AW41" s="276">
        <v>0.75</v>
      </c>
    </row>
    <row r="42" spans="1:49" s="242" customFormat="1" ht="11.25" customHeight="1">
      <c r="A42" s="180" t="s">
        <v>221</v>
      </c>
      <c r="D42" s="149">
        <v>3</v>
      </c>
      <c r="E42" s="271">
        <v>16.82</v>
      </c>
      <c r="F42" s="271">
        <v>17.27</v>
      </c>
      <c r="G42" s="271">
        <v>17.91</v>
      </c>
      <c r="H42" s="271">
        <v>18.42</v>
      </c>
      <c r="I42" s="294"/>
      <c r="J42" s="271">
        <v>23.6</v>
      </c>
      <c r="K42" s="271">
        <v>24.46</v>
      </c>
      <c r="L42" s="271">
        <v>21.5</v>
      </c>
      <c r="M42" s="287"/>
      <c r="N42" s="177">
        <f t="shared" si="19"/>
        <v>1.281216069489685</v>
      </c>
      <c r="O42" s="177">
        <f t="shared" si="20"/>
        <v>1.2650701899256813</v>
      </c>
      <c r="P42" s="294"/>
      <c r="Q42" s="272">
        <f>0.205*4</f>
        <v>0.82</v>
      </c>
      <c r="R42" s="294"/>
      <c r="S42" s="178">
        <f t="shared" si="21"/>
        <v>0.0347457627118644</v>
      </c>
      <c r="T42" s="178">
        <f t="shared" si="22"/>
        <v>0.03568320278503046</v>
      </c>
      <c r="W42" s="180" t="str">
        <f t="shared" si="18"/>
        <v>Southwest Gas</v>
      </c>
      <c r="Z42" s="292">
        <v>1.15</v>
      </c>
      <c r="AA42" s="292">
        <v>1.16</v>
      </c>
      <c r="AB42" s="295">
        <v>1.13</v>
      </c>
      <c r="AC42" s="296"/>
      <c r="AD42" s="178">
        <f t="shared" si="23"/>
        <v>0.06594656054576463</v>
      </c>
      <c r="AE42" s="178">
        <f t="shared" si="23"/>
        <v>0.0622075419763281</v>
      </c>
      <c r="AF42" s="273">
        <v>0.095</v>
      </c>
      <c r="AG42" s="296"/>
      <c r="AH42" s="178">
        <f t="shared" si="24"/>
        <v>0.06746846582575534</v>
      </c>
      <c r="AI42" s="266"/>
      <c r="AJ42" s="180" t="str">
        <f t="shared" si="17"/>
        <v>Southwest Gas</v>
      </c>
      <c r="AK42" s="266"/>
      <c r="AL42" s="266"/>
      <c r="AM42" s="266" t="s">
        <v>230</v>
      </c>
      <c r="AN42" s="181">
        <f t="shared" si="25"/>
        <v>18.42</v>
      </c>
      <c r="AO42" s="181">
        <f t="shared" si="26"/>
        <v>1.13</v>
      </c>
      <c r="AP42" s="181">
        <f t="shared" si="27"/>
        <v>0.82</v>
      </c>
      <c r="AQ42" s="293">
        <v>0.031</v>
      </c>
      <c r="AR42" s="181">
        <f t="shared" si="28"/>
        <v>19.759125562341513</v>
      </c>
      <c r="AS42" s="182">
        <f t="shared" si="29"/>
        <v>20.1202484547741</v>
      </c>
      <c r="AT42" s="182">
        <f t="shared" si="30"/>
        <v>1.3163511885445902</v>
      </c>
      <c r="AU42" s="178">
        <f t="shared" si="31"/>
        <v>0.06601664248689725</v>
      </c>
      <c r="AV42" s="275"/>
      <c r="AW42" s="276">
        <v>0.8</v>
      </c>
    </row>
    <row r="43" spans="1:49" s="242" customFormat="1" ht="11.25" customHeight="1">
      <c r="A43" s="180" t="s">
        <v>460</v>
      </c>
      <c r="D43" s="149">
        <v>3</v>
      </c>
      <c r="E43" s="271">
        <v>6.11</v>
      </c>
      <c r="F43" s="271">
        <v>6.24</v>
      </c>
      <c r="G43" s="271">
        <v>7.64</v>
      </c>
      <c r="H43" s="271">
        <v>13.34</v>
      </c>
      <c r="I43" s="294"/>
      <c r="J43" s="271">
        <v>34.16</v>
      </c>
      <c r="K43" s="271">
        <v>34.42</v>
      </c>
      <c r="L43" s="271">
        <v>28.85</v>
      </c>
      <c r="M43" s="287"/>
      <c r="N43" s="177">
        <f t="shared" si="19"/>
        <v>2.5607196401799097</v>
      </c>
      <c r="O43" s="177">
        <f t="shared" si="20"/>
        <v>3.0157292659675883</v>
      </c>
      <c r="P43" s="294"/>
      <c r="Q43" s="272">
        <f>0.3125*4</f>
        <v>1.25</v>
      </c>
      <c r="R43" s="294"/>
      <c r="S43" s="178">
        <f t="shared" si="21"/>
        <v>0.03659250585480094</v>
      </c>
      <c r="T43" s="178">
        <f t="shared" si="22"/>
        <v>0.03951319740793425</v>
      </c>
      <c r="W43" s="180" t="str">
        <f t="shared" si="18"/>
        <v>UGI Corp.</v>
      </c>
      <c r="Z43" s="292">
        <v>1.4</v>
      </c>
      <c r="AA43" s="292">
        <v>1.8</v>
      </c>
      <c r="AB43" s="295">
        <v>2.29</v>
      </c>
      <c r="AC43" s="296"/>
      <c r="AD43" s="178">
        <f t="shared" si="23"/>
        <v>0.25936599423631124</v>
      </c>
      <c r="AE43" s="178">
        <f t="shared" si="23"/>
        <v>0.21830314585319352</v>
      </c>
      <c r="AF43" s="273">
        <v>0.14</v>
      </c>
      <c r="AG43" s="296"/>
      <c r="AH43" s="178">
        <f t="shared" si="24"/>
        <v>0.2267206477732793</v>
      </c>
      <c r="AI43" s="266"/>
      <c r="AJ43" s="180" t="str">
        <f t="shared" si="17"/>
        <v>UGI Corp.</v>
      </c>
      <c r="AK43" s="266"/>
      <c r="AL43" s="266"/>
      <c r="AM43" s="266" t="s">
        <v>461</v>
      </c>
      <c r="AN43" s="181">
        <f t="shared" si="25"/>
        <v>13.34</v>
      </c>
      <c r="AO43" s="181">
        <f t="shared" si="26"/>
        <v>2.29</v>
      </c>
      <c r="AP43" s="181">
        <f t="shared" si="27"/>
        <v>1.25</v>
      </c>
      <c r="AQ43" s="293">
        <v>0.08</v>
      </c>
      <c r="AR43" s="181">
        <f t="shared" si="28"/>
        <v>18.401264998400002</v>
      </c>
      <c r="AS43" s="182">
        <f t="shared" si="29"/>
        <v>19.929366198272003</v>
      </c>
      <c r="AT43" s="182">
        <f t="shared" si="30"/>
        <v>3.364761295872001</v>
      </c>
      <c r="AU43" s="178">
        <f t="shared" si="31"/>
        <v>0.17556513894110573</v>
      </c>
      <c r="AV43" s="275"/>
      <c r="AW43" s="276">
        <v>0.75</v>
      </c>
    </row>
    <row r="44" spans="1:49" s="242" customFormat="1" ht="11.25" customHeight="1">
      <c r="A44" s="180" t="s">
        <v>222</v>
      </c>
      <c r="D44" s="149">
        <v>3</v>
      </c>
      <c r="E44" s="271">
        <v>15.31</v>
      </c>
      <c r="F44" s="271">
        <v>16.24</v>
      </c>
      <c r="G44" s="271">
        <v>15.78</v>
      </c>
      <c r="H44" s="271">
        <v>16.25</v>
      </c>
      <c r="I44" s="294"/>
      <c r="J44" s="271">
        <v>28.65</v>
      </c>
      <c r="K44" s="271">
        <v>30.39</v>
      </c>
      <c r="L44" s="271">
        <v>26.2</v>
      </c>
      <c r="M44" s="287"/>
      <c r="N44" s="177">
        <f t="shared" si="19"/>
        <v>1.763076923076923</v>
      </c>
      <c r="O44" s="177">
        <f t="shared" si="20"/>
        <v>1.7667811426787388</v>
      </c>
      <c r="P44" s="297" t="s">
        <v>20</v>
      </c>
      <c r="Q44" s="272">
        <f>0.325*4</f>
        <v>1.3</v>
      </c>
      <c r="R44" s="296"/>
      <c r="S44" s="178">
        <f t="shared" si="21"/>
        <v>0.045375218150087264</v>
      </c>
      <c r="T44" s="178">
        <f t="shared" si="22"/>
        <v>0.04594451316487012</v>
      </c>
      <c r="W44" s="180" t="str">
        <f t="shared" si="18"/>
        <v>WGL Holdings</v>
      </c>
      <c r="Z44" s="292">
        <v>1.88</v>
      </c>
      <c r="AA44" s="292">
        <v>1.14</v>
      </c>
      <c r="AB44" s="292">
        <v>2.3</v>
      </c>
      <c r="AC44" s="298"/>
      <c r="AD44" s="178">
        <f t="shared" si="23"/>
        <v>0.0712054965646471</v>
      </c>
      <c r="AE44" s="178">
        <f t="shared" si="23"/>
        <v>0.14361536059943802</v>
      </c>
      <c r="AF44" s="273">
        <v>0.095</v>
      </c>
      <c r="AG44" s="296"/>
      <c r="AH44" s="178">
        <f t="shared" si="24"/>
        <v>0.11917591125198099</v>
      </c>
      <c r="AJ44" s="180" t="str">
        <f t="shared" si="17"/>
        <v>WGL Holdings</v>
      </c>
      <c r="AK44" s="266"/>
      <c r="AL44" s="266"/>
      <c r="AM44" s="266" t="s">
        <v>231</v>
      </c>
      <c r="AN44" s="181">
        <f>H44</f>
        <v>16.25</v>
      </c>
      <c r="AO44" s="181">
        <f>AB44</f>
        <v>2.3</v>
      </c>
      <c r="AP44" s="181">
        <f>Q44</f>
        <v>1.3</v>
      </c>
      <c r="AQ44" s="293">
        <v>0.04</v>
      </c>
      <c r="AR44" s="181">
        <f t="shared" si="28"/>
        <v>20.666322559999998</v>
      </c>
      <c r="AS44" s="182">
        <f t="shared" si="29"/>
        <v>21.882975462399997</v>
      </c>
      <c r="AT44" s="182">
        <f t="shared" si="30"/>
        <v>2.7983016755200008</v>
      </c>
      <c r="AU44" s="178">
        <f t="shared" si="31"/>
        <v>0.13153221348313857</v>
      </c>
      <c r="AV44" s="275"/>
      <c r="AW44" s="276">
        <v>0.75</v>
      </c>
    </row>
    <row r="45" spans="1:49" s="242" customFormat="1" ht="11.25" customHeight="1">
      <c r="A45" s="180"/>
      <c r="D45" s="149"/>
      <c r="E45" s="271"/>
      <c r="F45" s="271"/>
      <c r="G45" s="271"/>
      <c r="H45" s="271"/>
      <c r="I45" s="294"/>
      <c r="J45" s="271"/>
      <c r="K45" s="271"/>
      <c r="L45" s="271"/>
      <c r="M45" s="287"/>
      <c r="N45" s="248"/>
      <c r="O45" s="248"/>
      <c r="P45" s="297"/>
      <c r="Q45" s="272"/>
      <c r="R45" s="296"/>
      <c r="S45" s="178"/>
      <c r="T45" s="178"/>
      <c r="W45" s="180"/>
      <c r="Z45" s="292"/>
      <c r="AA45" s="292"/>
      <c r="AB45" s="292"/>
      <c r="AC45" s="298"/>
      <c r="AD45" s="178"/>
      <c r="AE45" s="178"/>
      <c r="AF45" s="273"/>
      <c r="AG45" s="296"/>
      <c r="AH45" s="178"/>
      <c r="AJ45" s="180"/>
      <c r="AK45" s="266"/>
      <c r="AL45" s="266"/>
      <c r="AM45" s="266"/>
      <c r="AN45" s="181"/>
      <c r="AO45" s="181"/>
      <c r="AP45" s="181"/>
      <c r="AQ45" s="293"/>
      <c r="AR45" s="181"/>
      <c r="AS45" s="182"/>
      <c r="AT45" s="182"/>
      <c r="AU45" s="178"/>
      <c r="AV45" s="275"/>
      <c r="AW45" s="276"/>
    </row>
    <row r="46" spans="1:49" s="242" customFormat="1" ht="11.25" customHeight="1">
      <c r="A46" s="149"/>
      <c r="D46" s="175"/>
      <c r="E46" s="270"/>
      <c r="F46" s="270"/>
      <c r="G46" s="270"/>
      <c r="H46" s="270"/>
      <c r="I46" s="294"/>
      <c r="J46" s="277"/>
      <c r="K46" s="277"/>
      <c r="L46" s="277"/>
      <c r="M46" s="287"/>
      <c r="N46" s="248"/>
      <c r="O46" s="248"/>
      <c r="P46" s="297"/>
      <c r="Q46" s="295"/>
      <c r="R46" s="296"/>
      <c r="S46" s="178"/>
      <c r="T46" s="178"/>
      <c r="W46" s="180"/>
      <c r="X46" s="178"/>
      <c r="Z46" s="292"/>
      <c r="AA46" s="292"/>
      <c r="AB46" s="292"/>
      <c r="AC46" s="159"/>
      <c r="AD46" s="249"/>
      <c r="AE46" s="249"/>
      <c r="AF46" s="299"/>
      <c r="AG46" s="296"/>
      <c r="AH46" s="249"/>
      <c r="AJ46" s="180"/>
      <c r="AL46" s="266"/>
      <c r="AM46" s="266"/>
      <c r="AN46" s="181"/>
      <c r="AO46" s="181"/>
      <c r="AP46" s="181"/>
      <c r="AQ46" s="293"/>
      <c r="AR46" s="287"/>
      <c r="AS46" s="247"/>
      <c r="AT46" s="247"/>
      <c r="AU46" s="249"/>
      <c r="AV46" s="275"/>
      <c r="AW46" s="276"/>
    </row>
    <row r="47" spans="1:49" s="242" customFormat="1" ht="11.25" customHeight="1">
      <c r="A47" s="149"/>
      <c r="B47" s="149"/>
      <c r="C47" s="149"/>
      <c r="D47" s="175"/>
      <c r="E47" s="277"/>
      <c r="F47" s="277"/>
      <c r="G47" s="277"/>
      <c r="H47" s="300"/>
      <c r="I47" s="294"/>
      <c r="J47" s="271"/>
      <c r="K47" s="271"/>
      <c r="L47" s="271"/>
      <c r="M47" s="287"/>
      <c r="N47" s="248"/>
      <c r="O47" s="248"/>
      <c r="P47" s="301"/>
      <c r="Q47" s="295"/>
      <c r="R47" s="301"/>
      <c r="S47" s="178"/>
      <c r="T47" s="178"/>
      <c r="W47" s="180"/>
      <c r="X47" s="178"/>
      <c r="Y47" s="179"/>
      <c r="Z47" s="292"/>
      <c r="AA47" s="292"/>
      <c r="AB47" s="292"/>
      <c r="AC47" s="298"/>
      <c r="AD47" s="249"/>
      <c r="AE47" s="249"/>
      <c r="AG47" s="296"/>
      <c r="AH47" s="249"/>
      <c r="AJ47" s="180"/>
      <c r="AL47" s="266"/>
      <c r="AM47" s="266"/>
      <c r="AN47" s="181"/>
      <c r="AO47" s="181"/>
      <c r="AP47" s="181"/>
      <c r="AQ47" s="293"/>
      <c r="AR47" s="181"/>
      <c r="AS47" s="182"/>
      <c r="AT47" s="182"/>
      <c r="AU47" s="178"/>
      <c r="AV47" s="302"/>
      <c r="AW47" s="276"/>
    </row>
    <row r="48" spans="1:49" s="242" customFormat="1" ht="11.25" customHeight="1">
      <c r="A48" s="149"/>
      <c r="E48" s="279"/>
      <c r="F48" s="279"/>
      <c r="G48" s="279"/>
      <c r="H48" s="303"/>
      <c r="I48" s="294"/>
      <c r="J48" s="279"/>
      <c r="K48" s="279"/>
      <c r="L48" s="279"/>
      <c r="M48" s="287"/>
      <c r="N48" s="227"/>
      <c r="O48" s="227"/>
      <c r="P48" s="304"/>
      <c r="Q48" s="280"/>
      <c r="R48" s="304"/>
      <c r="S48" s="208"/>
      <c r="T48" s="208"/>
      <c r="W48" s="180"/>
      <c r="Y48" s="178"/>
      <c r="Z48" s="305"/>
      <c r="AA48" s="305"/>
      <c r="AB48" s="305"/>
      <c r="AC48" s="298"/>
      <c r="AD48" s="208"/>
      <c r="AE48" s="208"/>
      <c r="AF48" s="306"/>
      <c r="AG48" s="307"/>
      <c r="AH48" s="208"/>
      <c r="AJ48" s="180"/>
      <c r="AL48" s="266"/>
      <c r="AM48" s="266"/>
      <c r="AN48" s="206"/>
      <c r="AO48" s="206"/>
      <c r="AP48" s="206"/>
      <c r="AQ48" s="308"/>
      <c r="AR48" s="206"/>
      <c r="AS48" s="231"/>
      <c r="AT48" s="231"/>
      <c r="AU48" s="208"/>
      <c r="AV48" s="309"/>
      <c r="AW48" s="283"/>
    </row>
    <row r="49" spans="2:49" s="242" customFormat="1" ht="11.25" customHeight="1">
      <c r="B49" s="149" t="s">
        <v>81</v>
      </c>
      <c r="E49" s="181">
        <f>AVERAGE(E32:E48)</f>
        <v>15.033076923076926</v>
      </c>
      <c r="F49" s="181">
        <f>AVERAGE(F32:F48)</f>
        <v>15.83538461538462</v>
      </c>
      <c r="G49" s="181">
        <f>AVERAGE(G32:G48)</f>
        <v>16.089230769230767</v>
      </c>
      <c r="H49" s="181">
        <f>AVERAGE(H32:H48)</f>
        <v>17.776153846153846</v>
      </c>
      <c r="I49" s="310"/>
      <c r="J49" s="181">
        <f>AVERAGE(J32:J48)</f>
        <v>34.54384615384615</v>
      </c>
      <c r="K49" s="181">
        <f>AVERAGE(K32:K48)</f>
        <v>36.15153846153846</v>
      </c>
      <c r="L49" s="181">
        <f>AVERAGE(L32:L48)</f>
        <v>30.27</v>
      </c>
      <c r="M49" s="311"/>
      <c r="N49" s="312">
        <f>AVERAGE(N32:N48)</f>
        <v>1.9699336316785763</v>
      </c>
      <c r="O49" s="312">
        <f>AVERAGE(O32:O48)</f>
        <v>2.014269063586689</v>
      </c>
      <c r="P49" s="312"/>
      <c r="Q49" s="313">
        <f>AVERAGE(Q32:Q48)</f>
        <v>1.3823076923076925</v>
      </c>
      <c r="R49" s="284"/>
      <c r="S49" s="284">
        <f>AVERAGE(S32:S48)</f>
        <v>0.04076394031857222</v>
      </c>
      <c r="T49" s="284">
        <f>AVERAGE(T32:T48)</f>
        <v>0.042027497320841795</v>
      </c>
      <c r="Y49" s="178"/>
      <c r="Z49" s="181">
        <f>AVERAGE(Z32:Z48)</f>
        <v>1.921538461538461</v>
      </c>
      <c r="AA49" s="181">
        <f>AVERAGE(AA32:AA48)</f>
        <v>1.8900000000000003</v>
      </c>
      <c r="AB49" s="181">
        <f>AVERAGE(AB32:AB48)</f>
        <v>2.183076923076923</v>
      </c>
      <c r="AC49" s="216"/>
      <c r="AD49" s="178">
        <f>AVERAGE(AD32:AD48)</f>
        <v>0.12559796019780878</v>
      </c>
      <c r="AE49" s="178">
        <f>AVERAGE(AE32:AE48)</f>
        <v>0.13312488824783858</v>
      </c>
      <c r="AF49" s="178">
        <f>AVERAGE(AF32:AF48)</f>
        <v>0.11499999999999999</v>
      </c>
      <c r="AG49" s="178"/>
      <c r="AH49" s="178">
        <f>AVERAGE(AH32:AH48)</f>
        <v>0.13073707218344183</v>
      </c>
      <c r="AN49" s="314">
        <f aca="true" t="shared" si="32" ref="AN49:AU49">AVERAGE(AN32:AN48)</f>
        <v>17.776153846153846</v>
      </c>
      <c r="AO49" s="314">
        <f t="shared" si="32"/>
        <v>2.183076923076923</v>
      </c>
      <c r="AP49" s="314">
        <f t="shared" si="32"/>
        <v>1.3823076923076925</v>
      </c>
      <c r="AQ49" s="315">
        <f t="shared" si="32"/>
        <v>0.04723076923076923</v>
      </c>
      <c r="AR49" s="316">
        <f t="shared" si="32"/>
        <v>21.437773856336733</v>
      </c>
      <c r="AS49" s="316">
        <f t="shared" si="32"/>
        <v>22.48163253788327</v>
      </c>
      <c r="AT49" s="316">
        <f t="shared" si="32"/>
        <v>2.777575532437052</v>
      </c>
      <c r="AU49" s="317">
        <f t="shared" si="32"/>
        <v>0.1262603983786978</v>
      </c>
      <c r="AW49" s="318">
        <f>AVERAGE(AW32:AW48)</f>
        <v>0.7500000000000001</v>
      </c>
    </row>
    <row r="50" spans="2:49" s="242" customFormat="1" ht="11.25" customHeight="1">
      <c r="B50" s="242" t="s">
        <v>354</v>
      </c>
      <c r="E50" s="181"/>
      <c r="F50" s="319"/>
      <c r="G50" s="320"/>
      <c r="H50" s="320"/>
      <c r="I50" s="310"/>
      <c r="J50" s="310"/>
      <c r="K50" s="310"/>
      <c r="L50" s="310"/>
      <c r="M50" s="310"/>
      <c r="N50" s="321">
        <f>MEDIAN(N32:N48)</f>
        <v>1.8440894568690096</v>
      </c>
      <c r="O50" s="321">
        <f>MEDIAN(O32:O48)</f>
        <v>1.8854166666666667</v>
      </c>
      <c r="P50" s="321"/>
      <c r="Q50" s="275"/>
      <c r="R50" s="275"/>
      <c r="S50" s="322">
        <f>MEDIAN(S32:S48)</f>
        <v>0.042166720726565035</v>
      </c>
      <c r="T50" s="322">
        <f>MEDIAN(T32:T48)</f>
        <v>0.04300363876943434</v>
      </c>
      <c r="X50" s="310"/>
      <c r="Z50" s="310"/>
      <c r="AA50" s="310"/>
      <c r="AB50" s="310"/>
      <c r="AC50" s="310"/>
      <c r="AD50" s="322">
        <f>MEDIAN(AD32:AD48)</f>
        <v>0.12307692307692307</v>
      </c>
      <c r="AE50" s="322">
        <f>MEDIAN(AE32:AE48)</f>
        <v>0.1251908396946565</v>
      </c>
      <c r="AF50" s="322">
        <f>MEDIAN(AF32:AF48)</f>
        <v>0.11</v>
      </c>
      <c r="AG50" s="322"/>
      <c r="AH50" s="322">
        <f>MEDIAN(AH32:AH48)</f>
        <v>0.11959739490822972</v>
      </c>
      <c r="AQ50" s="249">
        <f>MEDIAN(AQ32:AQ48)</f>
        <v>0.05</v>
      </c>
      <c r="AU50" s="323">
        <f>MEDIAN(AU32:AU48)</f>
        <v>0.13088909101095642</v>
      </c>
      <c r="AW50" s="318">
        <f>MEDIAN(AW32:AW48)</f>
        <v>0.75</v>
      </c>
    </row>
    <row r="51" spans="1:49" s="242" customFormat="1" ht="11.25" customHeight="1">
      <c r="A51" s="59"/>
      <c r="B51" s="59"/>
      <c r="C51" s="59"/>
      <c r="D51" s="59"/>
      <c r="E51" s="59"/>
      <c r="F51" s="324"/>
      <c r="G51" s="325"/>
      <c r="H51" s="325"/>
      <c r="I51" s="310"/>
      <c r="J51" s="326"/>
      <c r="K51" s="326"/>
      <c r="L51" s="326"/>
      <c r="M51" s="310"/>
      <c r="N51" s="248"/>
      <c r="O51" s="248"/>
      <c r="P51" s="248"/>
      <c r="Q51" s="327"/>
      <c r="R51" s="327"/>
      <c r="S51" s="249"/>
      <c r="T51" s="249"/>
      <c r="Z51" s="325"/>
      <c r="AA51" s="325"/>
      <c r="AB51" s="325"/>
      <c r="AC51" s="310"/>
      <c r="AD51" s="249"/>
      <c r="AE51" s="249"/>
      <c r="AF51" s="162"/>
      <c r="AG51" s="162"/>
      <c r="AH51" s="249"/>
      <c r="AN51" s="287"/>
      <c r="AO51" s="287"/>
      <c r="AP51" s="287"/>
      <c r="AQ51" s="163"/>
      <c r="AR51" s="287"/>
      <c r="AS51" s="247"/>
      <c r="AT51" s="247"/>
      <c r="AU51" s="249"/>
      <c r="AW51" s="318"/>
    </row>
    <row r="52" spans="6:49" s="59" customFormat="1" ht="11.25" customHeight="1">
      <c r="F52" s="324"/>
      <c r="G52" s="324"/>
      <c r="H52" s="324"/>
      <c r="I52" s="324"/>
      <c r="J52" s="324"/>
      <c r="K52" s="324"/>
      <c r="L52" s="324"/>
      <c r="M52" s="324"/>
      <c r="N52" s="242"/>
      <c r="O52" s="242"/>
      <c r="P52" s="242"/>
      <c r="Q52" s="242"/>
      <c r="R52" s="242"/>
      <c r="S52" s="242"/>
      <c r="T52" s="242"/>
      <c r="U52" s="179"/>
      <c r="V52" s="179"/>
      <c r="W52" s="179"/>
      <c r="X52" s="242"/>
      <c r="Y52" s="179"/>
      <c r="Z52" s="319"/>
      <c r="AA52" s="319"/>
      <c r="AB52" s="319"/>
      <c r="AC52" s="328"/>
      <c r="AD52" s="178"/>
      <c r="AE52" s="178"/>
      <c r="AF52" s="178"/>
      <c r="AG52" s="178"/>
      <c r="AW52" s="205"/>
    </row>
    <row r="53" spans="1:49" s="59" customFormat="1" ht="11.25" customHeight="1">
      <c r="A53" s="60"/>
      <c r="F53" s="324"/>
      <c r="G53" s="324"/>
      <c r="H53" s="324"/>
      <c r="I53" s="324"/>
      <c r="J53" s="324"/>
      <c r="K53" s="324"/>
      <c r="L53" s="324"/>
      <c r="M53" s="324"/>
      <c r="N53" s="242"/>
      <c r="O53" s="242"/>
      <c r="P53" s="242"/>
      <c r="Q53" s="242"/>
      <c r="R53" s="242"/>
      <c r="S53" s="242"/>
      <c r="T53" s="242"/>
      <c r="U53" s="179"/>
      <c r="V53" s="179"/>
      <c r="W53" s="179"/>
      <c r="X53" s="242"/>
      <c r="Y53" s="179"/>
      <c r="Z53" s="319"/>
      <c r="AA53" s="319"/>
      <c r="AB53" s="319"/>
      <c r="AC53" s="328"/>
      <c r="AD53" s="178"/>
      <c r="AE53" s="178"/>
      <c r="AF53" s="178"/>
      <c r="AG53" s="178"/>
      <c r="AW53" s="205"/>
    </row>
    <row r="54" spans="1:49" s="59" customFormat="1" ht="11.25" customHeight="1">
      <c r="A54" s="60"/>
      <c r="F54" s="324"/>
      <c r="G54" s="324"/>
      <c r="H54" s="324"/>
      <c r="I54" s="324"/>
      <c r="J54" s="324"/>
      <c r="K54" s="324"/>
      <c r="L54" s="324"/>
      <c r="M54" s="324"/>
      <c r="N54" s="242"/>
      <c r="O54" s="242"/>
      <c r="P54" s="242"/>
      <c r="Q54" s="242"/>
      <c r="R54" s="242"/>
      <c r="S54" s="242"/>
      <c r="T54" s="242"/>
      <c r="U54" s="179"/>
      <c r="V54" s="179"/>
      <c r="W54" s="179"/>
      <c r="X54" s="242"/>
      <c r="Y54" s="179"/>
      <c r="Z54" s="319"/>
      <c r="AA54" s="319"/>
      <c r="AB54" s="319"/>
      <c r="AC54" s="328"/>
      <c r="AD54" s="178"/>
      <c r="AE54" s="178"/>
      <c r="AF54" s="178"/>
      <c r="AG54" s="178"/>
      <c r="AW54" s="205"/>
    </row>
    <row r="55" spans="5:51" s="59" customFormat="1" ht="11.25" customHeight="1">
      <c r="E55" s="271"/>
      <c r="F55" s="271"/>
      <c r="G55" s="271"/>
      <c r="H55" s="271"/>
      <c r="I55" s="324"/>
      <c r="J55" s="271"/>
      <c r="K55" s="271"/>
      <c r="L55" s="271"/>
      <c r="M55" s="287"/>
      <c r="N55" s="177"/>
      <c r="O55" s="177"/>
      <c r="P55" s="177"/>
      <c r="Q55" s="272"/>
      <c r="R55" s="272"/>
      <c r="S55" s="178"/>
      <c r="T55" s="178"/>
      <c r="U55" s="242"/>
      <c r="V55" s="242"/>
      <c r="W55" s="180"/>
      <c r="X55" s="242"/>
      <c r="Y55" s="242"/>
      <c r="Z55" s="292"/>
      <c r="AA55" s="292"/>
      <c r="AB55" s="292"/>
      <c r="AC55" s="159"/>
      <c r="AD55" s="178"/>
      <c r="AE55" s="178"/>
      <c r="AF55" s="273"/>
      <c r="AG55" s="273"/>
      <c r="AH55" s="178"/>
      <c r="AI55" s="266"/>
      <c r="AJ55" s="180"/>
      <c r="AK55" s="266"/>
      <c r="AL55" s="266"/>
      <c r="AM55" s="266"/>
      <c r="AN55" s="181"/>
      <c r="AO55" s="181"/>
      <c r="AP55" s="181"/>
      <c r="AQ55" s="293"/>
      <c r="AR55" s="181"/>
      <c r="AS55" s="182"/>
      <c r="AT55" s="182"/>
      <c r="AU55" s="178"/>
      <c r="AV55" s="275"/>
      <c r="AW55" s="276"/>
      <c r="AX55" s="242"/>
      <c r="AY55" s="242"/>
    </row>
    <row r="56" spans="5:51" s="59" customFormat="1" ht="11.25" customHeight="1">
      <c r="E56" s="271"/>
      <c r="F56" s="271"/>
      <c r="G56" s="271"/>
      <c r="H56" s="271"/>
      <c r="I56" s="324"/>
      <c r="J56" s="271"/>
      <c r="K56" s="271"/>
      <c r="L56" s="271"/>
      <c r="M56" s="287"/>
      <c r="N56" s="177"/>
      <c r="O56" s="177"/>
      <c r="P56" s="177"/>
      <c r="Q56" s="272"/>
      <c r="R56" s="272"/>
      <c r="S56" s="178"/>
      <c r="T56" s="178"/>
      <c r="U56" s="242"/>
      <c r="V56" s="242"/>
      <c r="W56" s="180"/>
      <c r="X56" s="242"/>
      <c r="Y56" s="242"/>
      <c r="Z56" s="292"/>
      <c r="AA56" s="292"/>
      <c r="AB56" s="292"/>
      <c r="AC56" s="159"/>
      <c r="AD56" s="178"/>
      <c r="AE56" s="178"/>
      <c r="AF56" s="273"/>
      <c r="AG56" s="273"/>
      <c r="AH56" s="178"/>
      <c r="AI56" s="266"/>
      <c r="AJ56" s="180"/>
      <c r="AK56" s="266"/>
      <c r="AL56" s="266"/>
      <c r="AM56" s="266"/>
      <c r="AN56" s="181"/>
      <c r="AO56" s="181"/>
      <c r="AP56" s="181"/>
      <c r="AQ56" s="293"/>
      <c r="AR56" s="181"/>
      <c r="AS56" s="182"/>
      <c r="AT56" s="182"/>
      <c r="AU56" s="178"/>
      <c r="AV56" s="275"/>
      <c r="AW56" s="276"/>
      <c r="AX56" s="242"/>
      <c r="AY56" s="242"/>
    </row>
    <row r="57" spans="5:51" s="59" customFormat="1" ht="11.25" customHeight="1">
      <c r="E57" s="271"/>
      <c r="F57" s="271"/>
      <c r="G57" s="271"/>
      <c r="H57" s="271"/>
      <c r="I57" s="324"/>
      <c r="J57" s="271"/>
      <c r="K57" s="271"/>
      <c r="L57" s="271"/>
      <c r="M57" s="287"/>
      <c r="N57" s="177"/>
      <c r="O57" s="177"/>
      <c r="P57" s="177"/>
      <c r="Q57" s="272"/>
      <c r="R57" s="272"/>
      <c r="S57" s="178"/>
      <c r="T57" s="178"/>
      <c r="U57" s="242"/>
      <c r="V57" s="242"/>
      <c r="W57" s="180"/>
      <c r="X57" s="242"/>
      <c r="Y57" s="242"/>
      <c r="Z57" s="292"/>
      <c r="AA57" s="292"/>
      <c r="AB57" s="292"/>
      <c r="AC57" s="159"/>
      <c r="AD57" s="178"/>
      <c r="AE57" s="178"/>
      <c r="AF57" s="273"/>
      <c r="AG57" s="273"/>
      <c r="AH57" s="178"/>
      <c r="AI57" s="266"/>
      <c r="AJ57" s="180"/>
      <c r="AK57" s="266"/>
      <c r="AL57" s="266"/>
      <c r="AM57" s="266"/>
      <c r="AN57" s="181"/>
      <c r="AO57" s="181"/>
      <c r="AP57" s="181"/>
      <c r="AQ57" s="293"/>
      <c r="AR57" s="181"/>
      <c r="AS57" s="182"/>
      <c r="AT57" s="182"/>
      <c r="AU57" s="178"/>
      <c r="AV57" s="275"/>
      <c r="AW57" s="276"/>
      <c r="AX57" s="242"/>
      <c r="AY57" s="242"/>
    </row>
    <row r="58" spans="6:49" s="59" customFormat="1" ht="11.25" customHeight="1">
      <c r="F58" s="324"/>
      <c r="G58" s="324"/>
      <c r="H58" s="324"/>
      <c r="I58" s="324"/>
      <c r="J58" s="324"/>
      <c r="K58" s="324"/>
      <c r="L58" s="324"/>
      <c r="M58" s="324"/>
      <c r="N58" s="242"/>
      <c r="O58" s="242"/>
      <c r="P58" s="242"/>
      <c r="Q58" s="242"/>
      <c r="R58" s="242"/>
      <c r="S58" s="242"/>
      <c r="T58" s="242"/>
      <c r="U58" s="179"/>
      <c r="V58" s="179"/>
      <c r="W58" s="179"/>
      <c r="X58" s="242"/>
      <c r="Y58" s="179"/>
      <c r="Z58" s="319"/>
      <c r="AA58" s="319"/>
      <c r="AB58" s="319"/>
      <c r="AC58" s="328"/>
      <c r="AD58" s="178"/>
      <c r="AE58" s="178"/>
      <c r="AF58" s="178"/>
      <c r="AG58" s="178"/>
      <c r="AW58" s="205"/>
    </row>
    <row r="59" spans="6:49" s="59" customFormat="1" ht="11.25" customHeight="1">
      <c r="F59" s="324"/>
      <c r="G59" s="324"/>
      <c r="H59" s="324"/>
      <c r="I59" s="324"/>
      <c r="J59" s="324"/>
      <c r="K59" s="324"/>
      <c r="L59" s="324"/>
      <c r="M59" s="324"/>
      <c r="N59" s="242"/>
      <c r="O59" s="242"/>
      <c r="P59" s="242"/>
      <c r="Q59" s="242"/>
      <c r="R59" s="242"/>
      <c r="S59" s="242"/>
      <c r="T59" s="242"/>
      <c r="U59" s="179"/>
      <c r="V59" s="179"/>
      <c r="W59" s="179"/>
      <c r="X59" s="242"/>
      <c r="Y59" s="179"/>
      <c r="Z59" s="319"/>
      <c r="AA59" s="319"/>
      <c r="AB59" s="319"/>
      <c r="AC59" s="328"/>
      <c r="AD59" s="178"/>
      <c r="AE59" s="178"/>
      <c r="AF59" s="178"/>
      <c r="AG59" s="178"/>
      <c r="AW59" s="205"/>
    </row>
    <row r="60" spans="6:49" s="59" customFormat="1" ht="11.25" customHeight="1">
      <c r="F60" s="324"/>
      <c r="G60" s="324"/>
      <c r="H60" s="324"/>
      <c r="I60" s="324"/>
      <c r="J60" s="324"/>
      <c r="K60" s="324"/>
      <c r="L60" s="324"/>
      <c r="M60" s="324"/>
      <c r="N60" s="242"/>
      <c r="O60" s="242"/>
      <c r="P60" s="242"/>
      <c r="Q60" s="242"/>
      <c r="R60" s="242"/>
      <c r="S60" s="242"/>
      <c r="T60" s="242"/>
      <c r="U60" s="179"/>
      <c r="V60" s="179"/>
      <c r="W60" s="179"/>
      <c r="X60" s="242"/>
      <c r="Y60" s="179"/>
      <c r="Z60" s="319"/>
      <c r="AA60" s="319"/>
      <c r="AB60" s="319"/>
      <c r="AC60" s="328"/>
      <c r="AD60" s="178"/>
      <c r="AE60" s="178"/>
      <c r="AF60" s="178"/>
      <c r="AG60" s="178"/>
      <c r="AW60" s="205"/>
    </row>
    <row r="61" spans="1:49" s="59" customFormat="1" ht="11.25" customHeight="1">
      <c r="A61" s="149" t="s">
        <v>234</v>
      </c>
      <c r="B61" s="149"/>
      <c r="C61" s="149"/>
      <c r="F61" s="324"/>
      <c r="G61" s="330"/>
      <c r="H61" s="324"/>
      <c r="I61" s="324"/>
      <c r="J61" s="324"/>
      <c r="K61" s="324"/>
      <c r="L61" s="324"/>
      <c r="M61" s="324"/>
      <c r="U61" s="242"/>
      <c r="V61" s="242"/>
      <c r="W61" s="180" t="str">
        <f>A61</f>
        <v>e= Estimated by Value Line</v>
      </c>
      <c r="X61" s="310"/>
      <c r="AF61" s="178"/>
      <c r="AG61" s="178"/>
      <c r="AI61" s="266" t="s">
        <v>8</v>
      </c>
      <c r="AJ61" s="289" t="s">
        <v>82</v>
      </c>
      <c r="AW61" s="205"/>
    </row>
    <row r="62" spans="1:49" s="59" customFormat="1" ht="11.25" customHeight="1">
      <c r="A62" s="242"/>
      <c r="B62" s="242"/>
      <c r="C62" s="242"/>
      <c r="G62" s="182"/>
      <c r="U62" s="242"/>
      <c r="V62" s="242"/>
      <c r="W62" s="178"/>
      <c r="AF62" s="178"/>
      <c r="AG62" s="178"/>
      <c r="AI62" s="266" t="str">
        <f>AQ10</f>
        <v>[B]</v>
      </c>
      <c r="AJ62" s="289" t="s">
        <v>462</v>
      </c>
      <c r="AW62" s="205"/>
    </row>
    <row r="63" spans="1:49" s="59" customFormat="1" ht="11.25" customHeight="1">
      <c r="A63" s="149" t="s">
        <v>115</v>
      </c>
      <c r="B63" s="149" t="s">
        <v>8</v>
      </c>
      <c r="C63" s="149" t="s">
        <v>348</v>
      </c>
      <c r="G63" s="181"/>
      <c r="U63" s="179" t="s">
        <v>14</v>
      </c>
      <c r="V63" s="179" t="s">
        <v>463</v>
      </c>
      <c r="W63" s="179"/>
      <c r="AF63" s="178"/>
      <c r="AG63" s="178"/>
      <c r="AI63" s="275" t="str">
        <f>AR10</f>
        <v>[C]</v>
      </c>
      <c r="AJ63" s="149" t="s">
        <v>117</v>
      </c>
      <c r="AW63" s="205"/>
    </row>
    <row r="64" spans="1:49" s="59" customFormat="1" ht="12.75">
      <c r="A64" s="149"/>
      <c r="B64" s="149" t="s">
        <v>10</v>
      </c>
      <c r="C64" s="149" t="s">
        <v>464</v>
      </c>
      <c r="G64" s="181"/>
      <c r="U64" s="179"/>
      <c r="V64" s="179" t="s">
        <v>465</v>
      </c>
      <c r="W64" s="179"/>
      <c r="X64" s="178"/>
      <c r="Y64" s="178"/>
      <c r="Z64" s="181"/>
      <c r="AA64" s="181"/>
      <c r="AB64" s="181"/>
      <c r="AC64" s="216"/>
      <c r="AD64" s="178"/>
      <c r="AE64" s="178"/>
      <c r="AF64" s="178"/>
      <c r="AG64" s="178"/>
      <c r="AI64" s="242"/>
      <c r="AJ64" s="149" t="s">
        <v>119</v>
      </c>
      <c r="AW64" s="205"/>
    </row>
    <row r="65" spans="1:49" s="59" customFormat="1" ht="12.75">
      <c r="A65" s="149"/>
      <c r="B65" s="149" t="s">
        <v>11</v>
      </c>
      <c r="C65" s="149" t="s">
        <v>120</v>
      </c>
      <c r="G65" s="181"/>
      <c r="U65" s="179"/>
      <c r="V65" s="179"/>
      <c r="W65" s="179" t="str">
        <f>Q2</f>
        <v>Exhibit ___(JAR-3) Schedule 4, P. 1</v>
      </c>
      <c r="AI65" s="242"/>
      <c r="AJ65" s="149" t="s">
        <v>121</v>
      </c>
      <c r="AW65" s="205"/>
    </row>
    <row r="66" spans="1:49" s="59" customFormat="1" ht="12.75">
      <c r="A66" s="149"/>
      <c r="B66" s="149" t="s">
        <v>13</v>
      </c>
      <c r="C66" s="149" t="s">
        <v>122</v>
      </c>
      <c r="V66" s="329"/>
      <c r="W66" s="149" t="s">
        <v>466</v>
      </c>
      <c r="AW66" s="205"/>
    </row>
    <row r="67" spans="2:49" s="59" customFormat="1" ht="12.75">
      <c r="B67" s="149" t="s">
        <v>7</v>
      </c>
      <c r="C67" s="149" t="s">
        <v>467</v>
      </c>
      <c r="V67" s="329"/>
      <c r="W67" s="149"/>
      <c r="AW67" s="205"/>
    </row>
    <row r="68" spans="2:49" s="59" customFormat="1" ht="12.75">
      <c r="B68" s="331" t="str">
        <f>P44</f>
        <v>[F]</v>
      </c>
      <c r="C68" s="149" t="s">
        <v>468</v>
      </c>
      <c r="AW68" s="205"/>
    </row>
    <row r="69" spans="2:49" s="59" customFormat="1" ht="12.75">
      <c r="B69" s="329"/>
      <c r="C69" s="149"/>
      <c r="AW69" s="205"/>
    </row>
    <row r="70" spans="5:49" ht="12.75">
      <c r="E70" s="181"/>
      <c r="F70" s="181"/>
      <c r="G70" s="182"/>
      <c r="H70" s="182"/>
      <c r="I70" s="59"/>
      <c r="J70" s="182"/>
      <c r="K70" s="181"/>
      <c r="L70" s="181"/>
      <c r="M70" s="181"/>
      <c r="N70" s="177"/>
      <c r="O70" s="177"/>
      <c r="P70" s="177"/>
      <c r="Q70" s="181"/>
      <c r="R70" s="181"/>
      <c r="S70" s="181"/>
      <c r="T70" s="179"/>
      <c r="U70" s="179"/>
      <c r="V70" s="179"/>
      <c r="W70" s="179"/>
      <c r="X70" s="179"/>
      <c r="Y70" s="179"/>
      <c r="Z70" s="181"/>
      <c r="AA70" s="181"/>
      <c r="AB70" s="181"/>
      <c r="AC70" s="216"/>
      <c r="AD70" s="178"/>
      <c r="AE70" s="178"/>
      <c r="AF70" s="178"/>
      <c r="AG70" s="178"/>
      <c r="AH70" s="180"/>
      <c r="AW70" s="205"/>
    </row>
    <row r="71" spans="8:49" ht="9.75" customHeight="1">
      <c r="H71" s="182"/>
      <c r="I71" s="59"/>
      <c r="J71" s="182"/>
      <c r="K71" s="181"/>
      <c r="L71" s="181"/>
      <c r="M71" s="181"/>
      <c r="N71" s="177"/>
      <c r="O71" s="177"/>
      <c r="P71" s="177"/>
      <c r="Q71" s="181"/>
      <c r="R71" s="181"/>
      <c r="S71" s="181"/>
      <c r="T71" s="179"/>
      <c r="AH71" s="180"/>
      <c r="AW71" s="205"/>
    </row>
    <row r="72" spans="8:49" ht="9.75" customHeight="1">
      <c r="H72" s="182"/>
      <c r="I72" s="59"/>
      <c r="J72" s="182"/>
      <c r="K72" s="181"/>
      <c r="L72" s="181"/>
      <c r="M72" s="181"/>
      <c r="N72" s="181"/>
      <c r="O72" s="177"/>
      <c r="P72" s="177"/>
      <c r="Q72" s="181"/>
      <c r="R72" s="181"/>
      <c r="S72" s="181"/>
      <c r="T72" s="179"/>
      <c r="AH72" s="180"/>
      <c r="AW72" s="205"/>
    </row>
    <row r="73" spans="8:49" ht="9.75" customHeight="1">
      <c r="H73" s="181"/>
      <c r="I73" s="59"/>
      <c r="J73" s="182"/>
      <c r="K73" s="181"/>
      <c r="L73" s="181"/>
      <c r="M73" s="181"/>
      <c r="N73" s="177"/>
      <c r="O73" s="177"/>
      <c r="P73" s="177"/>
      <c r="Q73" s="181"/>
      <c r="R73" s="181"/>
      <c r="S73" s="178"/>
      <c r="T73" s="178"/>
      <c r="AH73" s="180"/>
      <c r="AW73" s="205"/>
    </row>
    <row r="74" spans="8:49" ht="9" customHeight="1">
      <c r="H74" s="181"/>
      <c r="I74" s="59"/>
      <c r="J74" s="182"/>
      <c r="K74" s="181"/>
      <c r="L74" s="181"/>
      <c r="M74" s="181"/>
      <c r="N74" s="177"/>
      <c r="O74" s="177"/>
      <c r="P74" s="177"/>
      <c r="Q74" s="181"/>
      <c r="R74" s="181"/>
      <c r="S74" s="178"/>
      <c r="T74" s="178"/>
      <c r="AH74" s="180"/>
      <c r="AW74" s="205"/>
    </row>
    <row r="75" spans="8:49" ht="9.75" customHeight="1" hidden="1">
      <c r="H75" s="181"/>
      <c r="I75" s="181"/>
      <c r="J75" s="182"/>
      <c r="K75" s="181"/>
      <c r="L75" s="181"/>
      <c r="M75" s="181"/>
      <c r="N75" s="177"/>
      <c r="O75" s="177"/>
      <c r="P75" s="177"/>
      <c r="Q75" s="181"/>
      <c r="R75" s="181"/>
      <c r="S75" s="178"/>
      <c r="T75" s="178"/>
      <c r="AH75" s="180"/>
      <c r="AW75" s="205"/>
    </row>
    <row r="76" spans="4:49" ht="6.75" customHeight="1">
      <c r="D76" s="175"/>
      <c r="E76" s="181"/>
      <c r="F76" s="181"/>
      <c r="G76" s="216"/>
      <c r="H76" s="216"/>
      <c r="I76" s="216"/>
      <c r="J76" s="182"/>
      <c r="K76" s="181"/>
      <c r="L76" s="181"/>
      <c r="M76" s="181"/>
      <c r="N76" s="177"/>
      <c r="O76" s="177"/>
      <c r="P76" s="177"/>
      <c r="Q76" s="181"/>
      <c r="R76" s="181"/>
      <c r="S76" s="178"/>
      <c r="T76" s="178"/>
      <c r="U76" s="178"/>
      <c r="V76" s="179"/>
      <c r="W76" s="178"/>
      <c r="X76" s="178"/>
      <c r="Y76" s="178"/>
      <c r="Z76" s="181"/>
      <c r="AA76" s="181"/>
      <c r="AB76" s="181"/>
      <c r="AC76" s="216"/>
      <c r="AD76" s="178"/>
      <c r="AE76" s="178"/>
      <c r="AF76" s="178"/>
      <c r="AG76" s="178"/>
      <c r="AH76" s="180"/>
      <c r="AW76" s="205"/>
    </row>
    <row r="77" spans="7:49" ht="12.75">
      <c r="G77" s="182"/>
      <c r="H77" s="182"/>
      <c r="I77" s="182"/>
      <c r="J77" s="182"/>
      <c r="K77" s="182"/>
      <c r="AW77" s="205"/>
    </row>
    <row r="78" spans="7:49" ht="12.75">
      <c r="G78" s="182"/>
      <c r="H78" s="182"/>
      <c r="I78" s="182"/>
      <c r="J78" s="182"/>
      <c r="K78" s="182"/>
      <c r="AW78" s="205"/>
    </row>
    <row r="79" spans="7:49" ht="12.75">
      <c r="G79" s="182"/>
      <c r="H79" s="182"/>
      <c r="I79" s="182"/>
      <c r="J79" s="182"/>
      <c r="K79" s="182"/>
      <c r="AW79" s="205"/>
    </row>
    <row r="80" spans="7:49" ht="12.75">
      <c r="G80" s="182"/>
      <c r="H80" s="182"/>
      <c r="I80" s="182"/>
      <c r="J80" s="182"/>
      <c r="K80" s="182"/>
      <c r="AW80" s="205"/>
    </row>
    <row r="81" spans="7:49" ht="12.75">
      <c r="G81" s="182"/>
      <c r="H81" s="182"/>
      <c r="I81" s="182"/>
      <c r="J81" s="182"/>
      <c r="K81" s="182"/>
      <c r="AW81" s="205"/>
    </row>
    <row r="82" ht="12.75">
      <c r="AW82" s="205"/>
    </row>
    <row r="83" ht="12.75">
      <c r="AW83" s="205"/>
    </row>
    <row r="84" ht="12.75">
      <c r="AW84" s="205"/>
    </row>
    <row r="85" ht="12.75">
      <c r="AW85" s="205"/>
    </row>
    <row r="86" ht="12.75">
      <c r="AW86" s="205"/>
    </row>
    <row r="87" ht="12.75">
      <c r="AW87" s="205"/>
    </row>
    <row r="88" ht="12.75">
      <c r="AW88" s="205"/>
    </row>
    <row r="89" ht="12.75">
      <c r="AW89" s="205"/>
    </row>
    <row r="90" ht="12.75">
      <c r="AW90" s="205"/>
    </row>
    <row r="91" ht="12.75">
      <c r="AW91" s="205"/>
    </row>
    <row r="92" ht="12.75">
      <c r="AW92" s="205"/>
    </row>
    <row r="93" ht="12.75">
      <c r="AW93" s="205"/>
    </row>
    <row r="94" ht="12.75">
      <c r="AW94" s="205"/>
    </row>
    <row r="95" ht="12.75">
      <c r="AW95" s="205"/>
    </row>
    <row r="96" ht="12.75">
      <c r="AW96" s="205"/>
    </row>
    <row r="97" ht="12.75">
      <c r="AW97" s="205"/>
    </row>
    <row r="98" ht="12.75">
      <c r="AW98" s="205"/>
    </row>
    <row r="99" ht="12.75">
      <c r="AW99" s="205"/>
    </row>
    <row r="100" ht="12.75">
      <c r="AW100" s="205"/>
    </row>
    <row r="101" ht="12.75">
      <c r="AW101" s="205"/>
    </row>
    <row r="102" ht="12.75">
      <c r="AW102" s="205"/>
    </row>
    <row r="103" ht="12.75">
      <c r="AW103" s="205"/>
    </row>
    <row r="104" ht="12.75">
      <c r="AW104" s="205"/>
    </row>
    <row r="105" ht="12.75">
      <c r="AW105" s="205"/>
    </row>
    <row r="106" ht="12.75">
      <c r="AW106" s="205"/>
    </row>
    <row r="107" ht="12.75">
      <c r="AW107" s="205"/>
    </row>
    <row r="108" ht="12.75">
      <c r="AW108" s="205"/>
    </row>
    <row r="109" ht="12.75">
      <c r="AW109" s="205"/>
    </row>
    <row r="110" ht="12.75">
      <c r="AW110" s="205"/>
    </row>
    <row r="111" ht="12.75">
      <c r="AW111" s="205"/>
    </row>
    <row r="112" ht="12.75">
      <c r="AW112" s="205"/>
    </row>
    <row r="113" ht="12.75">
      <c r="AW113" s="205"/>
    </row>
    <row r="114" ht="12.75">
      <c r="AW114" s="205"/>
    </row>
    <row r="115" ht="12.75">
      <c r="AW115" s="205"/>
    </row>
    <row r="116" ht="12.75">
      <c r="AW116" s="205"/>
    </row>
    <row r="117" ht="12.75">
      <c r="AW117" s="205"/>
    </row>
    <row r="118" ht="12.75">
      <c r="AW118" s="205"/>
    </row>
    <row r="119" ht="12.75">
      <c r="AW119" s="205"/>
    </row>
    <row r="120" ht="12.75">
      <c r="AW120" s="205"/>
    </row>
    <row r="121" ht="12.75">
      <c r="AW121" s="205"/>
    </row>
    <row r="122" ht="12.75">
      <c r="AW122" s="205"/>
    </row>
    <row r="123" ht="12.75">
      <c r="AW123" s="205"/>
    </row>
    <row r="124" ht="12.75">
      <c r="AW124" s="205"/>
    </row>
    <row r="125" ht="12.75">
      <c r="AW125" s="205"/>
    </row>
    <row r="126" ht="12.75">
      <c r="AW126" s="205"/>
    </row>
    <row r="127" ht="12.75">
      <c r="AW127" s="205"/>
    </row>
    <row r="128" ht="12.75">
      <c r="AW128" s="205"/>
    </row>
    <row r="129" ht="12.75">
      <c r="AW129" s="205"/>
    </row>
    <row r="130" ht="12.75">
      <c r="AW130" s="205"/>
    </row>
    <row r="131" ht="12.75">
      <c r="AW131" s="205"/>
    </row>
    <row r="132" ht="12.75">
      <c r="AW132" s="205"/>
    </row>
    <row r="133" ht="12.75">
      <c r="AW133" s="205"/>
    </row>
    <row r="134" ht="12.75">
      <c r="AW134" s="205"/>
    </row>
    <row r="135" ht="12.75">
      <c r="AW135" s="205"/>
    </row>
    <row r="136" ht="12.75">
      <c r="AW136" s="205"/>
    </row>
    <row r="137" ht="12.75">
      <c r="AW137" s="205"/>
    </row>
    <row r="138" ht="12.75">
      <c r="AW138" s="205"/>
    </row>
    <row r="139" ht="12.75">
      <c r="AW139" s="205"/>
    </row>
    <row r="140" ht="12.75">
      <c r="AW140" s="205"/>
    </row>
    <row r="141" ht="12.75">
      <c r="AW141" s="205"/>
    </row>
    <row r="142" ht="12.75">
      <c r="AW142" s="205"/>
    </row>
    <row r="143" ht="12.75">
      <c r="AW143" s="205"/>
    </row>
    <row r="144" ht="12.75">
      <c r="AW144" s="205"/>
    </row>
    <row r="145" ht="12.75">
      <c r="AW145" s="205"/>
    </row>
    <row r="146" ht="12.75">
      <c r="AW146" s="205"/>
    </row>
    <row r="147" ht="12.75">
      <c r="AW147" s="205"/>
    </row>
    <row r="148" ht="12.75">
      <c r="AW148" s="205"/>
    </row>
    <row r="149" ht="12.75">
      <c r="AW149" s="205"/>
    </row>
    <row r="150" ht="12.75">
      <c r="AW150" s="205"/>
    </row>
    <row r="151" ht="12.75">
      <c r="AW151" s="205"/>
    </row>
    <row r="152" ht="12.75">
      <c r="AW152" s="205"/>
    </row>
    <row r="153" ht="12.75">
      <c r="AW153" s="205"/>
    </row>
    <row r="154" ht="12.75">
      <c r="AW154" s="205"/>
    </row>
    <row r="155" ht="12.75">
      <c r="AW155" s="205"/>
    </row>
    <row r="156" ht="12.75">
      <c r="AW156" s="205"/>
    </row>
    <row r="157" ht="12.75">
      <c r="AW157" s="205"/>
    </row>
    <row r="158" ht="12.75">
      <c r="AW158" s="205"/>
    </row>
    <row r="159" ht="12.75">
      <c r="AW159" s="205"/>
    </row>
    <row r="160" ht="12.75">
      <c r="AW160" s="205"/>
    </row>
    <row r="161" ht="12.75">
      <c r="AW161" s="205"/>
    </row>
    <row r="162" ht="12.75">
      <c r="AW162" s="205"/>
    </row>
    <row r="163" ht="12.75">
      <c r="AW163" s="205"/>
    </row>
    <row r="164" ht="12.75">
      <c r="AW164" s="205"/>
    </row>
    <row r="165" ht="12.75">
      <c r="AW165" s="205"/>
    </row>
    <row r="166" ht="12.75">
      <c r="AW166" s="205"/>
    </row>
    <row r="167" ht="12.75">
      <c r="AW167" s="205"/>
    </row>
    <row r="168" ht="12.75">
      <c r="AW168" s="205"/>
    </row>
    <row r="169" ht="12.75">
      <c r="AW169" s="205"/>
    </row>
    <row r="170" ht="12.75">
      <c r="AW170" s="205"/>
    </row>
  </sheetData>
  <printOptions/>
  <pageMargins left="0.75" right="0.75" top="1" bottom="1" header="0.5" footer="0.5"/>
  <pageSetup horizontalDpi="600" verticalDpi="600" orientation="portrait" scale="47" r:id="rId1"/>
  <colBreaks count="2" manualBreakCount="2">
    <brk id="20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workbookViewId="0" topLeftCell="A1">
      <selection activeCell="H96" sqref="H96:H97"/>
    </sheetView>
  </sheetViews>
  <sheetFormatPr defaultColWidth="9.140625" defaultRowHeight="12.75"/>
  <cols>
    <col min="3" max="3" width="30.28125" style="0" customWidth="1"/>
    <col min="7" max="7" width="12.57421875" style="0" customWidth="1"/>
    <col min="8" max="8" width="9.140625" style="57" customWidth="1"/>
  </cols>
  <sheetData>
    <row r="1" ht="12.75">
      <c r="I1" s="60"/>
    </row>
    <row r="2" ht="12.75">
      <c r="I2" s="60" t="s">
        <v>591</v>
      </c>
    </row>
    <row r="3" ht="12.75">
      <c r="I3" s="60" t="str">
        <f>OCC!I3</f>
        <v>Docket No. UT-040788</v>
      </c>
    </row>
    <row r="4" spans="3:9" ht="12.75">
      <c r="C4" s="60" t="s">
        <v>372</v>
      </c>
      <c r="I4" s="60" t="s">
        <v>620</v>
      </c>
    </row>
    <row r="5" ht="12.75">
      <c r="C5" s="60" t="s">
        <v>373</v>
      </c>
    </row>
    <row r="6" ht="12.75">
      <c r="C6" s="60" t="s">
        <v>374</v>
      </c>
    </row>
    <row r="9" ht="12.75">
      <c r="J9" t="s">
        <v>130</v>
      </c>
    </row>
    <row r="10" ht="12.75">
      <c r="G10" s="36"/>
    </row>
    <row r="11" spans="3:10" ht="12.75">
      <c r="C11" t="s">
        <v>375</v>
      </c>
      <c r="H11" s="57">
        <v>0.0179</v>
      </c>
      <c r="J11" t="s">
        <v>530</v>
      </c>
    </row>
    <row r="13" ht="12.75">
      <c r="G13" s="36"/>
    </row>
    <row r="14" spans="3:7" ht="12.75">
      <c r="C14" t="s">
        <v>376</v>
      </c>
      <c r="E14" s="258"/>
      <c r="G14" s="36"/>
    </row>
    <row r="15" ht="12.75">
      <c r="G15" s="36"/>
    </row>
    <row r="16" spans="3:10" ht="12.75">
      <c r="C16" t="s">
        <v>377</v>
      </c>
      <c r="E16" s="36"/>
      <c r="G16">
        <v>1223</v>
      </c>
      <c r="J16" t="s">
        <v>378</v>
      </c>
    </row>
    <row r="17" spans="3:10" ht="12.75">
      <c r="C17" t="s">
        <v>384</v>
      </c>
      <c r="G17" s="36"/>
      <c r="J17" t="s">
        <v>379</v>
      </c>
    </row>
    <row r="18" spans="5:10" ht="12.75">
      <c r="E18" s="36"/>
      <c r="G18" s="36"/>
      <c r="J18" t="s">
        <v>383</v>
      </c>
    </row>
    <row r="19" spans="3:7" ht="12.75">
      <c r="C19" t="s">
        <v>380</v>
      </c>
      <c r="G19">
        <v>1132</v>
      </c>
    </row>
    <row r="20" ht="12.75">
      <c r="C20" t="s">
        <v>381</v>
      </c>
    </row>
    <row r="21" spans="8:10" ht="12.75">
      <c r="H21" s="57">
        <f>(G16/G19)^(24/25)-1</f>
        <v>0.0770523905098619</v>
      </c>
      <c r="J21" t="s">
        <v>382</v>
      </c>
    </row>
    <row r="22" ht="12.75">
      <c r="J22" t="s">
        <v>393</v>
      </c>
    </row>
    <row r="23" ht="12.75">
      <c r="H23" s="58"/>
    </row>
    <row r="24" spans="2:8" ht="12.75">
      <c r="B24" t="s">
        <v>386</v>
      </c>
      <c r="H24" s="262"/>
    </row>
    <row r="25" spans="3:8" ht="13.5" thickBot="1">
      <c r="C25" s="60" t="s">
        <v>531</v>
      </c>
      <c r="E25" s="60"/>
      <c r="F25" s="60"/>
      <c r="G25" s="60"/>
      <c r="H25" s="382">
        <f>SUM(H11:H23)</f>
        <v>0.0949523905098619</v>
      </c>
    </row>
    <row r="26" spans="2:7" ht="13.5" thickTop="1">
      <c r="B26" t="s">
        <v>611</v>
      </c>
      <c r="G26" s="57"/>
    </row>
    <row r="27" ht="12.75">
      <c r="G27" s="57"/>
    </row>
    <row r="28" ht="12.75">
      <c r="G28" s="57"/>
    </row>
    <row r="29" ht="12.75">
      <c r="G29" s="57"/>
    </row>
    <row r="30" ht="12.75">
      <c r="G30" s="57"/>
    </row>
    <row r="31" ht="12.75">
      <c r="G31" s="57"/>
    </row>
    <row r="32" ht="12.75">
      <c r="G32" s="57"/>
    </row>
    <row r="33" ht="12.75">
      <c r="G33" s="57"/>
    </row>
    <row r="34" spans="3:7" ht="12.75">
      <c r="C34" s="60"/>
      <c r="D34" s="60"/>
      <c r="E34" s="60"/>
      <c r="F34" s="60"/>
      <c r="G34" s="200"/>
    </row>
    <row r="35" ht="12.75">
      <c r="G35" s="57"/>
    </row>
    <row r="36" ht="12.75">
      <c r="G36" s="57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43"/>
  <sheetViews>
    <sheetView workbookViewId="0" topLeftCell="A1">
      <selection activeCell="B49" sqref="B49:C49"/>
    </sheetView>
  </sheetViews>
  <sheetFormatPr defaultColWidth="9.140625" defaultRowHeight="12.75"/>
  <cols>
    <col min="1" max="1" width="0.71875" style="24" customWidth="1"/>
    <col min="2" max="2" width="4.57421875" style="24" customWidth="1"/>
    <col min="3" max="4" width="9.140625" style="24" customWidth="1"/>
    <col min="5" max="5" width="8.28125" style="24" customWidth="1"/>
    <col min="6" max="6" width="4.28125" style="24" customWidth="1"/>
    <col min="7" max="7" width="5.8515625" style="24" customWidth="1"/>
    <col min="8" max="8" width="9.140625" style="24" customWidth="1"/>
    <col min="9" max="9" width="7.8515625" style="24" customWidth="1"/>
    <col min="10" max="10" width="10.28125" style="24" customWidth="1"/>
    <col min="11" max="11" width="4.57421875" style="24" customWidth="1"/>
    <col min="12" max="12" width="1.421875" style="24" customWidth="1"/>
    <col min="13" max="13" width="26.00390625" style="24" customWidth="1"/>
    <col min="14" max="14" width="0.42578125" style="24" customWidth="1"/>
    <col min="15" max="15" width="5.140625" style="24" customWidth="1"/>
    <col min="16" max="16" width="4.8515625" style="24" customWidth="1"/>
    <col min="17" max="19" width="9.140625" style="24" customWidth="1"/>
    <col min="20" max="20" width="3.7109375" style="24" customWidth="1"/>
    <col min="21" max="21" width="3.57421875" style="24" customWidth="1"/>
    <col min="22" max="16384" width="9.140625" style="24" customWidth="1"/>
  </cols>
  <sheetData>
    <row r="2" spans="5:26" ht="9" customHeight="1">
      <c r="E2" s="25" t="s">
        <v>608</v>
      </c>
      <c r="M2" s="26" t="s">
        <v>583</v>
      </c>
      <c r="N2" s="26"/>
      <c r="Q2" s="102"/>
      <c r="R2" s="102"/>
      <c r="S2" s="102"/>
      <c r="T2" s="102"/>
      <c r="U2" s="103"/>
      <c r="V2" s="102"/>
      <c r="W2" s="102"/>
      <c r="X2" s="102"/>
      <c r="Y2" s="102"/>
      <c r="Z2" s="102"/>
    </row>
    <row r="3" spans="5:26" ht="9" customHeight="1">
      <c r="E3" s="26" t="s">
        <v>24</v>
      </c>
      <c r="M3" s="224" t="str">
        <f>OCC!I3</f>
        <v>Docket No. UT-040788</v>
      </c>
      <c r="Q3" s="102"/>
      <c r="R3" s="102"/>
      <c r="S3" s="102"/>
      <c r="T3" s="102"/>
      <c r="U3" s="103"/>
      <c r="V3" s="102"/>
      <c r="W3" s="102"/>
      <c r="X3" s="102"/>
      <c r="Y3" s="102"/>
      <c r="Z3" s="102"/>
    </row>
    <row r="4" spans="13:26" ht="9" customHeight="1">
      <c r="M4" s="224" t="s">
        <v>621</v>
      </c>
      <c r="Q4" s="102"/>
      <c r="R4" s="102"/>
      <c r="S4" s="102"/>
      <c r="T4" s="102"/>
      <c r="U4" s="103"/>
      <c r="V4" s="102"/>
      <c r="W4" s="102"/>
      <c r="X4" s="102"/>
      <c r="Y4" s="102"/>
      <c r="Z4" s="102"/>
    </row>
    <row r="5" spans="6:26" ht="9" customHeight="1">
      <c r="F5" s="26"/>
      <c r="G5" s="26"/>
      <c r="H5" s="27" t="s">
        <v>25</v>
      </c>
      <c r="I5" s="26"/>
      <c r="J5" s="27" t="s">
        <v>26</v>
      </c>
      <c r="K5"/>
      <c r="L5" s="27"/>
      <c r="M5" s="26"/>
      <c r="N5" s="26"/>
      <c r="O5" s="26"/>
      <c r="Q5" s="102"/>
      <c r="R5" s="102"/>
      <c r="S5" s="102"/>
      <c r="T5" s="104"/>
      <c r="U5" s="103"/>
      <c r="V5" s="103"/>
      <c r="W5" s="104"/>
      <c r="X5" s="103"/>
      <c r="Y5" s="102"/>
      <c r="Z5" s="102"/>
    </row>
    <row r="6" spans="2:26" ht="9" customHeight="1">
      <c r="B6" s="47"/>
      <c r="C6" s="47"/>
      <c r="D6" s="47"/>
      <c r="E6" s="47"/>
      <c r="F6" s="47"/>
      <c r="G6" s="47"/>
      <c r="H6" s="48" t="s">
        <v>27</v>
      </c>
      <c r="I6" s="47"/>
      <c r="J6" s="48" t="s">
        <v>28</v>
      </c>
      <c r="K6"/>
      <c r="L6"/>
      <c r="Q6" s="102"/>
      <c r="R6" s="102"/>
      <c r="S6" s="102"/>
      <c r="T6" s="104"/>
      <c r="U6" s="103"/>
      <c r="V6" s="103"/>
      <c r="W6" s="104"/>
      <c r="X6" s="103"/>
      <c r="Y6" s="102"/>
      <c r="Z6" s="102"/>
    </row>
    <row r="7" spans="2:26" ht="9" customHeight="1">
      <c r="B7" s="47"/>
      <c r="C7" s="49"/>
      <c r="D7" s="49"/>
      <c r="E7" s="49"/>
      <c r="F7" s="50"/>
      <c r="G7" s="50"/>
      <c r="H7" s="48" t="s">
        <v>29</v>
      </c>
      <c r="I7" s="23"/>
      <c r="J7" s="48" t="s">
        <v>30</v>
      </c>
      <c r="K7"/>
      <c r="L7"/>
      <c r="M7"/>
      <c r="N7" s="26"/>
      <c r="O7" s="26"/>
      <c r="Q7" s="102"/>
      <c r="R7" s="102"/>
      <c r="S7" s="102"/>
      <c r="T7" s="104"/>
      <c r="U7" s="103"/>
      <c r="V7" s="103"/>
      <c r="W7" s="104"/>
      <c r="X7" s="103"/>
      <c r="Y7" s="102"/>
      <c r="Z7" s="102"/>
    </row>
    <row r="8" spans="1:26" ht="9" customHeight="1">
      <c r="A8" s="47"/>
      <c r="B8" s="47"/>
      <c r="C8" s="49"/>
      <c r="D8" s="49"/>
      <c r="E8" s="49"/>
      <c r="F8" s="50"/>
      <c r="G8" s="50"/>
      <c r="H8" s="48" t="s">
        <v>607</v>
      </c>
      <c r="I8" s="23"/>
      <c r="J8" s="51">
        <v>38230</v>
      </c>
      <c r="K8"/>
      <c r="L8"/>
      <c r="M8"/>
      <c r="N8" s="26"/>
      <c r="O8" s="26"/>
      <c r="Q8" s="102"/>
      <c r="R8" s="102"/>
      <c r="S8" s="102"/>
      <c r="T8" s="104"/>
      <c r="U8" s="103"/>
      <c r="V8" s="103"/>
      <c r="W8" s="104"/>
      <c r="X8" s="103"/>
      <c r="Y8" s="102"/>
      <c r="Z8" s="102"/>
    </row>
    <row r="9" spans="1:26" ht="9" customHeight="1">
      <c r="A9" s="47"/>
      <c r="B9" s="47"/>
      <c r="C9" s="47"/>
      <c r="D9" s="47"/>
      <c r="E9" s="47"/>
      <c r="F9" s="47"/>
      <c r="G9" s="47"/>
      <c r="H9" s="28"/>
      <c r="I9"/>
      <c r="J9" s="28"/>
      <c r="K9"/>
      <c r="L9"/>
      <c r="M9"/>
      <c r="Q9" s="102"/>
      <c r="R9" s="102"/>
      <c r="S9" s="102"/>
      <c r="T9" s="104"/>
      <c r="U9" s="103"/>
      <c r="V9" s="103"/>
      <c r="W9" s="104"/>
      <c r="X9" s="103"/>
      <c r="Y9" s="102"/>
      <c r="Z9" s="102"/>
    </row>
    <row r="10" spans="1:26" ht="9" customHeight="1">
      <c r="A10" s="47"/>
      <c r="B10" s="47">
        <v>1</v>
      </c>
      <c r="C10" s="47" t="s">
        <v>31</v>
      </c>
      <c r="D10" s="47"/>
      <c r="E10" s="47"/>
      <c r="F10" s="47" t="s">
        <v>10</v>
      </c>
      <c r="G10" s="52"/>
      <c r="H10" s="90">
        <f>COMPCO!R17</f>
        <v>0.04359570602545104</v>
      </c>
      <c r="I10"/>
      <c r="J10" s="90">
        <f>COMPCO!Q17</f>
        <v>0.04171694153482694</v>
      </c>
      <c r="K10"/>
      <c r="L10"/>
      <c r="M10"/>
      <c r="N10" s="29"/>
      <c r="O10" s="29"/>
      <c r="Q10" s="102"/>
      <c r="R10" s="102"/>
      <c r="S10" s="102"/>
      <c r="T10" s="104"/>
      <c r="U10" s="103"/>
      <c r="V10" s="103"/>
      <c r="W10" s="104"/>
      <c r="X10" s="103"/>
      <c r="Y10" s="102"/>
      <c r="Z10" s="102"/>
    </row>
    <row r="11" spans="1:26" ht="9" customHeight="1">
      <c r="A11" s="47"/>
      <c r="B11" s="47">
        <v>2</v>
      </c>
      <c r="C11" s="47" t="s">
        <v>32</v>
      </c>
      <c r="D11" s="47"/>
      <c r="E11" s="47"/>
      <c r="F11" s="47"/>
      <c r="G11" s="52"/>
      <c r="H11" s="30"/>
      <c r="I11"/>
      <c r="J11" s="30"/>
      <c r="K11"/>
      <c r="L11"/>
      <c r="M11"/>
      <c r="N11" s="29"/>
      <c r="O11" s="29"/>
      <c r="Q11" s="102"/>
      <c r="R11" s="102"/>
      <c r="S11" s="102"/>
      <c r="T11" s="104"/>
      <c r="U11" s="103"/>
      <c r="V11" s="103"/>
      <c r="W11" s="104"/>
      <c r="X11" s="103"/>
      <c r="Y11" s="102"/>
      <c r="Z11" s="102"/>
    </row>
    <row r="12" spans="1:26" ht="9" customHeight="1">
      <c r="A12" s="47"/>
      <c r="B12" s="47"/>
      <c r="C12" s="226" t="s">
        <v>33</v>
      </c>
      <c r="D12" s="47" t="s">
        <v>34</v>
      </c>
      <c r="E12" s="47"/>
      <c r="F12" s="47" t="s">
        <v>10</v>
      </c>
      <c r="G12" s="53"/>
      <c r="H12" s="91">
        <f>COMPCO!O17</f>
        <v>2.650222339308335</v>
      </c>
      <c r="I12"/>
      <c r="J12" s="91">
        <f>COMPCO!N17</f>
        <v>2.654297491155891</v>
      </c>
      <c r="K12"/>
      <c r="L12"/>
      <c r="M12"/>
      <c r="O12" s="31"/>
      <c r="Q12" s="102"/>
      <c r="R12" s="102"/>
      <c r="S12" s="102"/>
      <c r="T12" s="104"/>
      <c r="U12" s="103"/>
      <c r="V12" s="103"/>
      <c r="W12" s="104"/>
      <c r="X12" s="103"/>
      <c r="Y12" s="102"/>
      <c r="Z12" s="102"/>
    </row>
    <row r="13" spans="1:26" ht="9" customHeight="1">
      <c r="A13" s="47"/>
      <c r="B13" s="47"/>
      <c r="C13" s="226" t="s">
        <v>35</v>
      </c>
      <c r="D13" s="47" t="s">
        <v>36</v>
      </c>
      <c r="E13" s="47"/>
      <c r="F13" s="47" t="s">
        <v>11</v>
      </c>
      <c r="G13" s="52"/>
      <c r="H13" s="32">
        <f>H10*H12</f>
        <v>0.11553831400656935</v>
      </c>
      <c r="I13"/>
      <c r="J13" s="32">
        <f>J10*J12</f>
        <v>0.11072917325458814</v>
      </c>
      <c r="K13"/>
      <c r="L13"/>
      <c r="M13"/>
      <c r="N13" s="29"/>
      <c r="O13" s="29"/>
      <c r="Q13" s="102"/>
      <c r="R13" s="102"/>
      <c r="S13" s="102"/>
      <c r="T13" s="104"/>
      <c r="U13" s="103"/>
      <c r="V13" s="103"/>
      <c r="W13" s="104"/>
      <c r="X13" s="103"/>
      <c r="Y13" s="102"/>
      <c r="Z13" s="102"/>
    </row>
    <row r="14" spans="1:26" ht="9" customHeight="1">
      <c r="A14" s="47"/>
      <c r="B14" s="47"/>
      <c r="C14" s="226" t="s">
        <v>37</v>
      </c>
      <c r="D14" s="47" t="s">
        <v>38</v>
      </c>
      <c r="E14" s="260"/>
      <c r="F14" s="47" t="s">
        <v>8</v>
      </c>
      <c r="G14" s="54"/>
      <c r="H14" s="225">
        <v>0.16</v>
      </c>
      <c r="I14"/>
      <c r="J14" s="93">
        <v>0.16</v>
      </c>
      <c r="K14"/>
      <c r="L14"/>
      <c r="M14"/>
      <c r="N14" s="29"/>
      <c r="O14" s="29"/>
      <c r="Q14" s="102"/>
      <c r="R14" s="102"/>
      <c r="S14" s="102"/>
      <c r="T14" s="104"/>
      <c r="U14" s="103"/>
      <c r="V14" s="103"/>
      <c r="W14" s="104"/>
      <c r="X14" s="103"/>
      <c r="Y14" s="102"/>
      <c r="Z14" s="102"/>
    </row>
    <row r="15" spans="1:26" ht="9" customHeight="1">
      <c r="A15" s="47"/>
      <c r="B15" s="47"/>
      <c r="C15" s="226" t="s">
        <v>39</v>
      </c>
      <c r="D15" s="47" t="s">
        <v>40</v>
      </c>
      <c r="E15" s="47"/>
      <c r="F15" s="47" t="s">
        <v>13</v>
      </c>
      <c r="G15" s="54"/>
      <c r="H15" s="225">
        <f>1-(H13/H14)</f>
        <v>0.2778855374589416</v>
      </c>
      <c r="I15"/>
      <c r="J15" s="202">
        <f>1-(J13/J14)</f>
        <v>0.3079426671588241</v>
      </c>
      <c r="K15"/>
      <c r="L15"/>
      <c r="M15"/>
      <c r="N15" s="29"/>
      <c r="O15" s="29"/>
      <c r="Q15" s="102"/>
      <c r="R15" s="102"/>
      <c r="S15" s="102"/>
      <c r="T15" s="104"/>
      <c r="U15" s="103"/>
      <c r="V15" s="103"/>
      <c r="W15" s="104"/>
      <c r="X15" s="103"/>
      <c r="Y15" s="102"/>
      <c r="Z15" s="102"/>
    </row>
    <row r="16" spans="1:26" ht="9" customHeight="1">
      <c r="A16" s="47"/>
      <c r="B16" s="47"/>
      <c r="C16" s="47"/>
      <c r="D16" s="47"/>
      <c r="E16" s="52"/>
      <c r="F16" s="47"/>
      <c r="G16" s="54"/>
      <c r="H16" s="225"/>
      <c r="I16"/>
      <c r="J16" s="32"/>
      <c r="K16"/>
      <c r="L16"/>
      <c r="M16"/>
      <c r="N16" s="29"/>
      <c r="O16" s="29"/>
      <c r="Q16" s="102"/>
      <c r="R16" s="102"/>
      <c r="S16" s="102"/>
      <c r="T16" s="104"/>
      <c r="U16" s="103"/>
      <c r="V16" s="103"/>
      <c r="W16" s="104"/>
      <c r="X16" s="103"/>
      <c r="Y16" s="102"/>
      <c r="Z16" s="102"/>
    </row>
    <row r="17" spans="1:26" ht="9" customHeight="1">
      <c r="A17" s="47"/>
      <c r="B17" s="47">
        <v>3</v>
      </c>
      <c r="C17" s="47" t="s">
        <v>41</v>
      </c>
      <c r="D17" s="47"/>
      <c r="E17" s="47"/>
      <c r="F17" s="47" t="s">
        <v>7</v>
      </c>
      <c r="G17" s="52"/>
      <c r="H17" s="32">
        <f>H14*H15</f>
        <v>0.04446168599343066</v>
      </c>
      <c r="I17"/>
      <c r="J17" s="32">
        <f>J14*J15</f>
        <v>0.04927082674541186</v>
      </c>
      <c r="K17"/>
      <c r="L17"/>
      <c r="M17"/>
      <c r="N17" s="29"/>
      <c r="O17" s="29"/>
      <c r="Q17" s="102"/>
      <c r="R17" s="102"/>
      <c r="S17" s="102"/>
      <c r="T17" s="104"/>
      <c r="U17" s="103"/>
      <c r="V17" s="103"/>
      <c r="W17" s="104"/>
      <c r="X17" s="103"/>
      <c r="Y17" s="102"/>
      <c r="Z17" s="102"/>
    </row>
    <row r="18" spans="1:26" ht="9" customHeight="1">
      <c r="A18" s="47"/>
      <c r="B18" s="47">
        <v>4</v>
      </c>
      <c r="C18" s="47" t="s">
        <v>42</v>
      </c>
      <c r="D18" s="47"/>
      <c r="E18" s="52"/>
      <c r="F18" s="47" t="s">
        <v>20</v>
      </c>
      <c r="G18" s="54"/>
      <c r="H18" s="225">
        <f>((H12*($J$44*H12+1)/(H12+$J$44*H12)-1))</f>
        <v>0.0016485737655427268</v>
      </c>
      <c r="I18"/>
      <c r="J18" s="225">
        <f>((J12*($J$44*J12+1)/(J12+$J$44*J12)-1))</f>
        <v>0.0016526448463094479</v>
      </c>
      <c r="K18"/>
      <c r="L18"/>
      <c r="M18"/>
      <c r="N18" s="29"/>
      <c r="O18" s="29"/>
      <c r="Q18" s="102"/>
      <c r="R18" s="102"/>
      <c r="S18" s="102"/>
      <c r="T18" s="104"/>
      <c r="U18" s="103"/>
      <c r="V18" s="103"/>
      <c r="W18" s="104"/>
      <c r="X18" s="103"/>
      <c r="Y18" s="102"/>
      <c r="Z18" s="102"/>
    </row>
    <row r="19" spans="1:26" ht="9" customHeight="1">
      <c r="A19" s="47"/>
      <c r="B19" s="47">
        <v>5</v>
      </c>
      <c r="C19" s="47" t="s">
        <v>43</v>
      </c>
      <c r="D19" s="47"/>
      <c r="E19" s="47"/>
      <c r="F19" s="47" t="s">
        <v>44</v>
      </c>
      <c r="G19" s="52"/>
      <c r="H19" s="32">
        <f>H17+H18</f>
        <v>0.046110259758973385</v>
      </c>
      <c r="I19"/>
      <c r="J19" s="32">
        <f>J17+J18</f>
        <v>0.05092347159172131</v>
      </c>
      <c r="K19"/>
      <c r="L19"/>
      <c r="M19"/>
      <c r="N19" s="29"/>
      <c r="O19" s="29"/>
      <c r="Q19" s="102"/>
      <c r="R19" s="102"/>
      <c r="S19" s="102"/>
      <c r="T19" s="104"/>
      <c r="U19" s="103"/>
      <c r="V19" s="103"/>
      <c r="W19" s="104"/>
      <c r="X19" s="103"/>
      <c r="Y19" s="102"/>
      <c r="Z19" s="102"/>
    </row>
    <row r="20" spans="1:26" ht="9" customHeight="1">
      <c r="A20" s="47"/>
      <c r="B20" s="47"/>
      <c r="C20" s="47" t="s">
        <v>45</v>
      </c>
      <c r="D20" s="47"/>
      <c r="E20" s="47"/>
      <c r="F20" s="47"/>
      <c r="G20" s="52"/>
      <c r="H20" s="32"/>
      <c r="I20"/>
      <c r="J20" s="32"/>
      <c r="K20"/>
      <c r="L20"/>
      <c r="M20"/>
      <c r="N20" s="29"/>
      <c r="O20" s="29"/>
      <c r="Q20" s="102"/>
      <c r="R20" s="102"/>
      <c r="S20" s="102"/>
      <c r="T20" s="104"/>
      <c r="U20" s="103"/>
      <c r="V20" s="103"/>
      <c r="W20" s="104"/>
      <c r="X20" s="103"/>
      <c r="Y20" s="102"/>
      <c r="Z20" s="102"/>
    </row>
    <row r="21" spans="1:26" ht="9" customHeight="1">
      <c r="A21" s="47"/>
      <c r="B21" s="47"/>
      <c r="C21" s="47"/>
      <c r="D21" s="47"/>
      <c r="E21" s="47"/>
      <c r="F21" s="47"/>
      <c r="G21" s="52"/>
      <c r="H21" s="32"/>
      <c r="I21"/>
      <c r="J21" s="32"/>
      <c r="K21"/>
      <c r="L21"/>
      <c r="M21"/>
      <c r="N21" s="29"/>
      <c r="O21" s="29"/>
      <c r="Q21" s="102"/>
      <c r="R21" s="102"/>
      <c r="S21" s="102"/>
      <c r="T21" s="104"/>
      <c r="U21" s="103"/>
      <c r="V21" s="103"/>
      <c r="W21" s="104"/>
      <c r="X21" s="103"/>
      <c r="Y21" s="102"/>
      <c r="Z21" s="102"/>
    </row>
    <row r="22" spans="1:26" ht="9" customHeight="1">
      <c r="A22" s="47"/>
      <c r="B22" s="47">
        <v>6</v>
      </c>
      <c r="C22" s="47" t="s">
        <v>46</v>
      </c>
      <c r="D22" s="47"/>
      <c r="E22" s="47"/>
      <c r="F22" s="47" t="s">
        <v>47</v>
      </c>
      <c r="G22" s="52"/>
      <c r="H22" s="32">
        <f>(H19/2)*H10</f>
        <v>0.0010051046646046943</v>
      </c>
      <c r="I22"/>
      <c r="J22" s="32">
        <f>(J19/2)*J10</f>
        <v>0.0010621857435711291</v>
      </c>
      <c r="K22"/>
      <c r="L22"/>
      <c r="M22"/>
      <c r="N22" s="29"/>
      <c r="O22" s="29"/>
      <c r="Q22" s="102"/>
      <c r="R22" s="102"/>
      <c r="S22" s="102"/>
      <c r="T22" s="104"/>
      <c r="U22" s="103"/>
      <c r="V22" s="103"/>
      <c r="W22" s="104"/>
      <c r="X22" s="103"/>
      <c r="Y22" s="102"/>
      <c r="Z22" s="102"/>
    </row>
    <row r="23" spans="1:26" ht="9" customHeight="1">
      <c r="A23" s="47"/>
      <c r="B23" s="47"/>
      <c r="C23" s="47" t="s">
        <v>48</v>
      </c>
      <c r="D23" s="47"/>
      <c r="E23" s="47"/>
      <c r="F23" s="47"/>
      <c r="G23" s="52"/>
      <c r="H23" s="32"/>
      <c r="I23"/>
      <c r="J23" s="32"/>
      <c r="K23"/>
      <c r="L23"/>
      <c r="M23"/>
      <c r="N23" s="29"/>
      <c r="O23" s="29"/>
      <c r="Q23" s="102"/>
      <c r="R23" s="102"/>
      <c r="S23" s="102"/>
      <c r="T23" s="104"/>
      <c r="U23" s="103"/>
      <c r="V23" s="103"/>
      <c r="W23" s="104"/>
      <c r="X23" s="103"/>
      <c r="Y23" s="102"/>
      <c r="Z23" s="102"/>
    </row>
    <row r="24" spans="1:26" ht="9" customHeight="1">
      <c r="A24" s="47"/>
      <c r="B24" s="47"/>
      <c r="C24" s="47"/>
      <c r="D24" s="47"/>
      <c r="E24" s="47"/>
      <c r="F24" s="47"/>
      <c r="G24" s="52"/>
      <c r="H24" s="32"/>
      <c r="I24"/>
      <c r="J24" s="32"/>
      <c r="K24"/>
      <c r="L24"/>
      <c r="M24"/>
      <c r="N24" s="29"/>
      <c r="O24" s="29"/>
      <c r="Q24" s="102"/>
      <c r="R24" s="102"/>
      <c r="S24" s="102"/>
      <c r="T24" s="104"/>
      <c r="U24" s="103"/>
      <c r="V24" s="103"/>
      <c r="W24" s="104"/>
      <c r="X24" s="103"/>
      <c r="Y24" s="102"/>
      <c r="Z24" s="102"/>
    </row>
    <row r="25" spans="1:36" s="26" customFormat="1" ht="9" customHeight="1">
      <c r="A25" s="50"/>
      <c r="B25" s="50">
        <v>7</v>
      </c>
      <c r="C25" s="50" t="s">
        <v>49</v>
      </c>
      <c r="D25" s="50"/>
      <c r="E25" s="50"/>
      <c r="F25" s="50" t="s">
        <v>50</v>
      </c>
      <c r="G25" s="55"/>
      <c r="H25" s="202">
        <f>H22+H19+H10</f>
        <v>0.09071107044902912</v>
      </c>
      <c r="I25"/>
      <c r="J25" s="202">
        <f>J22+J19+J10</f>
        <v>0.09370259887011938</v>
      </c>
      <c r="K25"/>
      <c r="L25"/>
      <c r="M25"/>
      <c r="N25" s="33"/>
      <c r="O25" s="33"/>
      <c r="P25" s="24"/>
      <c r="Q25" s="102"/>
      <c r="R25" s="102"/>
      <c r="S25" s="102"/>
      <c r="T25" s="104"/>
      <c r="U25" s="103"/>
      <c r="V25" s="103"/>
      <c r="W25" s="104"/>
      <c r="X25" s="103"/>
      <c r="Y25" s="102"/>
      <c r="Z25" s="102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26" ht="9" customHeight="1">
      <c r="A26" s="47"/>
      <c r="B26" s="47"/>
      <c r="C26" s="47"/>
      <c r="D26" s="47"/>
      <c r="E26" s="47"/>
      <c r="F26" s="47"/>
      <c r="G26" s="52"/>
      <c r="H26" s="29"/>
      <c r="I26" s="32"/>
      <c r="J26" s="29"/>
      <c r="K26" s="29"/>
      <c r="L26"/>
      <c r="M26" s="32"/>
      <c r="N26" s="29"/>
      <c r="O26" s="29"/>
      <c r="Q26" s="102"/>
      <c r="R26" s="102"/>
      <c r="S26" s="102"/>
      <c r="T26" s="104"/>
      <c r="U26" s="103"/>
      <c r="V26" s="103"/>
      <c r="W26" s="104"/>
      <c r="X26" s="103"/>
      <c r="Y26" s="102"/>
      <c r="Z26" s="102"/>
    </row>
    <row r="27" spans="7:26" ht="9">
      <c r="G27" s="52"/>
      <c r="H27" s="29"/>
      <c r="I27" s="29"/>
      <c r="J27" s="29"/>
      <c r="K27" s="29"/>
      <c r="L27" s="29"/>
      <c r="M27" s="29"/>
      <c r="N27" s="29"/>
      <c r="O27" s="29"/>
      <c r="Q27" s="102"/>
      <c r="R27" s="102"/>
      <c r="S27" s="102"/>
      <c r="T27" s="104"/>
      <c r="U27" s="103"/>
      <c r="V27" s="103"/>
      <c r="W27" s="104"/>
      <c r="X27" s="103"/>
      <c r="Y27" s="102"/>
      <c r="Z27" s="102"/>
    </row>
    <row r="28" spans="7:26" ht="9">
      <c r="G28" s="29"/>
      <c r="H28" s="29"/>
      <c r="I28" s="29"/>
      <c r="J28" s="29"/>
      <c r="K28" s="29"/>
      <c r="L28" s="29"/>
      <c r="M28" s="29"/>
      <c r="N28" s="29"/>
      <c r="O28" s="29"/>
      <c r="Q28" s="102"/>
      <c r="R28" s="102"/>
      <c r="S28" s="102"/>
      <c r="T28" s="104"/>
      <c r="U28" s="103"/>
      <c r="V28" s="103"/>
      <c r="W28" s="104"/>
      <c r="X28" s="103"/>
      <c r="Y28" s="102"/>
      <c r="Z28" s="102"/>
    </row>
    <row r="29" spans="2:26" ht="12.75">
      <c r="B29" s="26"/>
      <c r="G29" s="29"/>
      <c r="H29" s="29"/>
      <c r="I29" s="29"/>
      <c r="J29" s="29"/>
      <c r="K29"/>
      <c r="L29" s="29"/>
      <c r="M29" s="29"/>
      <c r="N29" s="29"/>
      <c r="O29" s="29"/>
      <c r="Q29" s="102"/>
      <c r="R29" s="102"/>
      <c r="S29" s="102"/>
      <c r="T29" s="104"/>
      <c r="U29" s="103"/>
      <c r="V29" s="103"/>
      <c r="W29" s="104"/>
      <c r="X29" s="103"/>
      <c r="Y29" s="102"/>
      <c r="Z29" s="102"/>
    </row>
    <row r="30" spans="7:26" ht="12.75">
      <c r="G30" s="29"/>
      <c r="H30" s="29"/>
      <c r="I30" s="29"/>
      <c r="J30" s="29" t="s">
        <v>14</v>
      </c>
      <c r="K30"/>
      <c r="L30" s="29"/>
      <c r="M30" s="29"/>
      <c r="N30" s="29"/>
      <c r="O30" s="29"/>
      <c r="Q30" s="102"/>
      <c r="R30" s="102"/>
      <c r="S30" s="102"/>
      <c r="T30" s="104"/>
      <c r="U30" s="103"/>
      <c r="V30" s="103"/>
      <c r="W30" s="104"/>
      <c r="X30" s="103"/>
      <c r="Y30" s="102"/>
      <c r="Z30" s="102"/>
    </row>
    <row r="31" spans="7:26" ht="12.75">
      <c r="G31" s="29"/>
      <c r="H31" s="29" t="s">
        <v>347</v>
      </c>
      <c r="I31" s="29" t="s">
        <v>206</v>
      </c>
      <c r="K31"/>
      <c r="L31" s="29"/>
      <c r="M31" s="29"/>
      <c r="N31" s="29"/>
      <c r="O31" s="29"/>
      <c r="Q31" s="102"/>
      <c r="R31" s="102"/>
      <c r="S31" s="102"/>
      <c r="T31" s="104"/>
      <c r="U31" s="103"/>
      <c r="V31" s="103"/>
      <c r="W31" s="104"/>
      <c r="X31" s="103"/>
      <c r="Y31" s="102"/>
      <c r="Z31" s="102"/>
    </row>
    <row r="32" spans="3:15" ht="9" customHeight="1">
      <c r="C32" s="24" t="s">
        <v>365</v>
      </c>
      <c r="G32" s="29"/>
      <c r="H32" s="29">
        <f>COMPCO!AB18</f>
        <v>0.16</v>
      </c>
      <c r="I32" s="90">
        <f>COMPCO!AB17</f>
        <v>0.15333333333333335</v>
      </c>
      <c r="J32" s="24" t="s">
        <v>362</v>
      </c>
      <c r="K32"/>
      <c r="L32" s="29"/>
      <c r="M32" s="29"/>
      <c r="N32" s="29"/>
      <c r="O32" s="29"/>
    </row>
    <row r="33" spans="3:15" ht="9" customHeight="1">
      <c r="C33" s="24" t="s">
        <v>366</v>
      </c>
      <c r="G33" s="29"/>
      <c r="H33" s="29"/>
      <c r="I33" s="90">
        <v>0.115</v>
      </c>
      <c r="J33" s="24" t="s">
        <v>367</v>
      </c>
      <c r="K33"/>
      <c r="L33" s="29"/>
      <c r="M33" s="29"/>
      <c r="N33" s="29"/>
      <c r="O33" s="29"/>
    </row>
    <row r="34" spans="3:15" ht="9" customHeight="1">
      <c r="C34" s="24" t="s">
        <v>51</v>
      </c>
      <c r="G34" s="29"/>
      <c r="H34" s="29">
        <f>COMPCO!AP18</f>
        <v>0.16212731269855654</v>
      </c>
      <c r="I34" s="90">
        <f>COMPCO!AP17</f>
        <v>0.17054649484015383</v>
      </c>
      <c r="J34" s="24" t="s">
        <v>363</v>
      </c>
      <c r="K34"/>
      <c r="L34" s="29"/>
      <c r="M34" s="29"/>
      <c r="N34" s="29"/>
      <c r="O34" s="29"/>
    </row>
    <row r="35" spans="3:15" ht="9" customHeight="1">
      <c r="C35" s="24" t="s">
        <v>52</v>
      </c>
      <c r="E35" s="92">
        <f>COMPCO!$Y$8</f>
        <v>2003</v>
      </c>
      <c r="G35" s="29"/>
      <c r="H35" s="29">
        <f>COMPCO!AA18</f>
        <v>0.2041420118343195</v>
      </c>
      <c r="I35" s="90">
        <f>COMPCO!AA17</f>
        <v>0.18790367285542284</v>
      </c>
      <c r="J35" s="29" t="s">
        <v>362</v>
      </c>
      <c r="K35"/>
      <c r="L35" s="29"/>
      <c r="M35" s="29"/>
      <c r="N35" s="29"/>
      <c r="O35" s="29"/>
    </row>
    <row r="36" spans="3:15" ht="9" customHeight="1">
      <c r="C36" s="24" t="s">
        <v>52</v>
      </c>
      <c r="E36" s="92">
        <f>COMPCO!$X$8</f>
        <v>2002</v>
      </c>
      <c r="G36" s="29"/>
      <c r="H36" s="29">
        <f>COMPCO!AC18</f>
        <v>0.21928934010152287</v>
      </c>
      <c r="I36" s="90">
        <f>COMPCO!AC17</f>
        <v>0.197127390846471</v>
      </c>
      <c r="J36" s="29" t="s">
        <v>362</v>
      </c>
      <c r="K36"/>
      <c r="L36" s="29"/>
      <c r="M36" s="29"/>
      <c r="N36" s="29"/>
      <c r="O36" s="29"/>
    </row>
    <row r="37" spans="7:15" ht="9">
      <c r="G37" s="29"/>
      <c r="H37" s="29"/>
      <c r="I37" s="90"/>
      <c r="J37" s="29"/>
      <c r="K37" s="29"/>
      <c r="L37" s="29"/>
      <c r="M37" s="29"/>
      <c r="N37" s="29"/>
      <c r="O37" s="29"/>
    </row>
    <row r="38" spans="2:15" ht="9">
      <c r="B38" s="24" t="str">
        <f>F12</f>
        <v>[B]</v>
      </c>
      <c r="C38" s="24" t="str">
        <f>COMPCO!$P$2</f>
        <v>Exhibit___ (JAR 3) Schedule 3, P. 1</v>
      </c>
      <c r="G38" s="29"/>
      <c r="H38" s="29"/>
      <c r="I38" s="90"/>
      <c r="J38" s="29"/>
      <c r="K38" s="29"/>
      <c r="L38" s="29"/>
      <c r="M38" s="29"/>
      <c r="N38" s="29"/>
      <c r="O38" s="29"/>
    </row>
    <row r="39" spans="2:3" ht="9">
      <c r="B39" s="24" t="str">
        <f>F13</f>
        <v>[C]</v>
      </c>
      <c r="C39" s="24" t="s">
        <v>53</v>
      </c>
    </row>
    <row r="40" spans="2:3" ht="9">
      <c r="B40" s="24" t="str">
        <f>F15</f>
        <v>[D]</v>
      </c>
      <c r="C40" s="24" t="s">
        <v>54</v>
      </c>
    </row>
    <row r="41" spans="2:3" ht="9">
      <c r="B41" s="24" t="str">
        <f>F17</f>
        <v>[E]</v>
      </c>
      <c r="C41" s="24" t="s">
        <v>55</v>
      </c>
    </row>
    <row r="42" spans="2:3" ht="9">
      <c r="B42" s="24" t="str">
        <f>F18</f>
        <v>[F]</v>
      </c>
      <c r="C42" s="24" t="s">
        <v>56</v>
      </c>
    </row>
    <row r="43" ht="9">
      <c r="C43" s="24" t="s">
        <v>57</v>
      </c>
    </row>
    <row r="44" spans="3:11" ht="9">
      <c r="C44" s="24" t="s">
        <v>58</v>
      </c>
      <c r="H44" s="24" t="s">
        <v>59</v>
      </c>
      <c r="J44" s="90">
        <f>EXTFIN!L20</f>
        <v>0.001</v>
      </c>
      <c r="K44" s="24" t="s">
        <v>60</v>
      </c>
    </row>
    <row r="45" spans="2:3" ht="9">
      <c r="B45" s="24" t="str">
        <f>F19</f>
        <v>[G]</v>
      </c>
      <c r="C45" s="24" t="s">
        <v>61</v>
      </c>
    </row>
    <row r="46" spans="1:10" ht="12.75">
      <c r="A46"/>
      <c r="B46" s="24" t="str">
        <f>F22</f>
        <v>[H]</v>
      </c>
      <c r="C46" s="24" t="s">
        <v>62</v>
      </c>
      <c r="J46" s="29"/>
    </row>
    <row r="47" spans="2:3" ht="9">
      <c r="B47" s="24" t="str">
        <f>F25</f>
        <v>[I]</v>
      </c>
      <c r="C47" s="24" t="s">
        <v>63</v>
      </c>
    </row>
    <row r="48" spans="2:3" ht="9">
      <c r="B48" s="24" t="str">
        <f>K44</f>
        <v>[J]</v>
      </c>
      <c r="C48" s="24" t="str">
        <f>EXTFIN!$I$2</f>
        <v>Exhibit ___(JAR-3) Schedule 7</v>
      </c>
    </row>
    <row r="49" ht="9">
      <c r="B49" s="29"/>
    </row>
    <row r="52" ht="9">
      <c r="M52" s="224"/>
    </row>
    <row r="53" ht="9">
      <c r="E53" s="25"/>
    </row>
    <row r="54" ht="9">
      <c r="E54" s="26"/>
    </row>
    <row r="56" spans="6:11" ht="12.75">
      <c r="F56" s="26"/>
      <c r="K56"/>
    </row>
    <row r="57" spans="2:11" ht="12.75">
      <c r="B57" s="47"/>
      <c r="C57" s="47"/>
      <c r="D57" s="47"/>
      <c r="E57" s="47"/>
      <c r="F57" s="47"/>
      <c r="K57"/>
    </row>
    <row r="58" spans="2:11" ht="12.75">
      <c r="B58" s="47"/>
      <c r="C58" s="49"/>
      <c r="D58" s="49"/>
      <c r="E58" s="49"/>
      <c r="F58" s="50"/>
      <c r="K58"/>
    </row>
    <row r="59" spans="1:11" ht="12.75">
      <c r="A59" s="47"/>
      <c r="B59" s="47"/>
      <c r="C59" s="49"/>
      <c r="D59" s="49"/>
      <c r="E59" s="49"/>
      <c r="F59" s="50"/>
      <c r="K59"/>
    </row>
    <row r="60" spans="1:11" ht="12.75">
      <c r="A60" s="47"/>
      <c r="B60" s="47"/>
      <c r="C60" s="47"/>
      <c r="D60" s="47"/>
      <c r="E60" s="47"/>
      <c r="F60" s="47"/>
      <c r="K60"/>
    </row>
    <row r="61" spans="1:11" ht="12.75">
      <c r="A61" s="47"/>
      <c r="B61" s="47"/>
      <c r="C61" s="47"/>
      <c r="D61" s="47"/>
      <c r="E61" s="47"/>
      <c r="F61" s="47"/>
      <c r="K61"/>
    </row>
    <row r="62" spans="1:11" ht="12.75">
      <c r="A62" s="47"/>
      <c r="B62" s="47"/>
      <c r="C62" s="47"/>
      <c r="D62" s="47"/>
      <c r="E62" s="47"/>
      <c r="F62" s="47"/>
      <c r="K62"/>
    </row>
    <row r="63" spans="1:11" ht="12.75">
      <c r="A63" s="47"/>
      <c r="B63" s="47"/>
      <c r="C63" s="226"/>
      <c r="D63" s="47"/>
      <c r="E63" s="47"/>
      <c r="F63" s="47"/>
      <c r="K63"/>
    </row>
    <row r="64" spans="1:11" ht="12.75">
      <c r="A64" s="47"/>
      <c r="B64" s="47"/>
      <c r="C64" s="226"/>
      <c r="D64" s="47"/>
      <c r="E64" s="47"/>
      <c r="F64" s="47"/>
      <c r="K64"/>
    </row>
    <row r="65" spans="1:11" ht="12.75">
      <c r="A65" s="47"/>
      <c r="B65" s="47"/>
      <c r="C65" s="226"/>
      <c r="D65" s="47"/>
      <c r="E65" s="47"/>
      <c r="F65" s="47"/>
      <c r="K65"/>
    </row>
    <row r="66" spans="1:11" ht="12.75">
      <c r="A66" s="47"/>
      <c r="B66" s="47"/>
      <c r="C66" s="226"/>
      <c r="D66" s="47"/>
      <c r="E66" s="47"/>
      <c r="F66" s="47"/>
      <c r="K66"/>
    </row>
    <row r="67" spans="1:11" ht="12.75">
      <c r="A67" s="47"/>
      <c r="B67" s="47"/>
      <c r="C67" s="47"/>
      <c r="D67" s="47"/>
      <c r="E67" s="47"/>
      <c r="F67" s="47"/>
      <c r="K67"/>
    </row>
    <row r="68" spans="1:11" ht="12.75">
      <c r="A68" s="47"/>
      <c r="B68" s="47"/>
      <c r="C68" s="47"/>
      <c r="D68" s="47"/>
      <c r="E68" s="47"/>
      <c r="F68" s="47"/>
      <c r="K68"/>
    </row>
    <row r="69" spans="1:11" ht="12.75">
      <c r="A69" s="47"/>
      <c r="B69" s="47"/>
      <c r="C69" s="47"/>
      <c r="D69" s="47"/>
      <c r="E69" s="47"/>
      <c r="F69" s="47"/>
      <c r="K69"/>
    </row>
    <row r="70" spans="1:11" ht="12.75">
      <c r="A70" s="47"/>
      <c r="B70" s="47"/>
      <c r="C70" s="47"/>
      <c r="D70" s="47"/>
      <c r="E70" s="47"/>
      <c r="F70" s="47"/>
      <c r="K70"/>
    </row>
    <row r="71" spans="1:11" ht="12.75">
      <c r="A71" s="47"/>
      <c r="B71" s="47"/>
      <c r="C71" s="47"/>
      <c r="D71" s="47"/>
      <c r="E71" s="47"/>
      <c r="F71" s="47"/>
      <c r="K71"/>
    </row>
    <row r="72" spans="1:11" ht="12.75">
      <c r="A72" s="47"/>
      <c r="B72" s="47"/>
      <c r="C72" s="47"/>
      <c r="D72" s="47"/>
      <c r="E72" s="47"/>
      <c r="F72" s="47"/>
      <c r="K72"/>
    </row>
    <row r="73" spans="1:11" ht="12.75">
      <c r="A73" s="47"/>
      <c r="B73" s="47"/>
      <c r="C73" s="47"/>
      <c r="D73" s="47"/>
      <c r="E73" s="47"/>
      <c r="F73" s="47"/>
      <c r="K73"/>
    </row>
    <row r="74" spans="1:11" ht="12.75">
      <c r="A74" s="47"/>
      <c r="B74" s="47"/>
      <c r="C74" s="47"/>
      <c r="D74" s="47"/>
      <c r="E74" s="47"/>
      <c r="F74" s="47"/>
      <c r="K74"/>
    </row>
    <row r="75" spans="1:11" ht="12.75">
      <c r="A75" s="47"/>
      <c r="B75" s="47"/>
      <c r="C75" s="47"/>
      <c r="D75" s="47"/>
      <c r="E75" s="47"/>
      <c r="F75" s="47"/>
      <c r="K75"/>
    </row>
    <row r="76" spans="1:11" ht="12.75">
      <c r="A76" s="50"/>
      <c r="B76" s="50"/>
      <c r="C76" s="50"/>
      <c r="D76" s="50"/>
      <c r="E76" s="50"/>
      <c r="F76" s="50"/>
      <c r="K76"/>
    </row>
    <row r="77" spans="1:11" ht="9">
      <c r="A77" s="47"/>
      <c r="B77" s="47"/>
      <c r="C77" s="47"/>
      <c r="D77" s="47"/>
      <c r="E77" s="47"/>
      <c r="F77" s="47"/>
      <c r="K77" s="29"/>
    </row>
    <row r="78" ht="9">
      <c r="K78" s="29"/>
    </row>
    <row r="79" ht="9">
      <c r="K79" s="29"/>
    </row>
    <row r="80" spans="2:11" ht="12.75">
      <c r="B80" s="26"/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spans="5:11" ht="12.75">
      <c r="E85" s="92"/>
      <c r="K85"/>
    </row>
    <row r="86" spans="5:11" ht="12.75">
      <c r="E86" s="92"/>
      <c r="K86"/>
    </row>
    <row r="87" ht="9">
      <c r="K87" s="29"/>
    </row>
    <row r="88" ht="9">
      <c r="K88" s="29"/>
    </row>
    <row r="96" spans="1:10" ht="12.75">
      <c r="A96"/>
      <c r="J96" s="29"/>
    </row>
    <row r="99" ht="9">
      <c r="M99" s="224"/>
    </row>
    <row r="100" ht="9">
      <c r="E100" s="25"/>
    </row>
    <row r="101" ht="9">
      <c r="E101" s="26"/>
    </row>
    <row r="103" spans="6:11" ht="12.75">
      <c r="F103" s="26"/>
      <c r="G103" s="26"/>
      <c r="K103"/>
    </row>
    <row r="104" spans="2:11" ht="12.75">
      <c r="B104" s="47"/>
      <c r="C104" s="47"/>
      <c r="D104" s="47"/>
      <c r="E104" s="47"/>
      <c r="F104" s="47"/>
      <c r="G104" s="47"/>
      <c r="K104"/>
    </row>
    <row r="105" spans="2:11" ht="12.75">
      <c r="B105" s="47"/>
      <c r="C105" s="49"/>
      <c r="D105" s="49"/>
      <c r="E105" s="49"/>
      <c r="F105" s="50"/>
      <c r="G105" s="50"/>
      <c r="K105"/>
    </row>
    <row r="106" spans="1:11" ht="12.75">
      <c r="A106" s="47"/>
      <c r="B106" s="47"/>
      <c r="C106" s="49"/>
      <c r="D106" s="49"/>
      <c r="E106" s="49"/>
      <c r="F106" s="50"/>
      <c r="G106" s="50"/>
      <c r="K106"/>
    </row>
    <row r="107" spans="1:11" ht="12.75">
      <c r="A107" s="47"/>
      <c r="B107" s="47"/>
      <c r="C107" s="47"/>
      <c r="D107" s="47"/>
      <c r="E107" s="47"/>
      <c r="F107" s="47"/>
      <c r="G107" s="47"/>
      <c r="K107"/>
    </row>
    <row r="108" spans="1:11" ht="12.75">
      <c r="A108" s="47"/>
      <c r="B108" s="47"/>
      <c r="C108" s="47"/>
      <c r="D108" s="47"/>
      <c r="E108" s="47"/>
      <c r="F108" s="47"/>
      <c r="G108" s="52"/>
      <c r="K108"/>
    </row>
    <row r="109" spans="1:11" ht="12.75">
      <c r="A109" s="47"/>
      <c r="B109" s="47"/>
      <c r="C109" s="47"/>
      <c r="D109" s="47"/>
      <c r="E109" s="47"/>
      <c r="F109" s="47"/>
      <c r="G109" s="52"/>
      <c r="K109"/>
    </row>
    <row r="110" spans="1:11" ht="12.75">
      <c r="A110" s="47"/>
      <c r="B110" s="47"/>
      <c r="C110" s="226"/>
      <c r="D110" s="47"/>
      <c r="E110" s="47"/>
      <c r="F110" s="47"/>
      <c r="G110" s="53"/>
      <c r="K110"/>
    </row>
    <row r="111" spans="1:11" ht="12.75">
      <c r="A111" s="47"/>
      <c r="B111" s="47"/>
      <c r="C111" s="226"/>
      <c r="D111" s="47"/>
      <c r="E111" s="47"/>
      <c r="F111" s="47"/>
      <c r="G111" s="52"/>
      <c r="K111"/>
    </row>
    <row r="112" spans="1:11" ht="12.75">
      <c r="A112" s="47"/>
      <c r="B112" s="47"/>
      <c r="C112" s="226"/>
      <c r="D112" s="47"/>
      <c r="E112" s="47"/>
      <c r="F112" s="47"/>
      <c r="G112" s="52"/>
      <c r="K112"/>
    </row>
    <row r="113" spans="1:11" ht="12.75">
      <c r="A113" s="47"/>
      <c r="B113" s="47"/>
      <c r="C113" s="226"/>
      <c r="D113" s="47"/>
      <c r="E113" s="47"/>
      <c r="F113" s="47"/>
      <c r="G113" s="52"/>
      <c r="K113"/>
    </row>
    <row r="114" spans="1:11" ht="12.75">
      <c r="A114" s="47"/>
      <c r="B114" s="47"/>
      <c r="C114" s="47"/>
      <c r="D114" s="47"/>
      <c r="E114" s="47"/>
      <c r="F114" s="47"/>
      <c r="G114" s="52"/>
      <c r="K114"/>
    </row>
    <row r="115" spans="1:11" ht="12.75">
      <c r="A115" s="47"/>
      <c r="B115" s="47"/>
      <c r="C115" s="47"/>
      <c r="D115" s="47"/>
      <c r="E115" s="47"/>
      <c r="F115" s="47"/>
      <c r="G115" s="52"/>
      <c r="K115"/>
    </row>
    <row r="116" spans="1:11" ht="12.75">
      <c r="A116" s="47"/>
      <c r="B116" s="47"/>
      <c r="C116" s="47"/>
      <c r="D116" s="47"/>
      <c r="E116" s="47"/>
      <c r="F116" s="47"/>
      <c r="G116" s="54"/>
      <c r="K116"/>
    </row>
    <row r="117" spans="1:11" ht="12.75">
      <c r="A117" s="47"/>
      <c r="B117" s="47"/>
      <c r="C117" s="47"/>
      <c r="D117" s="47"/>
      <c r="E117" s="47"/>
      <c r="F117" s="47"/>
      <c r="G117" s="52"/>
      <c r="K117"/>
    </row>
    <row r="118" spans="1:11" ht="12.75">
      <c r="A118" s="47"/>
      <c r="B118" s="47"/>
      <c r="C118" s="47"/>
      <c r="D118" s="47"/>
      <c r="E118" s="47"/>
      <c r="F118" s="47"/>
      <c r="G118" s="52"/>
      <c r="K118"/>
    </row>
    <row r="119" spans="1:11" ht="12.75">
      <c r="A119" s="47"/>
      <c r="B119" s="47"/>
      <c r="C119" s="47"/>
      <c r="D119" s="47"/>
      <c r="E119" s="47"/>
      <c r="F119" s="47"/>
      <c r="G119" s="52"/>
      <c r="K119"/>
    </row>
    <row r="120" spans="1:11" ht="12.75">
      <c r="A120" s="47"/>
      <c r="B120" s="47"/>
      <c r="C120" s="47"/>
      <c r="D120" s="47"/>
      <c r="E120" s="47"/>
      <c r="F120" s="47"/>
      <c r="G120" s="52"/>
      <c r="K120"/>
    </row>
    <row r="121" spans="1:11" ht="12.75">
      <c r="A121" s="47"/>
      <c r="B121" s="47"/>
      <c r="C121" s="47"/>
      <c r="D121" s="47"/>
      <c r="E121" s="47"/>
      <c r="F121" s="47"/>
      <c r="G121" s="52"/>
      <c r="K121"/>
    </row>
    <row r="122" spans="1:11" ht="12.75">
      <c r="A122" s="47"/>
      <c r="B122" s="47"/>
      <c r="C122" s="47"/>
      <c r="D122" s="47"/>
      <c r="E122" s="47"/>
      <c r="F122" s="47"/>
      <c r="G122" s="52"/>
      <c r="K122"/>
    </row>
    <row r="123" spans="1:11" ht="12.75">
      <c r="A123" s="50"/>
      <c r="B123" s="50"/>
      <c r="C123" s="50"/>
      <c r="D123" s="50"/>
      <c r="E123" s="50"/>
      <c r="F123" s="50"/>
      <c r="G123" s="55"/>
      <c r="K123"/>
    </row>
    <row r="124" spans="1:11" ht="9">
      <c r="A124" s="47"/>
      <c r="B124" s="47"/>
      <c r="C124" s="47"/>
      <c r="D124" s="47"/>
      <c r="E124" s="47"/>
      <c r="F124" s="47"/>
      <c r="G124" s="52"/>
      <c r="K124" s="29"/>
    </row>
    <row r="125" spans="7:11" ht="9">
      <c r="G125" s="52"/>
      <c r="K125" s="29"/>
    </row>
    <row r="126" spans="7:11" ht="9">
      <c r="G126" s="29"/>
      <c r="K126" s="29"/>
    </row>
    <row r="127" spans="2:11" ht="12.75">
      <c r="B127" s="26"/>
      <c r="G127" s="29"/>
      <c r="K127"/>
    </row>
    <row r="128" spans="7:11" ht="12.75">
      <c r="G128" s="29"/>
      <c r="K128"/>
    </row>
    <row r="129" spans="7:11" ht="12.75">
      <c r="G129" s="29"/>
      <c r="K129"/>
    </row>
    <row r="130" spans="7:11" ht="12.75">
      <c r="G130" s="29"/>
      <c r="K130"/>
    </row>
    <row r="131" spans="7:11" ht="12.75">
      <c r="G131" s="29"/>
      <c r="H131" s="29"/>
      <c r="I131" s="90"/>
      <c r="K131"/>
    </row>
    <row r="132" spans="5:11" ht="12.75">
      <c r="E132" s="92"/>
      <c r="G132" s="29"/>
      <c r="H132" s="29"/>
      <c r="I132" s="90"/>
      <c r="J132" s="29"/>
      <c r="K132"/>
    </row>
    <row r="133" spans="5:11" ht="12.75">
      <c r="E133" s="92"/>
      <c r="G133" s="29"/>
      <c r="H133" s="29"/>
      <c r="I133" s="90"/>
      <c r="J133" s="29"/>
      <c r="K133"/>
    </row>
    <row r="134" spans="7:11" ht="9">
      <c r="G134" s="29"/>
      <c r="H134" s="29"/>
      <c r="I134" s="90"/>
      <c r="J134" s="29"/>
      <c r="K134" s="29"/>
    </row>
    <row r="135" spans="7:11" ht="9">
      <c r="G135" s="29"/>
      <c r="H135" s="29"/>
      <c r="I135" s="29"/>
      <c r="J135" s="29"/>
      <c r="K135" s="29"/>
    </row>
    <row r="141" ht="9">
      <c r="J141" s="90"/>
    </row>
    <row r="143" spans="1:10" ht="12.75">
      <c r="A143"/>
      <c r="J143" s="29"/>
    </row>
  </sheetData>
  <printOptions horizontalCentered="1" verticalCentered="1"/>
  <pageMargins left="0.75" right="0.75" top="1" bottom="1" header="0.5" footer="0.5"/>
  <pageSetup fitToHeight="0" fitToWidth="1" horizontalDpi="300" verticalDpi="300" orientation="portrait" scale="88" r:id="rId1"/>
  <rowBreaks count="1" manualBreakCount="1">
    <brk id="5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C170"/>
  <sheetViews>
    <sheetView workbookViewId="0" topLeftCell="A1">
      <selection activeCell="A50" sqref="A50"/>
    </sheetView>
  </sheetViews>
  <sheetFormatPr defaultColWidth="9.140625" defaultRowHeight="12.75"/>
  <cols>
    <col min="1" max="1" width="3.28125" style="24" customWidth="1"/>
    <col min="2" max="2" width="4.57421875" style="24" customWidth="1"/>
    <col min="3" max="4" width="9.140625" style="24" customWidth="1"/>
    <col min="5" max="5" width="8.28125" style="24" customWidth="1"/>
    <col min="6" max="6" width="4.28125" style="24" customWidth="1"/>
    <col min="7" max="7" width="5.8515625" style="24" customWidth="1"/>
    <col min="8" max="8" width="9.140625" style="24" customWidth="1"/>
    <col min="9" max="9" width="7.8515625" style="24" customWidth="1"/>
    <col min="10" max="10" width="10.28125" style="24" customWidth="1"/>
    <col min="11" max="11" width="4.57421875" style="24" customWidth="1"/>
    <col min="12" max="12" width="1.421875" style="24" customWidth="1"/>
    <col min="13" max="13" width="27.7109375" style="24" customWidth="1"/>
    <col min="14" max="14" width="0.42578125" style="24" customWidth="1"/>
    <col min="15" max="15" width="6.00390625" style="24" customWidth="1"/>
    <col min="16" max="16" width="4.8515625" style="24" customWidth="1"/>
    <col min="17" max="19" width="9.140625" style="24" customWidth="1"/>
    <col min="20" max="20" width="3.7109375" style="24" customWidth="1"/>
    <col min="21" max="21" width="3.57421875" style="24" customWidth="1"/>
    <col min="22" max="16384" width="9.140625" style="24" customWidth="1"/>
  </cols>
  <sheetData>
    <row r="1" ht="9">
      <c r="M1" s="224"/>
    </row>
    <row r="2" spans="5:26" ht="10.5" customHeight="1">
      <c r="E2" s="336" t="s">
        <v>475</v>
      </c>
      <c r="M2" s="197" t="s">
        <v>592</v>
      </c>
      <c r="N2" s="26"/>
      <c r="Q2" s="102"/>
      <c r="R2" s="102"/>
      <c r="S2" s="102"/>
      <c r="T2" s="102"/>
      <c r="U2" s="103"/>
      <c r="V2" s="102"/>
      <c r="W2" s="102"/>
      <c r="X2" s="102"/>
      <c r="Y2" s="102"/>
      <c r="Z2" s="102"/>
    </row>
    <row r="3" spans="5:26" ht="11.25" customHeight="1">
      <c r="E3" s="26" t="s">
        <v>24</v>
      </c>
      <c r="M3" s="197" t="str">
        <f>OCC!I3</f>
        <v>Docket No. UT-040788</v>
      </c>
      <c r="Q3" s="102"/>
      <c r="R3" s="102"/>
      <c r="S3" s="102"/>
      <c r="T3" s="102"/>
      <c r="U3" s="103"/>
      <c r="V3" s="102"/>
      <c r="W3" s="102"/>
      <c r="X3" s="102"/>
      <c r="Y3" s="102"/>
      <c r="Z3" s="102"/>
    </row>
    <row r="4" spans="13:26" ht="9" customHeight="1">
      <c r="M4" s="26" t="s">
        <v>622</v>
      </c>
      <c r="Q4" s="102"/>
      <c r="R4" s="102"/>
      <c r="S4" s="102"/>
      <c r="T4" s="102"/>
      <c r="U4" s="103"/>
      <c r="V4" s="102"/>
      <c r="W4" s="102"/>
      <c r="X4" s="102"/>
      <c r="Y4" s="102"/>
      <c r="Z4" s="102"/>
    </row>
    <row r="5" spans="6:26" ht="9" customHeight="1">
      <c r="F5" s="26"/>
      <c r="G5" s="26"/>
      <c r="H5" s="27" t="s">
        <v>25</v>
      </c>
      <c r="I5" s="26"/>
      <c r="J5" s="27" t="s">
        <v>26</v>
      </c>
      <c r="K5"/>
      <c r="L5" s="27"/>
      <c r="M5" s="26"/>
      <c r="N5" s="26"/>
      <c r="O5" s="26"/>
      <c r="Q5" s="102"/>
      <c r="R5" s="102"/>
      <c r="S5" s="102"/>
      <c r="T5" s="104"/>
      <c r="U5" s="103"/>
      <c r="V5" s="103"/>
      <c r="W5" s="104"/>
      <c r="X5" s="103"/>
      <c r="Y5" s="102"/>
      <c r="Z5" s="102"/>
    </row>
    <row r="6" spans="2:26" ht="9" customHeight="1">
      <c r="B6" s="47"/>
      <c r="C6" s="47"/>
      <c r="D6" s="47"/>
      <c r="E6" s="47"/>
      <c r="F6" s="47"/>
      <c r="G6" s="47"/>
      <c r="H6" s="48" t="s">
        <v>27</v>
      </c>
      <c r="I6" s="47"/>
      <c r="J6" s="48" t="s">
        <v>28</v>
      </c>
      <c r="K6"/>
      <c r="L6"/>
      <c r="Q6" s="102"/>
      <c r="R6" s="102"/>
      <c r="S6" s="102"/>
      <c r="T6" s="104"/>
      <c r="U6" s="103"/>
      <c r="V6" s="103"/>
      <c r="W6" s="104"/>
      <c r="X6" s="103"/>
      <c r="Y6" s="102"/>
      <c r="Z6" s="102"/>
    </row>
    <row r="7" spans="2:26" ht="9" customHeight="1">
      <c r="B7" s="47"/>
      <c r="C7" s="49"/>
      <c r="D7" s="49"/>
      <c r="E7" s="49"/>
      <c r="F7" s="50"/>
      <c r="G7" s="50"/>
      <c r="H7" s="48" t="s">
        <v>29</v>
      </c>
      <c r="I7" s="23"/>
      <c r="J7" s="48" t="s">
        <v>30</v>
      </c>
      <c r="K7"/>
      <c r="L7"/>
      <c r="M7"/>
      <c r="N7" s="26"/>
      <c r="O7" s="26"/>
      <c r="Q7" s="102"/>
      <c r="R7" s="102"/>
      <c r="S7" s="102"/>
      <c r="T7" s="104"/>
      <c r="U7" s="103"/>
      <c r="V7" s="103"/>
      <c r="W7" s="104"/>
      <c r="X7" s="103"/>
      <c r="Y7" s="102"/>
      <c r="Z7" s="102"/>
    </row>
    <row r="8" spans="1:26" ht="9" customHeight="1">
      <c r="A8" s="47"/>
      <c r="B8" s="47"/>
      <c r="C8" s="49"/>
      <c r="D8" s="49"/>
      <c r="E8" s="49"/>
      <c r="F8" s="50"/>
      <c r="G8" s="50"/>
      <c r="H8" s="48" t="s">
        <v>476</v>
      </c>
      <c r="I8" s="23"/>
      <c r="J8" s="51">
        <v>38230</v>
      </c>
      <c r="K8"/>
      <c r="L8"/>
      <c r="M8"/>
      <c r="N8" s="26"/>
      <c r="O8" s="26"/>
      <c r="Q8" s="102"/>
      <c r="R8" s="102"/>
      <c r="S8" s="102"/>
      <c r="T8" s="104"/>
      <c r="U8" s="103"/>
      <c r="V8" s="103"/>
      <c r="W8" s="104"/>
      <c r="X8" s="103"/>
      <c r="Y8" s="102"/>
      <c r="Z8" s="102"/>
    </row>
    <row r="9" spans="1:26" ht="9" customHeight="1">
      <c r="A9" s="47"/>
      <c r="B9" s="47"/>
      <c r="C9" s="47"/>
      <c r="D9" s="47"/>
      <c r="E9" s="47"/>
      <c r="F9" s="47"/>
      <c r="G9" s="47"/>
      <c r="H9" s="28"/>
      <c r="I9"/>
      <c r="J9" s="28"/>
      <c r="K9"/>
      <c r="L9"/>
      <c r="M9"/>
      <c r="Q9" s="102"/>
      <c r="R9" s="102"/>
      <c r="S9" s="102"/>
      <c r="T9" s="104"/>
      <c r="U9" s="103"/>
      <c r="V9" s="103"/>
      <c r="W9" s="104"/>
      <c r="X9" s="103"/>
      <c r="Y9" s="102"/>
      <c r="Z9" s="102"/>
    </row>
    <row r="10" spans="1:26" ht="9" customHeight="1">
      <c r="A10" s="47"/>
      <c r="B10" s="47">
        <v>1</v>
      </c>
      <c r="C10" s="47" t="s">
        <v>31</v>
      </c>
      <c r="D10" s="47"/>
      <c r="E10" s="47"/>
      <c r="F10" s="47" t="s">
        <v>10</v>
      </c>
      <c r="G10" s="52"/>
      <c r="H10" s="90">
        <f>Compco2!T28</f>
        <v>0.04646147676336864</v>
      </c>
      <c r="I10"/>
      <c r="J10" s="90">
        <f>Compco2!S28</f>
        <v>0.04489398203570525</v>
      </c>
      <c r="K10"/>
      <c r="L10"/>
      <c r="M10"/>
      <c r="N10" s="29"/>
      <c r="O10" s="29"/>
      <c r="Q10" s="102"/>
      <c r="R10" s="102"/>
      <c r="S10" s="102"/>
      <c r="T10" s="104"/>
      <c r="U10" s="103"/>
      <c r="V10" s="103"/>
      <c r="W10" s="104"/>
      <c r="X10" s="103"/>
      <c r="Y10" s="102"/>
      <c r="Z10" s="102"/>
    </row>
    <row r="11" spans="1:26" ht="9" customHeight="1">
      <c r="A11" s="47"/>
      <c r="B11" s="47">
        <v>2</v>
      </c>
      <c r="C11" s="47" t="s">
        <v>32</v>
      </c>
      <c r="D11" s="47"/>
      <c r="E11" s="47"/>
      <c r="F11" s="47"/>
      <c r="G11" s="52"/>
      <c r="H11" s="30"/>
      <c r="I11"/>
      <c r="J11" s="30"/>
      <c r="K11"/>
      <c r="L11"/>
      <c r="M11"/>
      <c r="N11" s="29"/>
      <c r="O11" s="29"/>
      <c r="Q11" s="102"/>
      <c r="R11" s="102"/>
      <c r="S11" s="102"/>
      <c r="T11" s="104"/>
      <c r="U11" s="103"/>
      <c r="V11" s="103"/>
      <c r="W11" s="104"/>
      <c r="X11" s="103"/>
      <c r="Y11" s="102"/>
      <c r="Z11" s="102"/>
    </row>
    <row r="12" spans="1:26" ht="9" customHeight="1">
      <c r="A12" s="47"/>
      <c r="B12" s="47"/>
      <c r="C12" s="226" t="s">
        <v>33</v>
      </c>
      <c r="D12" s="47" t="s">
        <v>34</v>
      </c>
      <c r="E12" s="47"/>
      <c r="F12" s="47" t="s">
        <v>10</v>
      </c>
      <c r="G12" s="53"/>
      <c r="H12" s="91">
        <f>Compco2!O28</f>
        <v>1.7530261514101824</v>
      </c>
      <c r="I12"/>
      <c r="J12" s="91">
        <f>Compco2!N28</f>
        <v>1.7860830103436502</v>
      </c>
      <c r="K12"/>
      <c r="L12"/>
      <c r="M12"/>
      <c r="O12" s="31"/>
      <c r="Q12" s="102"/>
      <c r="R12" s="102"/>
      <c r="S12" s="102"/>
      <c r="T12" s="104"/>
      <c r="U12" s="103"/>
      <c r="V12" s="103"/>
      <c r="W12" s="104"/>
      <c r="X12" s="103"/>
      <c r="Y12" s="102"/>
      <c r="Z12" s="102"/>
    </row>
    <row r="13" spans="1:26" ht="9" customHeight="1">
      <c r="A13" s="47"/>
      <c r="B13" s="47"/>
      <c r="C13" s="226" t="s">
        <v>35</v>
      </c>
      <c r="D13" s="47" t="s">
        <v>36</v>
      </c>
      <c r="E13" s="47"/>
      <c r="F13" s="47" t="s">
        <v>11</v>
      </c>
      <c r="G13" s="52"/>
      <c r="H13" s="32">
        <f>H10*H12</f>
        <v>0.08144818379932174</v>
      </c>
      <c r="I13"/>
      <c r="J13" s="32">
        <f>J10*J12</f>
        <v>0.08018437858064618</v>
      </c>
      <c r="K13"/>
      <c r="L13"/>
      <c r="M13"/>
      <c r="N13" s="29"/>
      <c r="O13" s="29"/>
      <c r="Q13" s="102"/>
      <c r="R13" s="102"/>
      <c r="S13" s="102"/>
      <c r="T13" s="104"/>
      <c r="U13" s="103"/>
      <c r="V13" s="103"/>
      <c r="W13" s="104"/>
      <c r="X13" s="103"/>
      <c r="Y13" s="102"/>
      <c r="Z13" s="102"/>
    </row>
    <row r="14" spans="1:26" ht="9" customHeight="1">
      <c r="A14" s="47"/>
      <c r="B14" s="47"/>
      <c r="C14" s="226" t="s">
        <v>37</v>
      </c>
      <c r="D14" s="47" t="s">
        <v>38</v>
      </c>
      <c r="E14" s="47"/>
      <c r="F14" s="47" t="s">
        <v>8</v>
      </c>
      <c r="G14" s="54"/>
      <c r="H14" s="225">
        <v>0.115</v>
      </c>
      <c r="I14"/>
      <c r="J14" s="93">
        <f>H14</f>
        <v>0.115</v>
      </c>
      <c r="K14"/>
      <c r="L14"/>
      <c r="M14"/>
      <c r="N14" s="29"/>
      <c r="O14" s="29"/>
      <c r="Q14" s="102"/>
      <c r="R14" s="102"/>
      <c r="S14" s="102"/>
      <c r="T14" s="104"/>
      <c r="U14" s="103"/>
      <c r="V14" s="103"/>
      <c r="W14" s="104"/>
      <c r="X14" s="103"/>
      <c r="Y14" s="102"/>
      <c r="Z14" s="102"/>
    </row>
    <row r="15" spans="1:26" ht="9" customHeight="1">
      <c r="A15" s="47"/>
      <c r="B15" s="47"/>
      <c r="C15" s="226" t="s">
        <v>39</v>
      </c>
      <c r="D15" s="47" t="s">
        <v>40</v>
      </c>
      <c r="E15" s="47"/>
      <c r="F15" s="47" t="s">
        <v>13</v>
      </c>
      <c r="G15" s="54"/>
      <c r="H15" s="225">
        <f>1-(H13/H14)</f>
        <v>0.29175492348415877</v>
      </c>
      <c r="I15"/>
      <c r="J15" s="202">
        <f>1-(J13/J14)</f>
        <v>0.3027445340813375</v>
      </c>
      <c r="K15"/>
      <c r="L15"/>
      <c r="M15"/>
      <c r="N15" s="29"/>
      <c r="O15" s="29"/>
      <c r="Q15" s="102"/>
      <c r="R15" s="102"/>
      <c r="S15" s="102"/>
      <c r="T15" s="104"/>
      <c r="U15" s="103"/>
      <c r="V15" s="103"/>
      <c r="W15" s="104"/>
      <c r="X15" s="103"/>
      <c r="Y15" s="102"/>
      <c r="Z15" s="102"/>
    </row>
    <row r="16" spans="1:26" ht="9" customHeight="1">
      <c r="A16" s="47"/>
      <c r="B16" s="47"/>
      <c r="C16" s="47"/>
      <c r="D16" s="47"/>
      <c r="E16" s="47"/>
      <c r="F16" s="47"/>
      <c r="G16" s="54"/>
      <c r="H16" s="225"/>
      <c r="I16"/>
      <c r="J16" s="32"/>
      <c r="K16"/>
      <c r="L16"/>
      <c r="M16"/>
      <c r="N16" s="29"/>
      <c r="O16" s="29"/>
      <c r="Q16" s="102"/>
      <c r="R16" s="102"/>
      <c r="S16" s="102"/>
      <c r="T16" s="104"/>
      <c r="U16" s="103"/>
      <c r="V16" s="103"/>
      <c r="W16" s="104"/>
      <c r="X16" s="103"/>
      <c r="Y16" s="102"/>
      <c r="Z16" s="102"/>
    </row>
    <row r="17" spans="1:26" ht="9" customHeight="1">
      <c r="A17" s="47"/>
      <c r="B17" s="47">
        <v>3</v>
      </c>
      <c r="C17" s="47" t="s">
        <v>41</v>
      </c>
      <c r="D17" s="47"/>
      <c r="E17" s="47"/>
      <c r="F17" s="47" t="s">
        <v>7</v>
      </c>
      <c r="G17" s="52"/>
      <c r="H17" s="32">
        <f>H14*H15</f>
        <v>0.03355181620067826</v>
      </c>
      <c r="I17"/>
      <c r="J17" s="32">
        <f>J14*J15</f>
        <v>0.034815621419353814</v>
      </c>
      <c r="K17"/>
      <c r="L17"/>
      <c r="M17"/>
      <c r="N17" s="29"/>
      <c r="O17" s="29"/>
      <c r="Q17" s="102"/>
      <c r="R17" s="102"/>
      <c r="S17" s="102"/>
      <c r="T17" s="104"/>
      <c r="U17" s="103"/>
      <c r="V17" s="103"/>
      <c r="W17" s="104"/>
      <c r="X17" s="103"/>
      <c r="Y17" s="102"/>
      <c r="Z17" s="102"/>
    </row>
    <row r="18" spans="1:26" ht="9" customHeight="1">
      <c r="A18" s="47"/>
      <c r="B18" s="47">
        <v>4</v>
      </c>
      <c r="C18" s="47" t="s">
        <v>42</v>
      </c>
      <c r="D18" s="47"/>
      <c r="E18" s="47"/>
      <c r="F18" s="47" t="s">
        <v>20</v>
      </c>
      <c r="G18" s="54"/>
      <c r="H18" s="225">
        <f>((H12*($J$43*H12+1)/(H12+$J$43*H12)-1))</f>
        <v>0.007455704469407687</v>
      </c>
      <c r="I18"/>
      <c r="J18" s="225">
        <f>((J12*($J$43*J12+1)/(J12+$J$43*J12)-1))</f>
        <v>0.007783000102412396</v>
      </c>
      <c r="K18"/>
      <c r="L18"/>
      <c r="M18"/>
      <c r="N18" s="29"/>
      <c r="O18" s="29"/>
      <c r="Q18" s="102"/>
      <c r="R18" s="102"/>
      <c r="S18" s="102"/>
      <c r="T18" s="104"/>
      <c r="U18" s="103"/>
      <c r="V18" s="103"/>
      <c r="W18" s="104"/>
      <c r="X18" s="103"/>
      <c r="Y18" s="102"/>
      <c r="Z18" s="102"/>
    </row>
    <row r="19" spans="1:26" ht="9" customHeight="1">
      <c r="A19" s="47"/>
      <c r="B19" s="47">
        <v>5</v>
      </c>
      <c r="C19" s="47" t="s">
        <v>43</v>
      </c>
      <c r="D19" s="47"/>
      <c r="E19" s="47"/>
      <c r="F19" s="47" t="s">
        <v>44</v>
      </c>
      <c r="G19" s="52"/>
      <c r="H19" s="32">
        <f>H17+H18</f>
        <v>0.041007520670085944</v>
      </c>
      <c r="I19"/>
      <c r="J19" s="32">
        <f>J17+J18</f>
        <v>0.04259862152176621</v>
      </c>
      <c r="K19"/>
      <c r="L19"/>
      <c r="M19"/>
      <c r="N19" s="29"/>
      <c r="O19" s="29"/>
      <c r="Q19" s="102"/>
      <c r="R19" s="102"/>
      <c r="S19" s="102"/>
      <c r="T19" s="104"/>
      <c r="U19" s="103"/>
      <c r="V19" s="103"/>
      <c r="W19" s="104"/>
      <c r="X19" s="103"/>
      <c r="Y19" s="102"/>
      <c r="Z19" s="102"/>
    </row>
    <row r="20" spans="1:26" ht="9" customHeight="1">
      <c r="A20" s="47"/>
      <c r="B20" s="47"/>
      <c r="C20" s="47" t="s">
        <v>45</v>
      </c>
      <c r="D20" s="47"/>
      <c r="E20" s="47"/>
      <c r="F20" s="47"/>
      <c r="G20" s="52"/>
      <c r="H20" s="32"/>
      <c r="I20"/>
      <c r="J20" s="32"/>
      <c r="K20"/>
      <c r="L20"/>
      <c r="M20"/>
      <c r="N20" s="29"/>
      <c r="O20" s="29"/>
      <c r="Q20" s="102"/>
      <c r="R20" s="102"/>
      <c r="S20" s="102"/>
      <c r="T20" s="104"/>
      <c r="U20" s="103"/>
      <c r="V20" s="103"/>
      <c r="W20" s="104"/>
      <c r="X20" s="103"/>
      <c r="Y20" s="102"/>
      <c r="Z20" s="102"/>
    </row>
    <row r="21" spans="1:26" ht="9" customHeight="1">
      <c r="A21" s="47"/>
      <c r="B21" s="47"/>
      <c r="C21" s="47"/>
      <c r="D21" s="47"/>
      <c r="E21" s="47"/>
      <c r="F21" s="47"/>
      <c r="G21" s="52"/>
      <c r="H21" s="32"/>
      <c r="I21"/>
      <c r="J21" s="32"/>
      <c r="K21"/>
      <c r="L21"/>
      <c r="M21"/>
      <c r="N21" s="29"/>
      <c r="O21" s="29"/>
      <c r="Q21" s="102"/>
      <c r="R21" s="102"/>
      <c r="S21" s="102"/>
      <c r="T21" s="104"/>
      <c r="U21" s="103"/>
      <c r="V21" s="103"/>
      <c r="W21" s="104"/>
      <c r="X21" s="103"/>
      <c r="Y21" s="102"/>
      <c r="Z21" s="102"/>
    </row>
    <row r="22" spans="1:26" ht="9" customHeight="1">
      <c r="A22" s="47"/>
      <c r="B22" s="47">
        <v>6</v>
      </c>
      <c r="C22" s="47" t="s">
        <v>46</v>
      </c>
      <c r="D22" s="47"/>
      <c r="E22" s="47"/>
      <c r="F22" s="47" t="s">
        <v>47</v>
      </c>
      <c r="G22" s="52"/>
      <c r="H22" s="32">
        <f>(H19/2)*H10</f>
        <v>0.0009526349843682787</v>
      </c>
      <c r="I22"/>
      <c r="J22" s="32">
        <f>(J19/2)*J10</f>
        <v>0.0009562108746719897</v>
      </c>
      <c r="K22"/>
      <c r="L22"/>
      <c r="M22"/>
      <c r="N22" s="29"/>
      <c r="O22" s="29"/>
      <c r="Q22" s="102"/>
      <c r="R22" s="102"/>
      <c r="S22" s="102"/>
      <c r="T22" s="104"/>
      <c r="U22" s="103"/>
      <c r="V22" s="103"/>
      <c r="W22" s="104"/>
      <c r="X22" s="103"/>
      <c r="Y22" s="102"/>
      <c r="Z22" s="102"/>
    </row>
    <row r="23" spans="1:26" ht="9" customHeight="1">
      <c r="A23" s="47"/>
      <c r="B23" s="47"/>
      <c r="C23" s="47" t="s">
        <v>48</v>
      </c>
      <c r="D23" s="47"/>
      <c r="E23" s="47"/>
      <c r="F23" s="47"/>
      <c r="G23" s="52"/>
      <c r="H23" s="32"/>
      <c r="I23"/>
      <c r="J23" s="32"/>
      <c r="K23"/>
      <c r="L23"/>
      <c r="M23"/>
      <c r="N23" s="29"/>
      <c r="O23" s="29"/>
      <c r="Q23" s="102"/>
      <c r="R23" s="102"/>
      <c r="S23" s="102"/>
      <c r="T23" s="104"/>
      <c r="U23" s="103"/>
      <c r="V23" s="103"/>
      <c r="W23" s="104"/>
      <c r="X23" s="103"/>
      <c r="Y23" s="102"/>
      <c r="Z23" s="102"/>
    </row>
    <row r="24" spans="1:26" ht="9" customHeight="1">
      <c r="A24" s="47"/>
      <c r="B24" s="47"/>
      <c r="C24" s="47"/>
      <c r="D24" s="47"/>
      <c r="E24" s="47"/>
      <c r="F24" s="47"/>
      <c r="G24" s="52"/>
      <c r="H24" s="32"/>
      <c r="I24"/>
      <c r="J24" s="32"/>
      <c r="K24"/>
      <c r="L24"/>
      <c r="M24"/>
      <c r="N24" s="29"/>
      <c r="O24" s="29"/>
      <c r="Q24" s="102"/>
      <c r="R24" s="102"/>
      <c r="S24" s="102"/>
      <c r="T24" s="104"/>
      <c r="U24" s="103"/>
      <c r="V24" s="103"/>
      <c r="W24" s="104"/>
      <c r="X24" s="103"/>
      <c r="Y24" s="102"/>
      <c r="Z24" s="102"/>
    </row>
    <row r="25" spans="1:55" s="26" customFormat="1" ht="9" customHeight="1">
      <c r="A25" s="50"/>
      <c r="B25" s="50">
        <v>7</v>
      </c>
      <c r="C25" s="50" t="s">
        <v>49</v>
      </c>
      <c r="D25" s="50"/>
      <c r="E25" s="50"/>
      <c r="F25" s="50" t="s">
        <v>50</v>
      </c>
      <c r="G25" s="55"/>
      <c r="H25" s="202">
        <f>H22+H19+H10</f>
        <v>0.08842163241782286</v>
      </c>
      <c r="I25"/>
      <c r="J25" s="202">
        <f>J22+J19+J10</f>
        <v>0.08844881443214345</v>
      </c>
      <c r="K25"/>
      <c r="L25"/>
      <c r="M25"/>
      <c r="N25" s="33"/>
      <c r="O25" s="33"/>
      <c r="P25" s="24"/>
      <c r="Q25" s="102"/>
      <c r="R25" s="102"/>
      <c r="S25" s="102"/>
      <c r="T25" s="104"/>
      <c r="U25" s="103"/>
      <c r="V25" s="103"/>
      <c r="W25" s="104"/>
      <c r="X25" s="103"/>
      <c r="Y25" s="102"/>
      <c r="Z25" s="102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26" ht="9" customHeight="1">
      <c r="A26" s="47"/>
      <c r="B26" s="47" t="s">
        <v>611</v>
      </c>
      <c r="C26" s="47"/>
      <c r="D26" s="47"/>
      <c r="E26" s="47"/>
      <c r="F26" s="47"/>
      <c r="G26" s="52"/>
      <c r="H26" s="29"/>
      <c r="I26" s="32"/>
      <c r="J26" s="29"/>
      <c r="K26" s="29"/>
      <c r="L26"/>
      <c r="M26" s="32"/>
      <c r="N26" s="29"/>
      <c r="O26" s="29"/>
      <c r="Q26" s="102"/>
      <c r="R26" s="102"/>
      <c r="S26" s="102"/>
      <c r="T26" s="104"/>
      <c r="U26" s="103"/>
      <c r="V26" s="103"/>
      <c r="W26" s="104"/>
      <c r="X26" s="103"/>
      <c r="Y26" s="102"/>
      <c r="Z26" s="102"/>
    </row>
    <row r="27" spans="7:26" ht="9">
      <c r="G27" s="52"/>
      <c r="H27" s="29"/>
      <c r="I27" s="29"/>
      <c r="J27" s="29"/>
      <c r="K27" s="29"/>
      <c r="L27" s="29"/>
      <c r="M27" s="29"/>
      <c r="N27" s="29"/>
      <c r="O27" s="29"/>
      <c r="Q27" s="102"/>
      <c r="R27" s="102"/>
      <c r="S27" s="102"/>
      <c r="T27" s="104"/>
      <c r="U27" s="103"/>
      <c r="V27" s="103"/>
      <c r="W27" s="104"/>
      <c r="X27" s="103"/>
      <c r="Y27" s="102"/>
      <c r="Z27" s="102"/>
    </row>
    <row r="28" spans="7:26" ht="9">
      <c r="G28" s="29"/>
      <c r="H28" s="29"/>
      <c r="I28" s="29"/>
      <c r="J28" s="29"/>
      <c r="K28" s="29"/>
      <c r="L28" s="29"/>
      <c r="M28" s="29"/>
      <c r="N28" s="29"/>
      <c r="O28" s="29"/>
      <c r="Q28" s="102"/>
      <c r="R28" s="102"/>
      <c r="S28" s="102"/>
      <c r="T28" s="104"/>
      <c r="U28" s="103"/>
      <c r="V28" s="103"/>
      <c r="W28" s="104"/>
      <c r="X28" s="103"/>
      <c r="Y28" s="102"/>
      <c r="Z28" s="102"/>
    </row>
    <row r="29" spans="2:26" ht="12.75">
      <c r="B29" s="26" t="s">
        <v>477</v>
      </c>
      <c r="G29" s="29"/>
      <c r="H29" s="29"/>
      <c r="I29" s="29"/>
      <c r="J29"/>
      <c r="K29"/>
      <c r="L29" s="29"/>
      <c r="M29" s="29"/>
      <c r="N29" s="29"/>
      <c r="O29" s="29"/>
      <c r="Q29" s="102"/>
      <c r="R29" s="102"/>
      <c r="S29" s="102"/>
      <c r="T29" s="104"/>
      <c r="U29" s="103"/>
      <c r="V29" s="103"/>
      <c r="W29" s="104"/>
      <c r="X29" s="103"/>
      <c r="Y29" s="102"/>
      <c r="Z29" s="102"/>
    </row>
    <row r="30" spans="7:26" ht="12.75">
      <c r="G30" s="29"/>
      <c r="H30" s="29"/>
      <c r="I30" s="29"/>
      <c r="J30" s="29" t="s">
        <v>14</v>
      </c>
      <c r="K30"/>
      <c r="L30" s="29"/>
      <c r="M30" s="29"/>
      <c r="N30" s="29"/>
      <c r="O30" s="29"/>
      <c r="Q30" s="102"/>
      <c r="R30" s="102"/>
      <c r="S30" s="102"/>
      <c r="T30" s="104"/>
      <c r="U30" s="103"/>
      <c r="V30" s="103"/>
      <c r="W30" s="104"/>
      <c r="X30" s="103"/>
      <c r="Y30" s="102"/>
      <c r="Z30" s="102"/>
    </row>
    <row r="31" spans="7:26" ht="12.75">
      <c r="G31" s="29"/>
      <c r="H31" s="29" t="s">
        <v>347</v>
      </c>
      <c r="I31" s="29" t="s">
        <v>206</v>
      </c>
      <c r="K31"/>
      <c r="L31" s="29"/>
      <c r="M31" s="29"/>
      <c r="N31" s="29"/>
      <c r="O31" s="29"/>
      <c r="Q31" s="102"/>
      <c r="R31" s="102"/>
      <c r="S31" s="102"/>
      <c r="T31" s="104"/>
      <c r="U31" s="103"/>
      <c r="V31" s="103"/>
      <c r="W31" s="104"/>
      <c r="X31" s="103"/>
      <c r="Y31" s="102"/>
      <c r="Z31" s="102"/>
    </row>
    <row r="32" spans="2:26" ht="9" customHeight="1">
      <c r="B32" s="24" t="str">
        <f>F14</f>
        <v>[A]</v>
      </c>
      <c r="C32" s="24" t="s">
        <v>478</v>
      </c>
      <c r="G32" s="29"/>
      <c r="H32" s="337">
        <f>Compco2!AF29</f>
        <v>0.105</v>
      </c>
      <c r="I32" s="90">
        <f>Compco2!AF28</f>
        <v>0.11142857142857143</v>
      </c>
      <c r="J32" s="24" t="str">
        <f>Compco2!AD2</f>
        <v>Exhibit ___(JAR-3) Schedule 4, P. 2</v>
      </c>
      <c r="K32"/>
      <c r="L32" s="29"/>
      <c r="M32" s="29"/>
      <c r="N32" s="29"/>
      <c r="O32" s="29"/>
      <c r="Q32" s="102"/>
      <c r="R32" s="102"/>
      <c r="S32" s="102"/>
      <c r="T32" s="104"/>
      <c r="U32" s="103"/>
      <c r="V32" s="103"/>
      <c r="W32" s="104"/>
      <c r="X32" s="103"/>
      <c r="Y32" s="102"/>
      <c r="Z32" s="102"/>
    </row>
    <row r="33" spans="3:26" ht="9" customHeight="1">
      <c r="C33" s="24" t="s">
        <v>479</v>
      </c>
      <c r="G33" s="29"/>
      <c r="H33" s="337">
        <f>Compco2!AU29</f>
        <v>0.1227147703334038</v>
      </c>
      <c r="I33" s="90">
        <f>Compco2!AU28</f>
        <v>0.12176306085567976</v>
      </c>
      <c r="J33" s="24" t="str">
        <f>Compco2!AU2</f>
        <v>Exhibit ___(JAR-3) Schedule 4, P. 3</v>
      </c>
      <c r="K33"/>
      <c r="L33" s="29"/>
      <c r="M33" s="29"/>
      <c r="N33" s="29"/>
      <c r="O33" s="29"/>
      <c r="Q33" s="102"/>
      <c r="R33" s="102"/>
      <c r="S33" s="102"/>
      <c r="T33" s="104"/>
      <c r="U33" s="103"/>
      <c r="V33" s="103"/>
      <c r="W33" s="104"/>
      <c r="X33" s="103"/>
      <c r="Y33" s="102"/>
      <c r="Z33" s="102"/>
    </row>
    <row r="34" spans="3:26" ht="9" customHeight="1">
      <c r="C34" s="24" t="s">
        <v>52</v>
      </c>
      <c r="E34" s="92">
        <f>'[3]COMPCO'!$AB$5</f>
        <v>2003</v>
      </c>
      <c r="G34" s="29"/>
      <c r="H34" s="337">
        <f>Compco2!AE29</f>
        <v>0.11743733664414471</v>
      </c>
      <c r="I34" s="90">
        <f>Compco2!AE28</f>
        <v>0.11816207957224341</v>
      </c>
      <c r="J34" s="24" t="str">
        <f>J32</f>
        <v>Exhibit ___(JAR-3) Schedule 4, P. 2</v>
      </c>
      <c r="K34"/>
      <c r="L34" s="29"/>
      <c r="M34" s="29"/>
      <c r="N34" s="29"/>
      <c r="O34" s="29"/>
      <c r="Q34" s="102"/>
      <c r="R34" s="102"/>
      <c r="S34" s="102"/>
      <c r="T34" s="104"/>
      <c r="U34" s="103"/>
      <c r="V34" s="103"/>
      <c r="W34" s="104"/>
      <c r="X34" s="103"/>
      <c r="Y34" s="102"/>
      <c r="Z34" s="102"/>
    </row>
    <row r="35" spans="3:26" ht="9" customHeight="1">
      <c r="C35" s="24" t="s">
        <v>52</v>
      </c>
      <c r="E35" s="92">
        <f>'[3]COMPCO'!AD6</f>
        <v>2002</v>
      </c>
      <c r="H35" s="338">
        <f>Compco2!AD29</f>
        <v>0.11486367309435619</v>
      </c>
      <c r="I35" s="338">
        <f>Compco2!AD28</f>
        <v>0.11521761053799653</v>
      </c>
      <c r="J35" s="24" t="str">
        <f>J34</f>
        <v>Exhibit ___(JAR-3) Schedule 4, P. 2</v>
      </c>
      <c r="K35"/>
      <c r="L35" s="29"/>
      <c r="M35" s="29"/>
      <c r="N35" s="29"/>
      <c r="O35" s="29"/>
      <c r="Q35" s="102"/>
      <c r="R35" s="102"/>
      <c r="S35" s="102"/>
      <c r="T35" s="104"/>
      <c r="U35" s="103"/>
      <c r="V35" s="103"/>
      <c r="W35" s="104"/>
      <c r="X35" s="103"/>
      <c r="Y35" s="102"/>
      <c r="Z35" s="102"/>
    </row>
    <row r="36" spans="3:26" ht="9">
      <c r="C36" s="24" t="s">
        <v>52</v>
      </c>
      <c r="E36" s="92">
        <f>'[3]COMPCO'!$Z$5</f>
        <v>2001</v>
      </c>
      <c r="G36" s="29"/>
      <c r="H36" s="337">
        <f>Compco2!AH29</f>
        <v>0.11731284962971117</v>
      </c>
      <c r="I36" s="90">
        <f>Compco2!AH28</f>
        <v>0.12116443090221862</v>
      </c>
      <c r="J36" s="24" t="str">
        <f>J35</f>
        <v>Exhibit ___(JAR-3) Schedule 4, P. 2</v>
      </c>
      <c r="K36" s="29"/>
      <c r="L36" s="29"/>
      <c r="M36" s="29"/>
      <c r="N36" s="29"/>
      <c r="O36" s="29"/>
      <c r="Q36" s="102"/>
      <c r="R36" s="102"/>
      <c r="S36" s="102"/>
      <c r="T36" s="104"/>
      <c r="U36" s="103"/>
      <c r="V36" s="103"/>
      <c r="W36" s="104"/>
      <c r="X36" s="103"/>
      <c r="Y36" s="102"/>
      <c r="Z36" s="102"/>
    </row>
    <row r="37" spans="2:26" ht="9">
      <c r="B37" s="24" t="str">
        <f>F12</f>
        <v>[B]</v>
      </c>
      <c r="C37" s="24" t="str">
        <f>'[3]COMPCO'!$Q$1</f>
        <v>JAR 4, P.1.</v>
      </c>
      <c r="G37" s="29"/>
      <c r="H37" s="339"/>
      <c r="I37" s="337"/>
      <c r="J37" s="29"/>
      <c r="K37" s="29"/>
      <c r="L37" s="29"/>
      <c r="M37" s="29"/>
      <c r="N37" s="29"/>
      <c r="O37" s="29"/>
      <c r="Q37" s="102"/>
      <c r="R37" s="102"/>
      <c r="S37" s="102"/>
      <c r="T37" s="104"/>
      <c r="U37" s="103"/>
      <c r="V37" s="103"/>
      <c r="W37" s="104"/>
      <c r="X37" s="103"/>
      <c r="Y37" s="102"/>
      <c r="Z37" s="102"/>
    </row>
    <row r="38" spans="2:26" ht="9">
      <c r="B38" s="24" t="str">
        <f>F13</f>
        <v>[C]</v>
      </c>
      <c r="C38" s="24" t="s">
        <v>53</v>
      </c>
      <c r="H38" s="340"/>
      <c r="I38" s="340"/>
      <c r="Q38" s="102"/>
      <c r="R38" s="102"/>
      <c r="S38" s="102"/>
      <c r="T38" s="104"/>
      <c r="U38" s="103"/>
      <c r="V38" s="103"/>
      <c r="W38" s="104"/>
      <c r="X38" s="103"/>
      <c r="Y38" s="102"/>
      <c r="Z38" s="102"/>
    </row>
    <row r="39" spans="2:26" ht="9">
      <c r="B39" s="24" t="str">
        <f>F15</f>
        <v>[D]</v>
      </c>
      <c r="C39" s="24" t="s">
        <v>54</v>
      </c>
      <c r="Q39" s="102"/>
      <c r="R39" s="102"/>
      <c r="S39" s="102"/>
      <c r="T39" s="104"/>
      <c r="U39" s="103"/>
      <c r="V39" s="103"/>
      <c r="W39" s="104"/>
      <c r="X39" s="103"/>
      <c r="Y39" s="102"/>
      <c r="Z39" s="102"/>
    </row>
    <row r="40" spans="2:26" ht="9">
      <c r="B40" s="24" t="str">
        <f>F17</f>
        <v>[E]</v>
      </c>
      <c r="C40" s="24" t="s">
        <v>55</v>
      </c>
      <c r="Q40" s="102"/>
      <c r="R40" s="102"/>
      <c r="S40" s="102"/>
      <c r="T40" s="104"/>
      <c r="U40" s="103"/>
      <c r="V40" s="103"/>
      <c r="W40" s="104"/>
      <c r="X40" s="103"/>
      <c r="Y40" s="102"/>
      <c r="Z40" s="102"/>
    </row>
    <row r="41" spans="2:26" ht="9">
      <c r="B41" s="24" t="str">
        <f>F18</f>
        <v>[F]</v>
      </c>
      <c r="C41" s="24" t="s">
        <v>56</v>
      </c>
      <c r="Q41" s="102"/>
      <c r="R41" s="102"/>
      <c r="S41" s="102"/>
      <c r="T41" s="104"/>
      <c r="U41" s="103"/>
      <c r="V41" s="103"/>
      <c r="W41" s="104"/>
      <c r="X41" s="103"/>
      <c r="Y41" s="102"/>
      <c r="Z41" s="102"/>
    </row>
    <row r="42" spans="3:26" ht="9">
      <c r="C42" s="24" t="s">
        <v>57</v>
      </c>
      <c r="Q42" s="102"/>
      <c r="R42" s="102"/>
      <c r="S42" s="102"/>
      <c r="T42" s="104"/>
      <c r="U42" s="103"/>
      <c r="V42" s="103"/>
      <c r="W42" s="104"/>
      <c r="X42" s="103"/>
      <c r="Y42" s="102"/>
      <c r="Z42" s="102"/>
    </row>
    <row r="43" spans="3:26" ht="9">
      <c r="C43" s="24" t="s">
        <v>58</v>
      </c>
      <c r="H43" s="24" t="s">
        <v>59</v>
      </c>
      <c r="J43" s="90">
        <f>extfin2!L33</f>
        <v>0.01</v>
      </c>
      <c r="K43" s="24" t="s">
        <v>60</v>
      </c>
      <c r="Q43" s="102"/>
      <c r="R43" s="102"/>
      <c r="S43" s="102"/>
      <c r="T43" s="104"/>
      <c r="U43" s="103"/>
      <c r="V43" s="103"/>
      <c r="W43" s="104"/>
      <c r="X43" s="103"/>
      <c r="Y43" s="102"/>
      <c r="Z43" s="102"/>
    </row>
    <row r="44" spans="2:26" ht="9">
      <c r="B44" s="24" t="str">
        <f>F19</f>
        <v>[G]</v>
      </c>
      <c r="C44" s="24" t="s">
        <v>61</v>
      </c>
      <c r="Q44" s="102"/>
      <c r="R44" s="102"/>
      <c r="S44" s="102"/>
      <c r="T44" s="104"/>
      <c r="U44" s="103"/>
      <c r="V44" s="103"/>
      <c r="W44" s="104"/>
      <c r="X44" s="103"/>
      <c r="Y44" s="102"/>
      <c r="Z44" s="102"/>
    </row>
    <row r="45" spans="1:26" ht="12.75">
      <c r="A45"/>
      <c r="B45" s="24" t="str">
        <f>F22</f>
        <v>[H]</v>
      </c>
      <c r="C45" s="24" t="s">
        <v>62</v>
      </c>
      <c r="J45" s="29"/>
      <c r="Q45" s="102"/>
      <c r="R45" s="102"/>
      <c r="S45" s="102"/>
      <c r="T45" s="104"/>
      <c r="U45" s="103"/>
      <c r="V45" s="103"/>
      <c r="W45" s="104"/>
      <c r="X45" s="103"/>
      <c r="Y45" s="102"/>
      <c r="Z45" s="102"/>
    </row>
    <row r="46" spans="2:26" ht="9">
      <c r="B46" s="24" t="str">
        <f>F25</f>
        <v>[I]</v>
      </c>
      <c r="C46" s="24" t="s">
        <v>63</v>
      </c>
      <c r="Q46" s="102"/>
      <c r="R46" s="102"/>
      <c r="S46" s="102"/>
      <c r="T46" s="104"/>
      <c r="U46" s="103"/>
      <c r="V46" s="103"/>
      <c r="W46" s="104"/>
      <c r="X46" s="103"/>
      <c r="Y46" s="102"/>
      <c r="Z46" s="102"/>
    </row>
    <row r="47" spans="2:26" ht="9">
      <c r="B47" s="24" t="str">
        <f>K43</f>
        <v>[J]</v>
      </c>
      <c r="C47" s="24" t="str">
        <f>extfin2!K2</f>
        <v>Exhibit ___(JAR-3) Schedule 8</v>
      </c>
      <c r="Q47" s="102"/>
      <c r="R47" s="102"/>
      <c r="S47" s="102"/>
      <c r="T47" s="104"/>
      <c r="U47" s="103"/>
      <c r="V47" s="103"/>
      <c r="W47" s="104"/>
      <c r="X47" s="103"/>
      <c r="Y47" s="102"/>
      <c r="Z47" s="102"/>
    </row>
    <row r="48" spans="13:26" ht="9">
      <c r="M48" s="224"/>
      <c r="Q48" s="102"/>
      <c r="R48" s="102"/>
      <c r="S48" s="102"/>
      <c r="T48" s="104"/>
      <c r="U48" s="103"/>
      <c r="V48" s="103"/>
      <c r="W48" s="104"/>
      <c r="X48" s="103"/>
      <c r="Y48" s="102"/>
      <c r="Z48" s="102"/>
    </row>
    <row r="49" spans="13:26" ht="11.25">
      <c r="M49" s="197" t="s">
        <v>593</v>
      </c>
      <c r="Q49" s="102"/>
      <c r="R49" s="102"/>
      <c r="S49" s="102"/>
      <c r="T49" s="104"/>
      <c r="U49" s="103"/>
      <c r="V49" s="103"/>
      <c r="W49" s="104"/>
      <c r="X49" s="103"/>
      <c r="Y49" s="102"/>
      <c r="Z49" s="102"/>
    </row>
    <row r="50" spans="13:26" ht="11.25">
      <c r="M50" s="197" t="str">
        <f>M3</f>
        <v>Docket No. UT-040788</v>
      </c>
      <c r="Q50" s="102"/>
      <c r="R50" s="102"/>
      <c r="S50" s="102"/>
      <c r="T50" s="104"/>
      <c r="U50" s="103"/>
      <c r="V50" s="103"/>
      <c r="W50" s="104"/>
      <c r="X50" s="103"/>
      <c r="Y50" s="102"/>
      <c r="Z50" s="102"/>
    </row>
    <row r="51" spans="5:26" ht="11.25">
      <c r="E51" s="336" t="s">
        <v>480</v>
      </c>
      <c r="M51" s="197" t="s">
        <v>623</v>
      </c>
      <c r="Q51" s="102"/>
      <c r="R51" s="102"/>
      <c r="S51" s="102"/>
      <c r="T51" s="104"/>
      <c r="U51" s="103"/>
      <c r="V51" s="103"/>
      <c r="W51" s="104"/>
      <c r="X51" s="103"/>
      <c r="Y51" s="102"/>
      <c r="Z51" s="102"/>
    </row>
    <row r="52" spans="5:26" ht="9">
      <c r="E52" s="26" t="s">
        <v>24</v>
      </c>
      <c r="Q52" s="102"/>
      <c r="R52" s="102"/>
      <c r="S52" s="102"/>
      <c r="T52" s="104"/>
      <c r="U52" s="103"/>
      <c r="V52" s="103"/>
      <c r="W52" s="104"/>
      <c r="X52" s="103"/>
      <c r="Y52" s="102"/>
      <c r="Z52" s="102"/>
    </row>
    <row r="53" spans="17:26" ht="9">
      <c r="Q53" s="102"/>
      <c r="R53" s="102"/>
      <c r="S53" s="102"/>
      <c r="T53" s="104"/>
      <c r="U53" s="103"/>
      <c r="V53" s="103"/>
      <c r="W53" s="104"/>
      <c r="X53" s="103"/>
      <c r="Y53" s="102"/>
      <c r="Z53" s="102"/>
    </row>
    <row r="54" spans="6:26" ht="12.75">
      <c r="F54" s="26"/>
      <c r="G54" s="26"/>
      <c r="H54" s="27" t="s">
        <v>25</v>
      </c>
      <c r="I54" s="26"/>
      <c r="J54" s="27" t="s">
        <v>26</v>
      </c>
      <c r="K54"/>
      <c r="Q54" s="102"/>
      <c r="R54" s="102"/>
      <c r="S54" s="102"/>
      <c r="T54" s="104"/>
      <c r="U54" s="103"/>
      <c r="V54" s="103"/>
      <c r="W54" s="104"/>
      <c r="X54" s="103"/>
      <c r="Y54" s="102"/>
      <c r="Z54" s="102"/>
    </row>
    <row r="55" spans="2:26" ht="12.75">
      <c r="B55" s="47"/>
      <c r="C55" s="47"/>
      <c r="D55" s="47"/>
      <c r="E55" s="47"/>
      <c r="F55" s="47"/>
      <c r="G55" s="47"/>
      <c r="H55" s="48" t="s">
        <v>27</v>
      </c>
      <c r="I55" s="47"/>
      <c r="J55" s="48" t="s">
        <v>28</v>
      </c>
      <c r="K55"/>
      <c r="Q55" s="102"/>
      <c r="R55" s="102"/>
      <c r="S55" s="102"/>
      <c r="T55" s="104"/>
      <c r="U55" s="103"/>
      <c r="V55" s="103"/>
      <c r="W55" s="104"/>
      <c r="X55" s="103"/>
      <c r="Y55" s="102"/>
      <c r="Z55" s="102"/>
    </row>
    <row r="56" spans="2:26" ht="12.75">
      <c r="B56" s="47"/>
      <c r="C56" s="49"/>
      <c r="D56" s="49"/>
      <c r="E56" s="49"/>
      <c r="F56" s="50"/>
      <c r="G56" s="50"/>
      <c r="H56" s="48" t="s">
        <v>29</v>
      </c>
      <c r="I56" s="23"/>
      <c r="J56" s="48" t="s">
        <v>30</v>
      </c>
      <c r="K56"/>
      <c r="Q56" s="102"/>
      <c r="R56" s="102"/>
      <c r="S56" s="102"/>
      <c r="T56" s="104"/>
      <c r="U56" s="103"/>
      <c r="V56" s="103"/>
      <c r="W56" s="104"/>
      <c r="X56" s="103"/>
      <c r="Y56" s="102"/>
      <c r="Z56" s="102"/>
    </row>
    <row r="57" spans="2:26" ht="12.75">
      <c r="B57" s="47"/>
      <c r="C57" s="49"/>
      <c r="D57" s="49"/>
      <c r="E57" s="49"/>
      <c r="F57" s="50"/>
      <c r="G57" s="50"/>
      <c r="H57" s="48" t="s">
        <v>481</v>
      </c>
      <c r="I57" s="23"/>
      <c r="J57" s="51">
        <v>38230</v>
      </c>
      <c r="K57"/>
      <c r="Q57" s="102"/>
      <c r="R57" s="102"/>
      <c r="S57" s="102"/>
      <c r="T57" s="104"/>
      <c r="U57" s="103"/>
      <c r="V57" s="103"/>
      <c r="W57" s="104"/>
      <c r="X57" s="103"/>
      <c r="Y57" s="102"/>
      <c r="Z57" s="102"/>
    </row>
    <row r="58" spans="2:11" ht="12.75">
      <c r="B58" s="47"/>
      <c r="C58" s="47"/>
      <c r="D58" s="47"/>
      <c r="E58" s="47"/>
      <c r="F58" s="47"/>
      <c r="G58" s="47"/>
      <c r="H58" s="28"/>
      <c r="I58"/>
      <c r="J58" s="28"/>
      <c r="K58"/>
    </row>
    <row r="59" spans="2:11" ht="12.75">
      <c r="B59" s="47">
        <v>1</v>
      </c>
      <c r="C59" s="47" t="s">
        <v>31</v>
      </c>
      <c r="D59" s="47"/>
      <c r="E59" s="47"/>
      <c r="F59" s="47" t="s">
        <v>10</v>
      </c>
      <c r="G59" s="52"/>
      <c r="H59" s="90">
        <f>Compco2!T49</f>
        <v>0.042027497320841795</v>
      </c>
      <c r="I59"/>
      <c r="J59" s="90">
        <f>Compco2!S49</f>
        <v>0.04076394031857222</v>
      </c>
      <c r="K59"/>
    </row>
    <row r="60" spans="2:11" ht="12.75">
      <c r="B60" s="47">
        <v>2</v>
      </c>
      <c r="C60" s="47" t="s">
        <v>32</v>
      </c>
      <c r="D60" s="47"/>
      <c r="E60" s="47"/>
      <c r="F60" s="47"/>
      <c r="G60" s="52"/>
      <c r="H60" s="30"/>
      <c r="I60"/>
      <c r="J60" s="30"/>
      <c r="K60"/>
    </row>
    <row r="61" spans="2:11" ht="12.75">
      <c r="B61" s="47"/>
      <c r="C61" s="226" t="s">
        <v>33</v>
      </c>
      <c r="D61" s="47" t="s">
        <v>34</v>
      </c>
      <c r="E61" s="47"/>
      <c r="F61" s="47" t="s">
        <v>10</v>
      </c>
      <c r="G61" s="53"/>
      <c r="H61" s="91">
        <f>Compco2!O49</f>
        <v>2.014269063586689</v>
      </c>
      <c r="I61"/>
      <c r="J61" s="91">
        <f>Compco2!N49</f>
        <v>1.9699336316785763</v>
      </c>
      <c r="K61"/>
    </row>
    <row r="62" spans="2:11" ht="12.75">
      <c r="B62" s="47"/>
      <c r="C62" s="226" t="s">
        <v>35</v>
      </c>
      <c r="D62" s="47" t="s">
        <v>36</v>
      </c>
      <c r="E62" s="47"/>
      <c r="F62" s="47" t="s">
        <v>11</v>
      </c>
      <c r="G62" s="52"/>
      <c r="H62" s="32">
        <f>H59*H61</f>
        <v>0.08465468767334408</v>
      </c>
      <c r="I62"/>
      <c r="J62" s="32">
        <f>J59*J61</f>
        <v>0.08030225699329371</v>
      </c>
      <c r="K62"/>
    </row>
    <row r="63" spans="2:11" ht="12.75">
      <c r="B63" s="47"/>
      <c r="C63" s="226" t="s">
        <v>37</v>
      </c>
      <c r="D63" s="47" t="s">
        <v>38</v>
      </c>
      <c r="E63" s="47"/>
      <c r="F63" s="47" t="s">
        <v>8</v>
      </c>
      <c r="G63" s="52"/>
      <c r="H63" s="93">
        <v>0.12</v>
      </c>
      <c r="I63"/>
      <c r="J63" s="93">
        <f>H63</f>
        <v>0.12</v>
      </c>
      <c r="K63" s="341"/>
    </row>
    <row r="64" spans="2:11" ht="12.75">
      <c r="B64" s="47"/>
      <c r="C64" s="226" t="s">
        <v>39</v>
      </c>
      <c r="D64" s="47" t="s">
        <v>40</v>
      </c>
      <c r="E64" s="47"/>
      <c r="F64" s="47" t="s">
        <v>13</v>
      </c>
      <c r="G64" s="52"/>
      <c r="H64" s="202">
        <f>1-(H62/H63)</f>
        <v>0.2945442693887993</v>
      </c>
      <c r="I64"/>
      <c r="J64" s="202">
        <f>1-(J62/J63)</f>
        <v>0.3308145250558857</v>
      </c>
      <c r="K64"/>
    </row>
    <row r="65" spans="2:11" ht="12.75">
      <c r="B65" s="47"/>
      <c r="C65" s="47"/>
      <c r="D65" s="47"/>
      <c r="E65" s="47"/>
      <c r="F65" s="47"/>
      <c r="G65" s="52"/>
      <c r="H65" s="32"/>
      <c r="I65"/>
      <c r="J65" s="32"/>
      <c r="K65"/>
    </row>
    <row r="66" spans="2:11" ht="12.75">
      <c r="B66" s="47">
        <v>3</v>
      </c>
      <c r="C66" s="47" t="s">
        <v>41</v>
      </c>
      <c r="D66" s="47"/>
      <c r="E66" s="47"/>
      <c r="F66" s="47" t="s">
        <v>7</v>
      </c>
      <c r="G66" s="52"/>
      <c r="H66" s="32">
        <f>H63*H64</f>
        <v>0.035345312326655914</v>
      </c>
      <c r="I66"/>
      <c r="J66" s="32">
        <f>J63*J64</f>
        <v>0.03969774300670628</v>
      </c>
      <c r="K66"/>
    </row>
    <row r="67" spans="2:11" ht="12.75">
      <c r="B67" s="47">
        <v>4</v>
      </c>
      <c r="C67" s="47" t="s">
        <v>42</v>
      </c>
      <c r="D67" s="47"/>
      <c r="E67" s="47"/>
      <c r="F67" s="47" t="s">
        <v>20</v>
      </c>
      <c r="G67" s="54"/>
      <c r="H67" s="225">
        <f>((H61*($J$92*H61+1)/(H61+$J$92*H61)-1))</f>
        <v>0.005046114744212682</v>
      </c>
      <c r="I67"/>
      <c r="J67" s="225">
        <f>((J61*($J$92*J61+1)/(J61+$J$92*J61)-1))</f>
        <v>0.004825540456112165</v>
      </c>
      <c r="K67"/>
    </row>
    <row r="68" spans="2:11" ht="12.75">
      <c r="B68" s="47">
        <v>5</v>
      </c>
      <c r="C68" s="47" t="s">
        <v>43</v>
      </c>
      <c r="D68" s="47"/>
      <c r="E68" s="47"/>
      <c r="F68" s="47" t="s">
        <v>44</v>
      </c>
      <c r="G68" s="52"/>
      <c r="H68" s="32">
        <f>H66+H67</f>
        <v>0.040391427070868596</v>
      </c>
      <c r="I68"/>
      <c r="J68" s="32">
        <f>J66+J67</f>
        <v>0.04452328346281845</v>
      </c>
      <c r="K68"/>
    </row>
    <row r="69" spans="2:11" ht="12.75">
      <c r="B69" s="47"/>
      <c r="C69" s="47" t="s">
        <v>45</v>
      </c>
      <c r="D69" s="47"/>
      <c r="E69" s="47"/>
      <c r="F69" s="47"/>
      <c r="G69" s="52"/>
      <c r="H69" s="32"/>
      <c r="I69"/>
      <c r="J69" s="32"/>
      <c r="K69"/>
    </row>
    <row r="70" spans="2:11" ht="12.75">
      <c r="B70" s="47"/>
      <c r="C70" s="47"/>
      <c r="D70" s="47"/>
      <c r="E70" s="47"/>
      <c r="F70" s="47"/>
      <c r="G70" s="52"/>
      <c r="H70" s="32"/>
      <c r="I70"/>
      <c r="J70" s="32"/>
      <c r="K70"/>
    </row>
    <row r="71" spans="2:11" ht="12.75">
      <c r="B71" s="47">
        <v>6</v>
      </c>
      <c r="C71" s="47" t="s">
        <v>46</v>
      </c>
      <c r="D71" s="47"/>
      <c r="E71" s="47"/>
      <c r="F71" s="47" t="s">
        <v>47</v>
      </c>
      <c r="G71" s="52"/>
      <c r="H71" s="32">
        <f>(H68/2)*H59</f>
        <v>0.0008487752965029533</v>
      </c>
      <c r="I71"/>
      <c r="J71" s="32">
        <f>(J68/2)*J59</f>
        <v>0.0009074722349326024</v>
      </c>
      <c r="K71"/>
    </row>
    <row r="72" spans="2:11" ht="12.75">
      <c r="B72" s="47"/>
      <c r="C72" s="47" t="s">
        <v>48</v>
      </c>
      <c r="D72" s="47"/>
      <c r="E72" s="47"/>
      <c r="F72" s="47"/>
      <c r="G72" s="52"/>
      <c r="H72" s="32"/>
      <c r="I72"/>
      <c r="J72" s="32"/>
      <c r="K72"/>
    </row>
    <row r="73" spans="2:11" ht="12.75">
      <c r="B73" s="47"/>
      <c r="C73" s="47"/>
      <c r="D73" s="47"/>
      <c r="E73" s="47"/>
      <c r="F73" s="47"/>
      <c r="G73" s="52"/>
      <c r="H73" s="32"/>
      <c r="I73"/>
      <c r="J73" s="32"/>
      <c r="K73"/>
    </row>
    <row r="74" spans="2:11" ht="12.75">
      <c r="B74" s="50">
        <v>7</v>
      </c>
      <c r="C74" s="50" t="s">
        <v>49</v>
      </c>
      <c r="D74" s="50"/>
      <c r="E74" s="50"/>
      <c r="F74" s="50" t="s">
        <v>50</v>
      </c>
      <c r="G74" s="55"/>
      <c r="H74" s="202">
        <f>H71+H68+H59</f>
        <v>0.08326769968821335</v>
      </c>
      <c r="I74"/>
      <c r="J74" s="202">
        <f>J71+J68+J59</f>
        <v>0.08619469601632326</v>
      </c>
      <c r="K74"/>
    </row>
    <row r="75" spans="2:11" ht="9">
      <c r="B75" s="47"/>
      <c r="C75" s="47"/>
      <c r="D75" s="47"/>
      <c r="E75" s="47"/>
      <c r="F75" s="47"/>
      <c r="G75" s="52"/>
      <c r="H75" s="29"/>
      <c r="I75" s="32"/>
      <c r="J75" s="29"/>
      <c r="K75" s="29"/>
    </row>
    <row r="76" spans="7:11" ht="9">
      <c r="G76" s="52"/>
      <c r="H76" s="29"/>
      <c r="I76" s="29"/>
      <c r="J76" s="29"/>
      <c r="K76" s="29"/>
    </row>
    <row r="77" spans="7:11" ht="9">
      <c r="G77" s="29"/>
      <c r="H77" s="29"/>
      <c r="I77" s="29"/>
      <c r="J77" s="29"/>
      <c r="K77" s="29"/>
    </row>
    <row r="78" spans="2:11" ht="12.75">
      <c r="B78" s="26" t="s">
        <v>477</v>
      </c>
      <c r="G78" s="29"/>
      <c r="H78" s="29"/>
      <c r="I78" s="29"/>
      <c r="J78"/>
      <c r="K78"/>
    </row>
    <row r="79" spans="7:11" ht="12.75">
      <c r="G79" s="29"/>
      <c r="H79" s="29"/>
      <c r="I79" s="29"/>
      <c r="J79" s="29" t="s">
        <v>14</v>
      </c>
      <c r="K79"/>
    </row>
    <row r="80" spans="7:11" ht="12.75">
      <c r="G80" s="29"/>
      <c r="H80" s="29" t="s">
        <v>347</v>
      </c>
      <c r="I80" s="29" t="s">
        <v>206</v>
      </c>
      <c r="K80"/>
    </row>
    <row r="81" spans="2:11" ht="12.75">
      <c r="B81" s="24" t="str">
        <f>F63</f>
        <v>[A]</v>
      </c>
      <c r="C81" s="24" t="s">
        <v>478</v>
      </c>
      <c r="G81" s="29"/>
      <c r="H81" s="337">
        <f>Compco2!AF50</f>
        <v>0.11</v>
      </c>
      <c r="I81" s="90">
        <f>Compco2!AF49</f>
        <v>0.11499999999999999</v>
      </c>
      <c r="J81" s="24" t="str">
        <f>Compco2!AD2</f>
        <v>Exhibit ___(JAR-3) Schedule 4, P. 2</v>
      </c>
      <c r="K81"/>
    </row>
    <row r="82" spans="3:11" ht="12.75">
      <c r="C82" s="24" t="s">
        <v>479</v>
      </c>
      <c r="G82" s="29"/>
      <c r="H82" s="342">
        <f>Compco2!AU50</f>
        <v>0.13088909101095642</v>
      </c>
      <c r="I82" s="90">
        <f>Compco2!AU49</f>
        <v>0.1262603983786978</v>
      </c>
      <c r="J82" s="24" t="str">
        <f>Compco2!AU2</f>
        <v>Exhibit ___(JAR-3) Schedule 4, P. 3</v>
      </c>
      <c r="K82"/>
    </row>
    <row r="83" spans="3:11" ht="12.75">
      <c r="C83" s="24" t="s">
        <v>52</v>
      </c>
      <c r="E83" s="92">
        <f>'[3]COMPCO'!$AB$5</f>
        <v>2003</v>
      </c>
      <c r="G83" s="29"/>
      <c r="H83" s="337">
        <f>Compco2!AE50</f>
        <v>0.1251908396946565</v>
      </c>
      <c r="I83" s="90">
        <f>Compco2!AE49</f>
        <v>0.13312488824783858</v>
      </c>
      <c r="J83" s="24" t="str">
        <f>Compco2!AD2</f>
        <v>Exhibit ___(JAR-3) Schedule 4, P. 2</v>
      </c>
      <c r="K83"/>
    </row>
    <row r="84" spans="3:11" ht="12.75">
      <c r="C84" s="24" t="s">
        <v>52</v>
      </c>
      <c r="E84" s="92">
        <f>'[3]COMPCO'!AD6</f>
        <v>2002</v>
      </c>
      <c r="H84" s="338">
        <f>Compco2!AD50</f>
        <v>0.12307692307692307</v>
      </c>
      <c r="I84" s="338">
        <f>Compco2!AD49</f>
        <v>0.12559796019780878</v>
      </c>
      <c r="J84" s="24" t="str">
        <f>J83</f>
        <v>Exhibit ___(JAR-3) Schedule 4, P. 2</v>
      </c>
      <c r="K84"/>
    </row>
    <row r="85" spans="3:11" ht="9">
      <c r="C85" s="24" t="s">
        <v>52</v>
      </c>
      <c r="E85" s="92">
        <f>'[3]COMPCO'!$Z$5</f>
        <v>2001</v>
      </c>
      <c r="G85" s="29"/>
      <c r="H85" s="337">
        <f>Compco2!AH50</f>
        <v>0.11959739490822972</v>
      </c>
      <c r="I85" s="90">
        <f>Compco2!AH49</f>
        <v>0.13073707218344183</v>
      </c>
      <c r="J85" s="24" t="str">
        <f>J84</f>
        <v>Exhibit ___(JAR-3) Schedule 4, P. 2</v>
      </c>
      <c r="K85" s="29"/>
    </row>
    <row r="86" spans="2:11" ht="9">
      <c r="B86" s="24" t="str">
        <f>F61</f>
        <v>[B]</v>
      </c>
      <c r="C86" s="24" t="str">
        <f>Compco2!Q2</f>
        <v>Exhibit ___(JAR-3) Schedule 4, P. 1</v>
      </c>
      <c r="G86" s="29"/>
      <c r="H86" s="339"/>
      <c r="I86" s="337"/>
      <c r="J86" s="29"/>
      <c r="K86" s="29"/>
    </row>
    <row r="87" spans="2:9" ht="9">
      <c r="B87" s="24" t="str">
        <f>F62</f>
        <v>[C]</v>
      </c>
      <c r="C87" s="24" t="s">
        <v>53</v>
      </c>
      <c r="H87" s="340"/>
      <c r="I87" s="340"/>
    </row>
    <row r="88" spans="2:3" ht="9">
      <c r="B88" s="24" t="str">
        <f>F64</f>
        <v>[D]</v>
      </c>
      <c r="C88" s="24" t="s">
        <v>54</v>
      </c>
    </row>
    <row r="89" spans="2:3" ht="9">
      <c r="B89" s="24" t="str">
        <f>F66</f>
        <v>[E]</v>
      </c>
      <c r="C89" s="24" t="s">
        <v>55</v>
      </c>
    </row>
    <row r="90" spans="2:3" ht="9">
      <c r="B90" s="24" t="str">
        <f>F67</f>
        <v>[F]</v>
      </c>
      <c r="C90" s="24" t="s">
        <v>56</v>
      </c>
    </row>
    <row r="91" ht="9">
      <c r="C91" s="24" t="s">
        <v>57</v>
      </c>
    </row>
    <row r="92" spans="3:11" ht="9">
      <c r="C92" s="24" t="s">
        <v>58</v>
      </c>
      <c r="H92" s="24" t="s">
        <v>59</v>
      </c>
      <c r="J92" s="90">
        <f>extfin2!L55</f>
        <v>0.005</v>
      </c>
      <c r="K92" s="24" t="s">
        <v>60</v>
      </c>
    </row>
    <row r="93" spans="2:3" ht="9">
      <c r="B93" s="24" t="str">
        <f>F68</f>
        <v>[G]</v>
      </c>
      <c r="C93" s="24" t="s">
        <v>61</v>
      </c>
    </row>
    <row r="94" spans="2:10" ht="9">
      <c r="B94" s="24" t="str">
        <f>F71</f>
        <v>[H]</v>
      </c>
      <c r="C94" s="24" t="s">
        <v>62</v>
      </c>
      <c r="J94" s="29"/>
    </row>
    <row r="95" spans="2:3" ht="9">
      <c r="B95" s="24" t="str">
        <f>F74</f>
        <v>[I]</v>
      </c>
      <c r="C95" s="24" t="s">
        <v>63</v>
      </c>
    </row>
    <row r="96" spans="2:3" ht="9">
      <c r="B96" s="24" t="str">
        <f>K92</f>
        <v>[J]</v>
      </c>
      <c r="C96" s="24" t="str">
        <f>extfin2!K2</f>
        <v>Exhibit ___(JAR-3) Schedule 8</v>
      </c>
    </row>
    <row r="99" ht="11.25">
      <c r="M99" s="197"/>
    </row>
    <row r="100" ht="11.25">
      <c r="M100" s="197"/>
    </row>
    <row r="101" ht="11.25">
      <c r="M101" s="197"/>
    </row>
    <row r="103" ht="9">
      <c r="E103" s="336"/>
    </row>
    <row r="104" ht="9">
      <c r="E104" s="26"/>
    </row>
    <row r="106" spans="6:11" ht="12.75">
      <c r="F106" s="26"/>
      <c r="G106" s="26"/>
      <c r="H106" s="27"/>
      <c r="I106" s="26"/>
      <c r="J106" s="27"/>
      <c r="K106"/>
    </row>
    <row r="107" spans="2:11" ht="12.75">
      <c r="B107" s="47"/>
      <c r="C107" s="47"/>
      <c r="D107" s="47"/>
      <c r="E107" s="47"/>
      <c r="F107" s="47"/>
      <c r="G107" s="47"/>
      <c r="H107" s="27"/>
      <c r="I107" s="26"/>
      <c r="J107" s="27"/>
      <c r="K107"/>
    </row>
    <row r="108" spans="2:11" ht="12.75">
      <c r="B108" s="47"/>
      <c r="C108" s="49"/>
      <c r="D108" s="49"/>
      <c r="E108" s="49"/>
      <c r="F108" s="50"/>
      <c r="G108" s="50"/>
      <c r="H108" s="27"/>
      <c r="I108" s="26"/>
      <c r="J108" s="27"/>
      <c r="K108"/>
    </row>
    <row r="109" spans="2:11" ht="12.75">
      <c r="B109" s="47"/>
      <c r="C109" s="49"/>
      <c r="D109" s="49"/>
      <c r="E109" s="49"/>
      <c r="F109" s="50"/>
      <c r="G109" s="50"/>
      <c r="H109" s="27"/>
      <c r="I109" s="26"/>
      <c r="J109" s="27"/>
      <c r="K109"/>
    </row>
    <row r="110" spans="2:11" ht="12.75">
      <c r="B110" s="47"/>
      <c r="C110" s="47"/>
      <c r="D110" s="47"/>
      <c r="E110" s="47"/>
      <c r="F110" s="47"/>
      <c r="G110" s="47"/>
      <c r="H110" s="27"/>
      <c r="I110" s="26"/>
      <c r="J110" s="27"/>
      <c r="K110"/>
    </row>
    <row r="111" spans="2:11" ht="12.75">
      <c r="B111" s="47"/>
      <c r="C111" s="47"/>
      <c r="D111" s="47"/>
      <c r="E111" s="47"/>
      <c r="F111" s="47"/>
      <c r="G111" s="52"/>
      <c r="H111" s="27"/>
      <c r="I111" s="26"/>
      <c r="J111" s="27"/>
      <c r="K111"/>
    </row>
    <row r="112" spans="2:11" ht="12.75">
      <c r="B112" s="47"/>
      <c r="C112" s="47"/>
      <c r="D112" s="47"/>
      <c r="E112" s="47"/>
      <c r="F112" s="47"/>
      <c r="G112" s="52"/>
      <c r="H112" s="27"/>
      <c r="I112" s="26"/>
      <c r="J112" s="27"/>
      <c r="K112"/>
    </row>
    <row r="113" spans="2:11" ht="12.75">
      <c r="B113" s="47"/>
      <c r="C113" s="226"/>
      <c r="D113" s="47"/>
      <c r="E113" s="47"/>
      <c r="F113" s="47"/>
      <c r="G113" s="53"/>
      <c r="H113" s="27"/>
      <c r="I113" s="26"/>
      <c r="J113" s="27"/>
      <c r="K113"/>
    </row>
    <row r="114" spans="2:11" ht="12.75">
      <c r="B114" s="47"/>
      <c r="C114" s="226"/>
      <c r="D114" s="47"/>
      <c r="E114" s="47"/>
      <c r="F114" s="47"/>
      <c r="G114" s="52"/>
      <c r="H114" s="27"/>
      <c r="I114" s="26"/>
      <c r="J114" s="27"/>
      <c r="K114"/>
    </row>
    <row r="115" spans="2:11" ht="12.75">
      <c r="B115" s="47"/>
      <c r="C115" s="226"/>
      <c r="D115" s="47"/>
      <c r="E115" s="47"/>
      <c r="F115" s="47"/>
      <c r="G115" s="52"/>
      <c r="H115" s="27"/>
      <c r="I115" s="26"/>
      <c r="J115" s="27"/>
      <c r="K115"/>
    </row>
    <row r="116" spans="2:11" ht="12.75">
      <c r="B116" s="47"/>
      <c r="C116" s="226"/>
      <c r="D116" s="47"/>
      <c r="E116" s="47"/>
      <c r="F116" s="47"/>
      <c r="G116" s="52"/>
      <c r="H116" s="27"/>
      <c r="I116" s="26"/>
      <c r="J116" s="27"/>
      <c r="K116"/>
    </row>
    <row r="117" spans="2:11" ht="12.75">
      <c r="B117" s="47"/>
      <c r="C117" s="47"/>
      <c r="D117" s="47"/>
      <c r="E117" s="47"/>
      <c r="F117" s="47"/>
      <c r="G117" s="52"/>
      <c r="H117" s="27"/>
      <c r="I117" s="26"/>
      <c r="J117" s="27"/>
      <c r="K117"/>
    </row>
    <row r="118" spans="2:11" ht="12.75">
      <c r="B118" s="47"/>
      <c r="C118" s="47"/>
      <c r="D118" s="47"/>
      <c r="E118" s="47"/>
      <c r="F118" s="47"/>
      <c r="G118" s="52"/>
      <c r="H118" s="27"/>
      <c r="I118" s="26"/>
      <c r="J118" s="27"/>
      <c r="K118"/>
    </row>
    <row r="119" spans="2:11" ht="12.75">
      <c r="B119" s="47"/>
      <c r="C119" s="47"/>
      <c r="D119" s="47"/>
      <c r="E119" s="47"/>
      <c r="F119" s="47"/>
      <c r="G119" s="54"/>
      <c r="H119" s="27"/>
      <c r="I119" s="26"/>
      <c r="J119" s="27"/>
      <c r="K119"/>
    </row>
    <row r="120" spans="2:11" ht="12.75">
      <c r="B120" s="47"/>
      <c r="C120" s="47"/>
      <c r="D120" s="47"/>
      <c r="E120" s="47"/>
      <c r="F120" s="47"/>
      <c r="G120" s="52"/>
      <c r="H120" s="27"/>
      <c r="I120" s="26"/>
      <c r="J120" s="27"/>
      <c r="K120"/>
    </row>
    <row r="121" spans="2:11" ht="12.75">
      <c r="B121" s="47"/>
      <c r="C121" s="47"/>
      <c r="D121" s="47"/>
      <c r="E121" s="47"/>
      <c r="F121" s="47"/>
      <c r="G121" s="52"/>
      <c r="H121" s="27"/>
      <c r="I121" s="26"/>
      <c r="J121" s="27"/>
      <c r="K121"/>
    </row>
    <row r="122" spans="2:11" ht="12.75">
      <c r="B122" s="47"/>
      <c r="C122" s="47"/>
      <c r="D122" s="47"/>
      <c r="E122" s="47"/>
      <c r="F122" s="47"/>
      <c r="G122" s="52"/>
      <c r="H122" s="27"/>
      <c r="I122" s="26"/>
      <c r="J122" s="27"/>
      <c r="K122"/>
    </row>
    <row r="123" spans="2:11" ht="12.75">
      <c r="B123" s="47"/>
      <c r="C123" s="47"/>
      <c r="D123" s="47"/>
      <c r="E123" s="47"/>
      <c r="F123" s="47"/>
      <c r="G123" s="52"/>
      <c r="H123" s="32"/>
      <c r="I123"/>
      <c r="J123" s="32"/>
      <c r="K123"/>
    </row>
    <row r="124" spans="2:11" ht="12.75">
      <c r="B124" s="47"/>
      <c r="C124" s="47"/>
      <c r="D124" s="47"/>
      <c r="E124" s="47"/>
      <c r="F124" s="47"/>
      <c r="G124" s="52"/>
      <c r="H124" s="32"/>
      <c r="I124"/>
      <c r="J124" s="32"/>
      <c r="K124"/>
    </row>
    <row r="125" spans="2:11" ht="12.75">
      <c r="B125" s="47"/>
      <c r="C125" s="47"/>
      <c r="D125" s="47"/>
      <c r="E125" s="47"/>
      <c r="F125" s="47"/>
      <c r="G125" s="52"/>
      <c r="H125" s="32"/>
      <c r="I125"/>
      <c r="J125" s="32"/>
      <c r="K125"/>
    </row>
    <row r="126" spans="2:11" ht="12.75">
      <c r="B126" s="50"/>
      <c r="C126" s="50"/>
      <c r="D126" s="50"/>
      <c r="E126" s="50"/>
      <c r="F126" s="50"/>
      <c r="G126" s="55"/>
      <c r="H126" s="32"/>
      <c r="I126"/>
      <c r="J126" s="32"/>
      <c r="K126"/>
    </row>
    <row r="127" spans="2:11" ht="12.75">
      <c r="B127" s="47"/>
      <c r="C127" s="47"/>
      <c r="D127" s="47"/>
      <c r="E127" s="47"/>
      <c r="F127" s="47"/>
      <c r="G127" s="52"/>
      <c r="H127" s="32"/>
      <c r="I127"/>
      <c r="J127" s="32"/>
      <c r="K127" s="29"/>
    </row>
    <row r="128" spans="7:11" ht="12.75">
      <c r="G128" s="52"/>
      <c r="H128" s="32"/>
      <c r="I128"/>
      <c r="J128" s="32"/>
      <c r="K128" s="29"/>
    </row>
    <row r="129" spans="7:11" ht="9">
      <c r="G129" s="29"/>
      <c r="H129" s="29"/>
      <c r="I129" s="29"/>
      <c r="J129" s="29"/>
      <c r="K129" s="29"/>
    </row>
    <row r="130" spans="2:11" ht="12.75">
      <c r="B130" s="26"/>
      <c r="G130" s="29"/>
      <c r="H130" s="29"/>
      <c r="I130" s="29"/>
      <c r="J130"/>
      <c r="K130"/>
    </row>
    <row r="131" spans="7:11" ht="12.75">
      <c r="G131" s="29"/>
      <c r="H131" s="29"/>
      <c r="I131" s="29"/>
      <c r="J131" s="29"/>
      <c r="K131"/>
    </row>
    <row r="132" spans="7:11" ht="12.75">
      <c r="G132" s="29"/>
      <c r="H132" s="29"/>
      <c r="I132" s="29"/>
      <c r="K132"/>
    </row>
    <row r="133" spans="7:11" ht="12.75">
      <c r="G133" s="29"/>
      <c r="H133" s="337"/>
      <c r="I133" s="90"/>
      <c r="K133"/>
    </row>
    <row r="134" spans="7:11" ht="12.75">
      <c r="G134" s="29"/>
      <c r="H134" s="342"/>
      <c r="I134" s="90"/>
      <c r="K134"/>
    </row>
    <row r="135" spans="5:11" ht="12.75">
      <c r="E135" s="92"/>
      <c r="G135" s="29"/>
      <c r="H135" s="337"/>
      <c r="I135" s="90"/>
      <c r="K135"/>
    </row>
    <row r="136" spans="5:11" ht="12.75">
      <c r="E136" s="92"/>
      <c r="H136" s="338"/>
      <c r="I136" s="338"/>
      <c r="K136"/>
    </row>
    <row r="137" spans="5:11" ht="9">
      <c r="E137" s="92"/>
      <c r="G137" s="29"/>
      <c r="H137" s="337"/>
      <c r="I137" s="90"/>
      <c r="K137" s="29"/>
    </row>
    <row r="138" spans="7:11" ht="9">
      <c r="G138" s="29"/>
      <c r="H138" s="339"/>
      <c r="I138" s="337"/>
      <c r="J138" s="29"/>
      <c r="K138" s="29"/>
    </row>
    <row r="139" spans="8:9" ht="9">
      <c r="H139" s="340"/>
      <c r="I139" s="340"/>
    </row>
    <row r="144" ht="9">
      <c r="J144" s="90"/>
    </row>
    <row r="146" ht="9">
      <c r="J146" s="29"/>
    </row>
    <row r="149" ht="11.25">
      <c r="M149" s="197"/>
    </row>
    <row r="150" ht="11.25">
      <c r="M150" s="197"/>
    </row>
    <row r="151" ht="11.25">
      <c r="M151" s="197"/>
    </row>
    <row r="152" ht="11.25">
      <c r="M152" s="197"/>
    </row>
    <row r="153" ht="11.25">
      <c r="M153" s="197"/>
    </row>
    <row r="154" ht="11.25">
      <c r="M154" s="197"/>
    </row>
    <row r="155" ht="11.25">
      <c r="M155" s="197"/>
    </row>
    <row r="156" ht="11.25">
      <c r="M156" s="197"/>
    </row>
    <row r="157" ht="11.25">
      <c r="M157" s="197"/>
    </row>
    <row r="158" ht="11.25">
      <c r="M158" s="197"/>
    </row>
    <row r="159" ht="11.25">
      <c r="M159" s="197"/>
    </row>
    <row r="160" ht="11.25">
      <c r="M160" s="197"/>
    </row>
    <row r="161" ht="11.25">
      <c r="M161" s="197"/>
    </row>
    <row r="162" ht="11.25">
      <c r="M162" s="197"/>
    </row>
    <row r="163" ht="11.25">
      <c r="M163" s="197"/>
    </row>
    <row r="164" ht="11.25">
      <c r="M164" s="197"/>
    </row>
    <row r="165" ht="11.25">
      <c r="M165" s="197"/>
    </row>
    <row r="166" ht="11.25">
      <c r="M166" s="197"/>
    </row>
    <row r="167" ht="11.25">
      <c r="M167" s="197"/>
    </row>
    <row r="168" ht="11.25">
      <c r="M168" s="197"/>
    </row>
    <row r="169" ht="11.25">
      <c r="M169" s="197"/>
    </row>
    <row r="170" ht="11.25">
      <c r="M170" s="197"/>
    </row>
  </sheetData>
  <printOptions/>
  <pageMargins left="0.75" right="0.75" top="1" bottom="1" header="0.5" footer="0.5"/>
  <pageSetup fitToHeight="2" horizontalDpi="600" verticalDpi="600" orientation="portrait" scale="84" r:id="rId1"/>
  <rowBreaks count="1" manualBreakCount="1">
    <brk id="4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H96" sqref="H96:H97"/>
    </sheetView>
  </sheetViews>
  <sheetFormatPr defaultColWidth="9.140625" defaultRowHeight="12.75"/>
  <cols>
    <col min="1" max="1" width="6.140625" style="40" customWidth="1"/>
    <col min="2" max="2" width="7.8515625" style="40" customWidth="1"/>
    <col min="3" max="3" width="3.57421875" style="40" customWidth="1"/>
    <col min="4" max="6" width="9.140625" style="40" customWidth="1"/>
    <col min="7" max="7" width="22.28125" style="40" customWidth="1"/>
    <col min="8" max="9" width="9.140625" style="40" customWidth="1"/>
    <col min="10" max="10" width="11.140625" style="40" customWidth="1"/>
    <col min="11" max="11" width="3.140625" style="40" customWidth="1"/>
    <col min="12" max="16384" width="9.140625" style="40" customWidth="1"/>
  </cols>
  <sheetData>
    <row r="1" ht="12.75">
      <c r="I1" s="204"/>
    </row>
    <row r="2" spans="1:17" ht="12" customHeight="1">
      <c r="A2" s="37"/>
      <c r="B2" s="38"/>
      <c r="C2" s="38"/>
      <c r="D2" s="38"/>
      <c r="E2" s="38"/>
      <c r="F2" s="38"/>
      <c r="G2" s="38"/>
      <c r="H2" s="38"/>
      <c r="I2" s="39" t="s">
        <v>594</v>
      </c>
      <c r="J2" s="37"/>
      <c r="K2" s="38"/>
      <c r="L2" s="38"/>
      <c r="M2" s="38"/>
      <c r="N2" s="38"/>
      <c r="O2" s="38"/>
      <c r="P2" s="38"/>
      <c r="Q2" s="38"/>
    </row>
    <row r="3" ht="12.75">
      <c r="I3" s="204" t="str">
        <f>OCC!I3</f>
        <v>Docket No. UT-040788</v>
      </c>
    </row>
    <row r="4" ht="12.75">
      <c r="I4" s="204" t="s">
        <v>624</v>
      </c>
    </row>
    <row r="7" spans="1:18" ht="12" customHeight="1">
      <c r="A7" s="38"/>
      <c r="B7" s="38"/>
      <c r="C7" s="38"/>
      <c r="D7" s="39" t="s">
        <v>232</v>
      </c>
      <c r="E7" s="38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2" customHeight="1">
      <c r="A8" s="38"/>
      <c r="B8" s="38"/>
      <c r="C8" s="38"/>
      <c r="D8" s="39" t="s">
        <v>123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2.75">
      <c r="A9" s="38"/>
      <c r="B9" s="38"/>
      <c r="C9" s="38"/>
      <c r="D9" s="37" t="s">
        <v>124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ht="12.75">
      <c r="G10" s="46"/>
    </row>
    <row r="12" spans="1:17" ht="12.75">
      <c r="A12" s="38"/>
      <c r="B12" s="38"/>
      <c r="C12" s="41"/>
      <c r="D12" s="41"/>
      <c r="E12" s="41"/>
      <c r="F12" s="41"/>
      <c r="G12" s="41"/>
      <c r="H12" s="39" t="s">
        <v>126</v>
      </c>
      <c r="I12" s="41"/>
      <c r="J12" s="41"/>
      <c r="K12" s="41"/>
      <c r="L12" s="39" t="s">
        <v>125</v>
      </c>
      <c r="M12" s="38"/>
      <c r="N12" s="38"/>
      <c r="O12" s="38"/>
      <c r="P12" s="38"/>
      <c r="Q12" s="38"/>
    </row>
    <row r="13" spans="1:17" ht="12.75">
      <c r="A13" s="37"/>
      <c r="B13" s="37"/>
      <c r="C13" s="41"/>
      <c r="E13" s="41"/>
      <c r="F13" s="41"/>
      <c r="G13" s="256"/>
      <c r="H13" s="41">
        <v>2003</v>
      </c>
      <c r="I13" s="41"/>
      <c r="J13" s="42" t="s">
        <v>368</v>
      </c>
      <c r="K13" s="41"/>
      <c r="L13" s="39" t="s">
        <v>127</v>
      </c>
      <c r="M13" s="38"/>
      <c r="N13" s="38"/>
      <c r="O13" s="38"/>
      <c r="P13" s="38"/>
      <c r="Q13" s="38"/>
    </row>
    <row r="14" spans="1:17" ht="12.75">
      <c r="A14" s="37"/>
      <c r="B14" s="37"/>
      <c r="C14" s="41"/>
      <c r="E14" s="259"/>
      <c r="F14" s="41"/>
      <c r="G14" s="256"/>
      <c r="H14" s="41"/>
      <c r="I14" s="41"/>
      <c r="J14" s="42"/>
      <c r="K14" s="41"/>
      <c r="L14" s="39"/>
      <c r="M14" s="38"/>
      <c r="N14" s="38"/>
      <c r="O14" s="38"/>
      <c r="P14" s="38"/>
      <c r="Q14" s="38"/>
    </row>
    <row r="15" spans="1:17" ht="12.75">
      <c r="A15" s="37"/>
      <c r="B15" s="37"/>
      <c r="C15" s="41"/>
      <c r="D15" s="40" t="s">
        <v>341</v>
      </c>
      <c r="E15" s="41"/>
      <c r="F15" s="41"/>
      <c r="G15" s="256"/>
      <c r="H15" s="41">
        <v>1830</v>
      </c>
      <c r="I15" s="95"/>
      <c r="J15" s="96">
        <v>1850</v>
      </c>
      <c r="K15" s="37"/>
      <c r="L15" s="44">
        <f>(J15/H15)^0.2-1</f>
        <v>0.002176299156134931</v>
      </c>
      <c r="M15" s="38"/>
      <c r="N15" s="38"/>
      <c r="O15" s="38"/>
      <c r="P15" s="38"/>
      <c r="Q15" s="38"/>
    </row>
    <row r="16" spans="1:17" ht="12.75">
      <c r="A16" s="37"/>
      <c r="B16" s="37"/>
      <c r="C16" s="41"/>
      <c r="D16" s="40" t="s">
        <v>339</v>
      </c>
      <c r="E16" s="256"/>
      <c r="F16" s="41"/>
      <c r="G16" s="256"/>
      <c r="H16" s="41">
        <v>3305.2</v>
      </c>
      <c r="I16" s="95"/>
      <c r="J16" s="96">
        <v>3310</v>
      </c>
      <c r="K16" s="37"/>
      <c r="L16" s="44">
        <f>(J16/H16)^0.2-1</f>
        <v>0.00029028283272558575</v>
      </c>
      <c r="M16" s="38"/>
      <c r="N16" s="38"/>
      <c r="O16" s="38"/>
      <c r="P16" s="38"/>
      <c r="Q16" s="38"/>
    </row>
    <row r="17" spans="1:17" ht="12.75">
      <c r="A17" s="37"/>
      <c r="B17" s="37"/>
      <c r="C17" s="41"/>
      <c r="D17" s="40" t="s">
        <v>337</v>
      </c>
      <c r="E17" s="41"/>
      <c r="F17" s="41"/>
      <c r="G17" s="256"/>
      <c r="H17" s="95">
        <v>2769.4</v>
      </c>
      <c r="I17" s="95"/>
      <c r="J17" s="96">
        <v>2770</v>
      </c>
      <c r="K17" s="38"/>
      <c r="L17" s="229">
        <f>(J17/H17)^0.2-1</f>
        <v>4.332693073849647E-05</v>
      </c>
      <c r="M17" s="38"/>
      <c r="N17" s="38"/>
      <c r="O17" s="38"/>
      <c r="P17" s="38"/>
      <c r="Q17" s="38"/>
    </row>
    <row r="18" spans="1:17" ht="12.75">
      <c r="A18" s="37"/>
      <c r="B18" s="37"/>
      <c r="C18" s="41"/>
      <c r="E18" s="256"/>
      <c r="F18" s="41"/>
      <c r="G18" s="256"/>
      <c r="H18" s="41"/>
      <c r="I18" s="41"/>
      <c r="J18" s="43" t="s">
        <v>17</v>
      </c>
      <c r="K18" s="41"/>
      <c r="L18" s="230">
        <f>AVERAGE(L15:L17)</f>
        <v>0.0008366363065330044</v>
      </c>
      <c r="M18" s="38"/>
      <c r="N18" s="38"/>
      <c r="O18" s="38"/>
      <c r="P18" s="38"/>
      <c r="Q18" s="38"/>
    </row>
    <row r="19" spans="1:17" ht="12.75">
      <c r="A19" s="37"/>
      <c r="B19" s="37"/>
      <c r="C19" s="41"/>
      <c r="E19" s="41"/>
      <c r="F19" s="41"/>
      <c r="G19" s="41"/>
      <c r="H19" s="41"/>
      <c r="I19" s="41"/>
      <c r="J19" s="40" t="s">
        <v>347</v>
      </c>
      <c r="L19" s="46">
        <f>MEDIAN(L15:L17)</f>
        <v>0.00029028283272558575</v>
      </c>
      <c r="M19" s="38"/>
      <c r="N19" s="38"/>
      <c r="O19" s="38"/>
      <c r="P19" s="38"/>
      <c r="Q19" s="38"/>
    </row>
    <row r="20" spans="1:17" ht="12.75">
      <c r="A20" s="37"/>
      <c r="B20" s="37"/>
      <c r="C20" s="41"/>
      <c r="E20" s="41"/>
      <c r="F20" s="41"/>
      <c r="G20" s="41"/>
      <c r="H20" s="41"/>
      <c r="J20" s="45" t="s">
        <v>128</v>
      </c>
      <c r="K20" s="41"/>
      <c r="L20" s="97">
        <v>0.001</v>
      </c>
      <c r="M20" s="38"/>
      <c r="N20" s="38"/>
      <c r="O20" s="38"/>
      <c r="P20" s="38"/>
      <c r="Q20" s="38"/>
    </row>
    <row r="21" spans="1:17" ht="12.75">
      <c r="A21" s="37"/>
      <c r="B21" s="37"/>
      <c r="C21" s="41"/>
      <c r="E21" s="41"/>
      <c r="F21" s="41"/>
      <c r="G21" s="41"/>
      <c r="H21" s="41"/>
      <c r="J21" s="45"/>
      <c r="K21" s="41"/>
      <c r="L21" s="223"/>
      <c r="M21" s="38"/>
      <c r="N21" s="38"/>
      <c r="O21" s="38"/>
      <c r="P21" s="38"/>
      <c r="Q21" s="38"/>
    </row>
    <row r="22" spans="1:17" ht="12.75">
      <c r="A22" s="37"/>
      <c r="B22" s="37"/>
      <c r="C22" s="41"/>
      <c r="D22" s="40" t="s">
        <v>14</v>
      </c>
      <c r="E22" s="41"/>
      <c r="F22" s="41"/>
      <c r="G22" s="41"/>
      <c r="H22" s="41"/>
      <c r="I22" s="41"/>
      <c r="J22" s="45"/>
      <c r="K22" s="41"/>
      <c r="L22" s="223"/>
      <c r="M22" s="38"/>
      <c r="N22" s="38"/>
      <c r="O22" s="38"/>
      <c r="P22" s="38"/>
      <c r="Q22" s="38"/>
    </row>
    <row r="23" ht="12.75">
      <c r="D23" s="40" t="s">
        <v>610</v>
      </c>
    </row>
    <row r="26" ht="12.75">
      <c r="B26" s="40" t="s">
        <v>611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B27" sqref="B27"/>
    </sheetView>
  </sheetViews>
  <sheetFormatPr defaultColWidth="9.140625" defaultRowHeight="12.75"/>
  <cols>
    <col min="1" max="1" width="6.140625" style="40" customWidth="1"/>
    <col min="2" max="2" width="7.8515625" style="40" customWidth="1"/>
    <col min="3" max="3" width="3.57421875" style="40" customWidth="1"/>
    <col min="4" max="9" width="9.140625" style="40" customWidth="1"/>
    <col min="10" max="10" width="11.140625" style="40" customWidth="1"/>
    <col min="11" max="11" width="3.140625" style="40" customWidth="1"/>
    <col min="12" max="13" width="9.140625" style="40" customWidth="1"/>
    <col min="14" max="14" width="16.28125" style="40" customWidth="1"/>
    <col min="15" max="16384" width="9.140625" style="40" customWidth="1"/>
  </cols>
  <sheetData>
    <row r="1" ht="12.75">
      <c r="K1" s="204"/>
    </row>
    <row r="2" spans="1:17" ht="12" customHeight="1">
      <c r="A2" s="37"/>
      <c r="B2" s="38"/>
      <c r="C2" s="38"/>
      <c r="D2" s="38"/>
      <c r="E2" s="38"/>
      <c r="F2" s="38"/>
      <c r="G2" s="38"/>
      <c r="H2" s="38"/>
      <c r="J2" s="37"/>
      <c r="K2" s="60" t="s">
        <v>595</v>
      </c>
      <c r="L2" s="38"/>
      <c r="M2" s="38"/>
      <c r="N2" s="38"/>
      <c r="O2" s="38"/>
      <c r="P2" s="38"/>
      <c r="Q2" s="38"/>
    </row>
    <row r="3" ht="12.75">
      <c r="K3" s="39" t="str">
        <f>OCC!I3</f>
        <v>Docket No. UT-040788</v>
      </c>
    </row>
    <row r="4" spans="9:11" ht="12.75">
      <c r="I4" s="204"/>
      <c r="K4" s="39" t="s">
        <v>625</v>
      </c>
    </row>
    <row r="7" spans="1:18" ht="12" customHeight="1">
      <c r="A7" s="38"/>
      <c r="B7" s="38"/>
      <c r="C7" s="38"/>
      <c r="D7" s="60"/>
      <c r="E7" s="38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2" customHeight="1">
      <c r="A8" s="38"/>
      <c r="B8" s="38"/>
      <c r="C8" s="38"/>
      <c r="D8" s="39" t="s">
        <v>123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2.75">
      <c r="A9" s="38"/>
      <c r="B9" s="38"/>
      <c r="C9" s="38"/>
      <c r="D9" s="37" t="s">
        <v>124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1" ht="12.75">
      <c r="N11" s="332" t="s">
        <v>469</v>
      </c>
    </row>
    <row r="12" spans="1:17" ht="12.75">
      <c r="A12" s="38"/>
      <c r="B12" s="38"/>
      <c r="C12" s="41"/>
      <c r="D12" s="41"/>
      <c r="E12" s="41"/>
      <c r="F12" s="41"/>
      <c r="G12" s="41"/>
      <c r="H12" s="39" t="s">
        <v>126</v>
      </c>
      <c r="I12" s="41"/>
      <c r="J12" s="41"/>
      <c r="K12" s="41"/>
      <c r="L12" s="39" t="s">
        <v>125</v>
      </c>
      <c r="M12" s="38"/>
      <c r="N12" s="333" t="s">
        <v>171</v>
      </c>
      <c r="O12" s="38"/>
      <c r="P12" s="38"/>
      <c r="Q12" s="38"/>
    </row>
    <row r="13" spans="1:17" ht="12.75">
      <c r="A13" s="37"/>
      <c r="B13" s="37"/>
      <c r="C13" s="41"/>
      <c r="E13" s="41"/>
      <c r="F13" s="41"/>
      <c r="G13" s="41"/>
      <c r="H13" s="41">
        <v>2004</v>
      </c>
      <c r="I13" s="41"/>
      <c r="J13" s="42" t="s">
        <v>368</v>
      </c>
      <c r="K13" s="41"/>
      <c r="L13" s="39" t="s">
        <v>127</v>
      </c>
      <c r="M13" s="38"/>
      <c r="N13" s="332" t="s">
        <v>470</v>
      </c>
      <c r="O13" s="38"/>
      <c r="P13" s="38"/>
      <c r="Q13" s="38"/>
    </row>
    <row r="14" spans="1:17" ht="12.75">
      <c r="A14" s="37"/>
      <c r="B14" s="269" t="s">
        <v>471</v>
      </c>
      <c r="C14" s="41"/>
      <c r="E14" s="41"/>
      <c r="F14" s="41"/>
      <c r="G14" s="41"/>
      <c r="H14" s="95"/>
      <c r="I14" s="41"/>
      <c r="J14" s="42"/>
      <c r="K14" s="41"/>
      <c r="L14" s="39"/>
      <c r="M14" s="38"/>
      <c r="N14" s="38"/>
      <c r="O14" s="38"/>
      <c r="P14" s="38"/>
      <c r="Q14" s="38"/>
    </row>
    <row r="15" spans="1:17" ht="12.75">
      <c r="A15" s="37"/>
      <c r="B15" s="180" t="s">
        <v>308</v>
      </c>
      <c r="C15" s="41"/>
      <c r="D15" s="149"/>
      <c r="E15" s="41"/>
      <c r="F15" s="41"/>
      <c r="G15" s="41"/>
      <c r="H15" s="95">
        <v>186</v>
      </c>
      <c r="I15" s="95"/>
      <c r="J15" s="96">
        <v>197</v>
      </c>
      <c r="K15" s="37"/>
      <c r="L15" s="44">
        <f>(J15/H15)^0.25-1</f>
        <v>0.014467925539859428</v>
      </c>
      <c r="M15" s="38"/>
      <c r="N15" s="38"/>
      <c r="O15" s="38"/>
      <c r="P15" s="38"/>
      <c r="Q15" s="38"/>
    </row>
    <row r="16" spans="1:17" ht="12.75">
      <c r="A16" s="37"/>
      <c r="B16" s="180" t="s">
        <v>426</v>
      </c>
      <c r="C16" s="41"/>
      <c r="D16" s="149"/>
      <c r="E16" s="41"/>
      <c r="F16" s="41"/>
      <c r="G16" s="41"/>
      <c r="H16" s="95">
        <v>181.1</v>
      </c>
      <c r="I16" s="95"/>
      <c r="J16" s="96">
        <v>191.9</v>
      </c>
      <c r="K16" s="37"/>
      <c r="L16" s="44">
        <f>(J16/H16)^0.25-1</f>
        <v>0.0145866209441885</v>
      </c>
      <c r="M16" s="38"/>
      <c r="N16" s="38"/>
      <c r="O16" s="38"/>
      <c r="P16" s="38"/>
      <c r="Q16" s="38"/>
    </row>
    <row r="17" spans="1:17" ht="12.75">
      <c r="A17" s="37"/>
      <c r="B17" s="180" t="s">
        <v>428</v>
      </c>
      <c r="C17" s="41"/>
      <c r="D17" s="149"/>
      <c r="E17" s="41"/>
      <c r="F17" s="41"/>
      <c r="G17" s="41"/>
      <c r="H17" s="95">
        <v>335</v>
      </c>
      <c r="I17" s="95"/>
      <c r="J17" s="96">
        <v>338</v>
      </c>
      <c r="K17" s="37"/>
      <c r="L17" s="44">
        <f aca="true" t="shared" si="0" ref="L17:L28">(J17/H17)^0.25-1</f>
        <v>0.002231326626808583</v>
      </c>
      <c r="M17" s="38"/>
      <c r="N17" s="38"/>
      <c r="O17" s="38"/>
      <c r="P17" s="38"/>
      <c r="Q17" s="38"/>
    </row>
    <row r="18" spans="1:17" ht="12.75">
      <c r="A18" s="37"/>
      <c r="B18" s="180" t="s">
        <v>430</v>
      </c>
      <c r="C18" s="41"/>
      <c r="D18" s="149"/>
      <c r="E18" s="41"/>
      <c r="F18" s="41"/>
      <c r="G18" s="41"/>
      <c r="H18" s="95">
        <v>126.5</v>
      </c>
      <c r="I18" s="95"/>
      <c r="J18" s="96">
        <v>126.5</v>
      </c>
      <c r="K18" s="37"/>
      <c r="L18" s="44">
        <f t="shared" si="0"/>
        <v>0</v>
      </c>
      <c r="M18" s="38"/>
      <c r="N18" s="38"/>
      <c r="O18" s="38"/>
      <c r="P18" s="38"/>
      <c r="Q18" s="38"/>
    </row>
    <row r="19" spans="1:17" ht="12.75">
      <c r="A19" s="37"/>
      <c r="B19" s="180" t="s">
        <v>431</v>
      </c>
      <c r="C19" s="41"/>
      <c r="D19" s="149"/>
      <c r="E19" s="41"/>
      <c r="F19" s="41"/>
      <c r="G19" s="41"/>
      <c r="H19" s="95">
        <v>25.5</v>
      </c>
      <c r="I19" s="95"/>
      <c r="J19" s="96">
        <v>26.3</v>
      </c>
      <c r="K19" s="37"/>
      <c r="L19" s="44">
        <f t="shared" si="0"/>
        <v>0.0077525181080753125</v>
      </c>
      <c r="M19" s="38"/>
      <c r="N19" s="38"/>
      <c r="O19" s="38"/>
      <c r="P19" s="38"/>
      <c r="Q19" s="38"/>
    </row>
    <row r="20" spans="1:17" ht="12.75">
      <c r="A20" s="37"/>
      <c r="B20" s="180" t="s">
        <v>433</v>
      </c>
      <c r="C20" s="41"/>
      <c r="D20" s="149"/>
      <c r="E20" s="41"/>
      <c r="F20" s="41"/>
      <c r="G20" s="41"/>
      <c r="H20" s="95">
        <v>230.8</v>
      </c>
      <c r="I20" s="95"/>
      <c r="J20" s="96">
        <v>236.2</v>
      </c>
      <c r="K20" s="37"/>
      <c r="L20" s="44">
        <f t="shared" si="0"/>
        <v>0.005798589393245512</v>
      </c>
      <c r="M20" s="38"/>
      <c r="N20" s="38"/>
      <c r="O20" s="38"/>
      <c r="P20" s="38"/>
      <c r="Q20" s="38"/>
    </row>
    <row r="21" spans="1:17" ht="12.75">
      <c r="A21" s="37"/>
      <c r="B21" s="180" t="s">
        <v>211</v>
      </c>
      <c r="C21" s="41"/>
      <c r="D21" s="149"/>
      <c r="E21" s="41"/>
      <c r="F21" s="41"/>
      <c r="G21" s="41"/>
      <c r="H21" s="95">
        <v>185.8</v>
      </c>
      <c r="I21" s="95"/>
      <c r="J21" s="96">
        <v>209.8</v>
      </c>
      <c r="K21" s="37"/>
      <c r="L21" s="44">
        <f t="shared" si="0"/>
        <v>0.03083686990097756</v>
      </c>
      <c r="M21" s="38"/>
      <c r="N21" s="38"/>
      <c r="O21" s="38"/>
      <c r="P21" s="38"/>
      <c r="Q21" s="38"/>
    </row>
    <row r="22" spans="1:17" ht="12.75">
      <c r="A22" s="37"/>
      <c r="B22" s="180" t="s">
        <v>435</v>
      </c>
      <c r="C22" s="41"/>
      <c r="D22" s="149"/>
      <c r="E22" s="41"/>
      <c r="F22" s="41"/>
      <c r="G22" s="41"/>
      <c r="H22" s="95">
        <v>74.25</v>
      </c>
      <c r="I22" s="95"/>
      <c r="J22" s="96">
        <v>79</v>
      </c>
      <c r="K22" s="37"/>
      <c r="L22" s="44">
        <f t="shared" si="0"/>
        <v>0.015623306101501866</v>
      </c>
      <c r="M22" s="38"/>
      <c r="N22" s="38"/>
      <c r="O22" s="38"/>
      <c r="P22" s="38"/>
      <c r="Q22" s="38"/>
    </row>
    <row r="23" spans="1:17" ht="12.75">
      <c r="A23" s="37"/>
      <c r="B23" s="180" t="s">
        <v>437</v>
      </c>
      <c r="C23" s="41"/>
      <c r="D23" s="149"/>
      <c r="E23" s="41"/>
      <c r="F23" s="41"/>
      <c r="G23" s="41"/>
      <c r="H23" s="95">
        <v>5.1</v>
      </c>
      <c r="I23" s="95"/>
      <c r="J23" s="96">
        <v>5.3</v>
      </c>
      <c r="K23" s="37"/>
      <c r="L23" s="44">
        <f t="shared" si="0"/>
        <v>0.009662957996126043</v>
      </c>
      <c r="M23" s="38"/>
      <c r="N23" s="38"/>
      <c r="O23" s="38"/>
      <c r="P23" s="38"/>
      <c r="Q23" s="38"/>
    </row>
    <row r="24" spans="1:17" ht="12.75">
      <c r="A24" s="37"/>
      <c r="B24" s="180" t="s">
        <v>439</v>
      </c>
      <c r="C24" s="41"/>
      <c r="D24" s="149"/>
      <c r="E24" s="41"/>
      <c r="F24" s="41"/>
      <c r="G24" s="41"/>
      <c r="H24" s="95">
        <v>80.4</v>
      </c>
      <c r="I24" s="95"/>
      <c r="J24" s="96">
        <v>80.4</v>
      </c>
      <c r="K24" s="37"/>
      <c r="L24" s="44">
        <f t="shared" si="0"/>
        <v>0</v>
      </c>
      <c r="M24" s="38"/>
      <c r="N24" s="38"/>
      <c r="O24" s="38"/>
      <c r="P24" s="38"/>
      <c r="Q24" s="38"/>
    </row>
    <row r="25" spans="1:17" ht="12.75">
      <c r="A25" s="37"/>
      <c r="B25" s="180" t="s">
        <v>441</v>
      </c>
      <c r="C25" s="41"/>
      <c r="D25" s="149"/>
      <c r="E25" s="41"/>
      <c r="F25" s="41"/>
      <c r="G25" s="41"/>
      <c r="H25" s="95">
        <v>128.25</v>
      </c>
      <c r="I25" s="95"/>
      <c r="J25" s="96">
        <v>129.25</v>
      </c>
      <c r="K25" s="37"/>
      <c r="L25" s="44">
        <f t="shared" si="0"/>
        <v>0.001943643765987657</v>
      </c>
      <c r="M25" s="38"/>
      <c r="N25" s="38"/>
      <c r="O25" s="38"/>
      <c r="P25" s="38"/>
      <c r="Q25" s="38"/>
    </row>
    <row r="26" spans="1:17" ht="12.75">
      <c r="A26" s="37"/>
      <c r="B26" s="180" t="s">
        <v>443</v>
      </c>
      <c r="C26" s="41"/>
      <c r="D26" s="149"/>
      <c r="E26" s="41"/>
      <c r="F26" s="41"/>
      <c r="G26" s="41"/>
      <c r="H26" s="95">
        <v>248</v>
      </c>
      <c r="I26" s="95"/>
      <c r="J26" s="96">
        <v>256</v>
      </c>
      <c r="K26" s="37"/>
      <c r="L26" s="44">
        <f t="shared" si="0"/>
        <v>0.007968757453088893</v>
      </c>
      <c r="M26" s="38"/>
      <c r="N26" s="38"/>
      <c r="O26" s="38"/>
      <c r="P26" s="38"/>
      <c r="Q26" s="38"/>
    </row>
    <row r="27" spans="1:17" ht="12.75">
      <c r="A27" s="37"/>
      <c r="B27" s="180" t="s">
        <v>472</v>
      </c>
      <c r="C27" s="41"/>
      <c r="D27" s="149"/>
      <c r="E27" s="41"/>
      <c r="F27" s="41"/>
      <c r="G27" s="41"/>
      <c r="H27" s="95">
        <v>99.5</v>
      </c>
      <c r="I27" s="95"/>
      <c r="J27" s="96">
        <v>101.5</v>
      </c>
      <c r="K27" s="37"/>
      <c r="L27" s="44">
        <f t="shared" si="0"/>
        <v>0.004987685879068282</v>
      </c>
      <c r="M27" s="38"/>
      <c r="N27" s="38"/>
      <c r="O27" s="38"/>
      <c r="P27" s="38"/>
      <c r="Q27" s="38"/>
    </row>
    <row r="28" spans="1:17" ht="12.75">
      <c r="A28" s="37"/>
      <c r="B28" s="180" t="s">
        <v>444</v>
      </c>
      <c r="C28" s="41"/>
      <c r="D28" s="149"/>
      <c r="E28" s="41"/>
      <c r="F28" s="41"/>
      <c r="G28" s="41"/>
      <c r="H28" s="95">
        <v>745</v>
      </c>
      <c r="I28" s="95"/>
      <c r="J28" s="96">
        <v>785</v>
      </c>
      <c r="K28" s="37"/>
      <c r="L28" s="44">
        <f t="shared" si="0"/>
        <v>0.013160724777882438</v>
      </c>
      <c r="M28" s="38"/>
      <c r="N28" s="38"/>
      <c r="O28" s="38"/>
      <c r="P28" s="38"/>
      <c r="Q28" s="38"/>
    </row>
    <row r="29" spans="1:17" ht="12.75">
      <c r="A29" s="37"/>
      <c r="B29" s="37"/>
      <c r="C29" s="41"/>
      <c r="D29" s="149"/>
      <c r="E29" s="41"/>
      <c r="F29" s="41"/>
      <c r="G29" s="41"/>
      <c r="H29" s="95"/>
      <c r="I29" s="95"/>
      <c r="J29" s="96"/>
      <c r="K29" s="37"/>
      <c r="L29" s="44"/>
      <c r="M29" s="38"/>
      <c r="N29" s="38"/>
      <c r="O29" s="38"/>
      <c r="P29" s="38"/>
      <c r="Q29" s="38"/>
    </row>
    <row r="30" spans="1:17" ht="12.75">
      <c r="A30" s="37"/>
      <c r="B30" s="37"/>
      <c r="C30" s="41"/>
      <c r="D30" s="149"/>
      <c r="E30" s="41"/>
      <c r="F30" s="41"/>
      <c r="G30" s="41"/>
      <c r="H30" s="95"/>
      <c r="I30" s="95"/>
      <c r="J30" s="96"/>
      <c r="K30" s="38"/>
      <c r="L30" s="229"/>
      <c r="M30" s="38"/>
      <c r="N30" s="38"/>
      <c r="O30" s="38"/>
      <c r="P30" s="38"/>
      <c r="Q30" s="38"/>
    </row>
    <row r="31" spans="1:17" ht="12.75">
      <c r="A31" s="37"/>
      <c r="B31" s="37"/>
      <c r="C31" s="41"/>
      <c r="E31" s="41"/>
      <c r="F31" s="41"/>
      <c r="G31" s="41"/>
      <c r="H31" s="41"/>
      <c r="I31" s="41"/>
      <c r="J31" s="43" t="s">
        <v>17</v>
      </c>
      <c r="K31" s="41"/>
      <c r="L31" s="230">
        <f>AVERAGE(L15:L30)</f>
        <v>0.009215780463343577</v>
      </c>
      <c r="M31" s="38"/>
      <c r="N31" s="38"/>
      <c r="O31" s="38"/>
      <c r="P31" s="38"/>
      <c r="Q31" s="38"/>
    </row>
    <row r="32" spans="1:17" ht="13.5" thickBot="1">
      <c r="A32" s="37"/>
      <c r="B32" s="37"/>
      <c r="C32" s="41"/>
      <c r="E32" s="41"/>
      <c r="F32" s="41"/>
      <c r="G32" s="41"/>
      <c r="H32" s="41"/>
      <c r="I32" s="41"/>
      <c r="J32" s="40" t="s">
        <v>347</v>
      </c>
      <c r="L32" s="46">
        <f>MEDIAN(L15:L30)</f>
        <v>0.007860637780582103</v>
      </c>
      <c r="M32" s="38"/>
      <c r="N32" s="38"/>
      <c r="O32" s="38"/>
      <c r="P32" s="38"/>
      <c r="Q32" s="38"/>
    </row>
    <row r="33" spans="1:17" ht="13.5" thickBot="1">
      <c r="A33" s="37"/>
      <c r="B33" s="37"/>
      <c r="C33" s="41"/>
      <c r="E33" s="41"/>
      <c r="F33" s="41"/>
      <c r="G33" s="41"/>
      <c r="H33" s="41"/>
      <c r="J33" s="45" t="s">
        <v>128</v>
      </c>
      <c r="K33" s="41"/>
      <c r="L33" s="334">
        <v>0.01</v>
      </c>
      <c r="M33" s="38"/>
      <c r="N33" s="38"/>
      <c r="O33" s="38"/>
      <c r="P33" s="38"/>
      <c r="Q33" s="38"/>
    </row>
    <row r="34" ht="12.75" hidden="1">
      <c r="D34" s="204" t="s">
        <v>473</v>
      </c>
    </row>
    <row r="36" spans="4:5" ht="12.75">
      <c r="D36" s="40" t="s">
        <v>14</v>
      </c>
      <c r="E36" s="149" t="s">
        <v>348</v>
      </c>
    </row>
    <row r="38" ht="12.75">
      <c r="B38" s="269" t="s">
        <v>474</v>
      </c>
    </row>
    <row r="39" spans="2:12" ht="12.75">
      <c r="B39" s="180" t="s">
        <v>447</v>
      </c>
      <c r="H39" s="40">
        <v>65</v>
      </c>
      <c r="J39" s="40">
        <v>65</v>
      </c>
      <c r="L39" s="44">
        <f aca="true" t="shared" si="1" ref="L39:L51">(J39/H39)^0.25-1</f>
        <v>0</v>
      </c>
    </row>
    <row r="40" spans="2:12" ht="12.75">
      <c r="B40" s="180" t="s">
        <v>449</v>
      </c>
      <c r="H40" s="40">
        <v>54</v>
      </c>
      <c r="J40" s="40">
        <v>65</v>
      </c>
      <c r="L40" s="44">
        <f t="shared" si="1"/>
        <v>0.04744179520421987</v>
      </c>
    </row>
    <row r="41" spans="2:12" ht="12.75">
      <c r="B41" s="180" t="s">
        <v>451</v>
      </c>
      <c r="H41" s="40">
        <v>37.5</v>
      </c>
      <c r="J41" s="40">
        <v>45</v>
      </c>
      <c r="L41" s="44">
        <f t="shared" si="1"/>
        <v>0.04663513939210562</v>
      </c>
    </row>
    <row r="42" spans="2:12" ht="12.75">
      <c r="B42" s="180" t="s">
        <v>453</v>
      </c>
      <c r="H42" s="40">
        <v>160</v>
      </c>
      <c r="J42" s="40">
        <v>162.5</v>
      </c>
      <c r="L42" s="44">
        <f t="shared" si="1"/>
        <v>0.003883568217609046</v>
      </c>
    </row>
    <row r="43" spans="2:12" ht="12.75">
      <c r="B43" s="180" t="s">
        <v>455</v>
      </c>
      <c r="H43" s="40">
        <v>20.5</v>
      </c>
      <c r="J43" s="40">
        <v>21</v>
      </c>
      <c r="L43" s="44">
        <f t="shared" si="1"/>
        <v>0.006042571015236753</v>
      </c>
    </row>
    <row r="44" spans="2:12" ht="12.75">
      <c r="B44" s="180" t="s">
        <v>457</v>
      </c>
      <c r="H44" s="40">
        <v>28</v>
      </c>
      <c r="J44" s="40">
        <v>25</v>
      </c>
      <c r="L44" s="44">
        <f t="shared" si="1"/>
        <v>-0.027934579093017997</v>
      </c>
    </row>
    <row r="45" spans="2:12" ht="12.75">
      <c r="B45" s="180" t="s">
        <v>459</v>
      </c>
      <c r="H45" s="40">
        <v>44</v>
      </c>
      <c r="J45" s="40">
        <v>43</v>
      </c>
      <c r="L45" s="44">
        <f t="shared" si="1"/>
        <v>-0.005730894966477829</v>
      </c>
    </row>
    <row r="46" spans="2:12" ht="12.75">
      <c r="B46" s="180" t="s">
        <v>217</v>
      </c>
      <c r="H46" s="40">
        <v>27.35</v>
      </c>
      <c r="J46" s="40">
        <v>28</v>
      </c>
      <c r="L46" s="44">
        <f t="shared" si="1"/>
        <v>0.005889269285679788</v>
      </c>
    </row>
    <row r="47" spans="2:12" ht="12.75">
      <c r="B47" s="180" t="s">
        <v>218</v>
      </c>
      <c r="H47" s="40">
        <v>37</v>
      </c>
      <c r="J47" s="40">
        <v>35</v>
      </c>
      <c r="L47" s="44">
        <f t="shared" si="1"/>
        <v>-0.013796407855216408</v>
      </c>
    </row>
    <row r="48" spans="2:12" ht="12.75">
      <c r="B48" s="180" t="s">
        <v>219</v>
      </c>
      <c r="H48" s="40">
        <v>38.5</v>
      </c>
      <c r="J48" s="40">
        <v>36</v>
      </c>
      <c r="L48" s="44">
        <f t="shared" si="1"/>
        <v>-0.01664474535880145</v>
      </c>
    </row>
    <row r="49" spans="2:12" ht="12.75">
      <c r="B49" s="180" t="s">
        <v>221</v>
      </c>
      <c r="H49" s="40">
        <v>34.5</v>
      </c>
      <c r="J49" s="40">
        <v>37</v>
      </c>
      <c r="L49" s="44">
        <f t="shared" si="1"/>
        <v>0.01764348658761339</v>
      </c>
    </row>
    <row r="50" spans="2:12" ht="12.75">
      <c r="B50" s="180" t="s">
        <v>460</v>
      </c>
      <c r="H50" s="40">
        <v>51</v>
      </c>
      <c r="J50" s="40">
        <v>54</v>
      </c>
      <c r="L50" s="44">
        <f t="shared" si="1"/>
        <v>0.014392187891376196</v>
      </c>
    </row>
    <row r="51" spans="2:12" ht="12.75">
      <c r="B51" s="180" t="s">
        <v>222</v>
      </c>
      <c r="H51" s="40">
        <v>48.65</v>
      </c>
      <c r="J51" s="40">
        <v>48.65</v>
      </c>
      <c r="L51" s="44">
        <f t="shared" si="1"/>
        <v>0</v>
      </c>
    </row>
    <row r="52" ht="12.75">
      <c r="L52" s="335"/>
    </row>
    <row r="53" spans="10:12" ht="12.75">
      <c r="J53" s="40" t="s">
        <v>17</v>
      </c>
      <c r="L53" s="46">
        <f>AVERAGE(L39:L51)</f>
        <v>0.005986260793871306</v>
      </c>
    </row>
    <row r="54" spans="10:12" ht="13.5" thickBot="1">
      <c r="J54" s="40" t="s">
        <v>347</v>
      </c>
      <c r="L54" s="46">
        <f>MEDIAN(L39:L51)</f>
        <v>0.003883568217609046</v>
      </c>
    </row>
    <row r="55" spans="10:12" ht="13.5" thickBot="1">
      <c r="J55" s="40" t="s">
        <v>128</v>
      </c>
      <c r="L55" s="334">
        <v>0.005</v>
      </c>
    </row>
    <row r="57" ht="12.75">
      <c r="B57" s="40" t="s">
        <v>14</v>
      </c>
    </row>
    <row r="58" ht="12.75">
      <c r="B58" s="387" t="str">
        <f>EXTFIN!D23</f>
        <v>Value Line, July 2004</v>
      </c>
    </row>
    <row r="59" ht="12.75">
      <c r="L59" s="44"/>
    </row>
    <row r="60" ht="12.75"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  <row r="65" ht="12.75">
      <c r="L65" s="44"/>
    </row>
  </sheetData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Rothschild</dc:creator>
  <cp:keywords/>
  <dc:description/>
  <cp:lastModifiedBy> </cp:lastModifiedBy>
  <cp:lastPrinted>2004-11-12T21:33:53Z</cp:lastPrinted>
  <dcterms:created xsi:type="dcterms:W3CDTF">1995-12-12T21:50:42Z</dcterms:created>
  <dcterms:modified xsi:type="dcterms:W3CDTF">2004-11-15T17:58:38Z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2004-11-22T00:00:00Z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