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100" windowHeight="9210"/>
  </bookViews>
  <sheets>
    <sheet name="JAP-4 (ERF Impacts)" sheetId="1" r:id="rId1"/>
    <sheet name="TARIFF IMPACTS===&gt;" sheetId="35" r:id="rId2"/>
    <sheet name="JAP-4 Sch 7 Res Impact" sheetId="36" r:id="rId3"/>
    <sheet name="JAP-4 Sch 24 Sec Volt Impact" sheetId="37" r:id="rId4"/>
    <sheet name="JAP-4 Sch 25 Sec Volt Impact" sheetId="38" r:id="rId5"/>
    <sheet name="JAP-4 Sch 26 Sec Volt Impact" sheetId="39" r:id="rId6"/>
    <sheet name="JAP-4 Sch 29 Sec Volt Impact" sheetId="40" r:id="rId7"/>
    <sheet name="JAP-4 Sch 31 Pri Volt Impact" sheetId="41" r:id="rId8"/>
    <sheet name="JAP-4 Sch 46 High Volt Impact" sheetId="42" r:id="rId9"/>
    <sheet name="JAP-4 Sch 49 High Volt Impact" sheetId="43" r:id="rId10"/>
    <sheet name="Proposed Filing 10-2018" sheetId="46" r:id="rId11"/>
    <sheet name="JAP-4 Proposed ERF Rev" sheetId="2" r:id="rId12"/>
    <sheet name="Annualized Rider Revenue" sheetId="15" r:id="rId13"/>
    <sheet name="Sch 95" sheetId="3" r:id="rId14"/>
    <sheet name="Sch 95a" sheetId="4" r:id="rId15"/>
    <sheet name="Sch 120" sheetId="13" r:id="rId16"/>
    <sheet name="Sch 129" sheetId="16" r:id="rId17"/>
    <sheet name="Sch 132" sheetId="17" r:id="rId18"/>
    <sheet name="Sch 137" sheetId="19" r:id="rId19"/>
    <sheet name="Sch 140" sheetId="22" r:id="rId20"/>
    <sheet name="Sch 141" sheetId="23" r:id="rId21"/>
    <sheet name="Sch 142" sheetId="24" r:id="rId22"/>
    <sheet name="Sch 194" sheetId="25" r:id="rId23"/>
    <sheet name="Compliance Filings" sheetId="14" r:id="rId24"/>
    <sheet name="UE-180887 Sch 95A" sheetId="12" r:id="rId25"/>
    <sheet name="UE-180285 Sch 120 " sheetId="49" r:id="rId26"/>
    <sheet name="UE-180739 Sch 129" sheetId="7" r:id="rId27"/>
    <sheet name="UE-180976 Sch 132" sheetId="18" r:id="rId28"/>
    <sheet name="UE-180978 Sch 137" sheetId="20" r:id="rId29"/>
    <sheet name="UE-180257 Sch 140" sheetId="48" r:id="rId30"/>
    <sheet name="UE-180282 Sch 142" sheetId="47" r:id="rId31"/>
    <sheet name="UE-170946 Sch 194" sheetId="10" r:id="rId32"/>
  </sheets>
  <externalReferences>
    <externalReference r:id="rId33"/>
  </externalReferences>
  <definedNames>
    <definedName name="_Order1" localSheetId="11">0</definedName>
    <definedName name="_Order1">255</definedName>
    <definedName name="_Order2" localSheetId="11">0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0">'JAP-4 (ERF Impacts)'!$A$1:$W$37</definedName>
    <definedName name="_xlnm.Print_Area" localSheetId="11">'JAP-4 Proposed ERF Rev'!$B$1:$T$49</definedName>
    <definedName name="_xlnm.Print_Area" localSheetId="3">'JAP-4 Sch 24 Sec Volt Impact'!$A$1:$Y$47</definedName>
    <definedName name="_xlnm.Print_Area" localSheetId="4">'JAP-4 Sch 25 Sec Volt Impact'!$A$1:$Q$59</definedName>
    <definedName name="_xlnm.Print_Area" localSheetId="5">'JAP-4 Sch 26 Sec Volt Impact'!$A$1:$Q$47</definedName>
    <definedName name="_xlnm.Print_Area" localSheetId="6">'JAP-4 Sch 29 Sec Volt Impact'!$A$1:$Q$70</definedName>
    <definedName name="_xlnm.Print_Area" localSheetId="7">'JAP-4 Sch 31 Pri Volt Impact'!$A$1:$Q$47</definedName>
    <definedName name="_xlnm.Print_Area" localSheetId="8">'JAP-4 Sch 46 High Volt Impact'!$A$1:$P$39</definedName>
    <definedName name="_xlnm.Print_Area" localSheetId="9">'JAP-4 Sch 49 High Volt Impact'!$A$1:$P$39</definedName>
    <definedName name="_xlnm.Print_Area" localSheetId="2">'JAP-4 Sch 7 Res Impact'!$A$1:$R$46</definedName>
    <definedName name="_xlnm.Print_Titles" localSheetId="0">'JAP-4 (ERF Impacts)'!$A:$B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11">'JAP-4 Proposed ERF Rev'!$B$3:$V$49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W46" i="2" l="1"/>
  <c r="W42" i="2"/>
  <c r="W40" i="2"/>
  <c r="W38" i="2"/>
  <c r="W33" i="2"/>
  <c r="W31" i="2"/>
  <c r="W25" i="2"/>
  <c r="W18" i="2"/>
  <c r="N46" i="2"/>
  <c r="L46" i="2"/>
  <c r="J46" i="2"/>
  <c r="H46" i="2"/>
  <c r="N42" i="2"/>
  <c r="L42" i="2"/>
  <c r="J42" i="2"/>
  <c r="H42" i="2"/>
  <c r="N40" i="2"/>
  <c r="L40" i="2"/>
  <c r="J40" i="2"/>
  <c r="H40" i="2"/>
  <c r="N37" i="2"/>
  <c r="L37" i="2"/>
  <c r="J37" i="2"/>
  <c r="H37" i="2"/>
  <c r="N36" i="2"/>
  <c r="L36" i="2"/>
  <c r="J36" i="2"/>
  <c r="H36" i="2"/>
  <c r="N33" i="2"/>
  <c r="L33" i="2"/>
  <c r="J33" i="2"/>
  <c r="H33" i="2"/>
  <c r="N30" i="2"/>
  <c r="L30" i="2"/>
  <c r="J30" i="2"/>
  <c r="H30" i="2"/>
  <c r="N29" i="2"/>
  <c r="L29" i="2"/>
  <c r="J29" i="2"/>
  <c r="H29" i="2"/>
  <c r="N28" i="2"/>
  <c r="L28" i="2"/>
  <c r="J28" i="2"/>
  <c r="H28" i="2"/>
  <c r="N24" i="2"/>
  <c r="L24" i="2"/>
  <c r="J24" i="2"/>
  <c r="H24" i="2"/>
  <c r="N23" i="2"/>
  <c r="L23" i="2"/>
  <c r="J23" i="2"/>
  <c r="H23" i="2"/>
  <c r="N22" i="2"/>
  <c r="L22" i="2"/>
  <c r="J22" i="2"/>
  <c r="H22" i="2"/>
  <c r="N21" i="2"/>
  <c r="L21" i="2"/>
  <c r="J21" i="2"/>
  <c r="H21" i="2"/>
  <c r="N17" i="2"/>
  <c r="L17" i="2"/>
  <c r="J17" i="2"/>
  <c r="H17" i="2"/>
  <c r="N9" i="2"/>
  <c r="E21" i="24"/>
  <c r="Q42" i="41"/>
  <c r="O28" i="41"/>
  <c r="E16" i="24"/>
  <c r="Q65" i="40"/>
  <c r="Q62" i="40"/>
  <c r="Q59" i="40"/>
  <c r="O45" i="40"/>
  <c r="O41" i="40"/>
  <c r="O38" i="40"/>
  <c r="Q42" i="39"/>
  <c r="O28" i="39"/>
  <c r="Q55" i="38"/>
  <c r="Q52" i="38"/>
  <c r="O38" i="38"/>
  <c r="O33" i="38"/>
  <c r="U23" i="37"/>
  <c r="P30" i="43"/>
  <c r="P29" i="43"/>
  <c r="P28" i="43"/>
  <c r="P27" i="43"/>
  <c r="N18" i="43"/>
  <c r="N17" i="43"/>
  <c r="P30" i="42"/>
  <c r="P29" i="42"/>
  <c r="P28" i="42"/>
  <c r="P27" i="42"/>
  <c r="N18" i="42"/>
  <c r="N17" i="42"/>
  <c r="Q49" i="41"/>
  <c r="Q47" i="41"/>
  <c r="Q46" i="41"/>
  <c r="Q45" i="41"/>
  <c r="Q44" i="41"/>
  <c r="Q43" i="41"/>
  <c r="Q41" i="41"/>
  <c r="Q40" i="41"/>
  <c r="Q39" i="41"/>
  <c r="Q38" i="41"/>
  <c r="O29" i="41"/>
  <c r="O27" i="41"/>
  <c r="O26" i="41"/>
  <c r="O25" i="41"/>
  <c r="O24" i="41"/>
  <c r="Q78" i="40"/>
  <c r="Q76" i="40"/>
  <c r="Q75" i="40"/>
  <c r="Q73" i="40"/>
  <c r="Q72" i="40"/>
  <c r="Q70" i="40"/>
  <c r="Q69" i="40"/>
  <c r="Q68" i="40"/>
  <c r="Q67" i="40"/>
  <c r="Q66" i="40"/>
  <c r="Q64" i="40"/>
  <c r="Q63" i="40"/>
  <c r="Q61" i="40"/>
  <c r="Q60" i="40"/>
  <c r="Q58" i="40"/>
  <c r="Q57" i="40"/>
  <c r="Q56" i="40"/>
  <c r="Q55" i="40"/>
  <c r="O46" i="40"/>
  <c r="O44" i="40"/>
  <c r="O43" i="40"/>
  <c r="O42" i="40"/>
  <c r="O40" i="40"/>
  <c r="O39" i="40"/>
  <c r="O37" i="40"/>
  <c r="O36" i="40"/>
  <c r="O35" i="40"/>
  <c r="O34" i="40"/>
  <c r="Q49" i="39"/>
  <c r="Q47" i="39"/>
  <c r="Q46" i="39"/>
  <c r="Q45" i="39"/>
  <c r="Q44" i="39"/>
  <c r="Q43" i="39"/>
  <c r="Q41" i="39"/>
  <c r="Q40" i="39"/>
  <c r="Q39" i="39"/>
  <c r="Q38" i="39"/>
  <c r="O29" i="39"/>
  <c r="O27" i="39"/>
  <c r="O26" i="39"/>
  <c r="O25" i="39"/>
  <c r="O24" i="39"/>
  <c r="Q66" i="38"/>
  <c r="Q65" i="38"/>
  <c r="Q63" i="38"/>
  <c r="Q62" i="38"/>
  <c r="Q60" i="38"/>
  <c r="Q59" i="38"/>
  <c r="Q58" i="38"/>
  <c r="Q57" i="38"/>
  <c r="Q56" i="38"/>
  <c r="Q54" i="38"/>
  <c r="Q53" i="38"/>
  <c r="Q51" i="38"/>
  <c r="Q50" i="38"/>
  <c r="Q49" i="38"/>
  <c r="O39" i="38"/>
  <c r="O37" i="38"/>
  <c r="O36" i="38"/>
  <c r="O35" i="38"/>
  <c r="O34" i="38"/>
  <c r="O32" i="38"/>
  <c r="O31" i="38"/>
  <c r="O30" i="38"/>
  <c r="Y39" i="37"/>
  <c r="Y38" i="37"/>
  <c r="Y37" i="37"/>
  <c r="Y36" i="37"/>
  <c r="Y35" i="37"/>
  <c r="Y34" i="37"/>
  <c r="Y33" i="37"/>
  <c r="Y32" i="37"/>
  <c r="U22" i="37"/>
  <c r="U21" i="37"/>
  <c r="V20" i="37"/>
  <c r="U20" i="37"/>
  <c r="Q39" i="36"/>
  <c r="Q38" i="36"/>
  <c r="Q37" i="36"/>
  <c r="Q36" i="36"/>
  <c r="Q35" i="36"/>
  <c r="Q34" i="36"/>
  <c r="O23" i="36"/>
  <c r="O22" i="36"/>
  <c r="O21" i="36"/>
  <c r="A48" i="41" l="1"/>
  <c r="A49" i="41" s="1"/>
  <c r="A50" i="41" s="1"/>
  <c r="A51" i="41" s="1"/>
  <c r="A52" i="41" s="1"/>
  <c r="A53" i="41" s="1"/>
  <c r="A71" i="40"/>
  <c r="A72" i="40"/>
  <c r="A73" i="40"/>
  <c r="A74" i="40" s="1"/>
  <c r="A75" i="40" s="1"/>
  <c r="A76" i="40" s="1"/>
  <c r="A77" i="40" s="1"/>
  <c r="A78" i="40" s="1"/>
  <c r="A79" i="40" s="1"/>
  <c r="A80" i="40" s="1"/>
  <c r="A81" i="40" s="1"/>
  <c r="A82" i="40" s="1"/>
  <c r="A48" i="39"/>
  <c r="A49" i="39"/>
  <c r="A50" i="39"/>
  <c r="A51" i="39" s="1"/>
  <c r="A52" i="39" s="1"/>
  <c r="A53" i="39" s="1"/>
  <c r="A60" i="38"/>
  <c r="A61" i="38" s="1"/>
  <c r="A62" i="38" s="1"/>
  <c r="A63" i="38" s="1"/>
  <c r="A64" i="38" s="1"/>
  <c r="A65" i="38" s="1"/>
  <c r="A66" i="38" s="1"/>
  <c r="A67" i="38" s="1"/>
  <c r="A12" i="43" l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14" i="4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12" i="41"/>
  <c r="A13" i="41" s="1"/>
  <c r="A12" i="40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12" i="39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12" i="38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A43" i="38" s="1"/>
  <c r="A44" i="38" s="1"/>
  <c r="A45" i="38" s="1"/>
  <c r="A46" i="38" s="1"/>
  <c r="A47" i="38" s="1"/>
  <c r="A48" i="38" s="1"/>
  <c r="A49" i="38" s="1"/>
  <c r="A50" i="38" s="1"/>
  <c r="A51" i="38" s="1"/>
  <c r="A52" i="38" s="1"/>
  <c r="A53" i="38" s="1"/>
  <c r="A54" i="38" s="1"/>
  <c r="A55" i="38" s="1"/>
  <c r="A56" i="38" s="1"/>
  <c r="A57" i="38" s="1"/>
  <c r="A58" i="38" s="1"/>
  <c r="A59" i="38" s="1"/>
  <c r="A12" i="37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14" i="36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13" i="36"/>
  <c r="A12" i="36"/>
  <c r="N23" i="43" l="1"/>
  <c r="N23" i="42"/>
  <c r="O34" i="41" l="1"/>
  <c r="O51" i="40"/>
  <c r="O34" i="39"/>
  <c r="O45" i="38"/>
  <c r="V28" i="37"/>
  <c r="O30" i="36"/>
  <c r="P20" i="43" l="1"/>
  <c r="P23" i="43"/>
  <c r="N31" i="43"/>
  <c r="N26" i="43"/>
  <c r="P26" i="43" s="1"/>
  <c r="N22" i="43"/>
  <c r="P22" i="43" s="1"/>
  <c r="N26" i="42"/>
  <c r="P26" i="42"/>
  <c r="N31" i="42"/>
  <c r="P31" i="42"/>
  <c r="N22" i="42"/>
  <c r="P22" i="42" s="1"/>
  <c r="Q34" i="41"/>
  <c r="O51" i="41"/>
  <c r="O50" i="41"/>
  <c r="Q50" i="41" s="1"/>
  <c r="O37" i="41"/>
  <c r="Q37" i="41" s="1"/>
  <c r="O33" i="41"/>
  <c r="Q33" i="41" s="1"/>
  <c r="Q51" i="41" l="1"/>
  <c r="P31" i="43"/>
  <c r="O79" i="40" l="1"/>
  <c r="O54" i="40"/>
  <c r="O50" i="40"/>
  <c r="Q30" i="39"/>
  <c r="Q31" i="39"/>
  <c r="Q34" i="39"/>
  <c r="O51" i="39"/>
  <c r="Q51" i="39" s="1"/>
  <c r="O50" i="39"/>
  <c r="Q50" i="39" s="1"/>
  <c r="O37" i="39"/>
  <c r="Q37" i="39" s="1"/>
  <c r="O33" i="39"/>
  <c r="Q33" i="39" s="1"/>
  <c r="O67" i="38"/>
  <c r="Q67" i="38" s="1"/>
  <c r="O48" i="38"/>
  <c r="Q48" i="38" s="1"/>
  <c r="O44" i="38"/>
  <c r="Q44" i="38" s="1"/>
  <c r="V40" i="37"/>
  <c r="Y40" i="37" s="1"/>
  <c r="V31" i="37"/>
  <c r="Y31" i="37" s="1"/>
  <c r="Y27" i="37"/>
  <c r="Y25" i="37"/>
  <c r="V27" i="37"/>
  <c r="O33" i="36" l="1"/>
  <c r="Q33" i="36" s="1"/>
  <c r="O29" i="36"/>
  <c r="Q29" i="36" s="1"/>
  <c r="L9" i="1" l="1"/>
  <c r="L35" i="1"/>
  <c r="L31" i="1"/>
  <c r="L29" i="1"/>
  <c r="L26" i="1"/>
  <c r="L25" i="1"/>
  <c r="L23" i="1"/>
  <c r="L20" i="1"/>
  <c r="L19" i="1"/>
  <c r="L18" i="1"/>
  <c r="L15" i="1"/>
  <c r="L14" i="1"/>
  <c r="L13" i="1"/>
  <c r="L12" i="1"/>
  <c r="C27" i="23"/>
  <c r="C21" i="23"/>
  <c r="C16" i="23"/>
  <c r="C9" i="23"/>
  <c r="A4" i="23"/>
  <c r="A3" i="23"/>
  <c r="E7" i="13"/>
  <c r="E34" i="13"/>
  <c r="E32" i="13"/>
  <c r="E29" i="13"/>
  <c r="E28" i="13"/>
  <c r="E26" i="13"/>
  <c r="E23" i="13"/>
  <c r="E22" i="13"/>
  <c r="E20" i="13"/>
  <c r="E17" i="13"/>
  <c r="E15" i="13"/>
  <c r="E11" i="13"/>
  <c r="E8" i="13"/>
  <c r="E13" i="13" s="1"/>
  <c r="E14" i="13" s="1"/>
  <c r="E21" i="13"/>
  <c r="E16" i="13"/>
  <c r="E12" i="13"/>
  <c r="E34" i="22"/>
  <c r="E32" i="22"/>
  <c r="E29" i="22"/>
  <c r="E28" i="22"/>
  <c r="E26" i="22"/>
  <c r="E23" i="22"/>
  <c r="E22" i="22"/>
  <c r="E20" i="22"/>
  <c r="E17" i="22"/>
  <c r="E15" i="22"/>
  <c r="E11" i="22"/>
  <c r="E8" i="22"/>
  <c r="E7" i="22"/>
  <c r="H20" i="16"/>
  <c r="H15" i="16"/>
  <c r="H13" i="16"/>
  <c r="H11" i="16"/>
  <c r="H8" i="16"/>
  <c r="G7" i="16"/>
  <c r="G34" i="16"/>
  <c r="G32" i="16"/>
  <c r="G29" i="16"/>
  <c r="G28" i="16"/>
  <c r="G26" i="16"/>
  <c r="G23" i="16"/>
  <c r="G22" i="16"/>
  <c r="G20" i="16"/>
  <c r="G17" i="16"/>
  <c r="G15" i="16"/>
  <c r="G11" i="16"/>
  <c r="G8" i="16"/>
  <c r="E7" i="16"/>
  <c r="E34" i="16"/>
  <c r="E32" i="16"/>
  <c r="E29" i="16"/>
  <c r="E28" i="16"/>
  <c r="E26" i="16"/>
  <c r="E23" i="16"/>
  <c r="E22" i="16"/>
  <c r="E20" i="16"/>
  <c r="E17" i="16"/>
  <c r="E15" i="16"/>
  <c r="E11" i="16"/>
  <c r="E8" i="16"/>
  <c r="H33" i="7"/>
  <c r="I33" i="7"/>
  <c r="J33" i="7"/>
  <c r="K33" i="7" s="1"/>
  <c r="H31" i="7"/>
  <c r="J31" i="7"/>
  <c r="I31" i="7"/>
  <c r="J27" i="7"/>
  <c r="H27" i="7"/>
  <c r="I27" i="7"/>
  <c r="H26" i="7"/>
  <c r="J26" i="7"/>
  <c r="E29" i="7"/>
  <c r="D29" i="7"/>
  <c r="J24" i="7"/>
  <c r="I24" i="7"/>
  <c r="H20" i="7"/>
  <c r="I20" i="7"/>
  <c r="J20" i="7"/>
  <c r="K20" i="7" s="1"/>
  <c r="J19" i="7"/>
  <c r="K19" i="7" s="1"/>
  <c r="I19" i="7"/>
  <c r="H18" i="7"/>
  <c r="E22" i="7"/>
  <c r="D22" i="7"/>
  <c r="D16" i="7"/>
  <c r="J14" i="7"/>
  <c r="I14" i="7"/>
  <c r="H13" i="7"/>
  <c r="I13" i="7"/>
  <c r="J13" i="7"/>
  <c r="K13" i="7" s="1"/>
  <c r="J12" i="7"/>
  <c r="I12" i="7"/>
  <c r="H11" i="7"/>
  <c r="E16" i="7"/>
  <c r="J11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H9" i="7"/>
  <c r="J9" i="7"/>
  <c r="E35" i="7"/>
  <c r="C33" i="23" l="1"/>
  <c r="C37" i="23" s="1"/>
  <c r="L12" i="7"/>
  <c r="J16" i="7"/>
  <c r="G16" i="7" s="1"/>
  <c r="K11" i="7"/>
  <c r="K16" i="7" s="1"/>
  <c r="K12" i="7"/>
  <c r="L14" i="7"/>
  <c r="K24" i="7"/>
  <c r="L24" i="7" s="1"/>
  <c r="J29" i="7"/>
  <c r="G29" i="7" s="1"/>
  <c r="K9" i="7"/>
  <c r="K14" i="7"/>
  <c r="L20" i="7"/>
  <c r="L33" i="7"/>
  <c r="D35" i="7"/>
  <c r="L13" i="7"/>
  <c r="L19" i="7"/>
  <c r="K27" i="7"/>
  <c r="L27" i="7" s="1"/>
  <c r="K31" i="7"/>
  <c r="L31" i="7" s="1"/>
  <c r="I11" i="7"/>
  <c r="I9" i="7"/>
  <c r="H12" i="7"/>
  <c r="H14" i="7"/>
  <c r="J18" i="7"/>
  <c r="H19" i="7"/>
  <c r="H24" i="7"/>
  <c r="I26" i="7"/>
  <c r="I18" i="7"/>
  <c r="I29" i="7" l="1"/>
  <c r="K35" i="7"/>
  <c r="L9" i="7"/>
  <c r="I22" i="7"/>
  <c r="L18" i="7"/>
  <c r="K18" i="7"/>
  <c r="K22" i="7" s="1"/>
  <c r="J22" i="7"/>
  <c r="L11" i="7"/>
  <c r="I16" i="7"/>
  <c r="K26" i="7"/>
  <c r="K29" i="7" s="1"/>
  <c r="F16" i="7" l="1"/>
  <c r="H16" i="7" s="1"/>
  <c r="L16" i="7"/>
  <c r="F29" i="7"/>
  <c r="H29" i="7" s="1"/>
  <c r="L29" i="7"/>
  <c r="L22" i="7"/>
  <c r="F22" i="7"/>
  <c r="G22" i="7"/>
  <c r="H22" i="7" s="1"/>
  <c r="J35" i="7"/>
  <c r="G35" i="7" s="1"/>
  <c r="I35" i="7"/>
  <c r="L26" i="7"/>
  <c r="L35" i="7" l="1"/>
  <c r="F35" i="7"/>
  <c r="H35" i="7"/>
  <c r="G21" i="16" l="1"/>
  <c r="G16" i="16"/>
  <c r="G12" i="16"/>
  <c r="G13" i="16"/>
  <c r="G14" i="16" s="1"/>
  <c r="Q42" i="40"/>
  <c r="I15" i="4" l="1"/>
  <c r="H34" i="4"/>
  <c r="H32" i="4"/>
  <c r="H29" i="4"/>
  <c r="N21" i="43" s="1"/>
  <c r="P21" i="43" s="1"/>
  <c r="H28" i="4"/>
  <c r="N21" i="42" s="1"/>
  <c r="P21" i="42" s="1"/>
  <c r="H26" i="4"/>
  <c r="H23" i="4"/>
  <c r="H22" i="4"/>
  <c r="H20" i="4"/>
  <c r="H21" i="4" s="1"/>
  <c r="O32" i="41" s="1"/>
  <c r="Q32" i="41" s="1"/>
  <c r="H17" i="4"/>
  <c r="O49" i="40" s="1"/>
  <c r="H15" i="4"/>
  <c r="H16" i="4" s="1"/>
  <c r="O32" i="39" s="1"/>
  <c r="Q32" i="39" s="1"/>
  <c r="H11" i="4"/>
  <c r="V26" i="37" s="1"/>
  <c r="H8" i="4"/>
  <c r="H13" i="4" s="1"/>
  <c r="H7" i="4"/>
  <c r="O28" i="36" s="1"/>
  <c r="Q28" i="36" s="1"/>
  <c r="H12" i="4"/>
  <c r="E34" i="4"/>
  <c r="E32" i="4"/>
  <c r="E29" i="4"/>
  <c r="E28" i="4"/>
  <c r="E26" i="4"/>
  <c r="E23" i="4"/>
  <c r="E22" i="4"/>
  <c r="E20" i="4"/>
  <c r="E17" i="4"/>
  <c r="E15" i="4"/>
  <c r="E11" i="4"/>
  <c r="E8" i="4"/>
  <c r="E7" i="4"/>
  <c r="H14" i="4" l="1"/>
  <c r="O43" i="38" s="1"/>
  <c r="Q43" i="38" s="1"/>
  <c r="I13" i="4"/>
  <c r="I8" i="4"/>
  <c r="I20" i="4"/>
  <c r="Y26" i="37"/>
  <c r="I11" i="4"/>
  <c r="Q49" i="40"/>
  <c r="I20" i="24"/>
  <c r="H21" i="24"/>
  <c r="H16" i="24"/>
  <c r="G14" i="24"/>
  <c r="G7" i="24"/>
  <c r="O40" i="36" s="1"/>
  <c r="Q40" i="36" s="1"/>
  <c r="G8" i="24"/>
  <c r="I8" i="24" s="1"/>
  <c r="G11" i="24"/>
  <c r="I11" i="24" s="1"/>
  <c r="G12" i="24"/>
  <c r="G13" i="24"/>
  <c r="I13" i="24" s="1"/>
  <c r="G15" i="24"/>
  <c r="I15" i="24" s="1"/>
  <c r="G16" i="24"/>
  <c r="G17" i="24"/>
  <c r="G21" i="24"/>
  <c r="G22" i="24"/>
  <c r="G23" i="24"/>
  <c r="G26" i="24"/>
  <c r="G28" i="24"/>
  <c r="G29" i="24"/>
  <c r="Q79" i="40" l="1"/>
  <c r="H28" i="22"/>
  <c r="H15" i="22"/>
  <c r="I15" i="22" s="1"/>
  <c r="H7" i="22"/>
  <c r="H11" i="22"/>
  <c r="H8" i="22"/>
  <c r="H17" i="22"/>
  <c r="Q54" i="40" s="1"/>
  <c r="H20" i="22"/>
  <c r="H21" i="22" s="1"/>
  <c r="H22" i="22"/>
  <c r="H23" i="22"/>
  <c r="H26" i="22"/>
  <c r="H29" i="22"/>
  <c r="H32" i="22"/>
  <c r="H34" i="22"/>
  <c r="H13" i="22" l="1"/>
  <c r="I13" i="22" s="1"/>
  <c r="I8" i="22"/>
  <c r="H12" i="22"/>
  <c r="I11" i="22"/>
  <c r="I20" i="22"/>
  <c r="H16" i="22"/>
  <c r="H14" i="22" l="1"/>
  <c r="H7" i="13" l="1"/>
  <c r="H11" i="13"/>
  <c r="H8" i="13"/>
  <c r="I8" i="13" s="1"/>
  <c r="H15" i="13"/>
  <c r="H17" i="13"/>
  <c r="Q50" i="40" s="1"/>
  <c r="H20" i="13"/>
  <c r="I20" i="13" s="1"/>
  <c r="H22" i="13"/>
  <c r="H23" i="13"/>
  <c r="H26" i="13"/>
  <c r="H28" i="13"/>
  <c r="H29" i="13"/>
  <c r="H34" i="13"/>
  <c r="H32" i="13"/>
  <c r="I11" i="13" l="1"/>
  <c r="I15" i="13"/>
  <c r="H21" i="13"/>
  <c r="H16" i="13"/>
  <c r="H13" i="13"/>
  <c r="I13" i="13" s="1"/>
  <c r="H12" i="13"/>
  <c r="H14" i="13" l="1"/>
  <c r="O42" i="36" l="1"/>
  <c r="Q42" i="36" s="1"/>
  <c r="H38" i="2" l="1"/>
  <c r="M18" i="43" l="1"/>
  <c r="M17" i="43"/>
  <c r="M18" i="42"/>
  <c r="M17" i="42"/>
  <c r="N29" i="41"/>
  <c r="N28" i="41"/>
  <c r="N27" i="41"/>
  <c r="N26" i="41"/>
  <c r="N25" i="41"/>
  <c r="N24" i="41"/>
  <c r="N46" i="40" l="1"/>
  <c r="N45" i="40"/>
  <c r="N44" i="40"/>
  <c r="N43" i="40"/>
  <c r="N42" i="40"/>
  <c r="N40" i="40"/>
  <c r="N39" i="40"/>
  <c r="N37" i="40"/>
  <c r="N36" i="40"/>
  <c r="N35" i="40"/>
  <c r="N34" i="40"/>
  <c r="N29" i="39"/>
  <c r="N26" i="39"/>
  <c r="N27" i="39"/>
  <c r="N28" i="39"/>
  <c r="N25" i="39"/>
  <c r="N24" i="39"/>
  <c r="N39" i="38"/>
  <c r="N38" i="38"/>
  <c r="N37" i="38"/>
  <c r="N36" i="38"/>
  <c r="N35" i="38"/>
  <c r="N33" i="38"/>
  <c r="N34" i="38"/>
  <c r="N32" i="38"/>
  <c r="N31" i="38"/>
  <c r="N30" i="38"/>
  <c r="T23" i="37" l="1"/>
  <c r="T22" i="37"/>
  <c r="T21" i="37"/>
  <c r="T20" i="37"/>
  <c r="N21" i="36"/>
  <c r="N23" i="36" l="1"/>
  <c r="N22" i="36"/>
  <c r="E11" i="43" l="1"/>
  <c r="E12" i="43"/>
  <c r="E13" i="43"/>
  <c r="E15" i="43"/>
  <c r="E16" i="43"/>
  <c r="E17" i="43"/>
  <c r="E19" i="43"/>
  <c r="E20" i="43"/>
  <c r="E21" i="43"/>
  <c r="E23" i="43"/>
  <c r="E24" i="43"/>
  <c r="E25" i="43"/>
  <c r="E27" i="43"/>
  <c r="E28" i="43"/>
  <c r="E29" i="43"/>
  <c r="E31" i="43"/>
  <c r="E32" i="43"/>
  <c r="E33" i="43"/>
  <c r="E11" i="42"/>
  <c r="E12" i="42"/>
  <c r="E13" i="42"/>
  <c r="E15" i="42"/>
  <c r="E16" i="42"/>
  <c r="E17" i="42"/>
  <c r="E19" i="42"/>
  <c r="E20" i="42"/>
  <c r="E21" i="42"/>
  <c r="E23" i="42"/>
  <c r="E24" i="42"/>
  <c r="E25" i="42"/>
  <c r="E27" i="42"/>
  <c r="E28" i="42"/>
  <c r="E29" i="42"/>
  <c r="E31" i="42"/>
  <c r="E32" i="42"/>
  <c r="E33" i="42"/>
  <c r="E11" i="41"/>
  <c r="P13" i="41"/>
  <c r="B12" i="41"/>
  <c r="B13" i="41" s="1"/>
  <c r="B15" i="41" s="1"/>
  <c r="E12" i="41"/>
  <c r="E13" i="41"/>
  <c r="P15" i="41"/>
  <c r="P17" i="41"/>
  <c r="P18" i="41"/>
  <c r="P19" i="41"/>
  <c r="P21" i="41"/>
  <c r="P14" i="40"/>
  <c r="E12" i="40"/>
  <c r="P15" i="40"/>
  <c r="B13" i="40"/>
  <c r="E13" i="40"/>
  <c r="B14" i="40"/>
  <c r="E14" i="40"/>
  <c r="P17" i="40"/>
  <c r="P18" i="40"/>
  <c r="E16" i="40"/>
  <c r="P19" i="40"/>
  <c r="B17" i="40"/>
  <c r="E17" i="40"/>
  <c r="B18" i="40"/>
  <c r="E18" i="40"/>
  <c r="P21" i="40"/>
  <c r="P22" i="40"/>
  <c r="E20" i="40"/>
  <c r="P23" i="40"/>
  <c r="B21" i="40"/>
  <c r="E21" i="40"/>
  <c r="B22" i="40"/>
  <c r="E22" i="40"/>
  <c r="P25" i="40"/>
  <c r="P27" i="40"/>
  <c r="E25" i="40"/>
  <c r="P28" i="40"/>
  <c r="B26" i="40"/>
  <c r="B27" i="40" s="1"/>
  <c r="E26" i="40"/>
  <c r="P29" i="40"/>
  <c r="E27" i="40"/>
  <c r="P31" i="40"/>
  <c r="E29" i="40"/>
  <c r="B30" i="40"/>
  <c r="B31" i="40" s="1"/>
  <c r="E30" i="40"/>
  <c r="E31" i="40"/>
  <c r="E33" i="40"/>
  <c r="B34" i="40"/>
  <c r="B35" i="40" s="1"/>
  <c r="E34" i="40"/>
  <c r="E35" i="40"/>
  <c r="E37" i="40"/>
  <c r="B38" i="40"/>
  <c r="B39" i="40" s="1"/>
  <c r="E38" i="40"/>
  <c r="E39" i="40"/>
  <c r="E11" i="39"/>
  <c r="P13" i="39"/>
  <c r="B12" i="39"/>
  <c r="E12" i="39"/>
  <c r="B13" i="39"/>
  <c r="B15" i="39" s="1"/>
  <c r="E13" i="39"/>
  <c r="P15" i="39"/>
  <c r="P17" i="39"/>
  <c r="P18" i="39"/>
  <c r="P19" i="39"/>
  <c r="P21" i="39"/>
  <c r="E11" i="38"/>
  <c r="P13" i="38"/>
  <c r="B12" i="38"/>
  <c r="B13" i="38" s="1"/>
  <c r="E12" i="38"/>
  <c r="E13" i="38"/>
  <c r="P15" i="38"/>
  <c r="P16" i="38"/>
  <c r="E15" i="38"/>
  <c r="P17" i="38"/>
  <c r="B16" i="38"/>
  <c r="E16" i="38"/>
  <c r="B17" i="38"/>
  <c r="E17" i="38"/>
  <c r="P19" i="38"/>
  <c r="E19" i="38"/>
  <c r="P21" i="38"/>
  <c r="B20" i="38"/>
  <c r="B21" i="38" s="1"/>
  <c r="E20" i="38"/>
  <c r="E21" i="38"/>
  <c r="P23" i="38"/>
  <c r="P24" i="38"/>
  <c r="E23" i="38"/>
  <c r="P25" i="38"/>
  <c r="B24" i="38"/>
  <c r="B25" i="38" s="1"/>
  <c r="E24" i="38"/>
  <c r="E25" i="38"/>
  <c r="P27" i="38"/>
  <c r="E27" i="38"/>
  <c r="B28" i="38"/>
  <c r="B29" i="38" s="1"/>
  <c r="E28" i="38"/>
  <c r="E29" i="38"/>
  <c r="E31" i="38"/>
  <c r="B32" i="38"/>
  <c r="E32" i="38"/>
  <c r="B33" i="38"/>
  <c r="E33" i="38"/>
  <c r="E35" i="38"/>
  <c r="B36" i="38"/>
  <c r="B37" i="38" s="1"/>
  <c r="E36" i="38"/>
  <c r="E37" i="38"/>
  <c r="W13" i="37"/>
  <c r="B12" i="37"/>
  <c r="W15" i="37"/>
  <c r="W16" i="37"/>
  <c r="W17" i="37"/>
  <c r="B16" i="37"/>
  <c r="B17" i="37"/>
  <c r="E15" i="41" l="1"/>
  <c r="B16" i="41"/>
  <c r="B19" i="37"/>
  <c r="E15" i="39"/>
  <c r="B16" i="39"/>
  <c r="E16" i="39"/>
  <c r="E17" i="39"/>
  <c r="B13" i="37"/>
  <c r="E16" i="41"/>
  <c r="E17" i="41"/>
  <c r="B17" i="41"/>
  <c r="B19" i="41" l="1"/>
  <c r="B20" i="37"/>
  <c r="B17" i="39"/>
  <c r="B21" i="37" l="1"/>
  <c r="E21" i="41"/>
  <c r="B20" i="41"/>
  <c r="E20" i="41"/>
  <c r="E19" i="41"/>
  <c r="B19" i="39"/>
  <c r="B21" i="41" l="1"/>
  <c r="B23" i="37"/>
  <c r="E20" i="39"/>
  <c r="E21" i="39"/>
  <c r="E19" i="39"/>
  <c r="B20" i="39"/>
  <c r="B21" i="39" l="1"/>
  <c r="B24" i="37"/>
  <c r="B23" i="41"/>
  <c r="E23" i="41" l="1"/>
  <c r="E25" i="41"/>
  <c r="B24" i="41"/>
  <c r="E24" i="41"/>
  <c r="B25" i="37"/>
  <c r="B23" i="39"/>
  <c r="E24" i="39" l="1"/>
  <c r="E23" i="39"/>
  <c r="E25" i="39"/>
  <c r="B24" i="39"/>
  <c r="B27" i="37"/>
  <c r="B25" i="41"/>
  <c r="B25" i="39" l="1"/>
  <c r="B28" i="37"/>
  <c r="B27" i="41"/>
  <c r="B29" i="37" l="1"/>
  <c r="B27" i="39"/>
  <c r="E27" i="41"/>
  <c r="E29" i="41"/>
  <c r="B28" i="41"/>
  <c r="E28" i="41"/>
  <c r="E28" i="39" l="1"/>
  <c r="E29" i="39"/>
  <c r="B28" i="39"/>
  <c r="E27" i="39"/>
  <c r="B31" i="37"/>
  <c r="B29" i="41"/>
  <c r="B31" i="41" l="1"/>
  <c r="B32" i="37"/>
  <c r="B29" i="39"/>
  <c r="B31" i="39" l="1"/>
  <c r="E31" i="41"/>
  <c r="B32" i="41"/>
  <c r="E33" i="41"/>
  <c r="E32" i="41"/>
  <c r="B33" i="37"/>
  <c r="B33" i="41" l="1"/>
  <c r="E33" i="39"/>
  <c r="E31" i="39"/>
  <c r="E32" i="39"/>
  <c r="B32" i="39"/>
  <c r="B35" i="37"/>
  <c r="B36" i="37" l="1"/>
  <c r="B35" i="41"/>
  <c r="B33" i="39"/>
  <c r="B37" i="37" l="1"/>
  <c r="B35" i="39"/>
  <c r="E37" i="41"/>
  <c r="E35" i="41"/>
  <c r="E36" i="41"/>
  <c r="B36" i="41"/>
  <c r="E36" i="39" l="1"/>
  <c r="E35" i="39"/>
  <c r="B36" i="39"/>
  <c r="E37" i="39"/>
  <c r="B39" i="37"/>
  <c r="B37" i="41"/>
  <c r="B37" i="39" l="1"/>
  <c r="B40" i="37"/>
  <c r="B41" i="37" l="1"/>
  <c r="E7" i="25" l="1"/>
  <c r="E12" i="25" l="1"/>
  <c r="E16" i="25"/>
  <c r="E22" i="25"/>
  <c r="E13" i="25"/>
  <c r="E17" i="25"/>
  <c r="O81" i="40" s="1"/>
  <c r="Q81" i="40" s="1"/>
  <c r="E32" i="25"/>
  <c r="E20" i="25"/>
  <c r="E14" i="25"/>
  <c r="E11" i="25"/>
  <c r="E15" i="25"/>
  <c r="F15" i="25" s="1"/>
  <c r="E21" i="25"/>
  <c r="F17" i="25"/>
  <c r="N15" i="1" s="1"/>
  <c r="F7" i="25"/>
  <c r="N9" i="1" s="1"/>
  <c r="F22" i="25"/>
  <c r="N19" i="1" s="1"/>
  <c r="F38" i="25"/>
  <c r="N35" i="1" s="1"/>
  <c r="F34" i="25"/>
  <c r="N31" i="1" s="1"/>
  <c r="F32" i="25"/>
  <c r="N29" i="1" s="1"/>
  <c r="F29" i="25"/>
  <c r="N26" i="1" s="1"/>
  <c r="F28" i="25"/>
  <c r="N25" i="1" s="1"/>
  <c r="D30" i="25"/>
  <c r="F26" i="25"/>
  <c r="N23" i="1" s="1"/>
  <c r="F23" i="25"/>
  <c r="N20" i="1" s="1"/>
  <c r="F20" i="25"/>
  <c r="F16" i="25"/>
  <c r="N14" i="1" s="1"/>
  <c r="F13" i="25"/>
  <c r="F11" i="25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F8" i="25"/>
  <c r="A8" i="25"/>
  <c r="D6" i="25"/>
  <c r="D24" i="25" l="1"/>
  <c r="D18" i="25"/>
  <c r="D9" i="25"/>
  <c r="F9" i="25"/>
  <c r="F30" i="25"/>
  <c r="F12" i="25"/>
  <c r="N12" i="1" s="1"/>
  <c r="F21" i="25"/>
  <c r="F14" i="25"/>
  <c r="N13" i="1" s="1"/>
  <c r="A10" i="1"/>
  <c r="A11" i="1" s="1"/>
  <c r="A12" i="1" s="1"/>
  <c r="A13" i="1" s="1"/>
  <c r="A14" i="1" s="1"/>
  <c r="A15" i="1" s="1"/>
  <c r="A16" i="1" s="1"/>
  <c r="A17" i="1" s="1"/>
  <c r="A18" i="1" s="1"/>
  <c r="D36" i="25" l="1"/>
  <c r="D40" i="25" s="1"/>
  <c r="F24" i="25"/>
  <c r="N18" i="1"/>
  <c r="F18" i="25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F36" i="25" l="1"/>
  <c r="F40" i="25" s="1"/>
  <c r="A8" i="24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D6" i="24"/>
  <c r="A3" i="24"/>
  <c r="R13" i="1"/>
  <c r="R35" i="1"/>
  <c r="R31" i="1"/>
  <c r="R29" i="1"/>
  <c r="R25" i="1"/>
  <c r="R23" i="1"/>
  <c r="R20" i="1"/>
  <c r="R19" i="1"/>
  <c r="R18" i="1"/>
  <c r="R15" i="1"/>
  <c r="R14" i="1"/>
  <c r="R12" i="1"/>
  <c r="R26" i="1" l="1"/>
  <c r="R7" i="1" l="1"/>
  <c r="S7" i="1" s="1"/>
  <c r="E12" i="22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D6" i="22"/>
  <c r="A3" i="22"/>
  <c r="E34" i="19"/>
  <c r="E32" i="19"/>
  <c r="E29" i="19"/>
  <c r="N25" i="43" s="1"/>
  <c r="P25" i="43" s="1"/>
  <c r="E28" i="19"/>
  <c r="N25" i="42" s="1"/>
  <c r="P25" i="42" s="1"/>
  <c r="E26" i="19"/>
  <c r="E23" i="19"/>
  <c r="E22" i="19"/>
  <c r="E20" i="19"/>
  <c r="F20" i="19" s="1"/>
  <c r="E17" i="19"/>
  <c r="O53" i="40" s="1"/>
  <c r="Q53" i="40" s="1"/>
  <c r="E15" i="19"/>
  <c r="F15" i="19" s="1"/>
  <c r="E11" i="19"/>
  <c r="E8" i="19"/>
  <c r="F8" i="19" s="1"/>
  <c r="E7" i="19"/>
  <c r="E21" i="19"/>
  <c r="O36" i="41" s="1"/>
  <c r="Q36" i="41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6" i="19"/>
  <c r="A3" i="19"/>
  <c r="E34" i="17"/>
  <c r="E32" i="17"/>
  <c r="E28" i="17"/>
  <c r="N24" i="42" s="1"/>
  <c r="E26" i="17"/>
  <c r="E20" i="17"/>
  <c r="F20" i="17" s="1"/>
  <c r="E15" i="17"/>
  <c r="F15" i="17" s="1"/>
  <c r="E11" i="17"/>
  <c r="E8" i="17"/>
  <c r="E17" i="17" s="1"/>
  <c r="O52" i="40" s="1"/>
  <c r="E7" i="17"/>
  <c r="E21" i="17"/>
  <c r="O35" i="41" s="1"/>
  <c r="E12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D6" i="17"/>
  <c r="A3" i="17"/>
  <c r="P23" i="42"/>
  <c r="F20" i="16"/>
  <c r="Q51" i="40"/>
  <c r="F15" i="16"/>
  <c r="Q30" i="36"/>
  <c r="E16" i="16"/>
  <c r="E12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D6" i="16"/>
  <c r="A3" i="16"/>
  <c r="F20" i="13"/>
  <c r="K20" i="13" s="1"/>
  <c r="F8" i="13"/>
  <c r="K8" i="13" s="1"/>
  <c r="F13" i="13"/>
  <c r="K13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D6" i="13"/>
  <c r="A3" i="13"/>
  <c r="E12" i="4"/>
  <c r="F8" i="4"/>
  <c r="D6" i="4"/>
  <c r="F20" i="3"/>
  <c r="F15" i="3"/>
  <c r="F13" i="3"/>
  <c r="F8" i="3"/>
  <c r="D6" i="3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3" i="4"/>
  <c r="A3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P24" i="42" l="1"/>
  <c r="Q35" i="41"/>
  <c r="Q52" i="40"/>
  <c r="F8" i="22"/>
  <c r="F20" i="22"/>
  <c r="E21" i="22"/>
  <c r="E16" i="19"/>
  <c r="O36" i="39" s="1"/>
  <c r="Q36" i="39" s="1"/>
  <c r="E13" i="4"/>
  <c r="F13" i="4" s="1"/>
  <c r="F11" i="3"/>
  <c r="E21" i="4"/>
  <c r="F20" i="4"/>
  <c r="E14" i="4"/>
  <c r="F11" i="4"/>
  <c r="E16" i="4"/>
  <c r="F15" i="4"/>
  <c r="O32" i="36"/>
  <c r="Q32" i="36" s="1"/>
  <c r="E12" i="19"/>
  <c r="V30" i="37"/>
  <c r="Y30" i="37" s="1"/>
  <c r="F11" i="19"/>
  <c r="O31" i="36"/>
  <c r="Q31" i="36" s="1"/>
  <c r="E13" i="17"/>
  <c r="F8" i="17"/>
  <c r="E29" i="17"/>
  <c r="N24" i="43" s="1"/>
  <c r="E16" i="17"/>
  <c r="O35" i="39" s="1"/>
  <c r="V29" i="37"/>
  <c r="F11" i="17"/>
  <c r="E22" i="17"/>
  <c r="E23" i="17" s="1"/>
  <c r="Y28" i="37"/>
  <c r="F11" i="16"/>
  <c r="E13" i="16"/>
  <c r="F8" i="16"/>
  <c r="E21" i="16"/>
  <c r="F15" i="22"/>
  <c r="F11" i="22"/>
  <c r="F15" i="13"/>
  <c r="K15" i="13" s="1"/>
  <c r="F11" i="13"/>
  <c r="K11" i="13" s="1"/>
  <c r="E13" i="22"/>
  <c r="E16" i="22"/>
  <c r="E13" i="19"/>
  <c r="Y29" i="37" l="1"/>
  <c r="P24" i="43"/>
  <c r="Q35" i="39"/>
  <c r="E14" i="19"/>
  <c r="O47" i="38" s="1"/>
  <c r="Q47" i="38" s="1"/>
  <c r="F13" i="19"/>
  <c r="E14" i="17"/>
  <c r="O46" i="38" s="1"/>
  <c r="Q46" i="38" s="1"/>
  <c r="F13" i="17"/>
  <c r="E14" i="16"/>
  <c r="Q45" i="38"/>
  <c r="F13" i="16"/>
  <c r="E14" i="22"/>
  <c r="F13" i="22"/>
  <c r="B21" i="2"/>
  <c r="B22" i="2" s="1"/>
  <c r="B18" i="2"/>
  <c r="B23" i="2" l="1"/>
  <c r="B24" i="2" l="1"/>
  <c r="B25" i="2" l="1"/>
  <c r="B28" i="2" l="1"/>
  <c r="B29" i="2" l="1"/>
  <c r="B30" i="2" l="1"/>
  <c r="B31" i="2" l="1"/>
  <c r="B33" i="2" l="1"/>
  <c r="B36" i="2" l="1"/>
  <c r="B37" i="2" s="1"/>
  <c r="B38" i="2" s="1"/>
  <c r="B40" i="2" s="1"/>
  <c r="B42" i="2" s="1"/>
  <c r="B44" i="2" s="1"/>
  <c r="B46" i="2" s="1"/>
  <c r="B48" i="2" s="1"/>
  <c r="L27" i="1" l="1"/>
  <c r="N27" i="1"/>
  <c r="N21" i="1"/>
  <c r="L16" i="1"/>
  <c r="N10" i="1"/>
  <c r="R21" i="1" l="1"/>
  <c r="R27" i="1"/>
  <c r="R16" i="1"/>
  <c r="N16" i="1"/>
  <c r="N33" i="1" s="1"/>
  <c r="N37" i="1" s="1"/>
  <c r="L21" i="1"/>
  <c r="R9" i="1" l="1"/>
  <c r="L10" i="1"/>
  <c r="L33" i="1" s="1"/>
  <c r="L37" i="1" s="1"/>
  <c r="R10" i="1" l="1"/>
  <c r="R33" i="1" s="1"/>
  <c r="R37" i="1" s="1"/>
  <c r="Q22" i="36" l="1"/>
  <c r="Q15" i="36" s="1"/>
  <c r="O15" i="36"/>
  <c r="Q35" i="38"/>
  <c r="N13" i="42"/>
  <c r="P17" i="42"/>
  <c r="P13" i="42" s="1"/>
  <c r="O21" i="41" l="1"/>
  <c r="Q29" i="41"/>
  <c r="Q26" i="39"/>
  <c r="O17" i="39"/>
  <c r="Q23" i="36"/>
  <c r="O16" i="36"/>
  <c r="Q27" i="39"/>
  <c r="O18" i="39"/>
  <c r="Q29" i="39"/>
  <c r="O21" i="39"/>
  <c r="X22" i="37"/>
  <c r="V22" i="37"/>
  <c r="Y22" i="37" s="1"/>
  <c r="U16" i="37"/>
  <c r="V16" i="37" s="1"/>
  <c r="O31" i="40"/>
  <c r="Q46" i="40"/>
  <c r="Q36" i="40"/>
  <c r="O17" i="40"/>
  <c r="Q34" i="40"/>
  <c r="O14" i="40"/>
  <c r="X20" i="37"/>
  <c r="U13" i="37"/>
  <c r="O13" i="41"/>
  <c r="Q24" i="41"/>
  <c r="O24" i="38"/>
  <c r="Q37" i="38"/>
  <c r="Q25" i="41"/>
  <c r="O15" i="41"/>
  <c r="Q35" i="40"/>
  <c r="O15" i="40"/>
  <c r="O27" i="38"/>
  <c r="Q39" i="38"/>
  <c r="Y20" i="37"/>
  <c r="V13" i="37"/>
  <c r="O27" i="40"/>
  <c r="Q43" i="40"/>
  <c r="Q24" i="39"/>
  <c r="O13" i="39"/>
  <c r="P18" i="42"/>
  <c r="N14" i="42"/>
  <c r="G20" i="42" s="1"/>
  <c r="Q21" i="36"/>
  <c r="Q13" i="36" s="1"/>
  <c r="O13" i="36"/>
  <c r="F21" i="36" s="1"/>
  <c r="Q26" i="41"/>
  <c r="O17" i="41"/>
  <c r="Q37" i="40"/>
  <c r="O18" i="40"/>
  <c r="O23" i="38"/>
  <c r="Q36" i="38"/>
  <c r="X21" i="37"/>
  <c r="V21" i="37"/>
  <c r="Y21" i="37" s="1"/>
  <c r="U15" i="37"/>
  <c r="V15" i="37" s="1"/>
  <c r="Q34" i="38"/>
  <c r="Q19" i="38" s="1"/>
  <c r="O19" i="38"/>
  <c r="Q27" i="41"/>
  <c r="O18" i="41"/>
  <c r="Q40" i="40"/>
  <c r="O22" i="40"/>
  <c r="Q25" i="39"/>
  <c r="O15" i="39"/>
  <c r="P18" i="43"/>
  <c r="N14" i="43"/>
  <c r="O28" i="40"/>
  <c r="Q44" i="40"/>
  <c r="Q32" i="38"/>
  <c r="O16" i="38"/>
  <c r="Q31" i="38"/>
  <c r="O15" i="38"/>
  <c r="N13" i="43"/>
  <c r="P17" i="43"/>
  <c r="Q30" i="38"/>
  <c r="O13" i="38"/>
  <c r="Q39" i="40"/>
  <c r="O21" i="40"/>
  <c r="F28" i="36" l="1"/>
  <c r="F22" i="36"/>
  <c r="F31" i="36"/>
  <c r="F19" i="36"/>
  <c r="F26" i="36"/>
  <c r="F17" i="36"/>
  <c r="F33" i="36"/>
  <c r="F34" i="36"/>
  <c r="F16" i="36"/>
  <c r="F32" i="36"/>
  <c r="F20" i="36"/>
  <c r="F30" i="36"/>
  <c r="F36" i="36"/>
  <c r="F38" i="36"/>
  <c r="F12" i="36"/>
  <c r="F13" i="36"/>
  <c r="F15" i="36"/>
  <c r="F11" i="36"/>
  <c r="F37" i="36"/>
  <c r="F24" i="36"/>
  <c r="F27" i="36"/>
  <c r="F25" i="36"/>
  <c r="G24" i="42"/>
  <c r="G29" i="42"/>
  <c r="G33" i="42"/>
  <c r="G13" i="42"/>
  <c r="S15" i="36"/>
  <c r="G25" i="42"/>
  <c r="G21" i="42"/>
  <c r="G31" i="42"/>
  <c r="G15" i="42"/>
  <c r="G16" i="42"/>
  <c r="G23" i="42"/>
  <c r="G11" i="42"/>
  <c r="G12" i="42"/>
  <c r="R13" i="42"/>
  <c r="G27" i="42"/>
  <c r="G33" i="43"/>
  <c r="G29" i="43"/>
  <c r="G23" i="43"/>
  <c r="G19" i="43"/>
  <c r="G15" i="43"/>
  <c r="G28" i="43"/>
  <c r="G12" i="43"/>
  <c r="G24" i="43"/>
  <c r="G32" i="43"/>
  <c r="G20" i="43"/>
  <c r="G27" i="43"/>
  <c r="G31" i="43"/>
  <c r="G11" i="43"/>
  <c r="G17" i="43"/>
  <c r="G16" i="43"/>
  <c r="G21" i="43"/>
  <c r="G13" i="43"/>
  <c r="G25" i="43"/>
  <c r="G17" i="42"/>
  <c r="G28" i="42"/>
  <c r="G19" i="42"/>
  <c r="G32" i="42"/>
  <c r="S13" i="36" l="1"/>
  <c r="H11" i="36"/>
  <c r="H19" i="36"/>
  <c r="H20" i="36"/>
  <c r="H12" i="36"/>
  <c r="H13" i="36"/>
  <c r="H17" i="36"/>
  <c r="H15" i="36"/>
  <c r="H16" i="36"/>
  <c r="H21" i="36"/>
  <c r="S19" i="38"/>
  <c r="J16" i="36" l="1"/>
  <c r="L16" i="36"/>
  <c r="L12" i="36"/>
  <c r="J12" i="36"/>
  <c r="L15" i="36"/>
  <c r="J15" i="36"/>
  <c r="J20" i="36"/>
  <c r="L20" i="36"/>
  <c r="L17" i="36"/>
  <c r="J17" i="36"/>
  <c r="J19" i="36"/>
  <c r="L19" i="36"/>
  <c r="J21" i="36"/>
  <c r="L21" i="36"/>
  <c r="J13" i="36"/>
  <c r="L13" i="36"/>
  <c r="J11" i="36"/>
  <c r="L11" i="36"/>
  <c r="C29" i="1" l="1"/>
  <c r="D32" i="24" l="1"/>
  <c r="I32" i="24" s="1"/>
  <c r="M29" i="1" s="1"/>
  <c r="D32" i="3"/>
  <c r="F32" i="3" s="1"/>
  <c r="E29" i="1" s="1"/>
  <c r="D32" i="22"/>
  <c r="D32" i="16"/>
  <c r="D32" i="13"/>
  <c r="D32" i="4"/>
  <c r="D32" i="19"/>
  <c r="F32" i="19" s="1"/>
  <c r="J29" i="1" s="1"/>
  <c r="D32" i="17"/>
  <c r="F32" i="17" s="1"/>
  <c r="I29" i="1" s="1"/>
  <c r="H32" i="16" l="1"/>
  <c r="H29" i="1" s="1"/>
  <c r="F32" i="16"/>
  <c r="I32" i="22"/>
  <c r="K29" i="1" s="1"/>
  <c r="F32" i="22"/>
  <c r="F32" i="4"/>
  <c r="I32" i="4"/>
  <c r="F29" i="1" s="1"/>
  <c r="F32" i="13"/>
  <c r="I32" i="13"/>
  <c r="K32" i="13" l="1"/>
  <c r="G29" i="1"/>
  <c r="O29" i="1" s="1"/>
  <c r="C19" i="1" l="1"/>
  <c r="O19" i="40" l="1"/>
  <c r="Q38" i="40"/>
  <c r="D22" i="16"/>
  <c r="D22" i="24"/>
  <c r="I22" i="24" s="1"/>
  <c r="M19" i="1" s="1"/>
  <c r="D22" i="19"/>
  <c r="F22" i="19" s="1"/>
  <c r="J19" i="1" s="1"/>
  <c r="D22" i="3"/>
  <c r="F22" i="3" s="1"/>
  <c r="E19" i="1" s="1"/>
  <c r="D22" i="13"/>
  <c r="D22" i="4"/>
  <c r="D22" i="17"/>
  <c r="F22" i="17" s="1"/>
  <c r="I19" i="1" s="1"/>
  <c r="D22" i="22"/>
  <c r="C26" i="1"/>
  <c r="E24" i="24"/>
  <c r="Q45" i="40" l="1"/>
  <c r="O29" i="40"/>
  <c r="G20" i="40" s="1"/>
  <c r="F22" i="4"/>
  <c r="I22" i="4"/>
  <c r="F19" i="1" s="1"/>
  <c r="D29" i="24"/>
  <c r="I29" i="24" s="1"/>
  <c r="M26" i="1" s="1"/>
  <c r="D29" i="4"/>
  <c r="D29" i="16"/>
  <c r="D29" i="22"/>
  <c r="D29" i="17"/>
  <c r="F29" i="17" s="1"/>
  <c r="I26" i="1" s="1"/>
  <c r="D29" i="13"/>
  <c r="D29" i="3"/>
  <c r="F29" i="3" s="1"/>
  <c r="E26" i="1" s="1"/>
  <c r="D29" i="19"/>
  <c r="F29" i="19" s="1"/>
  <c r="J26" i="1" s="1"/>
  <c r="I22" i="13"/>
  <c r="F22" i="13"/>
  <c r="F22" i="16"/>
  <c r="H22" i="16"/>
  <c r="H19" i="1" s="1"/>
  <c r="I22" i="22"/>
  <c r="K19" i="1" s="1"/>
  <c r="F22" i="22"/>
  <c r="Q41" i="40"/>
  <c r="O23" i="40"/>
  <c r="G18" i="40" s="1"/>
  <c r="G16" i="40"/>
  <c r="G21" i="40"/>
  <c r="G17" i="40"/>
  <c r="G14" i="40"/>
  <c r="G12" i="40"/>
  <c r="G13" i="40"/>
  <c r="H31" i="2"/>
  <c r="E18" i="24"/>
  <c r="E36" i="24" s="1"/>
  <c r="H18" i="2"/>
  <c r="G25" i="40" l="1"/>
  <c r="H25" i="2"/>
  <c r="H44" i="2" s="1"/>
  <c r="H48" i="2" s="1"/>
  <c r="G35" i="40"/>
  <c r="G38" i="40"/>
  <c r="G34" i="40"/>
  <c r="G22" i="40"/>
  <c r="G30" i="40"/>
  <c r="G29" i="40"/>
  <c r="G31" i="40"/>
  <c r="G33" i="40"/>
  <c r="C31" i="1"/>
  <c r="I29" i="22"/>
  <c r="K26" i="1" s="1"/>
  <c r="F29" i="22"/>
  <c r="O19" i="41"/>
  <c r="Q28" i="41"/>
  <c r="G37" i="40"/>
  <c r="G39" i="40"/>
  <c r="G27" i="40"/>
  <c r="H29" i="16"/>
  <c r="H26" i="1" s="1"/>
  <c r="F29" i="16"/>
  <c r="C25" i="1"/>
  <c r="J38" i="2"/>
  <c r="I29" i="13"/>
  <c r="F29" i="13"/>
  <c r="I29" i="4"/>
  <c r="F26" i="1" s="1"/>
  <c r="F29" i="4"/>
  <c r="Q38" i="38"/>
  <c r="O25" i="38"/>
  <c r="G26" i="40"/>
  <c r="G19" i="1"/>
  <c r="O19" i="1" s="1"/>
  <c r="K22" i="13"/>
  <c r="O17" i="38" l="1"/>
  <c r="Q33" i="38"/>
  <c r="K29" i="13"/>
  <c r="G26" i="1"/>
  <c r="O26" i="1" s="1"/>
  <c r="Q28" i="39"/>
  <c r="O19" i="39"/>
  <c r="D28" i="4"/>
  <c r="D28" i="24"/>
  <c r="D28" i="19"/>
  <c r="D28" i="3"/>
  <c r="D28" i="16"/>
  <c r="D28" i="22"/>
  <c r="D28" i="17"/>
  <c r="C27" i="1"/>
  <c r="D28" i="13"/>
  <c r="G17" i="41"/>
  <c r="G35" i="41"/>
  <c r="G33" i="41"/>
  <c r="G24" i="41"/>
  <c r="G23" i="41"/>
  <c r="G11" i="41"/>
  <c r="G36" i="41"/>
  <c r="G16" i="41"/>
  <c r="G19" i="41"/>
  <c r="G25" i="41"/>
  <c r="G27" i="41"/>
  <c r="G28" i="41"/>
  <c r="G29" i="41"/>
  <c r="G15" i="41"/>
  <c r="G21" i="41"/>
  <c r="G13" i="41"/>
  <c r="G37" i="41"/>
  <c r="G32" i="41"/>
  <c r="G12" i="41"/>
  <c r="G20" i="41"/>
  <c r="G31" i="41"/>
  <c r="D34" i="4"/>
  <c r="D34" i="16"/>
  <c r="D34" i="24"/>
  <c r="I34" i="24" s="1"/>
  <c r="M31" i="1" s="1"/>
  <c r="D34" i="13"/>
  <c r="D34" i="19"/>
  <c r="F34" i="19" s="1"/>
  <c r="J31" i="1" s="1"/>
  <c r="D34" i="3"/>
  <c r="F34" i="3" s="1"/>
  <c r="E31" i="1" s="1"/>
  <c r="D34" i="22"/>
  <c r="D34" i="17"/>
  <c r="F34" i="17" s="1"/>
  <c r="I31" i="1" s="1"/>
  <c r="Q16" i="36"/>
  <c r="S16" i="36" l="1"/>
  <c r="H24" i="36"/>
  <c r="H32" i="36"/>
  <c r="H38" i="36"/>
  <c r="H31" i="36"/>
  <c r="H22" i="36"/>
  <c r="H34" i="36"/>
  <c r="H36" i="36"/>
  <c r="H30" i="36"/>
  <c r="H26" i="36"/>
  <c r="H28" i="36"/>
  <c r="H33" i="36"/>
  <c r="H27" i="36"/>
  <c r="H37" i="36"/>
  <c r="H25" i="36"/>
  <c r="I34" i="22"/>
  <c r="K31" i="1" s="1"/>
  <c r="F34" i="22"/>
  <c r="I28" i="13"/>
  <c r="D30" i="13"/>
  <c r="F28" i="13"/>
  <c r="F30" i="13" s="1"/>
  <c r="H28" i="16"/>
  <c r="F28" i="16"/>
  <c r="F30" i="16" s="1"/>
  <c r="D30" i="16"/>
  <c r="D30" i="4"/>
  <c r="I28" i="4"/>
  <c r="F28" i="4"/>
  <c r="F30" i="4" s="1"/>
  <c r="G21" i="38"/>
  <c r="G29" i="38"/>
  <c r="G37" i="38"/>
  <c r="G13" i="38"/>
  <c r="G28" i="38"/>
  <c r="G32" i="38"/>
  <c r="G15" i="38"/>
  <c r="G12" i="38"/>
  <c r="G11" i="38"/>
  <c r="G24" i="38"/>
  <c r="G33" i="38"/>
  <c r="G17" i="38"/>
  <c r="G31" i="38"/>
  <c r="G19" i="38"/>
  <c r="G27" i="38"/>
  <c r="G36" i="38"/>
  <c r="G35" i="38"/>
  <c r="G25" i="38"/>
  <c r="G16" i="38"/>
  <c r="G23" i="38"/>
  <c r="G20" i="38"/>
  <c r="F34" i="16"/>
  <c r="H34" i="16"/>
  <c r="H31" i="1" s="1"/>
  <c r="F28" i="3"/>
  <c r="D30" i="3"/>
  <c r="I34" i="4"/>
  <c r="F31" i="1" s="1"/>
  <c r="F34" i="4"/>
  <c r="D30" i="17"/>
  <c r="F28" i="17"/>
  <c r="D30" i="19"/>
  <c r="F28" i="19"/>
  <c r="F34" i="13"/>
  <c r="I34" i="13"/>
  <c r="F28" i="22"/>
  <c r="F30" i="22" s="1"/>
  <c r="D30" i="22"/>
  <c r="I28" i="22"/>
  <c r="D30" i="24"/>
  <c r="I28" i="24"/>
  <c r="G33" i="39"/>
  <c r="G28" i="39"/>
  <c r="G29" i="39"/>
  <c r="G20" i="39"/>
  <c r="G37" i="39"/>
  <c r="G11" i="39"/>
  <c r="G13" i="39"/>
  <c r="G21" i="39"/>
  <c r="G17" i="39"/>
  <c r="G35" i="39"/>
  <c r="G15" i="39"/>
  <c r="G24" i="39"/>
  <c r="G23" i="39"/>
  <c r="G27" i="39"/>
  <c r="G16" i="39"/>
  <c r="G25" i="39"/>
  <c r="G32" i="39"/>
  <c r="G36" i="39"/>
  <c r="G19" i="39"/>
  <c r="G31" i="39"/>
  <c r="G12" i="39"/>
  <c r="K25" i="1" l="1"/>
  <c r="K27" i="1" s="1"/>
  <c r="I30" i="22"/>
  <c r="E25" i="1"/>
  <c r="F30" i="3"/>
  <c r="L33" i="36"/>
  <c r="J33" i="36"/>
  <c r="J36" i="36"/>
  <c r="L36" i="36"/>
  <c r="L38" i="36"/>
  <c r="J38" i="36"/>
  <c r="F30" i="19"/>
  <c r="J25" i="1"/>
  <c r="J27" i="1" s="1"/>
  <c r="L25" i="36"/>
  <c r="J25" i="36"/>
  <c r="J28" i="36"/>
  <c r="L28" i="36"/>
  <c r="J34" i="36"/>
  <c r="L34" i="36"/>
  <c r="J32" i="36"/>
  <c r="L32" i="36"/>
  <c r="M25" i="1"/>
  <c r="M27" i="1" s="1"/>
  <c r="I30" i="24"/>
  <c r="G25" i="1"/>
  <c r="G27" i="1" s="1"/>
  <c r="I30" i="13"/>
  <c r="K28" i="13"/>
  <c r="K30" i="13" s="1"/>
  <c r="L37" i="36"/>
  <c r="J37" i="36"/>
  <c r="L26" i="36"/>
  <c r="J26" i="36"/>
  <c r="J22" i="36"/>
  <c r="L22" i="36"/>
  <c r="J24" i="36"/>
  <c r="L24" i="36"/>
  <c r="K34" i="13"/>
  <c r="G31" i="1"/>
  <c r="O31" i="1" s="1"/>
  <c r="I25" i="1"/>
  <c r="I27" i="1" s="1"/>
  <c r="F30" i="17"/>
  <c r="I30" i="4"/>
  <c r="F25" i="1"/>
  <c r="F27" i="1" s="1"/>
  <c r="H25" i="1"/>
  <c r="H27" i="1" s="1"/>
  <c r="H30" i="16"/>
  <c r="L27" i="36"/>
  <c r="J27" i="36"/>
  <c r="L30" i="36"/>
  <c r="J30" i="36"/>
  <c r="J31" i="36"/>
  <c r="L31" i="36"/>
  <c r="O25" i="1" l="1"/>
  <c r="E27" i="1"/>
  <c r="O27" i="1" l="1"/>
  <c r="C15" i="1" l="1"/>
  <c r="D17" i="22" l="1"/>
  <c r="D17" i="3"/>
  <c r="F17" i="3" s="1"/>
  <c r="E15" i="1" s="1"/>
  <c r="D17" i="17"/>
  <c r="F17" i="17" s="1"/>
  <c r="I15" i="1" s="1"/>
  <c r="D17" i="19"/>
  <c r="F17" i="19" s="1"/>
  <c r="J15" i="1" s="1"/>
  <c r="D17" i="16"/>
  <c r="D17" i="4"/>
  <c r="D17" i="13"/>
  <c r="D17" i="24"/>
  <c r="I17" i="24" s="1"/>
  <c r="M15" i="1" s="1"/>
  <c r="C12" i="1"/>
  <c r="I17" i="13" l="1"/>
  <c r="F17" i="13"/>
  <c r="F17" i="4"/>
  <c r="I17" i="4"/>
  <c r="F15" i="1" s="1"/>
  <c r="D12" i="19"/>
  <c r="D12" i="3"/>
  <c r="D12" i="24"/>
  <c r="D12" i="22"/>
  <c r="D12" i="16"/>
  <c r="D12" i="4"/>
  <c r="D12" i="13"/>
  <c r="D12" i="17"/>
  <c r="H17" i="16"/>
  <c r="H15" i="1" s="1"/>
  <c r="F17" i="16"/>
  <c r="I17" i="22"/>
  <c r="K15" i="1" s="1"/>
  <c r="F17" i="22"/>
  <c r="C35" i="1"/>
  <c r="C14" i="1"/>
  <c r="C20" i="1"/>
  <c r="C18" i="1" l="1"/>
  <c r="J31" i="2"/>
  <c r="I12" i="13"/>
  <c r="F12" i="13"/>
  <c r="I12" i="24"/>
  <c r="C9" i="1"/>
  <c r="J18" i="2"/>
  <c r="C23" i="1"/>
  <c r="D38" i="22"/>
  <c r="D38" i="13"/>
  <c r="D38" i="17"/>
  <c r="F38" i="17" s="1"/>
  <c r="I35" i="1" s="1"/>
  <c r="D38" i="3"/>
  <c r="F38" i="3" s="1"/>
  <c r="E35" i="1" s="1"/>
  <c r="D38" i="16"/>
  <c r="D38" i="4"/>
  <c r="D38" i="19"/>
  <c r="F38" i="19" s="1"/>
  <c r="J35" i="1" s="1"/>
  <c r="D38" i="24"/>
  <c r="I38" i="24" s="1"/>
  <c r="M35" i="1" s="1"/>
  <c r="I12" i="4"/>
  <c r="F12" i="4"/>
  <c r="F12" i="3"/>
  <c r="D16" i="17"/>
  <c r="F16" i="17" s="1"/>
  <c r="I14" i="1" s="1"/>
  <c r="D16" i="19"/>
  <c r="F16" i="19" s="1"/>
  <c r="J14" i="1" s="1"/>
  <c r="D16" i="24"/>
  <c r="I16" i="24" s="1"/>
  <c r="M14" i="1" s="1"/>
  <c r="D16" i="16"/>
  <c r="D16" i="13"/>
  <c r="D16" i="22"/>
  <c r="D16" i="4"/>
  <c r="D16" i="3"/>
  <c r="F16" i="3" s="1"/>
  <c r="E14" i="1" s="1"/>
  <c r="H12" i="16"/>
  <c r="F12" i="16"/>
  <c r="F12" i="19"/>
  <c r="C13" i="1"/>
  <c r="J25" i="2"/>
  <c r="D23" i="13"/>
  <c r="D23" i="22"/>
  <c r="D23" i="4"/>
  <c r="D23" i="19"/>
  <c r="F23" i="19" s="1"/>
  <c r="J20" i="1" s="1"/>
  <c r="D23" i="16"/>
  <c r="D23" i="24"/>
  <c r="I23" i="24" s="1"/>
  <c r="M20" i="1" s="1"/>
  <c r="D23" i="17"/>
  <c r="F23" i="17" s="1"/>
  <c r="I20" i="1" s="1"/>
  <c r="D23" i="3"/>
  <c r="F23" i="3" s="1"/>
  <c r="E20" i="1" s="1"/>
  <c r="D35" i="1"/>
  <c r="F12" i="17"/>
  <c r="I12" i="22"/>
  <c r="F12" i="22"/>
  <c r="G15" i="1"/>
  <c r="O15" i="1" s="1"/>
  <c r="K17" i="13"/>
  <c r="J44" i="2" l="1"/>
  <c r="J48" i="2" s="1"/>
  <c r="E12" i="1"/>
  <c r="K12" i="1"/>
  <c r="F23" i="16"/>
  <c r="H23" i="16"/>
  <c r="H20" i="1" s="1"/>
  <c r="F23" i="13"/>
  <c r="I23" i="13"/>
  <c r="J12" i="1"/>
  <c r="H16" i="16"/>
  <c r="H14" i="1" s="1"/>
  <c r="F16" i="16"/>
  <c r="F12" i="1"/>
  <c r="H38" i="16"/>
  <c r="H35" i="1" s="1"/>
  <c r="F38" i="16"/>
  <c r="I38" i="22"/>
  <c r="K35" i="1" s="1"/>
  <c r="F38" i="22"/>
  <c r="D7" i="17"/>
  <c r="D7" i="4"/>
  <c r="C10" i="1"/>
  <c r="D7" i="19"/>
  <c r="D7" i="13"/>
  <c r="D7" i="24"/>
  <c r="D7" i="3"/>
  <c r="D7" i="16"/>
  <c r="D7" i="22"/>
  <c r="F16" i="4"/>
  <c r="I16" i="4"/>
  <c r="F14" i="1" s="1"/>
  <c r="G12" i="1"/>
  <c r="K12" i="13"/>
  <c r="I12" i="1"/>
  <c r="F23" i="4"/>
  <c r="I23" i="4"/>
  <c r="F20" i="1" s="1"/>
  <c r="D14" i="19"/>
  <c r="D14" i="17"/>
  <c r="D14" i="3"/>
  <c r="D14" i="4"/>
  <c r="D14" i="22"/>
  <c r="D14" i="16"/>
  <c r="D14" i="13"/>
  <c r="D14" i="24"/>
  <c r="C16" i="1"/>
  <c r="I16" i="22"/>
  <c r="K14" i="1" s="1"/>
  <c r="F16" i="22"/>
  <c r="D26" i="19"/>
  <c r="F26" i="19" s="1"/>
  <c r="J23" i="1" s="1"/>
  <c r="D26" i="13"/>
  <c r="D26" i="24"/>
  <c r="I26" i="24" s="1"/>
  <c r="M23" i="1" s="1"/>
  <c r="D26" i="17"/>
  <c r="F26" i="17" s="1"/>
  <c r="I23" i="1" s="1"/>
  <c r="D26" i="22"/>
  <c r="D26" i="3"/>
  <c r="F26" i="3" s="1"/>
  <c r="E23" i="1" s="1"/>
  <c r="D26" i="4"/>
  <c r="D26" i="16"/>
  <c r="M12" i="1"/>
  <c r="I23" i="22"/>
  <c r="K20" i="1" s="1"/>
  <c r="F23" i="22"/>
  <c r="H12" i="1"/>
  <c r="I16" i="13"/>
  <c r="F16" i="13"/>
  <c r="I38" i="4"/>
  <c r="F35" i="1" s="1"/>
  <c r="F38" i="4"/>
  <c r="F38" i="13"/>
  <c r="I38" i="13"/>
  <c r="D21" i="4"/>
  <c r="D21" i="16"/>
  <c r="D21" i="19"/>
  <c r="D21" i="13"/>
  <c r="D21" i="17"/>
  <c r="D21" i="24"/>
  <c r="C21" i="1"/>
  <c r="D21" i="22"/>
  <c r="D21" i="3"/>
  <c r="D24" i="19" l="1"/>
  <c r="F21" i="19"/>
  <c r="G14" i="1"/>
  <c r="O14" i="1" s="1"/>
  <c r="K16" i="13"/>
  <c r="F26" i="4"/>
  <c r="I26" i="4"/>
  <c r="F23" i="1" s="1"/>
  <c r="F14" i="16"/>
  <c r="F18" i="16" s="1"/>
  <c r="H14" i="16"/>
  <c r="D18" i="16"/>
  <c r="F14" i="17"/>
  <c r="D18" i="17"/>
  <c r="H7" i="16"/>
  <c r="F7" i="16"/>
  <c r="F9" i="16" s="1"/>
  <c r="D9" i="16"/>
  <c r="D9" i="19"/>
  <c r="F7" i="19"/>
  <c r="F21" i="16"/>
  <c r="F24" i="16" s="1"/>
  <c r="H21" i="16"/>
  <c r="D24" i="16"/>
  <c r="I26" i="13"/>
  <c r="F26" i="13"/>
  <c r="I14" i="22"/>
  <c r="F14" i="22"/>
  <c r="F18" i="22" s="1"/>
  <c r="D18" i="22"/>
  <c r="F14" i="19"/>
  <c r="D18" i="19"/>
  <c r="D9" i="3"/>
  <c r="F7" i="3"/>
  <c r="C33" i="1"/>
  <c r="C37" i="1" s="1"/>
  <c r="I21" i="24"/>
  <c r="D24" i="24"/>
  <c r="F21" i="3"/>
  <c r="D24" i="3"/>
  <c r="D24" i="17"/>
  <c r="F21" i="17"/>
  <c r="F21" i="4"/>
  <c r="F24" i="4" s="1"/>
  <c r="I21" i="4"/>
  <c r="D24" i="4"/>
  <c r="F26" i="22"/>
  <c r="I26" i="22"/>
  <c r="K23" i="1" s="1"/>
  <c r="I14" i="24"/>
  <c r="D18" i="24"/>
  <c r="I14" i="4"/>
  <c r="F14" i="4"/>
  <c r="F18" i="4" s="1"/>
  <c r="D18" i="4"/>
  <c r="D9" i="24"/>
  <c r="I7" i="24"/>
  <c r="D9" i="4"/>
  <c r="F7" i="4"/>
  <c r="F9" i="4" s="1"/>
  <c r="I7" i="4"/>
  <c r="D24" i="22"/>
  <c r="I21" i="22"/>
  <c r="F21" i="22"/>
  <c r="F24" i="22" s="1"/>
  <c r="I21" i="13"/>
  <c r="F21" i="13"/>
  <c r="F24" i="13" s="1"/>
  <c r="D24" i="13"/>
  <c r="G35" i="1"/>
  <c r="O35" i="1" s="1"/>
  <c r="P35" i="1" s="1"/>
  <c r="K38" i="13"/>
  <c r="F26" i="16"/>
  <c r="H26" i="16"/>
  <c r="H23" i="1" s="1"/>
  <c r="I14" i="13"/>
  <c r="F14" i="13"/>
  <c r="F18" i="13" s="1"/>
  <c r="D18" i="13"/>
  <c r="F14" i="3"/>
  <c r="D18" i="3"/>
  <c r="I7" i="22"/>
  <c r="F7" i="22"/>
  <c r="F9" i="22" s="1"/>
  <c r="D9" i="22"/>
  <c r="I7" i="13"/>
  <c r="D9" i="13"/>
  <c r="F7" i="13"/>
  <c r="F9" i="13" s="1"/>
  <c r="F7" i="17"/>
  <c r="D9" i="17"/>
  <c r="G20" i="1"/>
  <c r="O20" i="1" s="1"/>
  <c r="K23" i="13"/>
  <c r="O12" i="1"/>
  <c r="F36" i="22" l="1"/>
  <c r="F40" i="22" s="1"/>
  <c r="F36" i="13"/>
  <c r="F40" i="13" s="1"/>
  <c r="D36" i="24"/>
  <c r="D40" i="24" s="1"/>
  <c r="D36" i="16"/>
  <c r="D40" i="16" s="1"/>
  <c r="D36" i="17"/>
  <c r="D40" i="17" s="1"/>
  <c r="D36" i="22"/>
  <c r="D40" i="22" s="1"/>
  <c r="D36" i="4"/>
  <c r="D40" i="4" s="1"/>
  <c r="F9" i="17"/>
  <c r="I9" i="1"/>
  <c r="I10" i="1" s="1"/>
  <c r="E13" i="1"/>
  <c r="F18" i="3"/>
  <c r="I24" i="22"/>
  <c r="K18" i="1"/>
  <c r="K21" i="1" s="1"/>
  <c r="M13" i="1"/>
  <c r="M16" i="1" s="1"/>
  <c r="I18" i="24"/>
  <c r="I24" i="4"/>
  <c r="F18" i="1"/>
  <c r="F21" i="1" s="1"/>
  <c r="J13" i="1"/>
  <c r="J16" i="1" s="1"/>
  <c r="F18" i="19"/>
  <c r="H24" i="16"/>
  <c r="H18" i="1"/>
  <c r="H21" i="1" s="1"/>
  <c r="I13" i="1"/>
  <c r="I16" i="1" s="1"/>
  <c r="F18" i="17"/>
  <c r="F24" i="19"/>
  <c r="J18" i="1"/>
  <c r="J21" i="1" s="1"/>
  <c r="M9" i="1"/>
  <c r="M10" i="1" s="1"/>
  <c r="I9" i="24"/>
  <c r="E18" i="1"/>
  <c r="F24" i="3"/>
  <c r="F9" i="3"/>
  <c r="E9" i="1"/>
  <c r="K26" i="13"/>
  <c r="G23" i="1"/>
  <c r="O23" i="1" s="1"/>
  <c r="F36" i="16"/>
  <c r="F40" i="16" s="1"/>
  <c r="D36" i="13"/>
  <c r="D40" i="13" s="1"/>
  <c r="K9" i="1"/>
  <c r="K10" i="1" s="1"/>
  <c r="I9" i="22"/>
  <c r="K21" i="13"/>
  <c r="K24" i="13" s="1"/>
  <c r="I24" i="13"/>
  <c r="G18" i="1"/>
  <c r="G21" i="1" s="1"/>
  <c r="I9" i="4"/>
  <c r="F9" i="1"/>
  <c r="F10" i="1" s="1"/>
  <c r="F13" i="1"/>
  <c r="F16" i="1" s="1"/>
  <c r="I18" i="4"/>
  <c r="I18" i="1"/>
  <c r="I21" i="1" s="1"/>
  <c r="F24" i="17"/>
  <c r="D36" i="3"/>
  <c r="D40" i="3" s="1"/>
  <c r="J9" i="1"/>
  <c r="J10" i="1" s="1"/>
  <c r="F9" i="19"/>
  <c r="H9" i="16"/>
  <c r="H9" i="1"/>
  <c r="H10" i="1" s="1"/>
  <c r="H13" i="1"/>
  <c r="H16" i="1" s="1"/>
  <c r="H18" i="16"/>
  <c r="G9" i="1"/>
  <c r="G10" i="1" s="1"/>
  <c r="I9" i="13"/>
  <c r="K7" i="13"/>
  <c r="K9" i="13" s="1"/>
  <c r="K14" i="13"/>
  <c r="K18" i="13" s="1"/>
  <c r="G13" i="1"/>
  <c r="G16" i="1" s="1"/>
  <c r="I18" i="13"/>
  <c r="F36" i="4"/>
  <c r="F40" i="4" s="1"/>
  <c r="I24" i="24"/>
  <c r="M18" i="1"/>
  <c r="M21" i="1" s="1"/>
  <c r="K13" i="1"/>
  <c r="K16" i="1" s="1"/>
  <c r="I18" i="22"/>
  <c r="D36" i="19"/>
  <c r="D40" i="19" s="1"/>
  <c r="E40" i="13" l="1"/>
  <c r="I36" i="4"/>
  <c r="I40" i="4" s="1"/>
  <c r="F33" i="1"/>
  <c r="F37" i="1" s="1"/>
  <c r="F36" i="3"/>
  <c r="F40" i="3" s="1"/>
  <c r="F36" i="19"/>
  <c r="F40" i="19" s="1"/>
  <c r="K36" i="13"/>
  <c r="K40" i="13" s="1"/>
  <c r="J33" i="1"/>
  <c r="J37" i="1" s="1"/>
  <c r="H36" i="16"/>
  <c r="H40" i="16" s="1"/>
  <c r="M33" i="1"/>
  <c r="M37" i="1" s="1"/>
  <c r="O13" i="1"/>
  <c r="O16" i="1" s="1"/>
  <c r="E16" i="1"/>
  <c r="I36" i="13"/>
  <c r="I40" i="13" s="1"/>
  <c r="H40" i="13" s="1"/>
  <c r="I36" i="22"/>
  <c r="I40" i="22" s="1"/>
  <c r="H40" i="22" s="1"/>
  <c r="I33" i="1"/>
  <c r="I37" i="1" s="1"/>
  <c r="G33" i="1"/>
  <c r="G37" i="1" s="1"/>
  <c r="K33" i="1"/>
  <c r="K37" i="1" s="1"/>
  <c r="E21" i="1"/>
  <c r="O18" i="1"/>
  <c r="F36" i="17"/>
  <c r="F40" i="17" s="1"/>
  <c r="H33" i="1"/>
  <c r="H37" i="1" s="1"/>
  <c r="O9" i="1"/>
  <c r="E10" i="1"/>
  <c r="I36" i="24"/>
  <c r="I40" i="24" s="1"/>
  <c r="E33" i="1" l="1"/>
  <c r="E37" i="1" s="1"/>
  <c r="O21" i="1"/>
  <c r="O10" i="1"/>
  <c r="D31" i="1"/>
  <c r="P31" i="1" s="1"/>
  <c r="O33" i="1" l="1"/>
  <c r="O37" i="1" s="1"/>
  <c r="D25" i="1"/>
  <c r="P25" i="1" l="1"/>
  <c r="D26" i="1"/>
  <c r="P26" i="1" s="1"/>
  <c r="L38" i="2"/>
  <c r="P27" i="1" l="1"/>
  <c r="D27" i="1"/>
  <c r="D20" i="1" l="1"/>
  <c r="P20" i="1" s="1"/>
  <c r="D23" i="1"/>
  <c r="P23" i="1" s="1"/>
  <c r="D15" i="1" l="1"/>
  <c r="P15" i="1" s="1"/>
  <c r="D19" i="1" l="1"/>
  <c r="P19" i="1" s="1"/>
  <c r="D14" i="1" l="1"/>
  <c r="P14" i="1" s="1"/>
  <c r="D13" i="1" l="1"/>
  <c r="P13" i="1" s="1"/>
  <c r="U17" i="37" l="1"/>
  <c r="X23" i="37"/>
  <c r="V23" i="37"/>
  <c r="Y23" i="37" s="1"/>
  <c r="L25" i="2" l="1"/>
  <c r="D12" i="1"/>
  <c r="D35" i="37"/>
  <c r="D21" i="37"/>
  <c r="D36" i="37"/>
  <c r="D17" i="37"/>
  <c r="D13" i="37"/>
  <c r="D27" i="37"/>
  <c r="D29" i="37"/>
  <c r="D25" i="37"/>
  <c r="D15" i="37"/>
  <c r="D40" i="37"/>
  <c r="D32" i="37"/>
  <c r="D33" i="37"/>
  <c r="D31" i="37"/>
  <c r="D20" i="37"/>
  <c r="V17" i="37"/>
  <c r="D28" i="37"/>
  <c r="D37" i="37"/>
  <c r="D16" i="37"/>
  <c r="D39" i="37"/>
  <c r="D41" i="37"/>
  <c r="D12" i="37"/>
  <c r="D23" i="37"/>
  <c r="D24" i="37"/>
  <c r="D19" i="37"/>
  <c r="D11" i="37"/>
  <c r="F28" i="37" l="1"/>
  <c r="F16" i="37"/>
  <c r="F25" i="37"/>
  <c r="F33" i="37"/>
  <c r="F17" i="37"/>
  <c r="F39" i="37"/>
  <c r="F19" i="37"/>
  <c r="F27" i="37"/>
  <c r="F24" i="37"/>
  <c r="F23" i="37"/>
  <c r="F32" i="37"/>
  <c r="F15" i="37"/>
  <c r="F11" i="37"/>
  <c r="F29" i="37"/>
  <c r="F20" i="37"/>
  <c r="F36" i="37"/>
  <c r="F35" i="37"/>
  <c r="F41" i="37"/>
  <c r="F12" i="37"/>
  <c r="F37" i="37"/>
  <c r="F40" i="37"/>
  <c r="F21" i="37"/>
  <c r="F13" i="37"/>
  <c r="F31" i="37"/>
  <c r="D16" i="1"/>
  <c r="P12" i="1"/>
  <c r="P16" i="1" l="1"/>
  <c r="D29" i="1" l="1"/>
  <c r="P29" i="1" s="1"/>
  <c r="L18" i="2" l="1"/>
  <c r="D9" i="1"/>
  <c r="D10" i="1" l="1"/>
  <c r="P9" i="1"/>
  <c r="P10" i="1" l="1"/>
  <c r="D18" i="1" l="1"/>
  <c r="L31" i="2"/>
  <c r="L44" i="2" s="1"/>
  <c r="L48" i="2" l="1"/>
  <c r="D21" i="1"/>
  <c r="D33" i="1" s="1"/>
  <c r="D37" i="1" s="1"/>
  <c r="P18" i="1"/>
  <c r="P21" i="1" l="1"/>
  <c r="P33" i="1" s="1"/>
  <c r="P37" i="1" s="1"/>
  <c r="P46" i="2" l="1"/>
  <c r="Q46" i="2" l="1"/>
  <c r="R46" i="2" s="1"/>
  <c r="D35" i="23"/>
  <c r="S35" i="1" s="1"/>
  <c r="T35" i="1" s="1"/>
  <c r="U35" i="1" s="1"/>
  <c r="X46" i="2"/>
  <c r="P40" i="2"/>
  <c r="Q40" i="2" l="1"/>
  <c r="S40" i="2" s="1"/>
  <c r="D31" i="23"/>
  <c r="S31" i="1" s="1"/>
  <c r="T31" i="1" s="1"/>
  <c r="U31" i="1" s="1"/>
  <c r="U46" i="2"/>
  <c r="Y35" i="1"/>
  <c r="W35" i="1"/>
  <c r="V35" i="1"/>
  <c r="X40" i="2"/>
  <c r="S46" i="2"/>
  <c r="R40" i="2" l="1"/>
  <c r="U40" i="2" s="1"/>
  <c r="W31" i="1"/>
  <c r="Y31" i="1"/>
  <c r="V31" i="1"/>
  <c r="W44" i="2" l="1"/>
  <c r="P17" i="2" l="1"/>
  <c r="N18" i="2"/>
  <c r="W48" i="2"/>
  <c r="Q17" i="2" l="1"/>
  <c r="R17" i="2" s="1"/>
  <c r="P18" i="2"/>
  <c r="X18" i="2" s="1"/>
  <c r="D7" i="23"/>
  <c r="P13" i="43"/>
  <c r="R13" i="43" s="1"/>
  <c r="P42" i="2" l="1"/>
  <c r="S17" i="2"/>
  <c r="Q18" i="2"/>
  <c r="S18" i="2" s="1"/>
  <c r="U17" i="2"/>
  <c r="R18" i="2"/>
  <c r="U18" i="2" s="1"/>
  <c r="Q13" i="38"/>
  <c r="S9" i="1"/>
  <c r="D9" i="23"/>
  <c r="X13" i="37"/>
  <c r="Q13" i="39"/>
  <c r="X17" i="37"/>
  <c r="X16" i="37"/>
  <c r="Y13" i="37"/>
  <c r="P37" i="2"/>
  <c r="X15" i="37" l="1"/>
  <c r="Y15" i="37" s="1"/>
  <c r="AB15" i="37" s="1"/>
  <c r="H13" i="37"/>
  <c r="H28" i="37"/>
  <c r="H17" i="37"/>
  <c r="H29" i="37"/>
  <c r="H33" i="37"/>
  <c r="H27" i="37"/>
  <c r="H11" i="37"/>
  <c r="H12" i="37"/>
  <c r="H23" i="37"/>
  <c r="H15" i="37"/>
  <c r="H21" i="37"/>
  <c r="AA13" i="37"/>
  <c r="H25" i="37"/>
  <c r="H20" i="37"/>
  <c r="H37" i="37"/>
  <c r="H41" i="37"/>
  <c r="H16" i="37"/>
  <c r="H36" i="37"/>
  <c r="H31" i="37"/>
  <c r="H32" i="37"/>
  <c r="H19" i="37"/>
  <c r="H39" i="37"/>
  <c r="H35" i="37"/>
  <c r="H40" i="37"/>
  <c r="H24" i="37"/>
  <c r="Y16" i="37"/>
  <c r="AB16" i="37" s="1"/>
  <c r="AA16" i="37"/>
  <c r="AA17" i="37"/>
  <c r="Y17" i="37"/>
  <c r="AB17" i="37" s="1"/>
  <c r="S13" i="39"/>
  <c r="AB13" i="37"/>
  <c r="S13" i="38"/>
  <c r="T9" i="1"/>
  <c r="T10" i="1" s="1"/>
  <c r="S10" i="1"/>
  <c r="Q37" i="2"/>
  <c r="R37" i="2" s="1"/>
  <c r="U37" i="2" s="1"/>
  <c r="D26" i="23"/>
  <c r="S26" i="1" s="1"/>
  <c r="T26" i="1" s="1"/>
  <c r="U26" i="1" s="1"/>
  <c r="Q42" i="2"/>
  <c r="D29" i="23"/>
  <c r="S29" i="1" s="1"/>
  <c r="T29" i="1" s="1"/>
  <c r="U29" i="1" s="1"/>
  <c r="X42" i="2"/>
  <c r="Q14" i="40"/>
  <c r="Q13" i="41"/>
  <c r="Q17" i="41"/>
  <c r="S17" i="41" s="1"/>
  <c r="Q17" i="40"/>
  <c r="S17" i="40" s="1"/>
  <c r="Q27" i="40"/>
  <c r="S27" i="40" s="1"/>
  <c r="P14" i="42"/>
  <c r="Q21" i="40"/>
  <c r="S21" i="40" s="1"/>
  <c r="Q15" i="41"/>
  <c r="S15" i="41" s="1"/>
  <c r="Q18" i="41"/>
  <c r="S18" i="41" s="1"/>
  <c r="Q31" i="40"/>
  <c r="S31" i="40" s="1"/>
  <c r="Q15" i="40"/>
  <c r="Q21" i="41"/>
  <c r="S21" i="41" s="1"/>
  <c r="P14" i="43"/>
  <c r="Q28" i="40"/>
  <c r="S28" i="40" s="1"/>
  <c r="Q18" i="40"/>
  <c r="S18" i="40" s="1"/>
  <c r="Q22" i="40"/>
  <c r="S22" i="40" s="1"/>
  <c r="Q21" i="39"/>
  <c r="S21" i="39" s="1"/>
  <c r="J33" i="37" l="1"/>
  <c r="J29" i="37"/>
  <c r="N29" i="37" s="1"/>
  <c r="AA15" i="37"/>
  <c r="J20" i="37"/>
  <c r="R20" i="37" s="1"/>
  <c r="J32" i="37"/>
  <c r="N32" i="37" s="1"/>
  <c r="J15" i="37"/>
  <c r="R15" i="37" s="1"/>
  <c r="J41" i="37"/>
  <c r="N41" i="37" s="1"/>
  <c r="J23" i="37"/>
  <c r="R23" i="37" s="1"/>
  <c r="J21" i="37"/>
  <c r="R21" i="37" s="1"/>
  <c r="J24" i="37"/>
  <c r="R24" i="37" s="1"/>
  <c r="J31" i="37"/>
  <c r="N31" i="37" s="1"/>
  <c r="J13" i="37"/>
  <c r="N13" i="37" s="1"/>
  <c r="J36" i="37"/>
  <c r="R36" i="37" s="1"/>
  <c r="S37" i="2"/>
  <c r="J12" i="37"/>
  <c r="N12" i="37" s="1"/>
  <c r="J39" i="37"/>
  <c r="R39" i="37" s="1"/>
  <c r="J11" i="37"/>
  <c r="N11" i="37" s="1"/>
  <c r="J17" i="37"/>
  <c r="R17" i="37" s="1"/>
  <c r="J27" i="37"/>
  <c r="R27" i="37" s="1"/>
  <c r="J35" i="37"/>
  <c r="R35" i="37" s="1"/>
  <c r="J25" i="37"/>
  <c r="N25" i="37" s="1"/>
  <c r="J16" i="37"/>
  <c r="R16" i="37" s="1"/>
  <c r="J28" i="37"/>
  <c r="N28" i="37" s="1"/>
  <c r="J40" i="37"/>
  <c r="N40" i="37" s="1"/>
  <c r="J19" i="37"/>
  <c r="N19" i="37" s="1"/>
  <c r="J37" i="37"/>
  <c r="N37" i="37" s="1"/>
  <c r="I25" i="42"/>
  <c r="K25" i="42" s="1"/>
  <c r="I27" i="42"/>
  <c r="K27" i="42" s="1"/>
  <c r="I11" i="42"/>
  <c r="K11" i="42" s="1"/>
  <c r="I28" i="42"/>
  <c r="K28" i="42" s="1"/>
  <c r="I20" i="42"/>
  <c r="K20" i="42" s="1"/>
  <c r="I19" i="42"/>
  <c r="K19" i="42" s="1"/>
  <c r="I29" i="42"/>
  <c r="K29" i="42" s="1"/>
  <c r="I12" i="42"/>
  <c r="K12" i="42" s="1"/>
  <c r="I33" i="42"/>
  <c r="K33" i="42" s="1"/>
  <c r="I15" i="42"/>
  <c r="K15" i="42" s="1"/>
  <c r="I13" i="42"/>
  <c r="K13" i="42" s="1"/>
  <c r="R14" i="42"/>
  <c r="I16" i="42"/>
  <c r="K16" i="42" s="1"/>
  <c r="I24" i="42"/>
  <c r="K24" i="42" s="1"/>
  <c r="I23" i="42"/>
  <c r="K23" i="42" s="1"/>
  <c r="I31" i="42"/>
  <c r="K31" i="42" s="1"/>
  <c r="I17" i="42"/>
  <c r="K17" i="42" s="1"/>
  <c r="I32" i="42"/>
  <c r="K32" i="42" s="1"/>
  <c r="I21" i="42"/>
  <c r="K21" i="42" s="1"/>
  <c r="I12" i="43"/>
  <c r="K12" i="43" s="1"/>
  <c r="I17" i="43"/>
  <c r="K17" i="43" s="1"/>
  <c r="I19" i="43"/>
  <c r="K19" i="43" s="1"/>
  <c r="I23" i="43"/>
  <c r="K23" i="43" s="1"/>
  <c r="I25" i="43"/>
  <c r="K25" i="43" s="1"/>
  <c r="R14" i="43"/>
  <c r="I13" i="43"/>
  <c r="K13" i="43" s="1"/>
  <c r="I24" i="43"/>
  <c r="K24" i="43" s="1"/>
  <c r="I16" i="43"/>
  <c r="K16" i="43" s="1"/>
  <c r="I28" i="43"/>
  <c r="K28" i="43" s="1"/>
  <c r="I27" i="43"/>
  <c r="K27" i="43" s="1"/>
  <c r="I32" i="43"/>
  <c r="K32" i="43" s="1"/>
  <c r="I33" i="43"/>
  <c r="K33" i="43" s="1"/>
  <c r="I21" i="43"/>
  <c r="K21" i="43" s="1"/>
  <c r="I15" i="43"/>
  <c r="K15" i="43" s="1"/>
  <c r="I31" i="43"/>
  <c r="K31" i="43" s="1"/>
  <c r="I20" i="43"/>
  <c r="K20" i="43" s="1"/>
  <c r="I11" i="43"/>
  <c r="K11" i="43" s="1"/>
  <c r="I29" i="43"/>
  <c r="K29" i="43" s="1"/>
  <c r="S14" i="40"/>
  <c r="Q77" i="40"/>
  <c r="Q29" i="40" s="1"/>
  <c r="S29" i="40" s="1"/>
  <c r="R42" i="2"/>
  <c r="P32" i="37"/>
  <c r="L32" i="37"/>
  <c r="P29" i="37"/>
  <c r="L29" i="37"/>
  <c r="Q71" i="40"/>
  <c r="Q19" i="40" s="1"/>
  <c r="Q48" i="41"/>
  <c r="Q19" i="41" s="1"/>
  <c r="Q74" i="40"/>
  <c r="Q23" i="40" s="1"/>
  <c r="S23" i="40" s="1"/>
  <c r="S42" i="2"/>
  <c r="W26" i="1"/>
  <c r="N33" i="43" s="1"/>
  <c r="Y26" i="1"/>
  <c r="V26" i="1"/>
  <c r="R25" i="37"/>
  <c r="R40" i="37"/>
  <c r="P35" i="37"/>
  <c r="L35" i="37"/>
  <c r="P31" i="37"/>
  <c r="L31" i="37"/>
  <c r="P37" i="37"/>
  <c r="L37" i="37"/>
  <c r="P21" i="37"/>
  <c r="L21" i="37"/>
  <c r="P11" i="37"/>
  <c r="L11" i="37"/>
  <c r="P17" i="37"/>
  <c r="L17" i="37"/>
  <c r="R33" i="37"/>
  <c r="N33" i="37"/>
  <c r="R13" i="37"/>
  <c r="L40" i="37"/>
  <c r="P40" i="37"/>
  <c r="W29" i="1"/>
  <c r="Y29" i="1"/>
  <c r="V29" i="1"/>
  <c r="U9" i="1"/>
  <c r="N23" i="37"/>
  <c r="R32" i="37"/>
  <c r="L39" i="37"/>
  <c r="P39" i="37"/>
  <c r="P36" i="37"/>
  <c r="L36" i="37"/>
  <c r="P20" i="37"/>
  <c r="L20" i="37"/>
  <c r="P15" i="37"/>
  <c r="L15" i="37"/>
  <c r="L27" i="37"/>
  <c r="P27" i="37"/>
  <c r="L28" i="37"/>
  <c r="P28" i="37"/>
  <c r="S15" i="40"/>
  <c r="S13" i="41"/>
  <c r="N20" i="37"/>
  <c r="P41" i="37"/>
  <c r="L41" i="37"/>
  <c r="P12" i="37"/>
  <c r="L12" i="37"/>
  <c r="R12" i="37"/>
  <c r="N39" i="37"/>
  <c r="N27" i="37"/>
  <c r="N35" i="37"/>
  <c r="L24" i="37"/>
  <c r="P24" i="37"/>
  <c r="L19" i="37"/>
  <c r="P19" i="37"/>
  <c r="P16" i="37"/>
  <c r="L16" i="37"/>
  <c r="P25" i="37"/>
  <c r="L25" i="37"/>
  <c r="L23" i="37"/>
  <c r="P23" i="37"/>
  <c r="P33" i="37"/>
  <c r="L33" i="37"/>
  <c r="P13" i="37"/>
  <c r="L13" i="37"/>
  <c r="Q18" i="39"/>
  <c r="S18" i="39" s="1"/>
  <c r="Q17" i="39"/>
  <c r="S17" i="39" s="1"/>
  <c r="N17" i="37" l="1"/>
  <c r="R29" i="37"/>
  <c r="N21" i="37"/>
  <c r="R41" i="37"/>
  <c r="N15" i="37"/>
  <c r="R28" i="37"/>
  <c r="R31" i="37"/>
  <c r="N16" i="37"/>
  <c r="I15" i="41"/>
  <c r="K15" i="41" s="1"/>
  <c r="I23" i="41"/>
  <c r="K23" i="41" s="1"/>
  <c r="I24" i="41"/>
  <c r="K24" i="41" s="1"/>
  <c r="I17" i="41"/>
  <c r="K17" i="41" s="1"/>
  <c r="N24" i="37"/>
  <c r="R37" i="37"/>
  <c r="N36" i="37"/>
  <c r="R19" i="37"/>
  <c r="R11" i="37"/>
  <c r="I32" i="41"/>
  <c r="K32" i="41" s="1"/>
  <c r="I37" i="41"/>
  <c r="K37" i="41" s="1"/>
  <c r="I16" i="40"/>
  <c r="K16" i="40" s="1"/>
  <c r="I21" i="40"/>
  <c r="K21" i="40" s="1"/>
  <c r="I39" i="40"/>
  <c r="K39" i="40" s="1"/>
  <c r="I38" i="40"/>
  <c r="K38" i="40" s="1"/>
  <c r="I25" i="40"/>
  <c r="K25" i="40" s="1"/>
  <c r="I18" i="40"/>
  <c r="K18" i="40" s="1"/>
  <c r="I12" i="40"/>
  <c r="K12" i="40" s="1"/>
  <c r="I31" i="40"/>
  <c r="K31" i="40" s="1"/>
  <c r="I37" i="40"/>
  <c r="K37" i="40" s="1"/>
  <c r="I13" i="40"/>
  <c r="K13" i="40" s="1"/>
  <c r="I14" i="40"/>
  <c r="K14" i="40" s="1"/>
  <c r="I35" i="40"/>
  <c r="K35" i="40" s="1"/>
  <c r="I30" i="40"/>
  <c r="K30" i="40" s="1"/>
  <c r="I20" i="40"/>
  <c r="K20" i="40" s="1"/>
  <c r="I34" i="40"/>
  <c r="K34" i="40" s="1"/>
  <c r="I27" i="40"/>
  <c r="K27" i="40" s="1"/>
  <c r="I17" i="40"/>
  <c r="K17" i="40" s="1"/>
  <c r="I22" i="40"/>
  <c r="K22" i="40" s="1"/>
  <c r="S19" i="40"/>
  <c r="I29" i="40"/>
  <c r="K29" i="40" s="1"/>
  <c r="I33" i="40"/>
  <c r="K33" i="40" s="1"/>
  <c r="I26" i="40"/>
  <c r="K26" i="40" s="1"/>
  <c r="P36" i="2"/>
  <c r="N38" i="2"/>
  <c r="I11" i="41"/>
  <c r="K11" i="41" s="1"/>
  <c r="I28" i="41"/>
  <c r="K28" i="41" s="1"/>
  <c r="I19" i="41"/>
  <c r="K19" i="41" s="1"/>
  <c r="I13" i="41"/>
  <c r="K13" i="41" s="1"/>
  <c r="W9" i="1"/>
  <c r="O44" i="36" s="1"/>
  <c r="Y9" i="1"/>
  <c r="Y10" i="1" s="1"/>
  <c r="U10" i="1"/>
  <c r="V9" i="1"/>
  <c r="V10" i="1" s="1"/>
  <c r="I36" i="41"/>
  <c r="K36" i="41" s="1"/>
  <c r="I20" i="41"/>
  <c r="K20" i="41" s="1"/>
  <c r="I29" i="41"/>
  <c r="K29" i="41" s="1"/>
  <c r="I31" i="41"/>
  <c r="K31" i="41" s="1"/>
  <c r="I25" i="41"/>
  <c r="K25" i="41" s="1"/>
  <c r="I33" i="41"/>
  <c r="K33" i="41" s="1"/>
  <c r="S19" i="41"/>
  <c r="P28" i="2"/>
  <c r="I35" i="41"/>
  <c r="K35" i="41" s="1"/>
  <c r="I12" i="41"/>
  <c r="K12" i="41" s="1"/>
  <c r="I27" i="41"/>
  <c r="K27" i="41" s="1"/>
  <c r="I21" i="41"/>
  <c r="K21" i="41" s="1"/>
  <c r="I16" i="41"/>
  <c r="K16" i="41" s="1"/>
  <c r="U42" i="2"/>
  <c r="Q15" i="39"/>
  <c r="S15" i="39" s="1"/>
  <c r="P24" i="2"/>
  <c r="Q48" i="39" l="1"/>
  <c r="Q19" i="39" s="1"/>
  <c r="Q28" i="2"/>
  <c r="S28" i="2" s="1"/>
  <c r="D18" i="23"/>
  <c r="Q24" i="2"/>
  <c r="R24" i="2" s="1"/>
  <c r="U24" i="2" s="1"/>
  <c r="D15" i="23"/>
  <c r="S15" i="1" s="1"/>
  <c r="T15" i="1" s="1"/>
  <c r="U15" i="1" s="1"/>
  <c r="W10" i="1"/>
  <c r="Q36" i="2"/>
  <c r="Q38" i="2" s="1"/>
  <c r="D25" i="23"/>
  <c r="P38" i="2"/>
  <c r="P21" i="2"/>
  <c r="P33" i="2"/>
  <c r="P30" i="2"/>
  <c r="R36" i="2" l="1"/>
  <c r="U36" i="2" s="1"/>
  <c r="S24" i="2"/>
  <c r="R28" i="2"/>
  <c r="Q30" i="2"/>
  <c r="S30" i="2" s="1"/>
  <c r="D20" i="23"/>
  <c r="S20" i="1" s="1"/>
  <c r="T20" i="1" s="1"/>
  <c r="U20" i="1" s="1"/>
  <c r="Q21" i="2"/>
  <c r="R21" i="2" s="1"/>
  <c r="D11" i="23"/>
  <c r="D27" i="23"/>
  <c r="S25" i="1"/>
  <c r="S38" i="2"/>
  <c r="X38" i="2"/>
  <c r="S19" i="39"/>
  <c r="I19" i="39"/>
  <c r="K19" i="39" s="1"/>
  <c r="I32" i="39"/>
  <c r="K32" i="39" s="1"/>
  <c r="I28" i="39"/>
  <c r="K28" i="39" s="1"/>
  <c r="I29" i="39"/>
  <c r="K29" i="39" s="1"/>
  <c r="I17" i="39"/>
  <c r="K17" i="39" s="1"/>
  <c r="I35" i="39"/>
  <c r="K35" i="39" s="1"/>
  <c r="I33" i="39"/>
  <c r="K33" i="39" s="1"/>
  <c r="I37" i="39"/>
  <c r="K37" i="39" s="1"/>
  <c r="I20" i="39"/>
  <c r="K20" i="39" s="1"/>
  <c r="I16" i="39"/>
  <c r="K16" i="39" s="1"/>
  <c r="I13" i="39"/>
  <c r="K13" i="39" s="1"/>
  <c r="I36" i="39"/>
  <c r="K36" i="39" s="1"/>
  <c r="I23" i="39"/>
  <c r="K23" i="39" s="1"/>
  <c r="I21" i="39"/>
  <c r="K21" i="39" s="1"/>
  <c r="I25" i="39"/>
  <c r="K25" i="39" s="1"/>
  <c r="I11" i="39"/>
  <c r="K11" i="39" s="1"/>
  <c r="I27" i="39"/>
  <c r="K27" i="39" s="1"/>
  <c r="I24" i="39"/>
  <c r="K24" i="39" s="1"/>
  <c r="I15" i="39"/>
  <c r="K15" i="39" s="1"/>
  <c r="I12" i="39"/>
  <c r="K12" i="39" s="1"/>
  <c r="I31" i="39"/>
  <c r="K31" i="39" s="1"/>
  <c r="Q33" i="2"/>
  <c r="R33" i="2" s="1"/>
  <c r="U33" i="2" s="1"/>
  <c r="X33" i="2"/>
  <c r="D23" i="23"/>
  <c r="S23" i="1" s="1"/>
  <c r="T23" i="1" s="1"/>
  <c r="U23" i="1" s="1"/>
  <c r="S36" i="2"/>
  <c r="Y15" i="1"/>
  <c r="W15" i="1"/>
  <c r="O82" i="40" s="1"/>
  <c r="V15" i="1"/>
  <c r="S18" i="1"/>
  <c r="Q15" i="38"/>
  <c r="S15" i="38" s="1"/>
  <c r="Q27" i="38"/>
  <c r="S27" i="38" s="1"/>
  <c r="Q16" i="38"/>
  <c r="S16" i="38" s="1"/>
  <c r="Q23" i="38"/>
  <c r="S23" i="38" s="1"/>
  <c r="Q24" i="38"/>
  <c r="S24" i="38" s="1"/>
  <c r="P23" i="2"/>
  <c r="R38" i="2" l="1"/>
  <c r="U38" i="2" s="1"/>
  <c r="S33" i="2"/>
  <c r="Q64" i="38"/>
  <c r="Q17" i="38" s="1"/>
  <c r="Y20" i="1"/>
  <c r="W20" i="1"/>
  <c r="V20" i="1"/>
  <c r="T18" i="1"/>
  <c r="U18" i="1" s="1"/>
  <c r="T25" i="1"/>
  <c r="T27" i="1" s="1"/>
  <c r="S27" i="1"/>
  <c r="S12" i="1"/>
  <c r="U21" i="2"/>
  <c r="P29" i="2"/>
  <c r="N31" i="2"/>
  <c r="Q23" i="2"/>
  <c r="S23" i="2" s="1"/>
  <c r="D13" i="23"/>
  <c r="S14" i="1" s="1"/>
  <c r="T14" i="1" s="1"/>
  <c r="U14" i="1" s="1"/>
  <c r="Y23" i="1"/>
  <c r="W23" i="1"/>
  <c r="V23" i="1"/>
  <c r="S21" i="2"/>
  <c r="R30" i="2"/>
  <c r="U30" i="2" s="1"/>
  <c r="U28" i="2"/>
  <c r="U25" i="1" l="1"/>
  <c r="Y14" i="1"/>
  <c r="W14" i="1"/>
  <c r="O53" i="39" s="1"/>
  <c r="V14" i="1"/>
  <c r="Q29" i="2"/>
  <c r="R29" i="2" s="1"/>
  <c r="D19" i="23"/>
  <c r="P31" i="2"/>
  <c r="T12" i="1"/>
  <c r="U12" i="1" s="1"/>
  <c r="U27" i="1"/>
  <c r="W27" i="1" s="1"/>
  <c r="Y25" i="1"/>
  <c r="Y27" i="1" s="1"/>
  <c r="W25" i="1"/>
  <c r="N38" i="42" s="1"/>
  <c r="V25" i="1"/>
  <c r="V27" i="1" s="1"/>
  <c r="Y18" i="1"/>
  <c r="W18" i="1"/>
  <c r="O53" i="41" s="1"/>
  <c r="V18" i="1"/>
  <c r="S17" i="38"/>
  <c r="I12" i="38"/>
  <c r="K12" i="38" s="1"/>
  <c r="I11" i="38"/>
  <c r="K11" i="38" s="1"/>
  <c r="I13" i="38"/>
  <c r="K13" i="38" s="1"/>
  <c r="Q61" i="38"/>
  <c r="Q25" i="38" s="1"/>
  <c r="I27" i="38" s="1"/>
  <c r="K27" i="38" s="1"/>
  <c r="R23" i="2"/>
  <c r="U23" i="2" s="1"/>
  <c r="I37" i="38" l="1"/>
  <c r="K37" i="38" s="1"/>
  <c r="I25" i="38"/>
  <c r="K25" i="38" s="1"/>
  <c r="I36" i="38"/>
  <c r="K36" i="38" s="1"/>
  <c r="I33" i="38"/>
  <c r="K33" i="38" s="1"/>
  <c r="I29" i="38"/>
  <c r="K29" i="38" s="1"/>
  <c r="I24" i="38"/>
  <c r="K24" i="38" s="1"/>
  <c r="I28" i="38"/>
  <c r="K28" i="38" s="1"/>
  <c r="I21" i="38"/>
  <c r="K21" i="38" s="1"/>
  <c r="I16" i="38"/>
  <c r="K16" i="38" s="1"/>
  <c r="U29" i="2"/>
  <c r="R31" i="2"/>
  <c r="X31" i="2"/>
  <c r="I20" i="38"/>
  <c r="K20" i="38" s="1"/>
  <c r="I23" i="38"/>
  <c r="K23" i="38" s="1"/>
  <c r="I35" i="38"/>
  <c r="K35" i="38" s="1"/>
  <c r="I31" i="38"/>
  <c r="K31" i="38" s="1"/>
  <c r="I19" i="38"/>
  <c r="K19" i="38" s="1"/>
  <c r="S19" i="1"/>
  <c r="D21" i="23"/>
  <c r="P22" i="2"/>
  <c r="N25" i="2"/>
  <c r="N44" i="2" s="1"/>
  <c r="N48" i="2" s="1"/>
  <c r="S25" i="38"/>
  <c r="I15" i="38"/>
  <c r="K15" i="38" s="1"/>
  <c r="I17" i="38"/>
  <c r="K17" i="38" s="1"/>
  <c r="I32" i="38"/>
  <c r="K32" i="38" s="1"/>
  <c r="Y12" i="1"/>
  <c r="W12" i="1"/>
  <c r="U43" i="37" s="1"/>
  <c r="V12" i="1"/>
  <c r="S29" i="2"/>
  <c r="Q31" i="2"/>
  <c r="P25" i="2" l="1"/>
  <c r="Q22" i="2"/>
  <c r="S22" i="2" s="1"/>
  <c r="D12" i="23"/>
  <c r="S31" i="2"/>
  <c r="T19" i="1"/>
  <c r="T21" i="1" s="1"/>
  <c r="U19" i="1"/>
  <c r="S21" i="1"/>
  <c r="U31" i="2"/>
  <c r="Y19" i="1" l="1"/>
  <c r="Y21" i="1" s="1"/>
  <c r="W19" i="1"/>
  <c r="V19" i="1"/>
  <c r="V21" i="1" s="1"/>
  <c r="U21" i="1"/>
  <c r="W21" i="1" s="1"/>
  <c r="S13" i="1"/>
  <c r="D16" i="23"/>
  <c r="D33" i="23" s="1"/>
  <c r="D37" i="23" s="1"/>
  <c r="R22" i="2"/>
  <c r="Q25" i="2"/>
  <c r="X25" i="2"/>
  <c r="P44" i="2"/>
  <c r="S25" i="2" l="1"/>
  <c r="Q44" i="2"/>
  <c r="Q48" i="2" s="1"/>
  <c r="U22" i="2"/>
  <c r="R25" i="2"/>
  <c r="P48" i="2"/>
  <c r="X44" i="2"/>
  <c r="X48" i="2" s="1"/>
  <c r="T13" i="1"/>
  <c r="T16" i="1" s="1"/>
  <c r="T33" i="1" s="1"/>
  <c r="T37" i="1" s="1"/>
  <c r="S16" i="1"/>
  <c r="S33" i="1" s="1"/>
  <c r="S37" i="1" s="1"/>
  <c r="S48" i="2" l="1"/>
  <c r="U25" i="2"/>
  <c r="R44" i="2"/>
  <c r="U13" i="1"/>
  <c r="S44" i="2"/>
  <c r="U44" i="2" l="1"/>
  <c r="R48" i="2"/>
  <c r="U48" i="2" s="1"/>
  <c r="Y13" i="1"/>
  <c r="Y16" i="1" s="1"/>
  <c r="Y33" i="1" s="1"/>
  <c r="Y37" i="1" s="1"/>
  <c r="W13" i="1"/>
  <c r="O68" i="38" s="1"/>
  <c r="V13" i="1"/>
  <c r="V16" i="1" s="1"/>
  <c r="V33" i="1" s="1"/>
  <c r="V37" i="1" s="1"/>
  <c r="U16" i="1"/>
  <c r="W16" i="1" l="1"/>
  <c r="U33" i="1"/>
  <c r="W33" i="1" l="1"/>
  <c r="U37" i="1"/>
  <c r="W37" i="1" s="1"/>
</calcChain>
</file>

<file path=xl/sharedStrings.xml><?xml version="1.0" encoding="utf-8"?>
<sst xmlns="http://schemas.openxmlformats.org/spreadsheetml/2006/main" count="1219" uniqueCount="553">
  <si>
    <t>Puget Sound Energy</t>
  </si>
  <si>
    <t>Remove:</t>
  </si>
  <si>
    <t>Add:</t>
  </si>
  <si>
    <t>Line No.</t>
  </si>
  <si>
    <t>Tariff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</si>
  <si>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</si>
  <si>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</si>
  <si>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</si>
  <si>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</si>
  <si>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</si>
  <si>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</si>
  <si>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140
Property Tax</t>
  </si>
  <si>
    <t>Schedule 141
ERF</t>
  </si>
  <si>
    <t>Schedule 194
BPA Res &amp; Farm Credit</t>
  </si>
  <si>
    <t>7A (Note 1)</t>
  </si>
  <si>
    <t>Residential</t>
  </si>
  <si>
    <t>26 &amp; 26P</t>
  </si>
  <si>
    <t>Total Secondary Voltage</t>
  </si>
  <si>
    <t>Total Primary Voltage</t>
  </si>
  <si>
    <t>Total High Voltage</t>
  </si>
  <si>
    <t>50-59</t>
  </si>
  <si>
    <t>449-459</t>
  </si>
  <si>
    <t>Total</t>
  </si>
  <si>
    <t>All Sales</t>
  </si>
  <si>
    <t xml:space="preserve"> </t>
  </si>
  <si>
    <t>TABLE A. PRESENT AND PROPOSED RATES</t>
  </si>
  <si>
    <t>PUGET SOUND ENERGY</t>
  </si>
  <si>
    <t>ON REVENUES FROM ELECTRIC SALES</t>
  </si>
  <si>
    <t>Present</t>
  </si>
  <si>
    <t>Proposed</t>
  </si>
  <si>
    <t>Current</t>
  </si>
  <si>
    <t>Base</t>
  </si>
  <si>
    <t>Rate Spread Increase</t>
  </si>
  <si>
    <t>Difference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</si>
  <si>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</si>
  <si>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</si>
  <si>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</si>
  <si>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</si>
  <si>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</si>
  <si>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</si>
  <si>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</si>
  <si>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</si>
  <si>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</si>
  <si>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</si>
  <si>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</si>
  <si>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</si>
  <si>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</si>
  <si>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</si>
  <si>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</si>
  <si>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</si>
  <si>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</si>
  <si>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</si>
  <si>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</si>
  <si>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</si>
  <si>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</si>
  <si>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</si>
  <si>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(6)-(5)</t>
  </si>
  <si>
    <t>Residential Service</t>
  </si>
  <si>
    <t>Total Residential Service</t>
  </si>
  <si>
    <t>Secondary Voltage Service</t>
  </si>
  <si>
    <t>Secondary General Service</t>
  </si>
  <si>
    <t>8, 24</t>
  </si>
  <si>
    <t>Small Secondary General Service</t>
  </si>
  <si>
    <t>7A, 11, 25</t>
  </si>
  <si>
    <t>Large Secondary General Service</t>
  </si>
  <si>
    <t>12, 26, 26P</t>
  </si>
  <si>
    <t>Secondary Irrigation &amp; Pumping Service</t>
  </si>
  <si>
    <t>Total Secondary Voltage Service</t>
  </si>
  <si>
    <t>Primary Voltage Service</t>
  </si>
  <si>
    <t>Primary General Service</t>
  </si>
  <si>
    <t>10, 31</t>
  </si>
  <si>
    <t>Primary Irrigation &amp; Pumping Service</t>
  </si>
  <si>
    <t>Primary All Electric Schools</t>
  </si>
  <si>
    <t>Total Primary Voltage Service</t>
  </si>
  <si>
    <t>Campus Rate</t>
  </si>
  <si>
    <t>High Voltage Service</t>
  </si>
  <si>
    <t>High Voltage Interruptible Service</t>
  </si>
  <si>
    <t>High Voltage General Service</t>
  </si>
  <si>
    <t>Retail Wheeling Transporation Service</t>
  </si>
  <si>
    <t>449, 459</t>
  </si>
  <si>
    <t>Street and Area Lighting</t>
  </si>
  <si>
    <t>Total Jurisdictional Sales</t>
  </si>
  <si>
    <t>Wholesale for Resale</t>
  </si>
  <si>
    <t xml:space="preserve">Total Sales </t>
  </si>
  <si>
    <t>Test Year ended September 2016</t>
  </si>
  <si>
    <t>24 (8)</t>
  </si>
  <si>
    <t>26 (12,26P)</t>
  </si>
  <si>
    <t>31 (10)</t>
  </si>
  <si>
    <t>Schedule 95 - PCORC Impacts</t>
  </si>
  <si>
    <t>Total Retail Sales</t>
  </si>
  <si>
    <t>Firm Resale</t>
  </si>
  <si>
    <t>Total Sales</t>
  </si>
  <si>
    <t>Schedule 95a - Federal Incentive Impacts</t>
  </si>
  <si>
    <t>CUSTOMER CLASS</t>
  </si>
  <si>
    <t>INCREASE (DECREASE) $</t>
  </si>
  <si>
    <t>INCREASE (DECREASE) %</t>
  </si>
  <si>
    <t>a</t>
  </si>
  <si>
    <t>b</t>
  </si>
  <si>
    <t>c</t>
  </si>
  <si>
    <t>d</t>
  </si>
  <si>
    <t>e = b + (a * c)</t>
  </si>
  <si>
    <t>f = b + (a * d)</t>
  </si>
  <si>
    <t>g = f - e</t>
  </si>
  <si>
    <t>h = g / e</t>
  </si>
  <si>
    <t>Sec Gen Svc - Small</t>
  </si>
  <si>
    <t>8 &amp; 24</t>
  </si>
  <si>
    <t>Sec Gen Svc - Medium</t>
  </si>
  <si>
    <t>11, 25 &amp; 7A</t>
  </si>
  <si>
    <t>Sec Gen Svc - Large</t>
  </si>
  <si>
    <t>12, 26 &amp; 26P</t>
  </si>
  <si>
    <t>Sec Irrigation Svc</t>
  </si>
  <si>
    <t>Secondary Service Total</t>
  </si>
  <si>
    <t>Pri Gen Svc</t>
  </si>
  <si>
    <t>10 &amp; 31</t>
  </si>
  <si>
    <t>Pri Irrigation Svc</t>
  </si>
  <si>
    <t>Pri Interruptible Svc</t>
  </si>
  <si>
    <t>Primary Service Total</t>
  </si>
  <si>
    <t>Campus Rate Total</t>
  </si>
  <si>
    <t>HV Interruptible Svc</t>
  </si>
  <si>
    <t>HV Gen Svc</t>
  </si>
  <si>
    <t>High Voltage Service Total</t>
  </si>
  <si>
    <t>Lights</t>
  </si>
  <si>
    <t>Subtotal</t>
  </si>
  <si>
    <t>Transportation</t>
  </si>
  <si>
    <t>449 / 459</t>
  </si>
  <si>
    <t>`</t>
  </si>
  <si>
    <t>Current vs. Proposed Schedule 120</t>
  </si>
  <si>
    <t>SCHEDULE</t>
  </si>
  <si>
    <t>Settlement Methodology</t>
  </si>
  <si>
    <t>Customer Rate Impacts</t>
  </si>
  <si>
    <t>Customer Class</t>
  </si>
  <si>
    <t>Schedule</t>
  </si>
  <si>
    <t>Change In Rates</t>
  </si>
  <si>
    <t>$ Increase (Decrease) Due To Rate Change</t>
  </si>
  <si>
    <t>% Increase (Decrease) Due To Rate Change</t>
  </si>
  <si>
    <t>A</t>
  </si>
  <si>
    <t>B</t>
  </si>
  <si>
    <t>C</t>
  </si>
  <si>
    <t>D</t>
  </si>
  <si>
    <t>E = D - C</t>
  </si>
  <si>
    <t>F=
B+(A*C)</t>
  </si>
  <si>
    <t>G=
B+(A*D)</t>
  </si>
  <si>
    <t>H=
G - F</t>
  </si>
  <si>
    <t>I=
H / F</t>
  </si>
  <si>
    <t>8 / 24</t>
  </si>
  <si>
    <t>11 / 25 / 7A</t>
  </si>
  <si>
    <t>12 / 26 / 26P</t>
  </si>
  <si>
    <t>10 / 31</t>
  </si>
  <si>
    <t>Campus Service</t>
  </si>
  <si>
    <t>3, 50 - 59</t>
  </si>
  <si>
    <t>Retail Wheeling</t>
  </si>
  <si>
    <t>Electric Schedule 140 Property Tax Rider</t>
  </si>
  <si>
    <t>Voltage Level</t>
  </si>
  <si>
    <t>Schedule 140 Property Tax Revenue Change</t>
  </si>
  <si>
    <t>Schedule 140 Property Tax % Change</t>
  </si>
  <si>
    <t>(a)</t>
  </si>
  <si>
    <t>(b)</t>
  </si>
  <si>
    <t>(c)</t>
  </si>
  <si>
    <t>(d)</t>
  </si>
  <si>
    <t>(e)</t>
  </si>
  <si>
    <t>(f)</t>
  </si>
  <si>
    <t>(g) =
(f - e) * (c)</t>
  </si>
  <si>
    <t>(h) = (g) / 
[(c * e) + (d)]</t>
  </si>
  <si>
    <t>Total Residential</t>
  </si>
  <si>
    <t>Secondary Voltage</t>
  </si>
  <si>
    <t>Demand &lt;= 50 kW</t>
  </si>
  <si>
    <t>Demand &gt; 50 kW but &lt;= 350 kW</t>
  </si>
  <si>
    <t>7A / 11 / 25</t>
  </si>
  <si>
    <t>Demand &gt; 350 kW</t>
  </si>
  <si>
    <t>Seasonal Irrigation &amp; Drainage Pumping</t>
  </si>
  <si>
    <t>Primary Voltage</t>
  </si>
  <si>
    <t>General Service</t>
  </si>
  <si>
    <t>Interruptible Total Electric Schools</t>
  </si>
  <si>
    <t>High Voltage</t>
  </si>
  <si>
    <t>Interruptible</t>
  </si>
  <si>
    <t>Lighting</t>
  </si>
  <si>
    <t>Total Choice /Retail Wheeling</t>
  </si>
  <si>
    <t>Total Jurisdictional Retail Sales</t>
  </si>
  <si>
    <t>12 &amp; 26</t>
  </si>
  <si>
    <t>Proposed Schedule 194</t>
  </si>
  <si>
    <t>BPA Residential and Farm Energy Exchange Benefits</t>
  </si>
  <si>
    <t>Calculation</t>
  </si>
  <si>
    <t>= 3 + 5</t>
  </si>
  <si>
    <t>Total amount to be credited before revenue related expense conversion</t>
  </si>
  <si>
    <t>Revenue Related Expense Conversion Factor</t>
  </si>
  <si>
    <t>= 6 / 8</t>
  </si>
  <si>
    <t>Grossed up Total to be Credited</t>
  </si>
  <si>
    <t>= 9 / 1</t>
  </si>
  <si>
    <t>Bill Impacts:</t>
  </si>
  <si>
    <t>(including Schedules 95, 95a, 120, 129, 132, 133, 137, 140, 141, 142 and 194)</t>
  </si>
  <si>
    <t>= 17 - 16</t>
  </si>
  <si>
    <t>Increase (Decrease) to average monthly bill</t>
  </si>
  <si>
    <t>= 18 / 16</t>
  </si>
  <si>
    <t>Percentage Increase (Decrease) to average bill</t>
  </si>
  <si>
    <t>Statement of Proforma and Proposed Revenues for Federal Incentive Tracker Credit</t>
  </si>
  <si>
    <t>Increase / Decrease 
$</t>
  </si>
  <si>
    <t>Increase / Decrease
%</t>
  </si>
  <si>
    <t>e = 
b + (a * c)</t>
  </si>
  <si>
    <t>f = 
b + (a * d)</t>
  </si>
  <si>
    <t>Small Firm Resale</t>
  </si>
  <si>
    <t>005</t>
  </si>
  <si>
    <t>Excluded Schedules</t>
  </si>
  <si>
    <t>Schedule 120 - DSM</t>
  </si>
  <si>
    <t xml:space="preserve">DSM
Schedule 120 Rider Rev </t>
  </si>
  <si>
    <t>Fed Inc Tracker
Schedule 95a
Revenue</t>
  </si>
  <si>
    <t xml:space="preserve">PCORC
Schedule 95
Revenue </t>
  </si>
  <si>
    <t>Low Income
Sch 129
Rider Revenue</t>
  </si>
  <si>
    <t>Schedule 129 - Low Income</t>
  </si>
  <si>
    <t>Schedule 132 - Merger Credit</t>
  </si>
  <si>
    <t>Merger Credit
Sch 132
Rider Revenue</t>
  </si>
  <si>
    <t>Electric Merger Credit Tariff Impacts</t>
  </si>
  <si>
    <t>Docket No. UE-072375</t>
  </si>
  <si>
    <t>Schedule 132</t>
  </si>
  <si>
    <t>Rate Schedule</t>
  </si>
  <si>
    <t>Revenue Including Current Sch 132 Credit</t>
  </si>
  <si>
    <t>Revenue Including Proposed Sch 132 Credit</t>
  </si>
  <si>
    <t>$ Change in Schedule 132</t>
  </si>
  <si>
    <t>% Revenue Change</t>
  </si>
  <si>
    <t>e</t>
  </si>
  <si>
    <t>f</t>
  </si>
  <si>
    <t>g</t>
  </si>
  <si>
    <t>h = d * f + e</t>
  </si>
  <si>
    <t>i = d * g + e</t>
  </si>
  <si>
    <t>j = i - h</t>
  </si>
  <si>
    <t>k = j / h</t>
  </si>
  <si>
    <t>Secondary Voltage General Service &lt; 50 kW</t>
  </si>
  <si>
    <t>Secondary Voltage General Service &gt; 50 kW and &lt; 350 kW &amp; Irrigation</t>
  </si>
  <si>
    <t>7A, 11, 25 &amp; 29</t>
  </si>
  <si>
    <t>Secondary Voltage General Service &gt; 350 kW</t>
  </si>
  <si>
    <t>10, 31, 35 &amp; 43</t>
  </si>
  <si>
    <t>Campus</t>
  </si>
  <si>
    <t>46 &amp; 49</t>
  </si>
  <si>
    <t>Schedule 137 - REC's</t>
  </si>
  <si>
    <t>REC's
Sch 137
Rider Revenue</t>
  </si>
  <si>
    <t>Statement of Proforma and Proposed Revenues for Renewable Energy Credit</t>
  </si>
  <si>
    <t>Estimated Revenue
Including
Proposed
Sch 137</t>
  </si>
  <si>
    <t>e = 
b + (a * c / 100)</t>
  </si>
  <si>
    <t>f = 
b + (a * d / 100)</t>
  </si>
  <si>
    <t>12 / 26</t>
  </si>
  <si>
    <t>Schedule 140 - Property Tax</t>
  </si>
  <si>
    <t>Property Tax
Sch 140
Rider Revenue</t>
  </si>
  <si>
    <t>7A</t>
  </si>
  <si>
    <t>25 (11, 7A)</t>
  </si>
  <si>
    <t>Line No</t>
  </si>
  <si>
    <t>11 / 25</t>
  </si>
  <si>
    <t>26P</t>
  </si>
  <si>
    <t>Total Retail Delivered Sales</t>
  </si>
  <si>
    <t>Total Delivered Sales</t>
  </si>
  <si>
    <t>Schedule 142 - Decoupling</t>
  </si>
  <si>
    <t>Annual kW Demand YE 9-2016</t>
  </si>
  <si>
    <t>h</t>
  </si>
  <si>
    <t>i</t>
  </si>
  <si>
    <t>j</t>
  </si>
  <si>
    <t>k</t>
  </si>
  <si>
    <t>Total Secondary</t>
  </si>
  <si>
    <t>Total Primary</t>
  </si>
  <si>
    <t>Total 
Proposed
Rates</t>
  </si>
  <si>
    <t>Subtotal
Rider
Rates</t>
  </si>
  <si>
    <t>$ x 1000</t>
  </si>
  <si>
    <t>% Change (Net)</t>
  </si>
  <si>
    <t>Schedule 194 - BPA Residential Credit</t>
  </si>
  <si>
    <t>Schedule 194
BPA
Residential &amp;
Farm Credit</t>
  </si>
  <si>
    <t>Schedule 142
 Rate Plan, Deferral &amp; 
K-Factor</t>
  </si>
  <si>
    <t>* Average PSE Customer</t>
  </si>
  <si>
    <t>Notes:</t>
  </si>
  <si>
    <t>&gt;5000</t>
  </si>
  <si>
    <t>Schedule 194 - BPA Exch Credit</t>
  </si>
  <si>
    <t>Schedule 141 - ERF - Over 600 kWh</t>
  </si>
  <si>
    <t>Schedule 141 - ERF - First 600 kWh</t>
  </si>
  <si>
    <t>Schedule 141 - ERF - Basic Charge</t>
  </si>
  <si>
    <t>Schedule 137 - REC</t>
  </si>
  <si>
    <t>*</t>
  </si>
  <si>
    <t>Schedule 120 - Conservation</t>
  </si>
  <si>
    <t>Schedule 95A - Fed Inc Credit</t>
  </si>
  <si>
    <t>Schedule 95 - PCA</t>
  </si>
  <si>
    <t>Energy - Over 600</t>
  </si>
  <si>
    <t>Energy - First 600</t>
  </si>
  <si>
    <t>Basic 1 Phase</t>
  </si>
  <si>
    <t>Proposed Price (Net)</t>
  </si>
  <si>
    <t>Present Price (Net)</t>
  </si>
  <si>
    <t>$</t>
  </si>
  <si>
    <t>Customers</t>
  </si>
  <si>
    <t>kWh</t>
  </si>
  <si>
    <t>Change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</si>
  <si>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</si>
  <si>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Schedule 7</t>
  </si>
  <si>
    <t>Monthly Billing Comparison</t>
  </si>
  <si>
    <r>
      <t xml:space="preserve">       </t>
    </r>
    <r>
      <rPr>
        <vertAlign val="superscript"/>
        <sz val="8.5"/>
        <rFont val="Times New Roman"/>
        <family val="1"/>
      </rPr>
      <t>2</t>
    </r>
    <r>
      <rPr>
        <sz val="10"/>
        <rFont val="Times New Roman"/>
        <family val="1"/>
      </rPr>
      <t xml:space="preserve"> Average Non-Seasonal Energy Rate</t>
    </r>
  </si>
  <si>
    <t>Schedule 141 - ERF - Summer</t>
  </si>
  <si>
    <t>Schedule 141 - ERF - Winter</t>
  </si>
  <si>
    <t>Schedule 141 - ERF - Basic 3 Phase</t>
  </si>
  <si>
    <t>Schedule 141 - ERF - Basic 1 Phase</t>
  </si>
  <si>
    <t>Average kWh</t>
  </si>
  <si>
    <t>Summer kWh</t>
  </si>
  <si>
    <t xml:space="preserve">Winter kWh </t>
  </si>
  <si>
    <t>Basic Charge</t>
  </si>
  <si>
    <t>Three Phase</t>
  </si>
  <si>
    <t>Single Phase</t>
  </si>
  <si>
    <t>Net Proposed Price</t>
  </si>
  <si>
    <t>Net Present Price</t>
  </si>
  <si>
    <t>3 Phase</t>
  </si>
  <si>
    <t>1 Phase</t>
  </si>
  <si>
    <t>Percent</t>
  </si>
  <si>
    <t>Dollar</t>
  </si>
  <si>
    <r>
      <t xml:space="preserve">Monthly Billing </t>
    </r>
    <r>
      <rPr>
        <vertAlign val="superscript"/>
        <sz val="10.199999999999999"/>
        <rFont val="Times New Roman"/>
        <family val="1"/>
      </rPr>
      <t>1, 2</t>
    </r>
  </si>
  <si>
    <t>Secondary Voltage General Service, Demand &lt; 50 kW</t>
  </si>
  <si>
    <t>Schedule 24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</si>
  <si>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Energy and Demand Rates</t>
    </r>
  </si>
  <si>
    <t>Schedule 141 - ERF - kWh Over 20,000</t>
  </si>
  <si>
    <t>Schedule 141 - ERF - Summer kWh First 20,000</t>
  </si>
  <si>
    <t>Schedule 141 - ERF - Winter kWh First 20,000</t>
  </si>
  <si>
    <t>Schedule 141 - ERF - Basic</t>
  </si>
  <si>
    <t>kVarh</t>
  </si>
  <si>
    <t>Average kW - Over 50</t>
  </si>
  <si>
    <t>Summer kW - Over 50</t>
  </si>
  <si>
    <t>Winter kW - Over 50</t>
  </si>
  <si>
    <t>kW - First 50</t>
  </si>
  <si>
    <t>kWh - All Over 20,000</t>
  </si>
  <si>
    <t>Summer kWh - First 20,000</t>
  </si>
  <si>
    <t>Winter kWh - First 20,000</t>
  </si>
  <si>
    <t>Schedule 25</t>
  </si>
  <si>
    <t>(Equiv Hours)</t>
  </si>
  <si>
    <t>Demand</t>
  </si>
  <si>
    <t xml:space="preserve">Present </t>
  </si>
  <si>
    <t>kWh per kW</t>
  </si>
  <si>
    <t>Load Size/</t>
  </si>
  <si>
    <r>
      <t xml:space="preserve">Monthly Billing </t>
    </r>
    <r>
      <rPr>
        <vertAlign val="superscript"/>
        <sz val="8.4"/>
        <rFont val="Times New Roman"/>
        <family val="1"/>
      </rPr>
      <t>1, 2</t>
    </r>
  </si>
  <si>
    <t>kW</t>
  </si>
  <si>
    <t>Secondary Voltage General Service, Small Demand Between 50 &amp; 350 kW</t>
  </si>
  <si>
    <t>Schedule 142 - Decoupling kW</t>
  </si>
  <si>
    <t>Schedule 141 - ERF - Reactive Power</t>
  </si>
  <si>
    <t>Schedule 141 - ERF - Demand Summer</t>
  </si>
  <si>
    <t>Schedule 141 - ERF - Demand Winter</t>
  </si>
  <si>
    <t>Average kW</t>
  </si>
  <si>
    <t>Summer kW</t>
  </si>
  <si>
    <t>Winter kW</t>
  </si>
  <si>
    <t>kWh - All</t>
  </si>
  <si>
    <t>Schedule 26</t>
  </si>
  <si>
    <t>Secondary Voltage General Service, Large Demand Over 350 kW</t>
  </si>
  <si>
    <t>Schedule 194 - BPA Exchange Credit</t>
  </si>
  <si>
    <t>Schedule 141 - ERF - Summer kWh Over 20,000</t>
  </si>
  <si>
    <t>Schedule 141 - ERF - Winter kWh Over 20,000</t>
  </si>
  <si>
    <t>Schedule 141 - ERF - Basic 3 phase</t>
  </si>
  <si>
    <t>Summer kWh - Over 20,000</t>
  </si>
  <si>
    <t>Winter kWh - Over 20,000</t>
  </si>
  <si>
    <t>Basic Charge (3 Phase)</t>
  </si>
  <si>
    <t>Basic Charge (1 Phase)</t>
  </si>
  <si>
    <t>% Change</t>
  </si>
  <si>
    <t>Schedule 29</t>
  </si>
  <si>
    <t>Secondary Voltage Irrigation &amp; Pumping Service</t>
  </si>
  <si>
    <t>Schedule 31</t>
  </si>
  <si>
    <t>Primary Voltage General Service</t>
  </si>
  <si>
    <t>Schedule 142 - Decoupling kWh</t>
  </si>
  <si>
    <t>Schedule 141 - ERF - Energy</t>
  </si>
  <si>
    <t>Energy ($ per kWh)</t>
  </si>
  <si>
    <t>Demand ($ per kVa)</t>
  </si>
  <si>
    <t xml:space="preserve">Proposed </t>
  </si>
  <si>
    <t>kWh per kVa</t>
  </si>
  <si>
    <r>
      <t xml:space="preserve">Monthly Billing </t>
    </r>
    <r>
      <rPr>
        <vertAlign val="superscript"/>
        <sz val="8.4"/>
        <rFont val="Times New Roman"/>
        <family val="1"/>
      </rPr>
      <t>1</t>
    </r>
  </si>
  <si>
    <t>kVa</t>
  </si>
  <si>
    <t>Schedule 46 - Interruptible Service -High Voltage</t>
  </si>
  <si>
    <t>Schedule 49 - Large General Service -High Voltage</t>
  </si>
  <si>
    <t>Proposed Rates
Eff. 5-1-17</t>
  </si>
  <si>
    <t>REVENUE
(Including 5-1-17
Sch 120 revenue)</t>
  </si>
  <si>
    <t>8/24</t>
  </si>
  <si>
    <t>7A/11/25</t>
  </si>
  <si>
    <t>12/26</t>
  </si>
  <si>
    <t>10/31</t>
  </si>
  <si>
    <t xml:space="preserve">Transportation </t>
  </si>
  <si>
    <t>Average kWh - First 20,000</t>
  </si>
  <si>
    <t>Proposed Rates
Eff. 9-1-17</t>
  </si>
  <si>
    <t>Forecast Exchange Delivered Sales (MWh 12 Months October 2017 to September 2018)</t>
  </si>
  <si>
    <t>Forecast Net REP Benefits to be paid by BPA  (October 2017 to September 2018)</t>
  </si>
  <si>
    <t>Residential Exchange Balance 7-31-17 to recover over 2 years</t>
  </si>
  <si>
    <t>Proposed Residential and Farm Exchange Benefit Rate Effective 10-1-17 ($ / kWh)</t>
  </si>
  <si>
    <t>Average monthly bill for residential customer consuming 900 kWh per month</t>
  </si>
  <si>
    <t>Before proposed change in credit (Based on rates effective 9-30-17)</t>
  </si>
  <si>
    <t>After proposed change in credit (Based on rates effective 10-1-17)</t>
  </si>
  <si>
    <t>BPA FY 2018</t>
  </si>
  <si>
    <t>October 1, 2017 through September 30, 2018</t>
  </si>
  <si>
    <t>Proposed Rates
Eff. 10-1-17</t>
  </si>
  <si>
    <t>Residential Net Impact: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</si>
  <si>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</si>
  <si>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t>Net Impact</t>
  </si>
  <si>
    <r>
      <t xml:space="preserve">       </t>
    </r>
    <r>
      <rPr>
        <vertAlign val="superscript"/>
        <sz val="8.5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95A, 95, 120, 129, 132, 137, 140, 141, 142 &amp; 149</t>
    </r>
  </si>
  <si>
    <t>Schedule 142 - Decoupling ($-kW)</t>
  </si>
  <si>
    <t>Average kWh - block 1</t>
  </si>
  <si>
    <t>Average kWh - block 2</t>
  </si>
  <si>
    <t>Supplemental Filing</t>
  </si>
  <si>
    <t>Difference due to Sch 40 Settlement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</si>
  <si>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</si>
  <si>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</si>
  <si>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r>
      <t xml:space="preserve">Present Price Schedule 24 </t>
    </r>
    <r>
      <rPr>
        <vertAlign val="superscript"/>
        <sz val="9.6"/>
        <rFont val="Times New Roman"/>
        <family val="1"/>
      </rPr>
      <t>3</t>
    </r>
  </si>
  <si>
    <r>
      <t xml:space="preserve">Proposed Price Schedule 24 </t>
    </r>
    <r>
      <rPr>
        <vertAlign val="superscript"/>
        <sz val="9.6"/>
        <rFont val="Times New Roman"/>
        <family val="1"/>
      </rPr>
      <t>4</t>
    </r>
  </si>
  <si>
    <r>
      <t xml:space="preserve">Schedule 25 </t>
    </r>
    <r>
      <rPr>
        <vertAlign val="superscript"/>
        <sz val="9.6"/>
        <rFont val="Times New Roman"/>
        <family val="1"/>
      </rPr>
      <t>3</t>
    </r>
  </si>
  <si>
    <r>
      <t xml:space="preserve">Schedule 25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</si>
  <si>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1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Includes Rider Schedules 95A, 95, 120, 129, 132, 137, 140, 141 and 142</t>
    </r>
  </si>
  <si>
    <r>
      <t xml:space="preserve">Schedule 26 </t>
    </r>
    <r>
      <rPr>
        <vertAlign val="superscript"/>
        <sz val="9.6"/>
        <rFont val="Times New Roman"/>
        <family val="1"/>
      </rPr>
      <t>3</t>
    </r>
  </si>
  <si>
    <r>
      <t xml:space="preserve">Schedule 26 </t>
    </r>
    <r>
      <rPr>
        <vertAlign val="superscript"/>
        <sz val="9.6"/>
        <rFont val="Times New Roman"/>
        <family val="1"/>
      </rPr>
      <t>4</t>
    </r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</si>
  <si>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Average Non-Seasonal Demand Rates</t>
    </r>
  </si>
  <si>
    <r>
      <t xml:space="preserve">Schedule 29 </t>
    </r>
    <r>
      <rPr>
        <vertAlign val="superscript"/>
        <sz val="9.6"/>
        <rFont val="Times New Roman"/>
        <family val="1"/>
      </rPr>
      <t>3</t>
    </r>
  </si>
  <si>
    <r>
      <t xml:space="preserve">Schedule 29 </t>
    </r>
    <r>
      <rPr>
        <vertAlign val="superscript"/>
        <sz val="9.6"/>
        <rFont val="Times New Roman"/>
        <family val="1"/>
      </rPr>
      <t>4</t>
    </r>
  </si>
  <si>
    <r>
      <t xml:space="preserve">Schedule 31 </t>
    </r>
    <r>
      <rPr>
        <vertAlign val="superscript"/>
        <sz val="9.6"/>
        <rFont val="Times New Roman"/>
        <family val="1"/>
      </rPr>
      <t>3</t>
    </r>
  </si>
  <si>
    <r>
      <t xml:space="preserve">Schedule 31 </t>
    </r>
    <r>
      <rPr>
        <vertAlign val="superscript"/>
        <sz val="9.6"/>
        <rFont val="Times New Roman"/>
        <family val="1"/>
      </rPr>
      <t>4</t>
    </r>
  </si>
  <si>
    <r>
      <t xml:space="preserve">Schedule 46 </t>
    </r>
    <r>
      <rPr>
        <vertAlign val="superscript"/>
        <sz val="9.6"/>
        <rFont val="Times New Roman"/>
        <family val="1"/>
      </rPr>
      <t>3</t>
    </r>
  </si>
  <si>
    <r>
      <t xml:space="preserve">Schedule 46 </t>
    </r>
    <r>
      <rPr>
        <vertAlign val="superscript"/>
        <sz val="9.6"/>
        <rFont val="Times New Roman"/>
        <family val="1"/>
      </rPr>
      <t>2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</si>
  <si>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</si>
  <si>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r>
      <t xml:space="preserve">Schedule 49 </t>
    </r>
    <r>
      <rPr>
        <vertAlign val="superscript"/>
        <sz val="9.6"/>
        <rFont val="Times New Roman"/>
        <family val="1"/>
      </rPr>
      <t>2</t>
    </r>
  </si>
  <si>
    <r>
      <t xml:space="preserve">Schedule 49 </t>
    </r>
    <r>
      <rPr>
        <vertAlign val="superscript"/>
        <sz val="9.6"/>
        <rFont val="Times New Roman"/>
        <family val="1"/>
      </rPr>
      <t>3</t>
    </r>
  </si>
  <si>
    <t>Proposed Rates
Eff. 5-1-18</t>
  </si>
  <si>
    <t>Change in Sch 120 Revenue</t>
  </si>
  <si>
    <t>Decoupling
Sch 142
Rider Revenue</t>
  </si>
  <si>
    <t>Proposed kW Rates
Eff. 5-1-18</t>
  </si>
  <si>
    <t>Proposed kWh Rates
Eff. 5-1-18</t>
  </si>
  <si>
    <t>Schedule 142 - Decoupling ($-kWh)</t>
  </si>
  <si>
    <t>RATE EFFECTS</t>
  </si>
  <si>
    <t>F2017
Delivered kWh
05/18 to 04/19</t>
  </si>
  <si>
    <t>Projected
Revenue
05/18 to 04/19
(Note 1)</t>
  </si>
  <si>
    <t>Schedule 120
Effective
5-1-17</t>
  </si>
  <si>
    <t>Proposed
Schedule 120
Effective
5-1-18</t>
  </si>
  <si>
    <t>REVENUE
(Including 5-1-18
Sch 120 revenue)</t>
  </si>
  <si>
    <t>Note 1 - Projected Revenue Includes Base Revenue plus Rider Schedules 95, 95A, 129, 132, 137, 140, 141, 142 &amp; 194</t>
  </si>
  <si>
    <t>2018 Electric Decoupling Filing</t>
  </si>
  <si>
    <t>Schedule 142 Revenue Change</t>
  </si>
  <si>
    <t>Proposed Effective May 1, 2018</t>
  </si>
  <si>
    <t>F2017 YE April 2019</t>
  </si>
  <si>
    <t>Annual kWh Delivered Sales (Normalized)</t>
  </si>
  <si>
    <t>Annual Demand (kW or kVa)</t>
  </si>
  <si>
    <t>8</t>
  </si>
  <si>
    <t>26</t>
  </si>
  <si>
    <t>Current Rates
Eff. 5-1-17</t>
  </si>
  <si>
    <t>Decoupling
Schedule 142
Revenue 
@ 5-1-17</t>
  </si>
  <si>
    <t>Decoupling
Schedule 142
Revenue 
@ 5-1-18</t>
  </si>
  <si>
    <t>(f) = (a) x (d)
or
(f) = (b) x (d)</t>
  </si>
  <si>
    <t>(f) = (a) x (e)
or
(f) = (b) x (e)</t>
  </si>
  <si>
    <t>Impacts of Rate Change Effective May 1, 2018</t>
  </si>
  <si>
    <t>F2017 kWh 
May 2018
to April 2019</t>
  </si>
  <si>
    <t>Projected
Revenue 
(Based on Rates
Effective
1-1-2018)</t>
  </si>
  <si>
    <t>Current
Schedule 140 Property Tax Effective 5-1-17</t>
  </si>
  <si>
    <t>Proposed Schedule 140 Property Tax Effective 5-1-18</t>
  </si>
  <si>
    <t>ERF Rate Impacts</t>
  </si>
  <si>
    <t>Test Year ended June 2018</t>
  </si>
  <si>
    <t>Annual mWh Delivered Sales YE 6-2018</t>
  </si>
  <si>
    <t xml:space="preserve">ESTIMATED EFFECT OF PROPOSED EXPEDITED RATE FILING (ERF) INCREASE </t>
  </si>
  <si>
    <t>12 MONTHS ENDED JUNE 2018</t>
  </si>
  <si>
    <t>Proposed Rates
Eff. 12-19-18</t>
  </si>
  <si>
    <t>2018 Low Income Customer Charge</t>
  </si>
  <si>
    <t>For the Twelve Months ended September 2019</t>
  </si>
  <si>
    <t>Forecast Delivered kWh
Oct 2018 Through
Sept 2019</t>
  </si>
  <si>
    <t>Forecast Delivered Revenue
Oct 2018 Through
Sept 2019
(Note 1)</t>
  </si>
  <si>
    <t>2017
Low Income
Rider Effective
10-1-17</t>
  </si>
  <si>
    <t xml:space="preserve">Proposed
2018
Low Income
Rider </t>
  </si>
  <si>
    <t>$ Including 2017 Low Income Effective
10-1-17</t>
  </si>
  <si>
    <t>$ Including Proposed 2018 Low Income</t>
  </si>
  <si>
    <t>Schedule 141 - ERF</t>
  </si>
  <si>
    <t>Schedule 141
ERF Rider
Effective
12-19-2017</t>
  </si>
  <si>
    <t>Proposed Schedule 141
ERF Rider
Effective
Feb 2019</t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</si>
  <si>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</si>
  <si>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r>
      <t xml:space="preserve">       </t>
    </r>
    <r>
      <rPr>
        <vertAlign val="superscript"/>
        <sz val="8.5"/>
        <rFont val="Times New Roman"/>
        <family val="1"/>
      </rPr>
      <t>3</t>
    </r>
    <r>
      <rPr>
        <sz val="10"/>
        <rFont val="Times New Roman"/>
        <family val="1"/>
      </rPr>
      <t xml:space="preserve"> Base Rates Effective 5/1/2018</t>
    </r>
  </si>
  <si>
    <t>Schedule 141 - ERF - Winter kW Demand</t>
  </si>
  <si>
    <t>Schedule 141 - ERF - Summer kW Demand</t>
  </si>
  <si>
    <t>Schedule 141 - ERF - Average Seasonal Demand</t>
  </si>
  <si>
    <t>Schedule 141 - ERF - Average Seasonal kWh First 20,000</t>
  </si>
  <si>
    <t>Schedule 141 - ERF - Demand Average</t>
  </si>
  <si>
    <t>Schedule 141 - ERF - Winter kW</t>
  </si>
  <si>
    <t>Schedule 141 - ERF - Summer kW</t>
  </si>
  <si>
    <t>Schedule 141 - ERF - Average kW</t>
  </si>
  <si>
    <t>Schedule 141 - ERF - Average kWh Over 20,000</t>
  </si>
  <si>
    <t>Schedule 141 - ERF - Average kWh First 20,000</t>
  </si>
  <si>
    <r>
      <t xml:space="preserve"> </t>
    </r>
    <r>
      <rPr>
        <vertAlign val="superscript"/>
        <sz val="10"/>
        <rFont val="Times New Roman"/>
        <family val="1"/>
      </rPr>
      <t>2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Base Rates Effective 5/1/2018</t>
    </r>
  </si>
  <si>
    <t>Proposed Rates
Eff. 10-4-2018</t>
  </si>
  <si>
    <t>Schedule 137
REC's</t>
  </si>
  <si>
    <t>l</t>
  </si>
  <si>
    <t>m = 
∑ (c…l)</t>
  </si>
  <si>
    <t>n = 
b + m</t>
  </si>
  <si>
    <t>o = - j</t>
  </si>
  <si>
    <t>p</t>
  </si>
  <si>
    <t>Annual Estimated Revenue @ Rates Effective Oct 4, 2018</t>
  </si>
  <si>
    <t>Schedule 141 - ERF - Demand</t>
  </si>
  <si>
    <t>e = d - c</t>
  </si>
  <si>
    <t>f = e / c</t>
  </si>
  <si>
    <t>f = d - b</t>
  </si>
  <si>
    <t>g = e - c</t>
  </si>
  <si>
    <t>h = f / b</t>
  </si>
  <si>
    <t>i = g / c</t>
  </si>
  <si>
    <t>m</t>
  </si>
  <si>
    <t>f = (e - d) / d</t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</si>
  <si>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ERF Schedule 141 Rider Rates Effective 3/2019</t>
    </r>
  </si>
  <si>
    <r>
      <t xml:space="preserve">       </t>
    </r>
    <r>
      <rPr>
        <vertAlign val="superscript"/>
        <sz val="9"/>
        <rFont val="Times New Roman"/>
        <family val="1"/>
      </rPr>
      <t>4</t>
    </r>
    <r>
      <rPr>
        <sz val="10"/>
        <rFont val="Times New Roman"/>
        <family val="1"/>
      </rPr>
      <t xml:space="preserve"> ERF Schedule 141 Rider Rates Effective 3/2019</t>
    </r>
  </si>
  <si>
    <r>
      <t xml:space="preserve"> </t>
    </r>
    <r>
      <rPr>
        <vertAlign val="superscript"/>
        <sz val="10"/>
        <rFont val="Times New Roman"/>
        <family val="1"/>
      </rPr>
      <t>4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ERF Schedule 141 Rider Rates Effective 3/2019</t>
    </r>
  </si>
  <si>
    <r>
      <t xml:space="preserve"> </t>
    </r>
    <r>
      <rPr>
        <vertAlign val="superscript"/>
        <sz val="10"/>
        <rFont val="Times New Roman"/>
        <family val="1"/>
      </rPr>
      <t>3</t>
    </r>
    <r>
      <rPr>
        <vertAlign val="superscript"/>
        <sz val="7"/>
        <rFont val="Times New Roman"/>
        <family val="1"/>
      </rPr>
      <t xml:space="preserve"> </t>
    </r>
    <r>
      <rPr>
        <sz val="10"/>
        <rFont val="Times New Roman"/>
        <family val="1"/>
      </rPr>
      <t>ERF Schedule 141 Rider Rates Effective 3/2019</t>
    </r>
  </si>
  <si>
    <t>Schedule 141x
Pass-through</t>
  </si>
  <si>
    <t>q = - p</t>
  </si>
  <si>
    <t>r =
o + p + q</t>
  </si>
  <si>
    <t>s =
n + r</t>
  </si>
  <si>
    <t>t = r / n</t>
  </si>
  <si>
    <t>Net Rate Adjustment</t>
  </si>
  <si>
    <t>Schedule 141x - Passback - Basic 1 Phase</t>
  </si>
  <si>
    <t>Schedule 141x - Passback - Basic 3 Phase</t>
  </si>
  <si>
    <t>Schedule 141x - Passback - Winter</t>
  </si>
  <si>
    <t>Schedule 141x - Passback - Summer</t>
  </si>
  <si>
    <t>Schedule 141x - Passback - Basic Charge</t>
  </si>
  <si>
    <t>Schedule 141x - Passback - First 600 kWh</t>
  </si>
  <si>
    <t>Schedule 141x - Passback - Over 600 kWh</t>
  </si>
  <si>
    <t>Schedule 141x - Passback - Winter kW Demand</t>
  </si>
  <si>
    <t>Schedule 141x - Passback - Summer kW Demand</t>
  </si>
  <si>
    <t>Schedule 141x - Passback - Average Seasonal Demand</t>
  </si>
  <si>
    <t>Schedule 141x - Passback - Winter kWh First 20,000</t>
  </si>
  <si>
    <t>Schedule 141x - Passback - Summer kWh First 20,000</t>
  </si>
  <si>
    <t>Schedule 141x - Passback - Average Seasonal kWh First 20,000</t>
  </si>
  <si>
    <t>Schedule 141x - Passback - kWh Over 20,000</t>
  </si>
  <si>
    <t>Schedule 141x - Passback - Reactive Power</t>
  </si>
  <si>
    <t>Schedule 141x - Passback - Basic</t>
  </si>
  <si>
    <t>Schedule 141x - Passback - Energy</t>
  </si>
  <si>
    <t>Schedule 141x - Passback - Demand Winter</t>
  </si>
  <si>
    <t>Schedule 141x - Passback - Demand Summer</t>
  </si>
  <si>
    <t>Schedule 141x - Passback - Demand Average</t>
  </si>
  <si>
    <t>Schedule 141x - Passback - Average kWh First 20,000</t>
  </si>
  <si>
    <t>Schedule 141x - Passback - Winter kWh Over 20,000</t>
  </si>
  <si>
    <t>Schedule 141x - Passback - Summer kWh Over 20,000</t>
  </si>
  <si>
    <t>Schedule 141x - Passback - Average kWh Over 20,000</t>
  </si>
  <si>
    <t>Schedule 141x - Passback - Winter kW</t>
  </si>
  <si>
    <t>Schedule 141x - Passback - Summer kW</t>
  </si>
  <si>
    <t>Schedule 141x - Passback - Average kW</t>
  </si>
  <si>
    <t>Schedule 141x - Passback - Basic 3 phase</t>
  </si>
  <si>
    <t>Schedule 141x - Passback - Demand</t>
  </si>
  <si>
    <t>kWh
Source: F2018 January 2019 to December 2019</t>
  </si>
  <si>
    <t>Estimated Net Revenue @
Rates Effective
10-1-2018
(*Note 1)</t>
  </si>
  <si>
    <t>Sch 95a
Effective
May 1, 2018
$ per kWh</t>
  </si>
  <si>
    <t>Proposed 
Sch 95a
Effective
January 1, 2019
$ per kWh</t>
  </si>
  <si>
    <t>Revenue Including
Sch 95a
Eff 5-1-18</t>
  </si>
  <si>
    <t>Revenue
Including
Proposed
Sch 95a
Effective 1-1-19</t>
  </si>
  <si>
    <t>Proposed Rates
Eff. 1-1-19</t>
  </si>
  <si>
    <t>Annual kWh Delivered Sales (Normalized)
YE Dec 2019</t>
  </si>
  <si>
    <t>Estimated Net Annual Proforma Base Revenue (Excluding Sch 132)
YE Dec 2019</t>
  </si>
  <si>
    <t>Sch 132
Current
Rate
Effective
01-01-2018</t>
  </si>
  <si>
    <t>Sch 132
Proposed
Rate
Effective
01-01-2019</t>
  </si>
  <si>
    <t>kWh
Source: F2018
January 1, 2018 to December 31, 2019</t>
  </si>
  <si>
    <t>Estimated Revenue Based on Rates Effective October 1, 2018</t>
  </si>
  <si>
    <t>Sch 137
Effective
1-1-18
$ per kWh</t>
  </si>
  <si>
    <t>Proposed Sch 137
Effective
1-1-19
$ per kWh</t>
  </si>
  <si>
    <t>Estimated Revenue Including Sch 137 Effective January 1, 2018</t>
  </si>
  <si>
    <t>Base + Sch 141</t>
  </si>
  <si>
    <t>Sch 141</t>
  </si>
  <si>
    <t>Sch 141x</t>
  </si>
  <si>
    <t>Decrease</t>
  </si>
  <si>
    <t>Revenue</t>
  </si>
  <si>
    <t>(10)</t>
  </si>
  <si>
    <t>(11)</t>
  </si>
  <si>
    <t>-(7)</t>
  </si>
  <si>
    <t>(5)+(7)+(8)</t>
  </si>
  <si>
    <t>[(7)+(8)] / (5)</t>
  </si>
  <si>
    <t>(10)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</si>
</sst>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00_);_(* \(#,##0.000\);_(* &quot;-&quot;??_);_(@_)"/>
    <numFmt numFmtId="168" formatCode="0.00_)"/>
    <numFmt numFmtId="169" formatCode="0.000%"/>
    <numFmt numFmtId="170" formatCode="&quot;$&quot;#,##0"/>
    <numFmt numFmtId="171" formatCode="0.00000000000000%"/>
    <numFmt numFmtId="172" formatCode="_(&quot;$&quot;* #,##0.000000_);_(&quot;$&quot;* \(#,##0.000000\);_(&quot;$&quot;* &quot;-&quot;??_);_(@_)"/>
    <numFmt numFmtId="173" formatCode="0.0000\ \¢"/>
    <numFmt numFmtId="174" formatCode="0.00000\ \¢"/>
    <numFmt numFmtId="175" formatCode="_(* #,##0.0000000_);_(* \(#,##0.0000000\);_(* &quot;-&quot;??_);_(@_)"/>
    <numFmt numFmtId="176" formatCode="_(&quot;$&quot;* #,##0.00000_);_(&quot;$&quot;* \(#,##0.00000\);_(&quot;$&quot;* &quot;-&quot;??_);_(@_)"/>
    <numFmt numFmtId="177" formatCode="0.000"/>
    <numFmt numFmtId="178" formatCode="_(* #,##0.0000_);_(* \(#,##0.0000\);_(* &quot;-&quot;??_);_(@_)"/>
    <numFmt numFmtId="179" formatCode="_(&quot;$&quot;* #,##0.0_);_(&quot;$&quot;* \(#,##0.0\);_(&quot;$&quot;* &quot;-&quot;??_);_(@_)"/>
  </numFmts>
  <fonts count="43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u/>
      <sz val="11"/>
      <color indexed="8"/>
      <name val="TimesNewRomanPS"/>
    </font>
    <font>
      <sz val="11"/>
      <name val="Times New Roman"/>
      <family val="1"/>
    </font>
    <font>
      <b/>
      <sz val="11"/>
      <color indexed="8"/>
      <name val="TimesNewRomanPS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10"/>
      <color rgb="FF00808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vertAlign val="superscript"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9"/>
      <color indexed="8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8.8000000000000007"/>
      <name val="Times New Roman"/>
      <family val="1"/>
    </font>
    <font>
      <vertAlign val="superscript"/>
      <sz val="8.5"/>
      <name val="Times New Roman"/>
      <family val="1"/>
    </font>
    <font>
      <u/>
      <sz val="12"/>
      <name val="Times New Roman"/>
      <family val="1"/>
    </font>
    <font>
      <vertAlign val="superscript"/>
      <sz val="10.199999999999999"/>
      <name val="Times New Roman"/>
      <family val="1"/>
    </font>
    <font>
      <b/>
      <sz val="16"/>
      <name val="Times New Roman"/>
      <family val="1"/>
    </font>
    <font>
      <vertAlign val="superscript"/>
      <sz val="7"/>
      <name val="Times New Roman"/>
      <family val="1"/>
    </font>
    <font>
      <vertAlign val="superscript"/>
      <sz val="8.4"/>
      <name val="Times New Roman"/>
      <family val="1"/>
    </font>
    <font>
      <u/>
      <sz val="11"/>
      <name val="Times New Roman"/>
      <family val="1"/>
    </font>
    <font>
      <sz val="14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9"/>
      <name val="Times New Roman"/>
      <family val="1"/>
    </font>
    <font>
      <vertAlign val="superscript"/>
      <sz val="9.6"/>
      <name val="Times New Roman"/>
      <family val="1"/>
    </font>
    <font>
      <sz val="10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u/>
      <vertAlign val="superscript"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8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4" fontId="40" fillId="0" borderId="0" applyFont="0" applyFill="0" applyBorder="0" applyAlignment="0" applyProtection="0"/>
  </cellStyleXfs>
  <cellXfs count="564">
    <xf numFmtId="0" fontId="0" fillId="0" borderId="0" xfId="0"/>
    <xf numFmtId="0" fontId="0" fillId="0" borderId="0" xfId="0" applyFill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7" fontId="1" fillId="0" borderId="1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/>
    <xf numFmtId="166" fontId="0" fillId="0" borderId="0" xfId="0" applyNumberFormat="1" applyFont="1" applyFill="1"/>
    <xf numFmtId="0" fontId="1" fillId="0" borderId="0" xfId="0" quotePrefix="1" applyFont="1" applyFill="1" applyAlignment="1">
      <alignment horizontal="left"/>
    </xf>
    <xf numFmtId="164" fontId="0" fillId="0" borderId="2" xfId="0" applyNumberFormat="1" applyFont="1" applyFill="1" applyBorder="1"/>
    <xf numFmtId="164" fontId="0" fillId="0" borderId="3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9" fillId="0" borderId="0" xfId="0" quotePrefix="1" applyFont="1" applyFill="1" applyAlignment="1"/>
    <xf numFmtId="0" fontId="9" fillId="0" borderId="0" xfId="0" applyFont="1" applyFill="1" applyAlignment="1"/>
    <xf numFmtId="0" fontId="9" fillId="0" borderId="0" xfId="0" quotePrefix="1" applyFont="1" applyFill="1" applyAlignment="1">
      <alignment horizontal="center"/>
    </xf>
    <xf numFmtId="0" fontId="2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6" fontId="2" fillId="0" borderId="7" xfId="0" quotePrefix="1" applyNumberFormat="1" applyFont="1" applyFill="1" applyBorder="1" applyAlignment="1">
      <alignment horizontal="center"/>
    </xf>
    <xf numFmtId="6" fontId="2" fillId="0" borderId="0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/>
    <xf numFmtId="0" fontId="11" fillId="0" borderId="0" xfId="0" quotePrefix="1" applyFont="1" applyFill="1" applyAlignment="1">
      <alignment horizontal="left"/>
    </xf>
    <xf numFmtId="37" fontId="2" fillId="0" borderId="0" xfId="0" applyNumberFormat="1" applyFont="1" applyFill="1" applyProtection="1"/>
    <xf numFmtId="170" fontId="8" fillId="0" borderId="0" xfId="0" applyNumberFormat="1" applyFont="1" applyFill="1" applyProtection="1">
      <protection locked="0"/>
    </xf>
    <xf numFmtId="170" fontId="8" fillId="0" borderId="0" xfId="0" applyNumberFormat="1" applyFont="1" applyFill="1" applyProtection="1">
      <protection locked="0"/>
    </xf>
    <xf numFmtId="10" fontId="8" fillId="0" borderId="0" xfId="0" applyNumberFormat="1" applyFont="1" applyFill="1" applyProtection="1">
      <protection locked="0"/>
    </xf>
    <xf numFmtId="10" fontId="8" fillId="0" borderId="0" xfId="0" applyNumberFormat="1" applyFont="1" applyFill="1" applyBorder="1" applyProtection="1">
      <protection locked="0"/>
    </xf>
    <xf numFmtId="0" fontId="12" fillId="0" borderId="0" xfId="0" applyFont="1" applyFill="1" applyAlignment="1">
      <alignment horizontal="center"/>
    </xf>
    <xf numFmtId="0" fontId="13" fillId="0" borderId="0" xfId="0" quotePrefix="1" applyFont="1" applyFill="1" applyAlignment="1">
      <alignment horizontal="left" indent="1"/>
    </xf>
    <xf numFmtId="37" fontId="2" fillId="0" borderId="2" xfId="0" applyNumberFormat="1" applyFont="1" applyFill="1" applyBorder="1" applyProtection="1"/>
    <xf numFmtId="170" fontId="8" fillId="0" borderId="2" xfId="0" applyNumberFormat="1" applyFont="1" applyFill="1" applyBorder="1" applyProtection="1">
      <protection locked="0"/>
    </xf>
    <xf numFmtId="170" fontId="2" fillId="0" borderId="0" xfId="0" applyNumberFormat="1" applyFont="1" applyFill="1"/>
    <xf numFmtId="10" fontId="2" fillId="0" borderId="0" xfId="0" applyNumberFormat="1" applyFont="1" applyFill="1"/>
    <xf numFmtId="0" fontId="13" fillId="0" borderId="0" xfId="0" applyFont="1" applyFill="1"/>
    <xf numFmtId="37" fontId="2" fillId="0" borderId="0" xfId="0" applyNumberFormat="1" applyFont="1" applyFill="1"/>
    <xf numFmtId="0" fontId="8" fillId="0" borderId="0" xfId="0" quotePrefix="1" applyFont="1" applyFill="1" applyAlignment="1">
      <alignment horizontal="left"/>
    </xf>
    <xf numFmtId="0" fontId="12" fillId="0" borderId="0" xfId="0" applyFont="1" applyFill="1"/>
    <xf numFmtId="0" fontId="14" fillId="0" borderId="0" xfId="0" quotePrefix="1" applyFont="1" applyFill="1" applyAlignment="1">
      <alignment horizontal="left"/>
    </xf>
    <xf numFmtId="37" fontId="2" fillId="0" borderId="12" xfId="0" applyNumberFormat="1" applyFont="1" applyFill="1" applyBorder="1"/>
    <xf numFmtId="170" fontId="2" fillId="0" borderId="12" xfId="0" applyNumberFormat="1" applyFont="1" applyFill="1" applyBorder="1"/>
    <xf numFmtId="170" fontId="8" fillId="0" borderId="0" xfId="0" applyNumberFormat="1" applyFont="1" applyFill="1" applyBorder="1" applyProtection="1">
      <protection locked="0"/>
    </xf>
    <xf numFmtId="170" fontId="2" fillId="0" borderId="0" xfId="0" applyNumberFormat="1" applyFont="1" applyFill="1" applyBorder="1"/>
    <xf numFmtId="37" fontId="2" fillId="0" borderId="0" xfId="0" applyNumberFormat="1" applyFont="1" applyFill="1" applyBorder="1"/>
    <xf numFmtId="5" fontId="2" fillId="0" borderId="0" xfId="0" applyNumberFormat="1" applyFont="1" applyFill="1" applyBorder="1"/>
    <xf numFmtId="5" fontId="2" fillId="0" borderId="0" xfId="0" applyNumberFormat="1" applyFont="1" applyFill="1" applyBorder="1"/>
    <xf numFmtId="166" fontId="8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Alignment="1">
      <alignment horizontal="right"/>
    </xf>
    <xf numFmtId="43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Border="1"/>
    <xf numFmtId="165" fontId="16" fillId="0" borderId="0" xfId="0" applyNumberFormat="1" applyFont="1" applyFill="1"/>
    <xf numFmtId="166" fontId="16" fillId="0" borderId="0" xfId="0" applyNumberFormat="1" applyFont="1" applyFill="1" applyBorder="1" applyProtection="1">
      <protection locked="0"/>
    </xf>
    <xf numFmtId="1" fontId="2" fillId="0" borderId="0" xfId="0" applyNumberFormat="1" applyFont="1" applyFill="1"/>
    <xf numFmtId="166" fontId="2" fillId="0" borderId="0" xfId="0" applyNumberFormat="1" applyFont="1" applyFill="1" applyBorder="1"/>
    <xf numFmtId="1" fontId="16" fillId="0" borderId="0" xfId="0" applyNumberFormat="1" applyFont="1" applyFill="1"/>
    <xf numFmtId="166" fontId="16" fillId="0" borderId="0" xfId="0" applyNumberFormat="1" applyFont="1" applyFill="1"/>
    <xf numFmtId="171" fontId="2" fillId="0" borderId="0" xfId="0" applyNumberFormat="1" applyFont="1" applyFill="1"/>
    <xf numFmtId="166" fontId="2" fillId="0" borderId="0" xfId="0" applyNumberFormat="1" applyFont="1" applyFill="1"/>
    <xf numFmtId="166" fontId="17" fillId="0" borderId="0" xfId="0" applyNumberFormat="1" applyFont="1" applyFill="1"/>
    <xf numFmtId="165" fontId="0" fillId="0" borderId="0" xfId="0" applyNumberFormat="1" applyFont="1" applyFill="1" applyBorder="1"/>
    <xf numFmtId="0" fontId="1" fillId="0" borderId="0" xfId="0" applyFont="1" applyBorder="1"/>
    <xf numFmtId="164" fontId="1" fillId="0" borderId="4" xfId="0" quotePrefix="1" applyNumberFormat="1" applyFont="1" applyFill="1" applyBorder="1" applyAlignment="1">
      <alignment horizontal="center" wrapText="1"/>
    </xf>
    <xf numFmtId="0" fontId="1" fillId="0" borderId="4" xfId="0" quotePrefix="1" applyFont="1" applyFill="1" applyBorder="1" applyAlignment="1">
      <alignment horizontal="center" wrapText="1"/>
    </xf>
    <xf numFmtId="164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72" fontId="1" fillId="0" borderId="0" xfId="0" applyNumberFormat="1" applyFont="1" applyFill="1" applyBorder="1"/>
    <xf numFmtId="0" fontId="4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quotePrefix="1" applyFont="1" applyFill="1" applyBorder="1" applyAlignment="1">
      <alignment horizontal="center" wrapText="1"/>
    </xf>
    <xf numFmtId="0" fontId="4" fillId="0" borderId="0" xfId="0" applyFont="1" applyFill="1" applyAlignment="1">
      <alignment horizontal="left" indent="1"/>
    </xf>
    <xf numFmtId="164" fontId="4" fillId="0" borderId="0" xfId="0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72" fontId="4" fillId="0" borderId="0" xfId="0" quotePrefix="1" applyNumberFormat="1" applyFont="1" applyFill="1" applyAlignment="1">
      <alignment horizontal="left"/>
    </xf>
    <xf numFmtId="10" fontId="4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2" xfId="0" applyNumberFormat="1" applyFont="1" applyFill="1" applyBorder="1"/>
    <xf numFmtId="165" fontId="4" fillId="0" borderId="2" xfId="0" applyNumberFormat="1" applyFont="1" applyFill="1" applyBorder="1"/>
    <xf numFmtId="172" fontId="4" fillId="0" borderId="2" xfId="0" applyNumberFormat="1" applyFont="1" applyFill="1" applyBorder="1"/>
    <xf numFmtId="10" fontId="4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72" fontId="4" fillId="0" borderId="0" xfId="0" applyNumberFormat="1" applyFont="1" applyFill="1" applyBorder="1"/>
    <xf numFmtId="10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Alignment="1">
      <alignment horizontal="left" indent="1"/>
    </xf>
    <xf numFmtId="0" fontId="4" fillId="0" borderId="0" xfId="0" quotePrefix="1" applyFont="1" applyFill="1" applyAlignment="1">
      <alignment horizontal="left"/>
    </xf>
    <xf numFmtId="164" fontId="4" fillId="0" borderId="3" xfId="0" applyNumberFormat="1" applyFont="1" applyFill="1" applyBorder="1"/>
    <xf numFmtId="165" fontId="4" fillId="0" borderId="3" xfId="0" applyNumberFormat="1" applyFont="1" applyFill="1" applyBorder="1"/>
    <xf numFmtId="172" fontId="4" fillId="0" borderId="3" xfId="0" applyNumberFormat="1" applyFont="1" applyFill="1" applyBorder="1"/>
    <xf numFmtId="10" fontId="4" fillId="0" borderId="3" xfId="0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0" fillId="0" borderId="0" xfId="0" quotePrefix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5" fillId="0" borderId="0" xfId="0" quotePrefix="1" applyFont="1" applyFill="1" applyBorder="1" applyAlignment="1">
      <alignment horizontal="left"/>
    </xf>
    <xf numFmtId="164" fontId="5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Border="1"/>
    <xf numFmtId="165" fontId="5" fillId="0" borderId="2" xfId="0" applyNumberFormat="1" applyFont="1" applyFill="1" applyBorder="1"/>
    <xf numFmtId="165" fontId="1" fillId="0" borderId="0" xfId="0" applyNumberFormat="1" applyFont="1" applyFill="1" applyBorder="1"/>
    <xf numFmtId="0" fontId="0" fillId="0" borderId="0" xfId="0" quotePrefix="1" applyFill="1" applyBorder="1" applyAlignment="1">
      <alignment horizontal="left" indent="1"/>
    </xf>
    <xf numFmtId="165" fontId="1" fillId="0" borderId="0" xfId="0" applyNumberFormat="1" applyFont="1" applyFill="1" applyBorder="1"/>
    <xf numFmtId="0" fontId="0" fillId="0" borderId="0" xfId="0" applyFill="1" applyBorder="1" applyAlignment="1">
      <alignment horizontal="left" indent="2"/>
    </xf>
    <xf numFmtId="165" fontId="1" fillId="0" borderId="2" xfId="0" applyNumberFormat="1" applyFont="1" applyFill="1" applyBorder="1"/>
    <xf numFmtId="0" fontId="0" fillId="0" borderId="0" xfId="0" quotePrefix="1" applyFill="1" applyBorder="1" applyAlignment="1">
      <alignment horizontal="left" indent="3"/>
    </xf>
    <xf numFmtId="175" fontId="1" fillId="0" borderId="0" xfId="0" applyNumberFormat="1" applyFont="1" applyFill="1" applyBorder="1"/>
    <xf numFmtId="0" fontId="5" fillId="0" borderId="0" xfId="0" quotePrefix="1" applyFont="1" applyFill="1" applyBorder="1" applyAlignment="1">
      <alignment horizontal="left" indent="4"/>
    </xf>
    <xf numFmtId="165" fontId="5" fillId="0" borderId="3" xfId="0" applyNumberFormat="1" applyFont="1" applyFill="1" applyBorder="1"/>
    <xf numFmtId="0" fontId="1" fillId="0" borderId="0" xfId="0" applyFont="1" applyFill="1" applyBorder="1"/>
    <xf numFmtId="172" fontId="5" fillId="0" borderId="3" xfId="0" applyNumberFormat="1" applyFont="1" applyFill="1" applyBorder="1"/>
    <xf numFmtId="0" fontId="19" fillId="0" borderId="0" xfId="0" applyFont="1" applyFill="1" applyBorder="1"/>
    <xf numFmtId="44" fontId="1" fillId="0" borderId="0" xfId="0" applyNumberFormat="1" applyFont="1" applyFill="1" applyBorder="1"/>
    <xf numFmtId="44" fontId="1" fillId="0" borderId="2" xfId="0" applyNumberFormat="1" applyFont="1" applyFill="1" applyBorder="1"/>
    <xf numFmtId="0" fontId="5" fillId="0" borderId="0" xfId="0" quotePrefix="1" applyFont="1" applyFill="1" applyBorder="1" applyAlignment="1">
      <alignment horizontal="left" indent="1"/>
    </xf>
    <xf numFmtId="0" fontId="3" fillId="0" borderId="0" xfId="0" applyFont="1"/>
    <xf numFmtId="0" fontId="0" fillId="0" borderId="0" xfId="0" quotePrefix="1" applyAlignment="1">
      <alignment horizontal="left"/>
    </xf>
    <xf numFmtId="165" fontId="0" fillId="0" borderId="0" xfId="0" applyNumberFormat="1"/>
    <xf numFmtId="0" fontId="1" fillId="0" borderId="13" xfId="0" applyFont="1" applyFill="1" applyBorder="1" applyAlignment="1">
      <alignment horizontal="centerContinuous"/>
    </xf>
    <xf numFmtId="0" fontId="1" fillId="0" borderId="14" xfId="0" applyFont="1" applyFill="1" applyBorder="1" applyAlignment="1">
      <alignment horizontal="centerContinuous"/>
    </xf>
    <xf numFmtId="0" fontId="1" fillId="0" borderId="15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17" xfId="0" applyFont="1" applyFill="1" applyBorder="1" applyAlignment="1">
      <alignment horizontal="centerContinuous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16" xfId="0" applyFont="1" applyFill="1" applyBorder="1" applyAlignment="1">
      <alignment horizontal="center" wrapText="1"/>
    </xf>
    <xf numFmtId="164" fontId="1" fillId="0" borderId="0" xfId="0" quotePrefix="1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0" fontId="1" fillId="0" borderId="17" xfId="0" quotePrefix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quotePrefix="1" applyNumberFormat="1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1" fillId="0" borderId="17" xfId="0" quotePrefix="1" applyFont="1" applyFill="1" applyBorder="1" applyAlignment="1">
      <alignment horizontal="center" vertical="top" wrapText="1"/>
    </xf>
    <xf numFmtId="10" fontId="1" fillId="0" borderId="17" xfId="0" applyNumberFormat="1" applyFont="1" applyFill="1" applyBorder="1"/>
    <xf numFmtId="173" fontId="1" fillId="0" borderId="0" xfId="0" applyNumberFormat="1" applyFont="1" applyFill="1" applyBorder="1"/>
    <xf numFmtId="0" fontId="1" fillId="0" borderId="0" xfId="0" quotePrefix="1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1" fillId="0" borderId="0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/>
    <xf numFmtId="0" fontId="1" fillId="0" borderId="18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/>
    <xf numFmtId="165" fontId="1" fillId="0" borderId="4" xfId="0" applyNumberFormat="1" applyFont="1" applyFill="1" applyBorder="1"/>
    <xf numFmtId="0" fontId="1" fillId="0" borderId="19" xfId="0" applyFont="1" applyFill="1" applyBorder="1"/>
    <xf numFmtId="172" fontId="1" fillId="0" borderId="0" xfId="0" applyNumberFormat="1" applyFont="1" applyFill="1"/>
    <xf numFmtId="165" fontId="0" fillId="0" borderId="0" xfId="0" applyNumberFormat="1" applyFont="1" applyFill="1"/>
    <xf numFmtId="172" fontId="1" fillId="0" borderId="2" xfId="0" applyNumberFormat="1" applyFont="1" applyFill="1" applyBorder="1"/>
    <xf numFmtId="165" fontId="0" fillId="0" borderId="2" xfId="0" applyNumberFormat="1" applyFont="1" applyFill="1" applyBorder="1"/>
    <xf numFmtId="172" fontId="0" fillId="0" borderId="0" xfId="0" applyNumberFormat="1" applyFill="1"/>
    <xf numFmtId="172" fontId="1" fillId="0" borderId="3" xfId="0" applyNumberFormat="1" applyFont="1" applyFill="1" applyBorder="1"/>
    <xf numFmtId="165" fontId="0" fillId="0" borderId="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172" fontId="1" fillId="0" borderId="0" xfId="0" applyNumberFormat="1" applyFont="1" applyFill="1" applyBorder="1"/>
    <xf numFmtId="5" fontId="2" fillId="0" borderId="0" xfId="0" applyNumberFormat="1" applyFont="1" applyFill="1" applyBorder="1" applyAlignment="1">
      <alignment horizontal="center"/>
    </xf>
    <xf numFmtId="5" fontId="2" fillId="0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 wrapText="1"/>
    </xf>
    <xf numFmtId="0" fontId="0" fillId="0" borderId="1" xfId="0" quotePrefix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quotePrefix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quotePrefix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72" fontId="0" fillId="0" borderId="0" xfId="0" applyNumberFormat="1" applyFont="1" applyAlignment="1">
      <alignment horizontal="center"/>
    </xf>
    <xf numFmtId="172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42" fontId="0" fillId="0" borderId="0" xfId="0" applyNumberFormat="1" applyAlignment="1">
      <alignment horizontal="center"/>
    </xf>
    <xf numFmtId="42" fontId="0" fillId="0" borderId="0" xfId="0" applyNumberFormat="1" applyFill="1" applyAlignment="1">
      <alignment horizontal="center"/>
    </xf>
    <xf numFmtId="165" fontId="1" fillId="0" borderId="0" xfId="0" applyNumberFormat="1" applyFont="1" applyFill="1" applyBorder="1"/>
    <xf numFmtId="10" fontId="1" fillId="0" borderId="17" xfId="0" applyNumberFormat="1" applyFont="1" applyFill="1" applyBorder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Fill="1" applyAlignment="1">
      <alignment horizontal="center"/>
    </xf>
    <xf numFmtId="42" fontId="3" fillId="0" borderId="0" xfId="0" applyNumberFormat="1" applyFont="1"/>
    <xf numFmtId="165" fontId="3" fillId="0" borderId="0" xfId="0" applyNumberFormat="1" applyFont="1"/>
    <xf numFmtId="17" fontId="1" fillId="0" borderId="0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17" fontId="1" fillId="0" borderId="0" xfId="0" quotePrefix="1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ont="1"/>
    <xf numFmtId="172" fontId="0" fillId="0" borderId="0" xfId="0" applyNumberFormat="1" applyFont="1" applyFill="1"/>
    <xf numFmtId="0" fontId="15" fillId="0" borderId="0" xfId="0" applyFont="1"/>
    <xf numFmtId="0" fontId="12" fillId="0" borderId="0" xfId="0" applyFont="1" applyFill="1"/>
    <xf numFmtId="5" fontId="12" fillId="0" borderId="0" xfId="0" applyNumberFormat="1" applyFont="1" applyFill="1"/>
    <xf numFmtId="0" fontId="4" fillId="0" borderId="0" xfId="0" applyFont="1" applyFill="1"/>
    <xf numFmtId="168" fontId="12" fillId="0" borderId="1" xfId="0" applyNumberFormat="1" applyFont="1" applyFill="1" applyBorder="1" applyProtection="1"/>
    <xf numFmtId="0" fontId="12" fillId="0" borderId="1" xfId="0" applyFont="1" applyFill="1" applyBorder="1"/>
    <xf numFmtId="7" fontId="12" fillId="0" borderId="1" xfId="0" applyNumberFormat="1" applyFont="1" applyFill="1" applyBorder="1" applyProtection="1"/>
    <xf numFmtId="37" fontId="12" fillId="0" borderId="1" xfId="0" applyNumberFormat="1" applyFont="1" applyFill="1" applyBorder="1" applyProtection="1"/>
    <xf numFmtId="10" fontId="12" fillId="0" borderId="0" xfId="0" applyNumberFormat="1" applyFont="1" applyFill="1" applyProtection="1"/>
    <xf numFmtId="7" fontId="12" fillId="0" borderId="0" xfId="0" applyNumberFormat="1" applyFont="1" applyFill="1"/>
    <xf numFmtId="7" fontId="12" fillId="0" borderId="0" xfId="0" applyNumberFormat="1" applyFont="1" applyFill="1"/>
    <xf numFmtId="10" fontId="12" fillId="0" borderId="0" xfId="0" applyNumberFormat="1" applyFont="1" applyFill="1"/>
    <xf numFmtId="37" fontId="12" fillId="0" borderId="0" xfId="0" applyNumberFormat="1" applyFont="1" applyFill="1" applyProtection="1"/>
    <xf numFmtId="10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7" fontId="12" fillId="0" borderId="0" xfId="0" applyNumberFormat="1" applyFont="1" applyFill="1" applyProtection="1"/>
    <xf numFmtId="172" fontId="12" fillId="0" borderId="0" xfId="0" applyNumberFormat="1" applyFont="1" applyFill="1"/>
    <xf numFmtId="0" fontId="22" fillId="0" borderId="0" xfId="0" quotePrefix="1" applyFont="1" applyFill="1" applyAlignment="1">
      <alignment horizontal="left"/>
    </xf>
    <xf numFmtId="172" fontId="22" fillId="0" borderId="0" xfId="0" applyNumberFormat="1" applyFont="1" applyFill="1"/>
    <xf numFmtId="168" fontId="12" fillId="0" borderId="0" xfId="0" applyNumberFormat="1" applyFont="1" applyFill="1" applyProtection="1"/>
    <xf numFmtId="0" fontId="22" fillId="0" borderId="0" xfId="0" applyFont="1" applyFill="1"/>
    <xf numFmtId="177" fontId="22" fillId="0" borderId="0" xfId="0" applyNumberFormat="1" applyFont="1" applyFill="1"/>
    <xf numFmtId="44" fontId="23" fillId="0" borderId="19" xfId="0" applyNumberFormat="1" applyFont="1" applyFill="1" applyBorder="1"/>
    <xf numFmtId="0" fontId="22" fillId="0" borderId="4" xfId="0" applyFont="1" applyFill="1" applyBorder="1"/>
    <xf numFmtId="44" fontId="23" fillId="0" borderId="4" xfId="0" applyNumberFormat="1" applyFont="1" applyFill="1" applyBorder="1"/>
    <xf numFmtId="0" fontId="22" fillId="0" borderId="18" xfId="0" quotePrefix="1" applyFont="1" applyFill="1" applyBorder="1" applyAlignment="1">
      <alignment horizontal="left"/>
    </xf>
    <xf numFmtId="166" fontId="12" fillId="0" borderId="0" xfId="0" applyNumberFormat="1" applyFont="1" applyFill="1"/>
    <xf numFmtId="0" fontId="12" fillId="0" borderId="0" xfId="0" applyFont="1" applyFill="1" applyBorder="1"/>
    <xf numFmtId="172" fontId="23" fillId="0" borderId="17" xfId="0" applyNumberFormat="1" applyFont="1" applyFill="1" applyBorder="1"/>
    <xf numFmtId="0" fontId="22" fillId="0" borderId="0" xfId="0" applyFont="1" applyFill="1" applyBorder="1"/>
    <xf numFmtId="172" fontId="23" fillId="0" borderId="0" xfId="0" applyNumberFormat="1" applyFont="1" applyFill="1" applyBorder="1"/>
    <xf numFmtId="0" fontId="22" fillId="0" borderId="16" xfId="0" quotePrefix="1" applyFont="1" applyFill="1" applyBorder="1" applyAlignment="1">
      <alignment horizontal="left"/>
    </xf>
    <xf numFmtId="43" fontId="12" fillId="0" borderId="0" xfId="0" applyNumberFormat="1" applyFont="1" applyFill="1"/>
    <xf numFmtId="44" fontId="23" fillId="0" borderId="17" xfId="0" applyNumberFormat="1" applyFont="1" applyFill="1" applyBorder="1"/>
    <xf numFmtId="44" fontId="23" fillId="0" borderId="0" xfId="0" applyNumberFormat="1" applyFont="1" applyFill="1" applyBorder="1"/>
    <xf numFmtId="0" fontId="24" fillId="0" borderId="15" xfId="0" applyFont="1" applyFill="1" applyBorder="1" applyAlignment="1">
      <alignment horizontal="right"/>
    </xf>
    <xf numFmtId="0" fontId="24" fillId="0" borderId="14" xfId="0" quotePrefix="1" applyFont="1" applyFill="1" applyBorder="1" applyAlignment="1">
      <alignment horizontal="left"/>
    </xf>
    <xf numFmtId="0" fontId="24" fillId="0" borderId="14" xfId="0" applyFont="1" applyFill="1" applyBorder="1" applyAlignment="1">
      <alignment horizontal="right"/>
    </xf>
    <xf numFmtId="0" fontId="22" fillId="0" borderId="13" xfId="0" quotePrefix="1" applyFont="1" applyFill="1" applyBorder="1" applyAlignment="1">
      <alignment horizontal="left"/>
    </xf>
    <xf numFmtId="0" fontId="12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5" fillId="0" borderId="0" xfId="0" applyFont="1" applyFill="1"/>
    <xf numFmtId="0" fontId="12" fillId="0" borderId="7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Continuous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Continuous"/>
    </xf>
    <xf numFmtId="44" fontId="12" fillId="0" borderId="0" xfId="0" applyNumberFormat="1" applyFont="1" applyFill="1"/>
    <xf numFmtId="0" fontId="12" fillId="0" borderId="0" xfId="0" applyFont="1" applyFill="1" applyProtection="1"/>
    <xf numFmtId="0" fontId="2" fillId="0" borderId="0" xfId="0" applyFont="1" applyFill="1"/>
    <xf numFmtId="166" fontId="2" fillId="0" borderId="0" xfId="0" applyNumberFormat="1" applyFont="1" applyFill="1" applyProtection="1"/>
    <xf numFmtId="10" fontId="2" fillId="0" borderId="0" xfId="0" applyNumberFormat="1" applyFont="1" applyFill="1" applyProtection="1"/>
    <xf numFmtId="0" fontId="2" fillId="0" borderId="0" xfId="0" applyFont="1" applyFill="1" applyProtection="1"/>
    <xf numFmtId="5" fontId="2" fillId="0" borderId="0" xfId="0" applyNumberFormat="1" applyFont="1" applyFill="1" applyProtection="1"/>
    <xf numFmtId="178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Border="1"/>
    <xf numFmtId="166" fontId="2" fillId="0" borderId="0" xfId="0" applyNumberFormat="1" applyFont="1" applyFill="1" applyBorder="1" applyProtection="1"/>
    <xf numFmtId="5" fontId="2" fillId="0" borderId="0" xfId="0" applyNumberFormat="1" applyFont="1" applyFill="1"/>
    <xf numFmtId="7" fontId="12" fillId="0" borderId="0" xfId="0" applyNumberFormat="1" applyFont="1" applyFill="1"/>
    <xf numFmtId="0" fontId="22" fillId="0" borderId="19" xfId="0" applyFont="1" applyFill="1" applyBorder="1"/>
    <xf numFmtId="0" fontId="22" fillId="0" borderId="18" xfId="0" applyFont="1" applyFill="1" applyBorder="1"/>
    <xf numFmtId="0" fontId="12" fillId="0" borderId="16" xfId="0" applyFont="1" applyFill="1" applyBorder="1"/>
    <xf numFmtId="0" fontId="12" fillId="0" borderId="16" xfId="0" quotePrefix="1" applyFont="1" applyFill="1" applyBorder="1" applyAlignment="1">
      <alignment horizontal="left"/>
    </xf>
    <xf numFmtId="7" fontId="23" fillId="0" borderId="17" xfId="0" applyNumberFormat="1" applyFont="1" applyFill="1" applyBorder="1"/>
    <xf numFmtId="7" fontId="23" fillId="0" borderId="0" xfId="0" applyNumberFormat="1" applyFont="1" applyFill="1" applyBorder="1"/>
    <xf numFmtId="0" fontId="23" fillId="0" borderId="0" xfId="0" applyFont="1" applyFill="1" applyBorder="1"/>
    <xf numFmtId="0" fontId="12" fillId="0" borderId="17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28" fillId="0" borderId="0" xfId="0" applyFont="1" applyFill="1" applyProtection="1"/>
    <xf numFmtId="0" fontId="2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7" xfId="0" quotePrefix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Continuous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Continuous"/>
    </xf>
    <xf numFmtId="0" fontId="30" fillId="0" borderId="0" xfId="0" applyFont="1" applyFill="1" applyAlignment="1">
      <alignment horizontal="centerContinuous"/>
    </xf>
    <xf numFmtId="0" fontId="30" fillId="0" borderId="0" xfId="0" applyFont="1" applyFill="1" applyAlignment="1" applyProtection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Protection="1"/>
    <xf numFmtId="176" fontId="23" fillId="0" borderId="17" xfId="0" applyNumberFormat="1" applyFont="1" applyFill="1" applyBorder="1"/>
    <xf numFmtId="44" fontId="23" fillId="0" borderId="17" xfId="0" applyNumberFormat="1" applyFont="1" applyFill="1" applyBorder="1"/>
    <xf numFmtId="0" fontId="2" fillId="0" borderId="1" xfId="0" quotePrefix="1" applyFont="1" applyFill="1" applyBorder="1" applyAlignment="1" applyProtection="1">
      <alignment horizontal="center"/>
    </xf>
    <xf numFmtId="0" fontId="28" fillId="0" borderId="0" xfId="0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Alignment="1" applyProtection="1"/>
    <xf numFmtId="0" fontId="6" fillId="0" borderId="0" xfId="0" applyFont="1" applyFill="1" applyAlignment="1" applyProtection="1">
      <alignment horizontal="centerContinuous"/>
    </xf>
    <xf numFmtId="176" fontId="12" fillId="0" borderId="0" xfId="0" applyNumberFormat="1" applyFont="1" applyFill="1"/>
    <xf numFmtId="5" fontId="12" fillId="0" borderId="0" xfId="0" applyNumberFormat="1" applyFont="1" applyFill="1" applyProtection="1"/>
    <xf numFmtId="0" fontId="33" fillId="0" borderId="0" xfId="0" applyFont="1" applyFill="1"/>
    <xf numFmtId="0" fontId="33" fillId="0" borderId="0" xfId="0" applyFont="1" applyFill="1" applyBorder="1"/>
    <xf numFmtId="0" fontId="33" fillId="0" borderId="0" xfId="0" applyFont="1" applyFill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6" fillId="0" borderId="0" xfId="0" applyFont="1" applyFill="1" applyAlignment="1">
      <alignment horizontal="centerContinuous"/>
    </xf>
    <xf numFmtId="10" fontId="12" fillId="0" borderId="0" xfId="0" applyNumberFormat="1" applyFont="1" applyFill="1"/>
    <xf numFmtId="0" fontId="12" fillId="0" borderId="0" xfId="0" quotePrefix="1" applyFont="1" applyFill="1" applyAlignment="1">
      <alignment horizontal="right"/>
    </xf>
    <xf numFmtId="167" fontId="22" fillId="0" borderId="19" xfId="0" applyNumberFormat="1" applyFont="1" applyFill="1" applyBorder="1"/>
    <xf numFmtId="167" fontId="22" fillId="0" borderId="4" xfId="0" applyNumberFormat="1" applyFont="1" applyFill="1" applyBorder="1"/>
    <xf numFmtId="0" fontId="12" fillId="0" borderId="18" xfId="0" applyFont="1" applyFill="1" applyBorder="1"/>
    <xf numFmtId="0" fontId="12" fillId="0" borderId="17" xfId="0" applyFont="1" applyFill="1" applyBorder="1"/>
    <xf numFmtId="0" fontId="12" fillId="0" borderId="14" xfId="0" applyFont="1" applyFill="1" applyBorder="1"/>
    <xf numFmtId="0" fontId="12" fillId="0" borderId="14" xfId="0" applyFont="1" applyFill="1" applyBorder="1" applyAlignment="1"/>
    <xf numFmtId="0" fontId="12" fillId="0" borderId="13" xfId="0" quotePrefix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Continuous"/>
    </xf>
    <xf numFmtId="0" fontId="12" fillId="0" borderId="0" xfId="0" quotePrefix="1" applyFont="1" applyFill="1" applyAlignment="1">
      <alignment horizontal="center"/>
    </xf>
    <xf numFmtId="0" fontId="12" fillId="0" borderId="0" xfId="0" quotePrefix="1" applyFont="1" applyFill="1" applyAlignment="1" applyProtection="1">
      <alignment horizontal="center"/>
    </xf>
    <xf numFmtId="0" fontId="34" fillId="0" borderId="0" xfId="0" applyFont="1" applyFill="1" applyAlignment="1">
      <alignment horizontal="centerContinuous"/>
    </xf>
    <xf numFmtId="0" fontId="1" fillId="0" borderId="13" xfId="0" applyFont="1" applyBorder="1"/>
    <xf numFmtId="0" fontId="1" fillId="0" borderId="14" xfId="0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/>
    <xf numFmtId="0" fontId="1" fillId="0" borderId="0" xfId="0" applyFont="1" applyBorder="1" applyAlignment="1">
      <alignment horizontal="centerContinuous"/>
    </xf>
    <xf numFmtId="164" fontId="1" fillId="0" borderId="0" xfId="0" applyNumberFormat="1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17" xfId="0" applyFont="1" applyBorder="1"/>
    <xf numFmtId="0" fontId="1" fillId="0" borderId="2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quotePrefix="1" applyNumberFormat="1" applyFont="1" applyFill="1" applyBorder="1" applyAlignment="1">
      <alignment horizontal="center" wrapText="1"/>
    </xf>
    <xf numFmtId="0" fontId="1" fillId="0" borderId="1" xfId="0" quotePrefix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wrapText="1"/>
    </xf>
    <xf numFmtId="0" fontId="1" fillId="0" borderId="22" xfId="0" quotePrefix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1" fillId="0" borderId="0" xfId="0" quotePrefix="1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172" fontId="1" fillId="0" borderId="0" xfId="0" applyNumberFormat="1" applyFont="1" applyBorder="1"/>
    <xf numFmtId="0" fontId="1" fillId="0" borderId="0" xfId="0" quotePrefix="1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0" borderId="0" xfId="0" quotePrefix="1" applyFont="1" applyBorder="1" applyAlignment="1">
      <alignment horizontal="left"/>
    </xf>
    <xf numFmtId="0" fontId="1" fillId="0" borderId="1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174" fontId="1" fillId="0" borderId="4" xfId="0" applyNumberFormat="1" applyFont="1" applyBorder="1"/>
    <xf numFmtId="0" fontId="1" fillId="0" borderId="19" xfId="0" applyFont="1" applyBorder="1"/>
    <xf numFmtId="0" fontId="22" fillId="2" borderId="0" xfId="0" quotePrefix="1" applyFont="1" applyFill="1" applyAlignment="1">
      <alignment horizontal="left"/>
    </xf>
    <xf numFmtId="172" fontId="22" fillId="2" borderId="0" xfId="0" applyNumberFormat="1" applyFont="1" applyFill="1"/>
    <xf numFmtId="0" fontId="12" fillId="2" borderId="0" xfId="0" applyFont="1" applyFill="1"/>
    <xf numFmtId="0" fontId="22" fillId="2" borderId="0" xfId="0" applyFont="1" applyFill="1"/>
    <xf numFmtId="172" fontId="12" fillId="0" borderId="0" xfId="0" applyNumberFormat="1" applyFont="1" applyFill="1"/>
    <xf numFmtId="172" fontId="12" fillId="2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/>
    <xf numFmtId="44" fontId="12" fillId="2" borderId="0" xfId="0" applyNumberFormat="1" applyFont="1" applyFill="1"/>
    <xf numFmtId="165" fontId="0" fillId="0" borderId="0" xfId="0" applyNumberFormat="1" applyFont="1" applyFill="1"/>
    <xf numFmtId="165" fontId="0" fillId="0" borderId="2" xfId="0" applyNumberFormat="1" applyFont="1" applyFill="1" applyBorder="1"/>
    <xf numFmtId="165" fontId="8" fillId="0" borderId="2" xfId="0" applyNumberFormat="1" applyFont="1" applyFill="1" applyBorder="1" applyProtection="1">
      <protection locked="0"/>
    </xf>
    <xf numFmtId="10" fontId="5" fillId="0" borderId="3" xfId="0" applyNumberFormat="1" applyFont="1" applyFill="1" applyBorder="1"/>
    <xf numFmtId="0" fontId="0" fillId="0" borderId="13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2" fillId="0" borderId="0" xfId="0" quotePrefix="1" applyFont="1" applyFill="1" applyAlignment="1">
      <alignment horizontal="left"/>
    </xf>
    <xf numFmtId="169" fontId="1" fillId="0" borderId="0" xfId="0" applyNumberFormat="1" applyFont="1"/>
    <xf numFmtId="169" fontId="0" fillId="0" borderId="0" xfId="0" applyNumberFormat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ont="1" applyFill="1"/>
    <xf numFmtId="0" fontId="0" fillId="0" borderId="0" xfId="0" quotePrefix="1" applyFill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0" fontId="1" fillId="0" borderId="17" xfId="0" applyNumberFormat="1" applyFont="1" applyBorder="1" applyAlignment="1">
      <alignment horizontal="right"/>
    </xf>
    <xf numFmtId="165" fontId="0" fillId="0" borderId="0" xfId="0" applyNumberFormat="1" applyFill="1"/>
    <xf numFmtId="0" fontId="1" fillId="0" borderId="0" xfId="1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center" wrapText="1"/>
    </xf>
    <xf numFmtId="0" fontId="1" fillId="0" borderId="0" xfId="1" quotePrefix="1" applyFont="1" applyFill="1" applyAlignment="1">
      <alignment horizontal="center" wrapText="1"/>
    </xf>
    <xf numFmtId="0" fontId="1" fillId="0" borderId="1" xfId="1" quotePrefix="1" applyFont="1" applyFill="1" applyBorder="1" applyAlignment="1">
      <alignment horizontal="center" wrapText="1"/>
    </xf>
    <xf numFmtId="17" fontId="1" fillId="0" borderId="1" xfId="1" quotePrefix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 wrapText="1"/>
    </xf>
    <xf numFmtId="0" fontId="1" fillId="0" borderId="0" xfId="1" quotePrefix="1" applyFont="1" applyFill="1" applyBorder="1" applyAlignment="1">
      <alignment horizontal="center" wrapText="1"/>
    </xf>
    <xf numFmtId="17" fontId="1" fillId="0" borderId="0" xfId="1" quotePrefix="1" applyNumberFormat="1" applyFont="1" applyFill="1" applyBorder="1" applyAlignment="1">
      <alignment horizontal="center" wrapText="1"/>
    </xf>
    <xf numFmtId="164" fontId="39" fillId="0" borderId="0" xfId="1" applyNumberFormat="1" applyFont="1" applyFill="1"/>
    <xf numFmtId="164" fontId="38" fillId="0" borderId="0" xfId="1" applyNumberFormat="1" applyFont="1" applyFill="1"/>
    <xf numFmtId="165" fontId="39" fillId="0" borderId="0" xfId="1" applyNumberFormat="1" applyFont="1" applyFill="1"/>
    <xf numFmtId="172" fontId="39" fillId="0" borderId="0" xfId="1" applyNumberFormat="1" applyFont="1" applyFill="1" applyBorder="1"/>
    <xf numFmtId="172" fontId="18" fillId="0" borderId="0" xfId="1" applyNumberFormat="1" applyFont="1" applyFill="1" applyBorder="1"/>
    <xf numFmtId="165" fontId="38" fillId="0" borderId="0" xfId="1" applyNumberFormat="1" applyFont="1" applyFill="1"/>
    <xf numFmtId="164" fontId="38" fillId="0" borderId="2" xfId="1" applyNumberFormat="1" applyFont="1" applyFill="1" applyBorder="1"/>
    <xf numFmtId="165" fontId="38" fillId="0" borderId="2" xfId="1" applyNumberFormat="1" applyFont="1" applyFill="1" applyBorder="1"/>
    <xf numFmtId="172" fontId="1" fillId="0" borderId="0" xfId="1" applyNumberFormat="1" applyFont="1" applyFill="1" applyBorder="1"/>
    <xf numFmtId="0" fontId="1" fillId="0" borderId="0" xfId="1" applyFont="1" applyFill="1" applyBorder="1"/>
    <xf numFmtId="44" fontId="39" fillId="0" borderId="0" xfId="1" applyNumberFormat="1" applyFont="1" applyFill="1" applyBorder="1"/>
    <xf numFmtId="44" fontId="18" fillId="0" borderId="0" xfId="1" applyNumberFormat="1" applyFont="1" applyFill="1" applyBorder="1"/>
    <xf numFmtId="0" fontId="1" fillId="0" borderId="0" xfId="1" quotePrefix="1" applyFont="1" applyFill="1" applyAlignment="1">
      <alignment horizontal="left"/>
    </xf>
    <xf numFmtId="0" fontId="39" fillId="0" borderId="0" xfId="1" applyFont="1" applyFill="1"/>
    <xf numFmtId="164" fontId="39" fillId="0" borderId="2" xfId="1" applyNumberFormat="1" applyFont="1" applyFill="1" applyBorder="1"/>
    <xf numFmtId="172" fontId="1" fillId="0" borderId="0" xfId="1" applyNumberFormat="1" applyFont="1" applyFill="1"/>
    <xf numFmtId="164" fontId="38" fillId="0" borderId="3" xfId="1" applyNumberFormat="1" applyFont="1" applyFill="1" applyBorder="1"/>
    <xf numFmtId="165" fontId="38" fillId="0" borderId="3" xfId="1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" fillId="0" borderId="4" xfId="0" quotePrefix="1" applyNumberFormat="1" applyFont="1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0" fillId="0" borderId="19" xfId="0" quotePrefix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7" xfId="0" applyBorder="1"/>
    <xf numFmtId="0" fontId="0" fillId="0" borderId="0" xfId="0" applyBorder="1" applyAlignment="1">
      <alignment horizontal="left"/>
    </xf>
    <xf numFmtId="172" fontId="0" fillId="0" borderId="0" xfId="0" applyNumberFormat="1" applyFont="1" applyBorder="1"/>
    <xf numFmtId="10" fontId="0" fillId="0" borderId="17" xfId="0" applyNumberFormat="1" applyBorder="1"/>
    <xf numFmtId="173" fontId="0" fillId="0" borderId="0" xfId="0" applyNumberFormat="1" applyBorder="1"/>
    <xf numFmtId="0" fontId="0" fillId="0" borderId="0" xfId="0" quotePrefix="1" applyBorder="1" applyAlignment="1">
      <alignment horizontal="left" indent="1"/>
    </xf>
    <xf numFmtId="16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left" indent="1"/>
    </xf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165" fontId="1" fillId="0" borderId="4" xfId="0" applyNumberFormat="1" applyFont="1" applyBorder="1"/>
    <xf numFmtId="169" fontId="0" fillId="0" borderId="19" xfId="0" applyNumberFormat="1" applyBorder="1"/>
    <xf numFmtId="0" fontId="19" fillId="0" borderId="0" xfId="0" quotePrefix="1" applyFont="1" applyAlignment="1">
      <alignment horizontal="center" wrapText="1"/>
    </xf>
    <xf numFmtId="0" fontId="4" fillId="0" borderId="0" xfId="0" quotePrefix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64" fontId="0" fillId="0" borderId="0" xfId="2" applyNumberFormat="1" applyFont="1" applyFill="1"/>
    <xf numFmtId="164" fontId="0" fillId="0" borderId="2" xfId="2" applyNumberFormat="1" applyFont="1" applyFill="1" applyBorder="1"/>
    <xf numFmtId="164" fontId="0" fillId="0" borderId="3" xfId="2" applyNumberFormat="1" applyFont="1" applyFill="1" applyBorder="1"/>
    <xf numFmtId="166" fontId="0" fillId="0" borderId="0" xfId="3" applyNumberFormat="1" applyFont="1" applyFill="1"/>
    <xf numFmtId="166" fontId="0" fillId="0" borderId="2" xfId="3" applyNumberFormat="1" applyFont="1" applyFill="1" applyBorder="1"/>
    <xf numFmtId="166" fontId="0" fillId="0" borderId="3" xfId="3" applyNumberFormat="1" applyFont="1" applyFill="1" applyBorder="1"/>
    <xf numFmtId="166" fontId="0" fillId="0" borderId="0" xfId="3" applyNumberFormat="1" applyFont="1" applyFill="1" applyBorder="1"/>
    <xf numFmtId="0" fontId="4" fillId="0" borderId="0" xfId="0" quotePrefix="1" applyFont="1" applyFill="1" applyBorder="1" applyAlignment="1"/>
    <xf numFmtId="0" fontId="22" fillId="3" borderId="0" xfId="0" quotePrefix="1" applyFont="1" applyFill="1" applyAlignment="1">
      <alignment horizontal="left"/>
    </xf>
    <xf numFmtId="44" fontId="12" fillId="3" borderId="0" xfId="0" applyNumberFormat="1" applyFont="1" applyFill="1"/>
    <xf numFmtId="0" fontId="12" fillId="3" borderId="0" xfId="0" applyFont="1" applyFill="1"/>
    <xf numFmtId="172" fontId="12" fillId="3" borderId="0" xfId="0" applyNumberFormat="1" applyFont="1" applyFill="1"/>
    <xf numFmtId="176" fontId="12" fillId="3" borderId="0" xfId="0" applyNumberFormat="1" applyFont="1" applyFill="1"/>
    <xf numFmtId="172" fontId="12" fillId="0" borderId="0" xfId="4" applyNumberFormat="1" applyFont="1" applyFill="1"/>
    <xf numFmtId="172" fontId="22" fillId="0" borderId="0" xfId="4" applyNumberFormat="1" applyFont="1" applyFill="1"/>
    <xf numFmtId="0" fontId="1" fillId="0" borderId="20" xfId="0" applyFont="1" applyFill="1" applyBorder="1" applyAlignment="1">
      <alignment horizontal="center"/>
    </xf>
    <xf numFmtId="17" fontId="1" fillId="0" borderId="10" xfId="0" quotePrefix="1" applyNumberFormat="1" applyFont="1" applyFill="1" applyBorder="1" applyAlignment="1">
      <alignment horizontal="center" wrapText="1"/>
    </xf>
    <xf numFmtId="17" fontId="1" fillId="0" borderId="6" xfId="0" quotePrefix="1" applyNumberFormat="1" applyFont="1" applyFill="1" applyBorder="1" applyAlignment="1">
      <alignment horizontal="center" wrapText="1"/>
    </xf>
    <xf numFmtId="164" fontId="0" fillId="0" borderId="0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1" xfId="0" quotePrefix="1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quotePrefix="1" applyFont="1" applyFill="1" applyAlignment="1">
      <alignment horizontal="center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quotePrefix="1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0" fontId="33" fillId="0" borderId="0" xfId="0" quotePrefix="1" applyFont="1" applyFill="1" applyBorder="1" applyAlignment="1">
      <alignment horizontal="center"/>
    </xf>
    <xf numFmtId="179" fontId="0" fillId="0" borderId="0" xfId="0" applyNumberFormat="1" applyFont="1" applyFill="1"/>
    <xf numFmtId="179" fontId="0" fillId="0" borderId="2" xfId="0" applyNumberFormat="1" applyFont="1" applyFill="1" applyBorder="1"/>
    <xf numFmtId="179" fontId="0" fillId="0" borderId="3" xfId="0" applyNumberFormat="1" applyFont="1" applyFill="1" applyBorder="1"/>
    <xf numFmtId="179" fontId="0" fillId="0" borderId="0" xfId="0" applyNumberFormat="1" applyFont="1" applyFill="1" applyBorder="1"/>
    <xf numFmtId="0" fontId="4" fillId="0" borderId="0" xfId="0" quotePrefix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172" fontId="22" fillId="3" borderId="0" xfId="0" applyNumberFormat="1" applyFont="1" applyFill="1"/>
    <xf numFmtId="0" fontId="22" fillId="3" borderId="0" xfId="0" applyFont="1" applyFill="1"/>
    <xf numFmtId="166" fontId="8" fillId="0" borderId="0" xfId="3" applyNumberFormat="1" applyFont="1" applyFill="1" applyProtection="1">
      <protection locked="0"/>
    </xf>
    <xf numFmtId="178" fontId="8" fillId="0" borderId="0" xfId="2" applyNumberFormat="1" applyFont="1" applyFill="1" applyProtection="1">
      <protection locked="0"/>
    </xf>
    <xf numFmtId="166" fontId="8" fillId="0" borderId="2" xfId="3" applyNumberFormat="1" applyFont="1" applyFill="1" applyBorder="1" applyProtection="1">
      <protection locked="0"/>
    </xf>
    <xf numFmtId="178" fontId="8" fillId="0" borderId="2" xfId="2" applyNumberFormat="1" applyFont="1" applyFill="1" applyBorder="1" applyProtection="1">
      <protection locked="0"/>
    </xf>
    <xf numFmtId="166" fontId="2" fillId="0" borderId="0" xfId="3" applyNumberFormat="1" applyFont="1" applyFill="1"/>
    <xf numFmtId="178" fontId="2" fillId="0" borderId="0" xfId="2" applyNumberFormat="1" applyFont="1" applyFill="1"/>
    <xf numFmtId="166" fontId="2" fillId="0" borderId="12" xfId="3" applyNumberFormat="1" applyFont="1" applyFill="1" applyBorder="1"/>
    <xf numFmtId="178" fontId="2" fillId="0" borderId="12" xfId="2" applyNumberFormat="1" applyFont="1" applyFill="1" applyBorder="1"/>
    <xf numFmtId="0" fontId="20" fillId="0" borderId="0" xfId="0" applyFont="1" applyFill="1" applyAlignment="1">
      <alignment horizontal="center"/>
    </xf>
    <xf numFmtId="0" fontId="20" fillId="0" borderId="0" xfId="0" quotePrefix="1" applyFont="1" applyFill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2" fillId="0" borderId="13" xfId="0" quotePrefix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2" fillId="0" borderId="7" xfId="0" quotePrefix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5" xfId="0" quotePrefix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9" fillId="0" borderId="0" xfId="0" quotePrefix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quotePrefix="1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0" xfId="1" quotePrefix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</cellXfs>
  <cellStyles count="5">
    <cellStyle name="Comma" xfId="2" builtinId="3"/>
    <cellStyle name="Currency" xfId="4" builtinId="4"/>
    <cellStyle name="Normal" xfId="0" builtinId="0"/>
    <cellStyle name="Normal 11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Rate-Spread-Design-02-25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>
        <row r="8">
          <cell r="D8">
            <v>7.49</v>
          </cell>
          <cell r="F8">
            <v>0</v>
          </cell>
          <cell r="G8">
            <v>0</v>
          </cell>
        </row>
        <row r="11">
          <cell r="D11">
            <v>8.7335999999999997E-2</v>
          </cell>
          <cell r="F11">
            <v>1.4250000000000096E-3</v>
          </cell>
          <cell r="G11">
            <v>-1.4250000000000096E-3</v>
          </cell>
        </row>
        <row r="12">
          <cell r="D12">
            <v>0.106297</v>
          </cell>
          <cell r="F12">
            <v>1.7339999999999994E-3</v>
          </cell>
          <cell r="G12">
            <v>-1.7339999999999994E-3</v>
          </cell>
        </row>
        <row r="15">
          <cell r="D15">
            <v>9.8000000000000007</v>
          </cell>
          <cell r="F15">
            <v>0.10999999999999943</v>
          </cell>
          <cell r="G15">
            <v>-0.10999999999999943</v>
          </cell>
        </row>
        <row r="16">
          <cell r="D16">
            <v>24.9</v>
          </cell>
          <cell r="F16">
            <v>0.28000000000000114</v>
          </cell>
          <cell r="G16">
            <v>-0.28000000000000114</v>
          </cell>
        </row>
        <row r="18">
          <cell r="D18">
            <v>9.071499999999999E-2</v>
          </cell>
          <cell r="F18">
            <v>1.0070000000000079E-3</v>
          </cell>
          <cell r="G18">
            <v>-1.0070000000000079E-3</v>
          </cell>
        </row>
        <row r="19">
          <cell r="D19">
            <v>8.7578000000000003E-2</v>
          </cell>
          <cell r="F19">
            <v>9.8199999999999676E-4</v>
          </cell>
          <cell r="G19">
            <v>-9.8199999999999676E-4</v>
          </cell>
        </row>
        <row r="22">
          <cell r="D22">
            <v>52.3</v>
          </cell>
          <cell r="F22">
            <v>0.51000000000000512</v>
          </cell>
          <cell r="G22">
            <v>-0.51000000000000512</v>
          </cell>
        </row>
        <row r="24">
          <cell r="D24">
            <v>9.0753E-2</v>
          </cell>
          <cell r="F24">
            <v>9.4099999999999739E-4</v>
          </cell>
          <cell r="G24">
            <v>-9.4099999999999739E-4</v>
          </cell>
        </row>
        <row r="25">
          <cell r="D25">
            <v>8.2225999999999994E-2</v>
          </cell>
          <cell r="F25">
            <v>6.4100000000001656E-4</v>
          </cell>
          <cell r="G25">
            <v>-6.4100000000001656E-4</v>
          </cell>
        </row>
        <row r="26">
          <cell r="D26">
            <v>6.4072000000000004E-2</v>
          </cell>
          <cell r="F26">
            <v>0</v>
          </cell>
          <cell r="G26">
            <v>0</v>
          </cell>
        </row>
        <row r="28">
          <cell r="D28">
            <v>0</v>
          </cell>
        </row>
        <row r="29">
          <cell r="D29">
            <v>9.42</v>
          </cell>
          <cell r="F29">
            <v>0.33000000000000007</v>
          </cell>
          <cell r="G29">
            <v>-0.33000000000000007</v>
          </cell>
        </row>
        <row r="30">
          <cell r="D30">
            <v>6.29</v>
          </cell>
          <cell r="F30">
            <v>0.21999999999999975</v>
          </cell>
          <cell r="G30">
            <v>-0.21999999999999975</v>
          </cell>
        </row>
        <row r="32">
          <cell r="D32">
            <v>2.96E-3</v>
          </cell>
          <cell r="F32">
            <v>9.9999999999999829E-5</v>
          </cell>
          <cell r="G32">
            <v>-9.9999999999999829E-5</v>
          </cell>
        </row>
        <row r="35">
          <cell r="D35">
            <v>105.74</v>
          </cell>
          <cell r="F35">
            <v>1.0300000000000011</v>
          </cell>
          <cell r="G35">
            <v>-1.0300000000000011</v>
          </cell>
        </row>
        <row r="37">
          <cell r="D37">
            <v>5.7180999999999996E-2</v>
          </cell>
          <cell r="F37">
            <v>5.2100000000000063E-4</v>
          </cell>
          <cell r="G37">
            <v>-5.2100000000000063E-4</v>
          </cell>
        </row>
        <row r="39">
          <cell r="D39">
            <v>11.91</v>
          </cell>
          <cell r="F39">
            <v>0.11999999999999922</v>
          </cell>
          <cell r="G39">
            <v>-0.11999999999999922</v>
          </cell>
        </row>
        <row r="40">
          <cell r="D40">
            <v>7.94</v>
          </cell>
          <cell r="F40">
            <v>6.9999999999999396E-2</v>
          </cell>
          <cell r="G40">
            <v>-6.9999999999999396E-2</v>
          </cell>
        </row>
        <row r="42">
          <cell r="D42">
            <v>1.2600000000000001E-3</v>
          </cell>
          <cell r="F42">
            <v>1.0000000000000026E-5</v>
          </cell>
          <cell r="G42">
            <v>-1.0000000000000026E-5</v>
          </cell>
        </row>
        <row r="55">
          <cell r="D55">
            <v>9.68</v>
          </cell>
          <cell r="F55">
            <v>8.9999999999999858E-2</v>
          </cell>
          <cell r="G55">
            <v>-8.9999999999999858E-2</v>
          </cell>
        </row>
        <row r="56">
          <cell r="D56">
            <v>24.58</v>
          </cell>
          <cell r="F56">
            <v>0.24000000000000199</v>
          </cell>
          <cell r="G56">
            <v>-0.24000000000000199</v>
          </cell>
        </row>
        <row r="58">
          <cell r="D58">
            <v>9.0677999999999995E-2</v>
          </cell>
          <cell r="F58">
            <v>8.8200000000000778E-4</v>
          </cell>
          <cell r="G58">
            <v>-8.8200000000000778E-4</v>
          </cell>
        </row>
        <row r="59">
          <cell r="D59">
            <v>6.8867999999999999E-2</v>
          </cell>
          <cell r="F59">
            <v>6.7000000000000393E-4</v>
          </cell>
          <cell r="G59">
            <v>-6.7000000000000393E-4</v>
          </cell>
        </row>
        <row r="60">
          <cell r="D60">
            <v>6.2835000000000002E-2</v>
          </cell>
          <cell r="F60">
            <v>6.1100000000000043E-4</v>
          </cell>
          <cell r="G60">
            <v>-6.1100000000000043E-4</v>
          </cell>
        </row>
        <row r="61">
          <cell r="D61">
            <v>5.3838999999999998E-2</v>
          </cell>
          <cell r="F61">
            <v>5.2300000000000263E-4</v>
          </cell>
          <cell r="G61">
            <v>-5.2300000000000263E-4</v>
          </cell>
        </row>
        <row r="63">
          <cell r="E63">
            <v>0</v>
          </cell>
        </row>
        <row r="64">
          <cell r="D64">
            <v>8.94</v>
          </cell>
          <cell r="F64">
            <v>8.9999999999999858E-2</v>
          </cell>
          <cell r="G64">
            <v>-8.9999999999999858E-2</v>
          </cell>
        </row>
        <row r="65">
          <cell r="D65">
            <v>4.4000000000000004</v>
          </cell>
          <cell r="F65">
            <v>4.0000000000000036E-2</v>
          </cell>
          <cell r="G65">
            <v>-4.0000000000000036E-2</v>
          </cell>
        </row>
        <row r="67">
          <cell r="D67">
            <v>2.8400000000000001E-3</v>
          </cell>
          <cell r="F67">
            <v>3.0000000000000079E-5</v>
          </cell>
          <cell r="G67">
            <v>-3.0000000000000079E-5</v>
          </cell>
        </row>
        <row r="70">
          <cell r="D70">
            <v>343.66</v>
          </cell>
          <cell r="F70">
            <v>3.339999999999975</v>
          </cell>
          <cell r="G70">
            <v>-3.339999999999975</v>
          </cell>
        </row>
        <row r="72">
          <cell r="D72">
            <v>5.5014E-2</v>
          </cell>
          <cell r="F72">
            <v>5.4200000000000081E-4</v>
          </cell>
          <cell r="G72">
            <v>-5.4200000000000081E-4</v>
          </cell>
        </row>
        <row r="74">
          <cell r="D74">
            <v>11.46</v>
          </cell>
          <cell r="F74">
            <v>0.10999999999999943</v>
          </cell>
          <cell r="G74">
            <v>-0.10999999999999943</v>
          </cell>
        </row>
        <row r="75">
          <cell r="D75">
            <v>7.64</v>
          </cell>
          <cell r="F75">
            <v>7.0000000000000284E-2</v>
          </cell>
          <cell r="G75">
            <v>-7.0000000000000284E-2</v>
          </cell>
        </row>
        <row r="77">
          <cell r="D77">
            <v>1.07E-3</v>
          </cell>
          <cell r="F77">
            <v>1.0000000000000026E-5</v>
          </cell>
          <cell r="G77">
            <v>-1.0000000000000026E-5</v>
          </cell>
        </row>
        <row r="153">
          <cell r="D153">
            <v>5.0738999999999999E-2</v>
          </cell>
          <cell r="F153">
            <v>5.0000000000000044E-4</v>
          </cell>
          <cell r="G153">
            <v>-5.0000000000000044E-4</v>
          </cell>
        </row>
        <row r="155">
          <cell r="D155">
            <v>2.95</v>
          </cell>
          <cell r="F155">
            <v>2.9999999999999805E-2</v>
          </cell>
          <cell r="G155">
            <v>-2.9999999999999805E-2</v>
          </cell>
        </row>
        <row r="161">
          <cell r="D161">
            <v>5.0738999999999999E-2</v>
          </cell>
          <cell r="F161">
            <v>5.0000000000000044E-4</v>
          </cell>
          <cell r="G161">
            <v>-5.0000000000000044E-4</v>
          </cell>
        </row>
        <row r="163">
          <cell r="D163">
            <v>5.48</v>
          </cell>
          <cell r="F163">
            <v>4.9999999999999822E-2</v>
          </cell>
          <cell r="G163">
            <v>-4.9999999999999822E-2</v>
          </cell>
        </row>
      </sheetData>
      <sheetData sheetId="2"/>
      <sheetData sheetId="3"/>
      <sheetData sheetId="4">
        <row r="8">
          <cell r="J8">
            <v>16586.892521964</v>
          </cell>
        </row>
        <row r="14">
          <cell r="J14">
            <v>7144.0883875107511</v>
          </cell>
        </row>
        <row r="20">
          <cell r="J20">
            <v>1208.1934176391908</v>
          </cell>
        </row>
        <row r="22">
          <cell r="J22">
            <v>324.25200000000109</v>
          </cell>
        </row>
        <row r="24">
          <cell r="J24">
            <v>402.99958198420177</v>
          </cell>
        </row>
        <row r="26">
          <cell r="J26">
            <v>7.15</v>
          </cell>
        </row>
        <row r="28">
          <cell r="J28">
            <v>248.10706532775495</v>
          </cell>
        </row>
        <row r="32">
          <cell r="J32">
            <v>4.2202384602422631</v>
          </cell>
        </row>
      </sheetData>
      <sheetData sheetId="5"/>
      <sheetData sheetId="6">
        <row r="9">
          <cell r="N9" t="str">
            <v>Effective March 2019</v>
          </cell>
        </row>
        <row r="17">
          <cell r="H17">
            <v>1023208</v>
          </cell>
          <cell r="J17">
            <v>10657340</v>
          </cell>
          <cell r="L17">
            <v>1109032.567</v>
          </cell>
          <cell r="N17">
            <v>1125619</v>
          </cell>
        </row>
        <row r="21">
          <cell r="H21">
            <v>129785.16666666667</v>
          </cell>
          <cell r="J21">
            <v>2769974</v>
          </cell>
          <cell r="L21">
            <v>269558.01400000002</v>
          </cell>
          <cell r="N21">
            <v>272581</v>
          </cell>
        </row>
        <row r="22">
          <cell r="H22">
            <v>7557.75</v>
          </cell>
          <cell r="J22">
            <v>2962665</v>
          </cell>
          <cell r="L22">
            <v>267247.141</v>
          </cell>
          <cell r="N22">
            <v>269845</v>
          </cell>
        </row>
        <row r="23">
          <cell r="H23">
            <v>9920</v>
          </cell>
          <cell r="J23">
            <v>1872505.8629326143</v>
          </cell>
          <cell r="L23">
            <v>155148.611</v>
          </cell>
          <cell r="N23">
            <v>156656.85</v>
          </cell>
        </row>
        <row r="24">
          <cell r="H24">
            <v>649.66666666666663</v>
          </cell>
          <cell r="J24">
            <v>18243</v>
          </cell>
          <cell r="L24">
            <v>1449.5150000000001</v>
          </cell>
          <cell r="N24">
            <v>1463.5989999999999</v>
          </cell>
        </row>
        <row r="28">
          <cell r="H28">
            <v>489.66666666666669</v>
          </cell>
          <cell r="J28">
            <v>1321181.4175556169</v>
          </cell>
          <cell r="L28">
            <v>107151.91499999999</v>
          </cell>
          <cell r="N28">
            <v>108193.265</v>
          </cell>
        </row>
        <row r="29">
          <cell r="H29">
            <v>2.75</v>
          </cell>
          <cell r="J29">
            <v>3789.48</v>
          </cell>
          <cell r="L29">
            <v>226.02600000000001</v>
          </cell>
          <cell r="N29">
            <v>231.095</v>
          </cell>
        </row>
        <row r="30">
          <cell r="H30">
            <v>157.41666666666666</v>
          </cell>
          <cell r="J30">
            <v>123046.16422024449</v>
          </cell>
          <cell r="L30">
            <v>10794.427</v>
          </cell>
          <cell r="N30">
            <v>10955.918</v>
          </cell>
        </row>
        <row r="33">
          <cell r="H33">
            <v>135.25</v>
          </cell>
          <cell r="J33">
            <v>534767.4366040678</v>
          </cell>
          <cell r="L33">
            <v>39012.15</v>
          </cell>
          <cell r="N33">
            <v>39336.402000000002</v>
          </cell>
        </row>
        <row r="36">
          <cell r="H36">
            <v>5</v>
          </cell>
          <cell r="J36">
            <v>81153.842000000004</v>
          </cell>
          <cell r="L36">
            <v>5401.9690000000001</v>
          </cell>
          <cell r="N36">
            <v>5455.5240000000003</v>
          </cell>
        </row>
        <row r="37">
          <cell r="H37">
            <v>20</v>
          </cell>
          <cell r="J37">
            <v>553489.29599999997</v>
          </cell>
          <cell r="L37">
            <v>36052.419000000002</v>
          </cell>
          <cell r="N37">
            <v>36401.894</v>
          </cell>
        </row>
        <row r="40">
          <cell r="H40">
            <v>20</v>
          </cell>
          <cell r="J40">
            <v>1993600.694324</v>
          </cell>
          <cell r="L40">
            <v>8376.0509999999995</v>
          </cell>
          <cell r="N40">
            <v>8383.2009999999991</v>
          </cell>
        </row>
        <row r="42">
          <cell r="H42">
            <v>7697.083333333333</v>
          </cell>
          <cell r="J42">
            <v>70906.886296500015</v>
          </cell>
          <cell r="L42">
            <v>16588.931</v>
          </cell>
          <cell r="N42">
            <v>16837.228999999999</v>
          </cell>
        </row>
        <row r="46">
          <cell r="H46">
            <v>8</v>
          </cell>
          <cell r="J46">
            <v>7237.6555782419</v>
          </cell>
          <cell r="L46">
            <v>329.85399999999998</v>
          </cell>
          <cell r="N46">
            <v>334.07423846024227</v>
          </cell>
        </row>
      </sheetData>
      <sheetData sheetId="7"/>
      <sheetData sheetId="8">
        <row r="27">
          <cell r="D27">
            <v>8.9270000000000002E-2</v>
          </cell>
        </row>
        <row r="59">
          <cell r="D59">
            <v>8.6539000000000005E-2</v>
          </cell>
          <cell r="G59">
            <v>8.7332000000000007E-2</v>
          </cell>
        </row>
        <row r="60">
          <cell r="D60">
            <v>7.89</v>
          </cell>
          <cell r="G60">
            <v>8.16</v>
          </cell>
        </row>
        <row r="75">
          <cell r="C75">
            <v>4594004</v>
          </cell>
        </row>
        <row r="81">
          <cell r="D81">
            <v>9.8800000000000008</v>
          </cell>
          <cell r="G81">
            <v>9.9700000000000006</v>
          </cell>
        </row>
        <row r="99">
          <cell r="C99">
            <v>29782</v>
          </cell>
        </row>
        <row r="141">
          <cell r="D141">
            <v>6.6193000000000002E-2</v>
          </cell>
          <cell r="G141">
            <v>6.6836000000000007E-2</v>
          </cell>
        </row>
        <row r="142">
          <cell r="D142">
            <v>5.4206999999999998E-2</v>
          </cell>
          <cell r="G142">
            <v>5.4732000000000003E-2</v>
          </cell>
        </row>
        <row r="143">
          <cell r="D143">
            <v>5.85</v>
          </cell>
          <cell r="G143">
            <v>5.91</v>
          </cell>
        </row>
      </sheetData>
      <sheetData sheetId="9">
        <row r="25">
          <cell r="C25">
            <v>3271651</v>
          </cell>
        </row>
        <row r="31">
          <cell r="D31">
            <v>9.52</v>
          </cell>
          <cell r="G31">
            <v>9.61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5" sqref="J5"/>
    </sheetView>
  </sheetViews>
  <sheetFormatPr defaultColWidth="6.28515625" defaultRowHeight="12.75"/>
  <cols>
    <col min="1" max="1" width="4.42578125" style="1" bestFit="1" customWidth="1"/>
    <col min="2" max="2" width="15.7109375" style="1" bestFit="1" customWidth="1"/>
    <col min="3" max="3" width="16.42578125" style="1" bestFit="1" customWidth="1"/>
    <col min="4" max="4" width="15" style="1" bestFit="1" customWidth="1"/>
    <col min="5" max="5" width="11.140625" style="1" bestFit="1" customWidth="1"/>
    <col min="6" max="6" width="13.28515625" style="1" bestFit="1" customWidth="1"/>
    <col min="7" max="7" width="12.140625" style="1" customWidth="1"/>
    <col min="8" max="12" width="11.85546875" style="1" bestFit="1" customWidth="1"/>
    <col min="13" max="14" width="12.140625" style="1" bestFit="1" customWidth="1"/>
    <col min="15" max="15" width="9.5703125" style="1" bestFit="1" customWidth="1"/>
    <col min="16" max="16" width="15" style="1" bestFit="1" customWidth="1"/>
    <col min="17" max="17" width="1.7109375" style="1" customWidth="1"/>
    <col min="18" max="18" width="8.5703125" style="1" bestFit="1" customWidth="1"/>
    <col min="19" max="19" width="8.85546875" style="1" bestFit="1" customWidth="1"/>
    <col min="20" max="20" width="9.5703125" style="1" bestFit="1" customWidth="1"/>
    <col min="21" max="21" width="9.85546875" style="1" bestFit="1" customWidth="1"/>
    <col min="22" max="22" width="11.42578125" style="1" bestFit="1" customWidth="1"/>
    <col min="23" max="23" width="7.28515625" style="1" bestFit="1" customWidth="1"/>
    <col min="24" max="24" width="6.28515625" style="1"/>
    <col min="25" max="25" width="6" style="1" bestFit="1" customWidth="1"/>
    <col min="26" max="16384" width="6.28515625" style="1"/>
  </cols>
  <sheetData>
    <row r="1" spans="1:29">
      <c r="A1" s="523" t="s">
        <v>0</v>
      </c>
      <c r="B1" s="523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</row>
    <row r="2" spans="1:29">
      <c r="A2" s="524" t="s">
        <v>440</v>
      </c>
      <c r="B2" s="523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9">
      <c r="A3" s="524" t="s">
        <v>441</v>
      </c>
      <c r="B3" s="523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</row>
    <row r="4" spans="1:29">
      <c r="A4" s="523" t="s">
        <v>258</v>
      </c>
      <c r="B4" s="523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</row>
    <row r="5" spans="1:29">
      <c r="A5" s="470"/>
      <c r="B5" s="469"/>
      <c r="C5" s="469"/>
      <c r="D5" s="469"/>
      <c r="E5" s="469"/>
      <c r="F5" s="469"/>
      <c r="G5" s="469"/>
      <c r="H5" s="469"/>
      <c r="I5" s="469"/>
      <c r="J5" s="494"/>
      <c r="K5" s="469"/>
      <c r="L5" s="469"/>
      <c r="M5" s="469"/>
      <c r="N5" s="469"/>
      <c r="O5" s="469"/>
      <c r="P5" s="4"/>
      <c r="Q5" s="4"/>
      <c r="R5" s="4"/>
      <c r="S5" s="4"/>
      <c r="T5" s="4"/>
      <c r="U5" s="4"/>
      <c r="V5" s="4"/>
    </row>
    <row r="6" spans="1:29">
      <c r="A6" s="470"/>
      <c r="B6" s="469"/>
      <c r="C6" s="469"/>
      <c r="D6" s="469"/>
      <c r="E6" s="469"/>
      <c r="F6" s="469"/>
      <c r="G6" s="469"/>
      <c r="H6" s="469"/>
      <c r="I6" s="469"/>
      <c r="J6" s="494"/>
      <c r="K6" s="469"/>
      <c r="L6" s="469"/>
      <c r="M6" s="469"/>
      <c r="N6" s="469"/>
      <c r="O6" s="469"/>
      <c r="P6" s="5"/>
      <c r="Q6" s="5"/>
      <c r="R6" s="486" t="s">
        <v>1</v>
      </c>
      <c r="S6" s="525" t="s">
        <v>2</v>
      </c>
      <c r="T6" s="526"/>
      <c r="U6" s="400"/>
      <c r="V6" s="4"/>
    </row>
    <row r="7" spans="1:29" ht="63.75">
      <c r="A7" s="6" t="s">
        <v>3</v>
      </c>
      <c r="B7" s="6" t="s">
        <v>4</v>
      </c>
      <c r="C7" s="359" t="s">
        <v>442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471</v>
      </c>
      <c r="K7" s="8" t="s">
        <v>11</v>
      </c>
      <c r="L7" s="8" t="s">
        <v>12</v>
      </c>
      <c r="M7" s="8" t="s">
        <v>262</v>
      </c>
      <c r="N7" s="8" t="s">
        <v>13</v>
      </c>
      <c r="O7" s="8" t="s">
        <v>257</v>
      </c>
      <c r="P7" s="8" t="s">
        <v>477</v>
      </c>
      <c r="Q7" s="223"/>
      <c r="R7" s="487" t="str">
        <f>+L7</f>
        <v>Schedule 141
ERF</v>
      </c>
      <c r="S7" s="488" t="str">
        <f>+R7</f>
        <v>Schedule 141
ERF</v>
      </c>
      <c r="T7" s="488" t="s">
        <v>491</v>
      </c>
      <c r="U7" s="8" t="s">
        <v>496</v>
      </c>
      <c r="V7" s="8" t="s">
        <v>256</v>
      </c>
      <c r="W7" s="359" t="s">
        <v>259</v>
      </c>
    </row>
    <row r="8" spans="1:29" s="227" customFormat="1" ht="25.5">
      <c r="A8" s="224"/>
      <c r="B8" s="224"/>
      <c r="C8" s="225" t="s">
        <v>96</v>
      </c>
      <c r="D8" s="226" t="s">
        <v>97</v>
      </c>
      <c r="E8" s="226" t="s">
        <v>98</v>
      </c>
      <c r="F8" s="226" t="s">
        <v>99</v>
      </c>
      <c r="G8" s="226" t="s">
        <v>218</v>
      </c>
      <c r="H8" s="226" t="s">
        <v>219</v>
      </c>
      <c r="I8" s="226" t="s">
        <v>220</v>
      </c>
      <c r="J8" s="226" t="s">
        <v>250</v>
      </c>
      <c r="K8" s="226" t="s">
        <v>251</v>
      </c>
      <c r="L8" s="226" t="s">
        <v>252</v>
      </c>
      <c r="M8" s="226" t="s">
        <v>253</v>
      </c>
      <c r="N8" s="226" t="s">
        <v>472</v>
      </c>
      <c r="O8" s="226" t="s">
        <v>473</v>
      </c>
      <c r="P8" s="226" t="s">
        <v>474</v>
      </c>
      <c r="Q8" s="226"/>
      <c r="R8" s="226" t="s">
        <v>475</v>
      </c>
      <c r="S8" s="226" t="s">
        <v>476</v>
      </c>
      <c r="T8" s="226" t="s">
        <v>492</v>
      </c>
      <c r="U8" s="226" t="s">
        <v>493</v>
      </c>
      <c r="V8" s="226" t="s">
        <v>494</v>
      </c>
      <c r="W8" s="225" t="s">
        <v>495</v>
      </c>
    </row>
    <row r="9" spans="1:29">
      <c r="A9" s="469">
        <v>1</v>
      </c>
      <c r="B9" s="469">
        <v>7</v>
      </c>
      <c r="C9" s="401">
        <f>+'JAP-4 Proposed ERF Rev'!J17*1</f>
        <v>10657340</v>
      </c>
      <c r="D9" s="391">
        <f>+'JAP-4 Proposed ERF Rev'!L17*1</f>
        <v>1109032.567</v>
      </c>
      <c r="E9" s="391">
        <f>+'Sch 95'!F7</f>
        <v>0</v>
      </c>
      <c r="F9" s="391">
        <f>+'Sch 95a'!I7</f>
        <v>-20387</v>
      </c>
      <c r="G9" s="391">
        <f>+'Sch 120'!I7</f>
        <v>51795</v>
      </c>
      <c r="H9" s="391">
        <f>+'Sch 129'!H7</f>
        <v>9538</v>
      </c>
      <c r="I9" s="391">
        <f>+'Sch 132'!F7</f>
        <v>0</v>
      </c>
      <c r="J9" s="391">
        <f>+'Sch 137'!F7</f>
        <v>-778</v>
      </c>
      <c r="K9" s="391">
        <f>+'Sch 140'!I7</f>
        <v>37002</v>
      </c>
      <c r="L9" s="391">
        <f>+'Sch 141'!C7</f>
        <v>0</v>
      </c>
      <c r="M9" s="391">
        <f>+'Sch 142'!I7</f>
        <v>-13183</v>
      </c>
      <c r="N9" s="391">
        <f>+'Sch 194'!F7</f>
        <v>-78927</v>
      </c>
      <c r="O9" s="391">
        <f>SUM(E9:N9)</f>
        <v>-14940</v>
      </c>
      <c r="P9" s="391">
        <f>SUM(O9,D9)</f>
        <v>1094092.567</v>
      </c>
      <c r="Q9" s="82"/>
      <c r="R9" s="391">
        <f>-L9</f>
        <v>0</v>
      </c>
      <c r="S9" s="391">
        <f>+'Sch 141'!D7</f>
        <v>16586.432999999961</v>
      </c>
      <c r="T9" s="391">
        <f>-S9</f>
        <v>-16586.432999999961</v>
      </c>
      <c r="U9" s="391">
        <f>SUM(R9:T9)</f>
        <v>0</v>
      </c>
      <c r="V9" s="391">
        <f>SUM(P9,U9)</f>
        <v>1094092.567</v>
      </c>
      <c r="W9" s="474">
        <f>U9/P9</f>
        <v>0</v>
      </c>
      <c r="X9" s="10"/>
      <c r="Y9" s="506">
        <f>ROUND(U9/1000,1)</f>
        <v>0</v>
      </c>
      <c r="Z9" s="10"/>
      <c r="AA9" s="10"/>
      <c r="AC9" s="229"/>
    </row>
    <row r="10" spans="1:29">
      <c r="A10" s="469">
        <f>+A9+1</f>
        <v>2</v>
      </c>
      <c r="B10" s="469" t="s">
        <v>15</v>
      </c>
      <c r="C10" s="12">
        <f t="shared" ref="C10:P10" si="0">SUM(C9:C9)</f>
        <v>10657340</v>
      </c>
      <c r="D10" s="392">
        <f t="shared" si="0"/>
        <v>1109032.567</v>
      </c>
      <c r="E10" s="392">
        <f t="shared" si="0"/>
        <v>0</v>
      </c>
      <c r="F10" s="392">
        <f t="shared" si="0"/>
        <v>-20387</v>
      </c>
      <c r="G10" s="392">
        <f t="shared" si="0"/>
        <v>51795</v>
      </c>
      <c r="H10" s="392">
        <f t="shared" si="0"/>
        <v>9538</v>
      </c>
      <c r="I10" s="392">
        <f t="shared" si="0"/>
        <v>0</v>
      </c>
      <c r="J10" s="392">
        <f t="shared" ref="J10" si="1">SUM(J9:J9)</f>
        <v>-778</v>
      </c>
      <c r="K10" s="392">
        <f t="shared" si="0"/>
        <v>37002</v>
      </c>
      <c r="L10" s="392">
        <f t="shared" si="0"/>
        <v>0</v>
      </c>
      <c r="M10" s="392">
        <f t="shared" si="0"/>
        <v>-13183</v>
      </c>
      <c r="N10" s="392">
        <f t="shared" si="0"/>
        <v>-78927</v>
      </c>
      <c r="O10" s="392">
        <f t="shared" si="0"/>
        <v>-14940</v>
      </c>
      <c r="P10" s="392">
        <f t="shared" si="0"/>
        <v>1094092.567</v>
      </c>
      <c r="Q10" s="82"/>
      <c r="R10" s="392">
        <f t="shared" ref="R10:V10" si="2">SUM(R9:R9)</f>
        <v>0</v>
      </c>
      <c r="S10" s="392">
        <f t="shared" si="2"/>
        <v>16586.432999999961</v>
      </c>
      <c r="T10" s="392">
        <f t="shared" ref="T10" si="3">SUM(T9:T9)</f>
        <v>-16586.432999999961</v>
      </c>
      <c r="U10" s="392">
        <f t="shared" ref="U10" si="4">SUM(U9:U9)</f>
        <v>0</v>
      </c>
      <c r="V10" s="392">
        <f t="shared" si="2"/>
        <v>1094092.567</v>
      </c>
      <c r="W10" s="475">
        <f>U10/P10</f>
        <v>0</v>
      </c>
      <c r="X10" s="10"/>
      <c r="Y10" s="507">
        <f t="shared" ref="Y10" si="5">SUM(Y9:Y9)</f>
        <v>0</v>
      </c>
      <c r="Z10" s="10"/>
      <c r="AA10" s="10"/>
      <c r="AC10" s="229"/>
    </row>
    <row r="11" spans="1:29">
      <c r="A11" s="469">
        <f t="shared" ref="A11:A37" si="6">+A10+1</f>
        <v>3</v>
      </c>
      <c r="B11" s="469"/>
      <c r="C11" s="40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82"/>
      <c r="R11" s="391"/>
      <c r="S11" s="391"/>
      <c r="T11" s="391"/>
      <c r="U11" s="391"/>
      <c r="V11" s="391"/>
      <c r="W11" s="474"/>
      <c r="Y11" s="506"/>
      <c r="AC11" s="229"/>
    </row>
    <row r="12" spans="1:29">
      <c r="A12" s="469">
        <f t="shared" si="6"/>
        <v>4</v>
      </c>
      <c r="B12" s="470" t="s">
        <v>85</v>
      </c>
      <c r="C12" s="401">
        <f>+'JAP-4 Proposed ERF Rev'!J21*1</f>
        <v>2769974</v>
      </c>
      <c r="D12" s="391">
        <f>+'JAP-4 Proposed ERF Rev'!L21*1</f>
        <v>269558.01400000002</v>
      </c>
      <c r="E12" s="391">
        <f>+'Sch 95'!F12</f>
        <v>0</v>
      </c>
      <c r="F12" s="391">
        <f>+'Sch 95a'!I12</f>
        <v>-4546</v>
      </c>
      <c r="G12" s="391">
        <f>+'Sch 120'!I12</f>
        <v>11656</v>
      </c>
      <c r="H12" s="391">
        <f>+'Sch 129'!H12</f>
        <v>2374</v>
      </c>
      <c r="I12" s="391">
        <f>+'Sch 132'!F12</f>
        <v>0</v>
      </c>
      <c r="J12" s="391">
        <f>+'Sch 137'!F12</f>
        <v>-175</v>
      </c>
      <c r="K12" s="391">
        <f>+'Sch 140'!I12</f>
        <v>7282</v>
      </c>
      <c r="L12" s="391">
        <f>+'Sch 141'!C11</f>
        <v>0</v>
      </c>
      <c r="M12" s="391">
        <f>+'Sch 142'!I12</f>
        <v>3465</v>
      </c>
      <c r="N12" s="391">
        <f>+'Sch 194'!F12</f>
        <v>-1894</v>
      </c>
      <c r="O12" s="391">
        <f>SUM(E12:N12)</f>
        <v>18162</v>
      </c>
      <c r="P12" s="391">
        <f>SUM(O12,D12)</f>
        <v>287720.01400000002</v>
      </c>
      <c r="Q12" s="82"/>
      <c r="R12" s="391">
        <f>-L12</f>
        <v>0</v>
      </c>
      <c r="S12" s="391">
        <f>+'Sch 141'!D11</f>
        <v>3022.9859999999753</v>
      </c>
      <c r="T12" s="391">
        <f t="shared" ref="T12:T15" si="7">-S12</f>
        <v>-3022.9859999999753</v>
      </c>
      <c r="U12" s="391">
        <f>SUM(R12:T12)</f>
        <v>0</v>
      </c>
      <c r="V12" s="391">
        <f t="shared" ref="V12:V15" si="8">SUM(P12,U12)</f>
        <v>287720.01400000002</v>
      </c>
      <c r="W12" s="474">
        <f t="shared" ref="W12:W16" si="9">U12/P12</f>
        <v>0</v>
      </c>
      <c r="X12" s="10"/>
      <c r="Y12" s="506">
        <f t="shared" ref="Y12:Y15" si="10">ROUND(U12/1000,1)</f>
        <v>0</v>
      </c>
      <c r="Z12" s="10"/>
      <c r="AA12" s="10"/>
      <c r="AC12" s="229"/>
    </row>
    <row r="13" spans="1:29">
      <c r="A13" s="469">
        <f t="shared" si="6"/>
        <v>5</v>
      </c>
      <c r="B13" s="470" t="s">
        <v>242</v>
      </c>
      <c r="C13" s="401">
        <f>+'JAP-4 Proposed ERF Rev'!J22*1</f>
        <v>2962665</v>
      </c>
      <c r="D13" s="391">
        <f>+'JAP-4 Proposed ERF Rev'!L22*1</f>
        <v>267247.141</v>
      </c>
      <c r="E13" s="391">
        <f>+'Sch 95'!F14</f>
        <v>0</v>
      </c>
      <c r="F13" s="391">
        <f>+'Sch 95a'!I14</f>
        <v>-4645</v>
      </c>
      <c r="G13" s="391">
        <f>+'Sch 120'!I14</f>
        <v>12612</v>
      </c>
      <c r="H13" s="391">
        <f>+'Sch 129'!H14</f>
        <v>2358</v>
      </c>
      <c r="I13" s="391">
        <f>+'Sch 132'!F14</f>
        <v>0</v>
      </c>
      <c r="J13" s="391">
        <f>+'Sch 137'!F14</f>
        <v>-178</v>
      </c>
      <c r="K13" s="391">
        <f>+'Sch 140'!I14</f>
        <v>7309</v>
      </c>
      <c r="L13" s="391">
        <f>SUM('Sch 141'!C8,'Sch 141'!C12)</f>
        <v>0</v>
      </c>
      <c r="M13" s="391">
        <f>+'Sch 142'!I14</f>
        <v>4171</v>
      </c>
      <c r="N13" s="391">
        <f>+'Sch 194'!F14</f>
        <v>-1109</v>
      </c>
      <c r="O13" s="391">
        <f>SUM(E13:N13)</f>
        <v>20518</v>
      </c>
      <c r="P13" s="391">
        <f>SUM(O13,D13)</f>
        <v>287765.141</v>
      </c>
      <c r="Q13" s="82"/>
      <c r="R13" s="391">
        <f>-L13</f>
        <v>0</v>
      </c>
      <c r="S13" s="391">
        <f>SUM('Sch 141'!D8,'Sch 141'!D12)</f>
        <v>2597.8589999999967</v>
      </c>
      <c r="T13" s="391">
        <f t="shared" si="7"/>
        <v>-2597.8589999999967</v>
      </c>
      <c r="U13" s="391">
        <f>SUM(R13:T13)</f>
        <v>0</v>
      </c>
      <c r="V13" s="391">
        <f t="shared" si="8"/>
        <v>287765.141</v>
      </c>
      <c r="W13" s="474">
        <f t="shared" si="9"/>
        <v>0</v>
      </c>
      <c r="X13" s="10"/>
      <c r="Y13" s="506">
        <f t="shared" si="10"/>
        <v>0</v>
      </c>
      <c r="Z13" s="10"/>
      <c r="AA13" s="10"/>
      <c r="AC13" s="229"/>
    </row>
    <row r="14" spans="1:29">
      <c r="A14" s="469">
        <f t="shared" si="6"/>
        <v>6</v>
      </c>
      <c r="B14" s="470" t="s">
        <v>86</v>
      </c>
      <c r="C14" s="401">
        <f>ROUND(+'JAP-4 Proposed ERF Rev'!J23*1,0)</f>
        <v>1872506</v>
      </c>
      <c r="D14" s="391">
        <f>ROUND(+'JAP-4 Proposed ERF Rev'!L23*1,0)</f>
        <v>155149</v>
      </c>
      <c r="E14" s="391">
        <f>+'Sch 95'!F16</f>
        <v>0</v>
      </c>
      <c r="F14" s="391">
        <f>+'Sch 95a'!I16</f>
        <v>-3202</v>
      </c>
      <c r="G14" s="391">
        <f>+'Sch 120'!I16</f>
        <v>8099</v>
      </c>
      <c r="H14" s="391">
        <f>+'Sch 129'!H16</f>
        <v>1343</v>
      </c>
      <c r="I14" s="391">
        <f>+'Sch 132'!F16</f>
        <v>0</v>
      </c>
      <c r="J14" s="391">
        <f>+'Sch 137'!F16</f>
        <v>-122</v>
      </c>
      <c r="K14" s="391">
        <f>+'Sch 140'!I16</f>
        <v>4241</v>
      </c>
      <c r="L14" s="391">
        <f>+'Sch 141'!C13</f>
        <v>0</v>
      </c>
      <c r="M14" s="391">
        <f>+'Sch 142'!I16</f>
        <v>-118</v>
      </c>
      <c r="N14" s="391">
        <f>+'Sch 194'!F16</f>
        <v>-125</v>
      </c>
      <c r="O14" s="391">
        <f>SUM(E14:N14)</f>
        <v>10116</v>
      </c>
      <c r="P14" s="391">
        <f>SUM(O14,D14)</f>
        <v>165265</v>
      </c>
      <c r="Q14" s="82"/>
      <c r="R14" s="391">
        <f>-L14</f>
        <v>0</v>
      </c>
      <c r="S14" s="391">
        <f>+'Sch 141'!D13</f>
        <v>1508.2390000000014</v>
      </c>
      <c r="T14" s="391">
        <f t="shared" si="7"/>
        <v>-1508.2390000000014</v>
      </c>
      <c r="U14" s="391">
        <f>SUM(R14:T14)</f>
        <v>0</v>
      </c>
      <c r="V14" s="391">
        <f t="shared" si="8"/>
        <v>165265</v>
      </c>
      <c r="W14" s="474">
        <f t="shared" si="9"/>
        <v>0</v>
      </c>
      <c r="X14" s="10"/>
      <c r="Y14" s="506">
        <f t="shared" si="10"/>
        <v>0</v>
      </c>
      <c r="Z14" s="10"/>
      <c r="AA14" s="10"/>
      <c r="AC14" s="229"/>
    </row>
    <row r="15" spans="1:29">
      <c r="A15" s="469">
        <f t="shared" si="6"/>
        <v>7</v>
      </c>
      <c r="B15" s="469">
        <v>29</v>
      </c>
      <c r="C15" s="401">
        <f>+'JAP-4 Proposed ERF Rev'!J24*1</f>
        <v>18243</v>
      </c>
      <c r="D15" s="391">
        <f>+'JAP-4 Proposed ERF Rev'!L24*1</f>
        <v>1449.5150000000001</v>
      </c>
      <c r="E15" s="391">
        <f>+'Sch 95'!F17</f>
        <v>0</v>
      </c>
      <c r="F15" s="391">
        <f>+'Sch 95a'!I17</f>
        <v>-23</v>
      </c>
      <c r="G15" s="391">
        <f>+'Sch 120'!I17</f>
        <v>58</v>
      </c>
      <c r="H15" s="391">
        <f>+'Sch 129'!H17</f>
        <v>13</v>
      </c>
      <c r="I15" s="391">
        <f>+'Sch 132'!F17</f>
        <v>0</v>
      </c>
      <c r="J15" s="391">
        <f>+'Sch 137'!F17</f>
        <v>-1</v>
      </c>
      <c r="K15" s="391">
        <f>+'Sch 140'!I17</f>
        <v>45</v>
      </c>
      <c r="L15" s="391">
        <f>+'Sch 141'!C15</f>
        <v>0</v>
      </c>
      <c r="M15" s="391">
        <f>+'Sch 142'!I17</f>
        <v>26</v>
      </c>
      <c r="N15" s="391">
        <f>+'Sch 194'!F17</f>
        <v>-138</v>
      </c>
      <c r="O15" s="391">
        <f>SUM(E15:N15)</f>
        <v>-20</v>
      </c>
      <c r="P15" s="391">
        <f>SUM(O15,D15)</f>
        <v>1429.5150000000001</v>
      </c>
      <c r="Q15" s="82"/>
      <c r="R15" s="391">
        <f>-L15</f>
        <v>0</v>
      </c>
      <c r="S15" s="391">
        <f>+'Sch 141'!D15</f>
        <v>14.083999999999833</v>
      </c>
      <c r="T15" s="391">
        <f t="shared" si="7"/>
        <v>-14.083999999999833</v>
      </c>
      <c r="U15" s="391">
        <f>SUM(R15:T15)</f>
        <v>0</v>
      </c>
      <c r="V15" s="391">
        <f t="shared" si="8"/>
        <v>1429.5150000000001</v>
      </c>
      <c r="W15" s="474">
        <f t="shared" si="9"/>
        <v>0</v>
      </c>
      <c r="X15" s="10"/>
      <c r="Y15" s="506">
        <f t="shared" si="10"/>
        <v>0</v>
      </c>
      <c r="Z15" s="10"/>
      <c r="AA15" s="10"/>
      <c r="AC15" s="229"/>
    </row>
    <row r="16" spans="1:29">
      <c r="A16" s="469">
        <f t="shared" si="6"/>
        <v>8</v>
      </c>
      <c r="B16" s="470" t="s">
        <v>254</v>
      </c>
      <c r="C16" s="12">
        <f t="shared" ref="C16:P16" si="11">SUM(C12:C15)</f>
        <v>7623388</v>
      </c>
      <c r="D16" s="392">
        <f t="shared" si="11"/>
        <v>693403.67</v>
      </c>
      <c r="E16" s="392">
        <f t="shared" si="11"/>
        <v>0</v>
      </c>
      <c r="F16" s="392">
        <f t="shared" si="11"/>
        <v>-12416</v>
      </c>
      <c r="G16" s="392">
        <f t="shared" si="11"/>
        <v>32425</v>
      </c>
      <c r="H16" s="392">
        <f t="shared" si="11"/>
        <v>6088</v>
      </c>
      <c r="I16" s="392">
        <f t="shared" si="11"/>
        <v>0</v>
      </c>
      <c r="J16" s="392">
        <f t="shared" ref="J16" si="12">SUM(J12:J15)</f>
        <v>-476</v>
      </c>
      <c r="K16" s="392">
        <f t="shared" si="11"/>
        <v>18877</v>
      </c>
      <c r="L16" s="392">
        <f t="shared" si="11"/>
        <v>0</v>
      </c>
      <c r="M16" s="392">
        <f t="shared" si="11"/>
        <v>7544</v>
      </c>
      <c r="N16" s="392">
        <f t="shared" si="11"/>
        <v>-3266</v>
      </c>
      <c r="O16" s="392">
        <f t="shared" si="11"/>
        <v>48776</v>
      </c>
      <c r="P16" s="392">
        <f t="shared" si="11"/>
        <v>742179.67</v>
      </c>
      <c r="Q16" s="82"/>
      <c r="R16" s="392">
        <f t="shared" ref="R16:V16" si="13">SUM(R12:R15)</f>
        <v>0</v>
      </c>
      <c r="S16" s="392">
        <f t="shared" ref="S16:T16" si="14">SUM(S12:S15)</f>
        <v>7143.1679999999733</v>
      </c>
      <c r="T16" s="392">
        <f t="shared" si="14"/>
        <v>-7143.1679999999733</v>
      </c>
      <c r="U16" s="392">
        <f t="shared" ref="U16" si="15">SUM(U12:U15)</f>
        <v>0</v>
      </c>
      <c r="V16" s="392">
        <f t="shared" si="13"/>
        <v>742179.67</v>
      </c>
      <c r="W16" s="475">
        <f t="shared" si="9"/>
        <v>0</v>
      </c>
      <c r="X16" s="10"/>
      <c r="Y16" s="507">
        <f t="shared" ref="Y16" si="16">SUM(Y12:Y15)</f>
        <v>0</v>
      </c>
      <c r="Z16" s="10"/>
      <c r="AA16" s="10"/>
      <c r="AC16" s="229"/>
    </row>
    <row r="17" spans="1:29">
      <c r="A17" s="469">
        <f t="shared" si="6"/>
        <v>9</v>
      </c>
      <c r="B17" s="469"/>
      <c r="C17" s="40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82"/>
      <c r="R17" s="391"/>
      <c r="S17" s="391"/>
      <c r="T17" s="391"/>
      <c r="U17" s="391"/>
      <c r="V17" s="391"/>
      <c r="W17" s="474"/>
      <c r="Y17" s="506"/>
      <c r="Z17" s="10"/>
      <c r="AC17" s="229"/>
    </row>
    <row r="18" spans="1:29">
      <c r="A18" s="469">
        <f t="shared" si="6"/>
        <v>10</v>
      </c>
      <c r="B18" s="469" t="s">
        <v>87</v>
      </c>
      <c r="C18" s="401">
        <f>ROUND(+'JAP-4 Proposed ERF Rev'!J28*1,0)</f>
        <v>1321181</v>
      </c>
      <c r="D18" s="391">
        <f>ROUND(+'JAP-4 Proposed ERF Rev'!L28*1,0)</f>
        <v>107152</v>
      </c>
      <c r="E18" s="391">
        <f>+'Sch 95'!F21</f>
        <v>0</v>
      </c>
      <c r="F18" s="391">
        <f>+'Sch 95a'!I21</f>
        <v>-2039</v>
      </c>
      <c r="G18" s="391">
        <f>+'Sch 120'!I21</f>
        <v>5486</v>
      </c>
      <c r="H18" s="391">
        <f>+'Sch 129'!H21</f>
        <v>930</v>
      </c>
      <c r="I18" s="391">
        <f>+'Sch 132'!F21</f>
        <v>0</v>
      </c>
      <c r="J18" s="391">
        <f>+'Sch 137'!F21</f>
        <v>-78</v>
      </c>
      <c r="K18" s="391">
        <f>+'Sch 140'!I21</f>
        <v>2978</v>
      </c>
      <c r="L18" s="391">
        <f>+'Sch 141'!C18</f>
        <v>0</v>
      </c>
      <c r="M18" s="391">
        <f>+'Sch 142'!I21</f>
        <v>-336</v>
      </c>
      <c r="N18" s="391">
        <f>+'Sch 194'!F21</f>
        <v>-239</v>
      </c>
      <c r="O18" s="391">
        <f>SUM(E18:N18)</f>
        <v>6702</v>
      </c>
      <c r="P18" s="391">
        <f>SUM(O18,D18)</f>
        <v>113854</v>
      </c>
      <c r="Q18" s="82"/>
      <c r="R18" s="391">
        <f>-L18</f>
        <v>0</v>
      </c>
      <c r="S18" s="391">
        <f>+'Sch 141'!D18</f>
        <v>1041.3500000000058</v>
      </c>
      <c r="T18" s="391">
        <f t="shared" ref="T18:T20" si="17">-S18</f>
        <v>-1041.3500000000058</v>
      </c>
      <c r="U18" s="391">
        <f>SUM(R18:T18)</f>
        <v>0</v>
      </c>
      <c r="V18" s="391">
        <f t="shared" ref="V18:V20" si="18">SUM(P18,U18)</f>
        <v>113854</v>
      </c>
      <c r="W18" s="474">
        <f t="shared" ref="W18:W21" si="19">U18/P18</f>
        <v>0</v>
      </c>
      <c r="X18" s="10"/>
      <c r="Y18" s="506">
        <f t="shared" ref="Y18:Y20" si="20">ROUND(U18/1000,1)</f>
        <v>0</v>
      </c>
      <c r="Z18" s="10"/>
      <c r="AA18" s="10"/>
      <c r="AC18" s="229"/>
    </row>
    <row r="19" spans="1:29">
      <c r="A19" s="469">
        <f t="shared" si="6"/>
        <v>11</v>
      </c>
      <c r="B19" s="469">
        <v>35</v>
      </c>
      <c r="C19" s="401">
        <f>ROUND(+'JAP-4 Proposed ERF Rev'!J29*1,0)</f>
        <v>3789</v>
      </c>
      <c r="D19" s="391">
        <f>ROUND(+'JAP-4 Proposed ERF Rev'!L29*1,0)</f>
        <v>226</v>
      </c>
      <c r="E19" s="391">
        <f>+'Sch 95'!F22</f>
        <v>0</v>
      </c>
      <c r="F19" s="391">
        <f>+'Sch 95a'!I22</f>
        <v>-4</v>
      </c>
      <c r="G19" s="391">
        <f>+'Sch 120'!I22</f>
        <v>11</v>
      </c>
      <c r="H19" s="391">
        <f>+'Sch 129'!H22</f>
        <v>2</v>
      </c>
      <c r="I19" s="391">
        <f>+'Sch 132'!F22</f>
        <v>0</v>
      </c>
      <c r="J19" s="391">
        <f>+'Sch 137'!F22</f>
        <v>0</v>
      </c>
      <c r="K19" s="391">
        <f>+'Sch 140'!I22</f>
        <v>9</v>
      </c>
      <c r="L19" s="391">
        <f>+'Sch 141'!C19</f>
        <v>0</v>
      </c>
      <c r="M19" s="391">
        <f>+'Sch 142'!I22</f>
        <v>5</v>
      </c>
      <c r="N19" s="391">
        <f>+'Sch 194'!F22</f>
        <v>-28</v>
      </c>
      <c r="O19" s="391">
        <f>SUM(E19:N19)</f>
        <v>-5</v>
      </c>
      <c r="P19" s="391">
        <f>SUM(O19,D19)</f>
        <v>221</v>
      </c>
      <c r="Q19" s="82"/>
      <c r="R19" s="391">
        <f>-L19</f>
        <v>0</v>
      </c>
      <c r="S19" s="391">
        <f>+'Sch 141'!D19</f>
        <v>5.0689999999999884</v>
      </c>
      <c r="T19" s="391">
        <f t="shared" si="17"/>
        <v>-5.0689999999999884</v>
      </c>
      <c r="U19" s="391">
        <f>SUM(R19:T19)</f>
        <v>0</v>
      </c>
      <c r="V19" s="391">
        <f t="shared" si="18"/>
        <v>221</v>
      </c>
      <c r="W19" s="474">
        <f t="shared" si="19"/>
        <v>0</v>
      </c>
      <c r="X19" s="10"/>
      <c r="Y19" s="506">
        <f t="shared" si="20"/>
        <v>0</v>
      </c>
      <c r="Z19" s="10"/>
      <c r="AA19" s="10"/>
      <c r="AC19" s="229"/>
    </row>
    <row r="20" spans="1:29">
      <c r="A20" s="469">
        <f t="shared" si="6"/>
        <v>12</v>
      </c>
      <c r="B20" s="469">
        <v>43</v>
      </c>
      <c r="C20" s="401">
        <f>ROUND(+'JAP-4 Proposed ERF Rev'!J30*1,0)</f>
        <v>123046</v>
      </c>
      <c r="D20" s="391">
        <f>ROUND(+'JAP-4 Proposed ERF Rev'!L30*1,0)</f>
        <v>10794</v>
      </c>
      <c r="E20" s="391">
        <f>+'Sch 95'!F23</f>
        <v>0</v>
      </c>
      <c r="F20" s="391">
        <f>+'Sch 95a'!I23</f>
        <v>-159</v>
      </c>
      <c r="G20" s="391">
        <f>+'Sch 120'!I23</f>
        <v>406</v>
      </c>
      <c r="H20" s="391">
        <f>+'Sch 129'!H23</f>
        <v>96</v>
      </c>
      <c r="I20" s="391">
        <f>+'Sch 132'!F23</f>
        <v>0</v>
      </c>
      <c r="J20" s="391">
        <f>+'Sch 137'!F23</f>
        <v>-6</v>
      </c>
      <c r="K20" s="391">
        <f>+'Sch 140'!I23</f>
        <v>406</v>
      </c>
      <c r="L20" s="391">
        <f>+'Sch 141'!C20</f>
        <v>0</v>
      </c>
      <c r="M20" s="391">
        <f>+'Sch 142'!I23</f>
        <v>173</v>
      </c>
      <c r="N20" s="391">
        <f>+'Sch 194'!F23</f>
        <v>0</v>
      </c>
      <c r="O20" s="391">
        <f>SUM(E20:N20)</f>
        <v>916</v>
      </c>
      <c r="P20" s="391">
        <f>SUM(O20,D20)</f>
        <v>11710</v>
      </c>
      <c r="Q20" s="82"/>
      <c r="R20" s="391">
        <f>-L20</f>
        <v>0</v>
      </c>
      <c r="S20" s="391">
        <f>+'Sch 141'!D20</f>
        <v>161.49099999999999</v>
      </c>
      <c r="T20" s="391">
        <f t="shared" si="17"/>
        <v>-161.49099999999999</v>
      </c>
      <c r="U20" s="391">
        <f>SUM(R20:T20)</f>
        <v>0</v>
      </c>
      <c r="V20" s="391">
        <f t="shared" si="18"/>
        <v>11710</v>
      </c>
      <c r="W20" s="474">
        <f t="shared" si="19"/>
        <v>0</v>
      </c>
      <c r="X20" s="10"/>
      <c r="Y20" s="506">
        <f t="shared" si="20"/>
        <v>0</v>
      </c>
      <c r="Z20" s="10"/>
      <c r="AA20" s="10"/>
      <c r="AC20" s="229"/>
    </row>
    <row r="21" spans="1:29">
      <c r="A21" s="469">
        <f t="shared" si="6"/>
        <v>13</v>
      </c>
      <c r="B21" s="470" t="s">
        <v>255</v>
      </c>
      <c r="C21" s="12">
        <f t="shared" ref="C21:P21" si="21">SUM(C18:C20)</f>
        <v>1448016</v>
      </c>
      <c r="D21" s="392">
        <f t="shared" si="21"/>
        <v>118172</v>
      </c>
      <c r="E21" s="392">
        <f t="shared" si="21"/>
        <v>0</v>
      </c>
      <c r="F21" s="392">
        <f t="shared" si="21"/>
        <v>-2202</v>
      </c>
      <c r="G21" s="392">
        <f t="shared" si="21"/>
        <v>5903</v>
      </c>
      <c r="H21" s="392">
        <f t="shared" si="21"/>
        <v>1028</v>
      </c>
      <c r="I21" s="392">
        <f t="shared" si="21"/>
        <v>0</v>
      </c>
      <c r="J21" s="392">
        <f t="shared" ref="J21" si="22">SUM(J18:J20)</f>
        <v>-84</v>
      </c>
      <c r="K21" s="392">
        <f t="shared" si="21"/>
        <v>3393</v>
      </c>
      <c r="L21" s="392">
        <f t="shared" si="21"/>
        <v>0</v>
      </c>
      <c r="M21" s="392">
        <f t="shared" si="21"/>
        <v>-158</v>
      </c>
      <c r="N21" s="392">
        <f t="shared" si="21"/>
        <v>-267</v>
      </c>
      <c r="O21" s="392">
        <f t="shared" si="21"/>
        <v>7613</v>
      </c>
      <c r="P21" s="392">
        <f t="shared" si="21"/>
        <v>125785</v>
      </c>
      <c r="Q21" s="82"/>
      <c r="R21" s="392">
        <f t="shared" ref="R21:V21" si="23">SUM(R18:R20)</f>
        <v>0</v>
      </c>
      <c r="S21" s="392">
        <f t="shared" ref="S21:T21" si="24">SUM(S18:S20)</f>
        <v>1207.9100000000058</v>
      </c>
      <c r="T21" s="392">
        <f t="shared" si="24"/>
        <v>-1207.9100000000058</v>
      </c>
      <c r="U21" s="392">
        <f t="shared" ref="U21" si="25">SUM(U18:U20)</f>
        <v>0</v>
      </c>
      <c r="V21" s="392">
        <f t="shared" si="23"/>
        <v>125785</v>
      </c>
      <c r="W21" s="475">
        <f t="shared" si="19"/>
        <v>0</v>
      </c>
      <c r="X21" s="10"/>
      <c r="Y21" s="507">
        <f t="shared" ref="Y21" si="26">SUM(Y18:Y20)</f>
        <v>0</v>
      </c>
      <c r="Z21" s="10"/>
      <c r="AA21" s="10"/>
      <c r="AC21" s="229"/>
    </row>
    <row r="22" spans="1:29">
      <c r="A22" s="469">
        <f t="shared" si="6"/>
        <v>14</v>
      </c>
      <c r="B22" s="469"/>
      <c r="C22" s="40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82"/>
      <c r="R22" s="391"/>
      <c r="S22" s="391"/>
      <c r="T22" s="391"/>
      <c r="U22" s="391"/>
      <c r="V22" s="391"/>
      <c r="W22" s="474"/>
      <c r="Y22" s="506"/>
      <c r="AC22" s="229"/>
    </row>
    <row r="23" spans="1:29">
      <c r="A23" s="469">
        <f t="shared" si="6"/>
        <v>15</v>
      </c>
      <c r="B23" s="469">
        <v>40</v>
      </c>
      <c r="C23" s="12">
        <f>ROUND(+'JAP-4 Proposed ERF Rev'!J33*1,0)</f>
        <v>534767</v>
      </c>
      <c r="D23" s="392">
        <f>ROUND(+'JAP-4 Proposed ERF Rev'!L33*1,0)</f>
        <v>39012</v>
      </c>
      <c r="E23" s="392">
        <f>+'Sch 95'!F26</f>
        <v>0</v>
      </c>
      <c r="F23" s="392">
        <f>+'Sch 95a'!I26</f>
        <v>-939</v>
      </c>
      <c r="G23" s="392">
        <f>+'Sch 120'!I26</f>
        <v>2027</v>
      </c>
      <c r="H23" s="392">
        <f>+'Sch 129'!H26</f>
        <v>347</v>
      </c>
      <c r="I23" s="392">
        <f>+'Sch 132'!F26</f>
        <v>0</v>
      </c>
      <c r="J23" s="392">
        <f>+'Sch 137'!F26</f>
        <v>-36</v>
      </c>
      <c r="K23" s="392">
        <f>+'Sch 140'!I26</f>
        <v>1125</v>
      </c>
      <c r="L23" s="392">
        <f>+'Sch 141'!C23</f>
        <v>0</v>
      </c>
      <c r="M23" s="392">
        <f>+'Sch 142'!I26</f>
        <v>962</v>
      </c>
      <c r="N23" s="392">
        <f>+'Sch 194'!F26</f>
        <v>0</v>
      </c>
      <c r="O23" s="392">
        <f>SUM(E23:N23)</f>
        <v>3486</v>
      </c>
      <c r="P23" s="392">
        <f>SUM(O23,D23)</f>
        <v>42498</v>
      </c>
      <c r="Q23" s="82"/>
      <c r="R23" s="392">
        <f>-L23</f>
        <v>0</v>
      </c>
      <c r="S23" s="392">
        <f>+'Sch 141'!D23</f>
        <v>324.25200000000041</v>
      </c>
      <c r="T23" s="391">
        <f>-S23</f>
        <v>-324.25200000000041</v>
      </c>
      <c r="U23" s="392">
        <f>SUM(R23:T23)</f>
        <v>0</v>
      </c>
      <c r="V23" s="392">
        <f>SUM(P23,U23)</f>
        <v>42498</v>
      </c>
      <c r="W23" s="475">
        <f>U23/P23</f>
        <v>0</v>
      </c>
      <c r="X23" s="10"/>
      <c r="Y23" s="507">
        <f>ROUND(U23/1000,1)</f>
        <v>0</v>
      </c>
      <c r="Z23" s="10"/>
      <c r="AA23" s="10"/>
      <c r="AC23" s="229"/>
    </row>
    <row r="24" spans="1:29">
      <c r="A24" s="469">
        <f t="shared" si="6"/>
        <v>16</v>
      </c>
      <c r="B24" s="469"/>
      <c r="C24" s="40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82"/>
      <c r="R24" s="391"/>
      <c r="S24" s="391"/>
      <c r="T24" s="391"/>
      <c r="U24" s="391"/>
      <c r="V24" s="391"/>
      <c r="W24" s="474"/>
      <c r="Y24" s="506"/>
      <c r="AC24" s="229"/>
    </row>
    <row r="25" spans="1:29">
      <c r="A25" s="469">
        <f t="shared" si="6"/>
        <v>17</v>
      </c>
      <c r="B25" s="469">
        <v>46</v>
      </c>
      <c r="C25" s="401">
        <f>ROUND(+'JAP-4 Proposed ERF Rev'!J36*1,0)</f>
        <v>81154</v>
      </c>
      <c r="D25" s="391">
        <f>ROUND(+'JAP-4 Proposed ERF Rev'!L36*1,0)</f>
        <v>5402</v>
      </c>
      <c r="E25" s="391">
        <f>+'Sch 95'!F28</f>
        <v>0</v>
      </c>
      <c r="F25" s="391">
        <f>+'Sch 95a'!I28</f>
        <v>-81</v>
      </c>
      <c r="G25" s="391">
        <f>+'Sch 120'!I28</f>
        <v>212</v>
      </c>
      <c r="H25" s="391">
        <f>+'Sch 129'!H28</f>
        <v>48</v>
      </c>
      <c r="I25" s="391">
        <f>+'Sch 132'!F28</f>
        <v>0</v>
      </c>
      <c r="J25" s="391">
        <f>+'Sch 137'!F28</f>
        <v>-3</v>
      </c>
      <c r="K25" s="391">
        <f>+'Sch 140'!I28</f>
        <v>134</v>
      </c>
      <c r="L25" s="391">
        <f>+'Sch 141'!C25</f>
        <v>0</v>
      </c>
      <c r="M25" s="391">
        <f>+'Sch 142'!I28</f>
        <v>107</v>
      </c>
      <c r="N25" s="391">
        <f>+'Sch 194'!F28</f>
        <v>0</v>
      </c>
      <c r="O25" s="391">
        <f>SUM(E25:N25)</f>
        <v>417</v>
      </c>
      <c r="P25" s="391">
        <f>SUM(O25,D25)</f>
        <v>5819</v>
      </c>
      <c r="Q25" s="82"/>
      <c r="R25" s="391">
        <f>-L25</f>
        <v>0</v>
      </c>
      <c r="S25" s="391">
        <f>+'Sch 141'!D25</f>
        <v>53.555000000000291</v>
      </c>
      <c r="T25" s="391">
        <f t="shared" ref="T25:T26" si="27">-S25</f>
        <v>-53.555000000000291</v>
      </c>
      <c r="U25" s="391">
        <f>SUM(R25:T25)</f>
        <v>0</v>
      </c>
      <c r="V25" s="391">
        <f t="shared" ref="V25:V26" si="28">SUM(P25,U25)</f>
        <v>5819</v>
      </c>
      <c r="W25" s="474">
        <f t="shared" ref="W25:W27" si="29">U25/P25</f>
        <v>0</v>
      </c>
      <c r="X25" s="10"/>
      <c r="Y25" s="506">
        <f t="shared" ref="Y25:Y26" si="30">ROUND(U25/1000,1)</f>
        <v>0</v>
      </c>
      <c r="Z25" s="10"/>
      <c r="AA25" s="10"/>
      <c r="AC25" s="229"/>
    </row>
    <row r="26" spans="1:29">
      <c r="A26" s="469">
        <f t="shared" si="6"/>
        <v>18</v>
      </c>
      <c r="B26" s="469">
        <v>49</v>
      </c>
      <c r="C26" s="401">
        <f>ROUND(+'JAP-4 Proposed ERF Rev'!J37*1,0)</f>
        <v>553489</v>
      </c>
      <c r="D26" s="391">
        <f>ROUND(+'JAP-4 Proposed ERF Rev'!L37*1,0)</f>
        <v>36052</v>
      </c>
      <c r="E26" s="391">
        <f>+'Sch 95'!F29</f>
        <v>0</v>
      </c>
      <c r="F26" s="391">
        <f>+'Sch 95a'!I29</f>
        <v>-837</v>
      </c>
      <c r="G26" s="391">
        <f>+'Sch 120'!I29</f>
        <v>2161</v>
      </c>
      <c r="H26" s="391">
        <f>+'Sch 129'!H29</f>
        <v>317</v>
      </c>
      <c r="I26" s="391">
        <f>+'Sch 132'!F29</f>
        <v>0</v>
      </c>
      <c r="J26" s="391">
        <f>+'Sch 137'!F29</f>
        <v>-32</v>
      </c>
      <c r="K26" s="391">
        <f>+'Sch 140'!I29</f>
        <v>914</v>
      </c>
      <c r="L26" s="391">
        <f>+'Sch 141'!C26</f>
        <v>0</v>
      </c>
      <c r="M26" s="391">
        <f>+'Sch 142'!I29</f>
        <v>732</v>
      </c>
      <c r="N26" s="391">
        <f>+'Sch 194'!F29</f>
        <v>0</v>
      </c>
      <c r="O26" s="391">
        <f>SUM(E26:N26)</f>
        <v>3255</v>
      </c>
      <c r="P26" s="391">
        <f>SUM(O26,D26)</f>
        <v>39307</v>
      </c>
      <c r="Q26" s="82"/>
      <c r="R26" s="391">
        <f>-L26</f>
        <v>0</v>
      </c>
      <c r="S26" s="391">
        <f>+'Sch 141'!D26</f>
        <v>349.47499999999854</v>
      </c>
      <c r="T26" s="391">
        <f t="shared" si="27"/>
        <v>-349.47499999999854</v>
      </c>
      <c r="U26" s="391">
        <f>SUM(R26:T26)</f>
        <v>0</v>
      </c>
      <c r="V26" s="391">
        <f t="shared" si="28"/>
        <v>39307</v>
      </c>
      <c r="W26" s="474">
        <f t="shared" si="29"/>
        <v>0</v>
      </c>
      <c r="X26" s="10"/>
      <c r="Y26" s="506">
        <f t="shared" si="30"/>
        <v>0</v>
      </c>
      <c r="Z26" s="10"/>
      <c r="AA26" s="10"/>
      <c r="AC26" s="229"/>
    </row>
    <row r="27" spans="1:29">
      <c r="A27" s="469">
        <f t="shared" si="6"/>
        <v>19</v>
      </c>
      <c r="B27" s="469" t="s">
        <v>19</v>
      </c>
      <c r="C27" s="12">
        <f>SUM(C25:C26)</f>
        <v>634643</v>
      </c>
      <c r="D27" s="392">
        <f>SUM(D25:D26)</f>
        <v>41454</v>
      </c>
      <c r="E27" s="392">
        <f t="shared" ref="E27:I27" si="31">SUM(E25:E26)</f>
        <v>0</v>
      </c>
      <c r="F27" s="392">
        <f t="shared" si="31"/>
        <v>-918</v>
      </c>
      <c r="G27" s="392">
        <f>SUM(G25:G26)</f>
        <v>2373</v>
      </c>
      <c r="H27" s="392">
        <f t="shared" si="31"/>
        <v>365</v>
      </c>
      <c r="I27" s="392">
        <f t="shared" si="31"/>
        <v>0</v>
      </c>
      <c r="J27" s="392">
        <f t="shared" ref="J27" si="32">SUM(J25:J26)</f>
        <v>-35</v>
      </c>
      <c r="K27" s="392">
        <f>SUM(K25:K26)</f>
        <v>1048</v>
      </c>
      <c r="L27" s="392">
        <f t="shared" ref="L27:M27" si="33">SUM(L25:L26)</f>
        <v>0</v>
      </c>
      <c r="M27" s="392">
        <f t="shared" si="33"/>
        <v>839</v>
      </c>
      <c r="N27" s="392">
        <f t="shared" ref="N27:V27" si="34">SUM(N25:N26)</f>
        <v>0</v>
      </c>
      <c r="O27" s="392">
        <f t="shared" ref="O27" si="35">SUM(O25:O26)</f>
        <v>3672</v>
      </c>
      <c r="P27" s="392">
        <f t="shared" si="34"/>
        <v>45126</v>
      </c>
      <c r="Q27" s="82"/>
      <c r="R27" s="392">
        <f t="shared" si="34"/>
        <v>0</v>
      </c>
      <c r="S27" s="392">
        <f t="shared" si="34"/>
        <v>403.02999999999884</v>
      </c>
      <c r="T27" s="392">
        <f t="shared" ref="T27" si="36">SUM(T25:T26)</f>
        <v>-403.02999999999884</v>
      </c>
      <c r="U27" s="392">
        <f t="shared" ref="U27" si="37">SUM(U25:U26)</f>
        <v>0</v>
      </c>
      <c r="V27" s="392">
        <f t="shared" si="34"/>
        <v>45126</v>
      </c>
      <c r="W27" s="475">
        <f t="shared" si="29"/>
        <v>0</v>
      </c>
      <c r="X27" s="10"/>
      <c r="Y27" s="507">
        <f t="shared" ref="Y27" si="38">SUM(Y25:Y26)</f>
        <v>0</v>
      </c>
      <c r="Z27" s="10"/>
      <c r="AA27" s="10"/>
      <c r="AC27" s="229"/>
    </row>
    <row r="28" spans="1:29">
      <c r="A28" s="469">
        <f t="shared" si="6"/>
        <v>20</v>
      </c>
      <c r="B28" s="469"/>
      <c r="C28" s="40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82"/>
      <c r="R28" s="391"/>
      <c r="S28" s="391"/>
      <c r="T28" s="391"/>
      <c r="U28" s="391"/>
      <c r="V28" s="391"/>
      <c r="W28" s="474"/>
      <c r="Y28" s="506"/>
      <c r="AC28" s="229"/>
    </row>
    <row r="29" spans="1:29">
      <c r="A29" s="469">
        <f t="shared" si="6"/>
        <v>21</v>
      </c>
      <c r="B29" s="469" t="s">
        <v>20</v>
      </c>
      <c r="C29" s="12">
        <f>ROUND(+'JAP-4 Proposed ERF Rev'!J42*1,0)</f>
        <v>70907</v>
      </c>
      <c r="D29" s="392">
        <f>ROUND(+'JAP-4 Proposed ERF Rev'!L42*1,0)</f>
        <v>16589</v>
      </c>
      <c r="E29" s="392">
        <f>+'Sch 95'!F32</f>
        <v>0</v>
      </c>
      <c r="F29" s="392">
        <f>+'Sch 95a'!I32</f>
        <v>-139</v>
      </c>
      <c r="G29" s="392">
        <f>+'Sch 120'!I32</f>
        <v>324</v>
      </c>
      <c r="H29" s="392">
        <f>+'Sch 129'!H32</f>
        <v>138</v>
      </c>
      <c r="I29" s="392">
        <f>+'Sch 132'!F32</f>
        <v>0</v>
      </c>
      <c r="J29" s="392">
        <f>+'Sch 137'!F32</f>
        <v>-5</v>
      </c>
      <c r="K29" s="392">
        <f>+'Sch 140'!I32</f>
        <v>658</v>
      </c>
      <c r="L29" s="392">
        <f>+'Sch 141'!C29</f>
        <v>0</v>
      </c>
      <c r="M29" s="392">
        <f>+'Sch 142'!I32</f>
        <v>0</v>
      </c>
      <c r="N29" s="392">
        <f>+'Sch 194'!F32</f>
        <v>-14</v>
      </c>
      <c r="O29" s="392">
        <f>SUM(E29:N29)</f>
        <v>962</v>
      </c>
      <c r="P29" s="392">
        <f>SUM(O29,D29)</f>
        <v>17551</v>
      </c>
      <c r="Q29" s="82"/>
      <c r="R29" s="392">
        <f>-L29</f>
        <v>0</v>
      </c>
      <c r="S29" s="392">
        <f>+'Sch 141'!D29</f>
        <v>248.29799999999886</v>
      </c>
      <c r="T29" s="391">
        <f>-S29</f>
        <v>-248.29799999999886</v>
      </c>
      <c r="U29" s="392">
        <f>SUM(R29:T29)</f>
        <v>0</v>
      </c>
      <c r="V29" s="392">
        <f>SUM(P29,U29)</f>
        <v>17551</v>
      </c>
      <c r="W29" s="475">
        <f>U29/P29</f>
        <v>0</v>
      </c>
      <c r="X29" s="10"/>
      <c r="Y29" s="507">
        <f>ROUND(U29/1000,1)</f>
        <v>0</v>
      </c>
      <c r="Z29" s="10"/>
      <c r="AA29" s="10"/>
      <c r="AC29" s="229"/>
    </row>
    <row r="30" spans="1:29">
      <c r="A30" s="469">
        <f t="shared" si="6"/>
        <v>22</v>
      </c>
      <c r="B30" s="469"/>
      <c r="C30" s="40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82"/>
      <c r="R30" s="391"/>
      <c r="S30" s="391"/>
      <c r="T30" s="391"/>
      <c r="U30" s="391"/>
      <c r="V30" s="391"/>
      <c r="W30" s="474"/>
      <c r="Y30" s="506"/>
      <c r="AC30" s="229"/>
    </row>
    <row r="31" spans="1:29">
      <c r="A31" s="469">
        <f t="shared" si="6"/>
        <v>23</v>
      </c>
      <c r="B31" s="469" t="s">
        <v>21</v>
      </c>
      <c r="C31" s="12">
        <f>ROUND(+'JAP-4 Proposed ERF Rev'!J40*1,0)</f>
        <v>1993601</v>
      </c>
      <c r="D31" s="392">
        <f>ROUND(+'JAP-4 Proposed ERF Rev'!L40*1,0)</f>
        <v>8376</v>
      </c>
      <c r="E31" s="392">
        <f>+'Sch 95'!F34</f>
        <v>0</v>
      </c>
      <c r="F31" s="392">
        <f>+'Sch 95a'!I34</f>
        <v>0</v>
      </c>
      <c r="G31" s="392">
        <f>+'Sch 120'!I34</f>
        <v>2087</v>
      </c>
      <c r="H31" s="392">
        <f>+'Sch 129'!H34</f>
        <v>66</v>
      </c>
      <c r="I31" s="392">
        <f>+'Sch 132'!F34</f>
        <v>0</v>
      </c>
      <c r="J31" s="392">
        <f>+'Sch 137'!F34</f>
        <v>0</v>
      </c>
      <c r="K31" s="392">
        <f>+'Sch 140'!I34</f>
        <v>60</v>
      </c>
      <c r="L31" s="392">
        <f>+'Sch 141'!C31</f>
        <v>0</v>
      </c>
      <c r="M31" s="392">
        <f>+'Sch 142'!I34</f>
        <v>0</v>
      </c>
      <c r="N31" s="392">
        <f>+'Sch 194'!F34</f>
        <v>0</v>
      </c>
      <c r="O31" s="392">
        <f>SUM(E31:N31)</f>
        <v>2213</v>
      </c>
      <c r="P31" s="392">
        <f>SUM(O31,D31)</f>
        <v>10589</v>
      </c>
      <c r="Q31" s="82"/>
      <c r="R31" s="392">
        <f>-L31</f>
        <v>0</v>
      </c>
      <c r="S31" s="392">
        <f>+'Sch 141'!D31</f>
        <v>7.1499999999996362</v>
      </c>
      <c r="T31" s="391">
        <f>-S31</f>
        <v>-7.1499999999996362</v>
      </c>
      <c r="U31" s="392">
        <f>SUM(R31:T31)</f>
        <v>0</v>
      </c>
      <c r="V31" s="392">
        <f>SUM(P31,U31)</f>
        <v>10589</v>
      </c>
      <c r="W31" s="475">
        <f>U31/P31</f>
        <v>0</v>
      </c>
      <c r="X31" s="10"/>
      <c r="Y31" s="507">
        <f>ROUND(U31/1000,1)</f>
        <v>0</v>
      </c>
      <c r="Z31" s="10"/>
      <c r="AA31" s="10"/>
      <c r="AC31" s="229"/>
    </row>
    <row r="32" spans="1:29">
      <c r="A32" s="469">
        <f t="shared" si="6"/>
        <v>24</v>
      </c>
      <c r="B32" s="469"/>
      <c r="C32" s="40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82"/>
      <c r="R32" s="391"/>
      <c r="S32" s="391"/>
      <c r="T32" s="391"/>
      <c r="U32" s="391"/>
      <c r="V32" s="391"/>
      <c r="W32" s="474"/>
      <c r="Y32" s="506"/>
      <c r="AC32" s="229"/>
    </row>
    <row r="33" spans="1:29" ht="13.5" thickBot="1">
      <c r="A33" s="469">
        <f t="shared" si="6"/>
        <v>25</v>
      </c>
      <c r="B33" s="469" t="s">
        <v>22</v>
      </c>
      <c r="C33" s="13">
        <f t="shared" ref="C33:P33" si="39">SUM(C10,C16,C21,C23,C27,C29,C31)</f>
        <v>22962662</v>
      </c>
      <c r="D33" s="188">
        <f t="shared" si="39"/>
        <v>2026039.2370000002</v>
      </c>
      <c r="E33" s="188">
        <f t="shared" si="39"/>
        <v>0</v>
      </c>
      <c r="F33" s="188">
        <f t="shared" si="39"/>
        <v>-37001</v>
      </c>
      <c r="G33" s="188">
        <f t="shared" si="39"/>
        <v>96934</v>
      </c>
      <c r="H33" s="188">
        <f t="shared" si="39"/>
        <v>17570</v>
      </c>
      <c r="I33" s="188">
        <f t="shared" si="39"/>
        <v>0</v>
      </c>
      <c r="J33" s="188">
        <f t="shared" ref="J33" si="40">SUM(J10,J16,J21,J23,J27,J29,J31)</f>
        <v>-1414</v>
      </c>
      <c r="K33" s="188">
        <f t="shared" si="39"/>
        <v>62163</v>
      </c>
      <c r="L33" s="188">
        <f t="shared" si="39"/>
        <v>0</v>
      </c>
      <c r="M33" s="188">
        <f t="shared" si="39"/>
        <v>-3996</v>
      </c>
      <c r="N33" s="188">
        <f t="shared" si="39"/>
        <v>-82474</v>
      </c>
      <c r="O33" s="188">
        <f t="shared" si="39"/>
        <v>51782</v>
      </c>
      <c r="P33" s="188">
        <f t="shared" si="39"/>
        <v>2077821.2370000002</v>
      </c>
      <c r="Q33" s="82"/>
      <c r="R33" s="188">
        <f t="shared" ref="R33:V33" si="41">SUM(R10,R16,R21,R23,R27,R29,R31)</f>
        <v>0</v>
      </c>
      <c r="S33" s="188">
        <f t="shared" si="41"/>
        <v>25920.240999999936</v>
      </c>
      <c r="T33" s="188">
        <f t="shared" ref="T33" si="42">SUM(T10,T16,T21,T23,T27,T29,T31)</f>
        <v>-25920.240999999936</v>
      </c>
      <c r="U33" s="188">
        <f t="shared" ref="U33" si="43">SUM(U10,U16,U21,U23,U27,U29,U31)</f>
        <v>0</v>
      </c>
      <c r="V33" s="188">
        <f t="shared" si="41"/>
        <v>2077821.2370000002</v>
      </c>
      <c r="W33" s="476">
        <f>U33/P33</f>
        <v>0</v>
      </c>
      <c r="X33" s="391"/>
      <c r="Y33" s="508">
        <f t="shared" ref="Y33" si="44">SUM(Y10,Y16,Y21,Y23,Y27,Y29,Y31)</f>
        <v>0</v>
      </c>
      <c r="Z33" s="391"/>
      <c r="AA33" s="10"/>
      <c r="AC33" s="229"/>
    </row>
    <row r="34" spans="1:29" ht="13.5" thickTop="1">
      <c r="A34" s="469">
        <f t="shared" si="6"/>
        <v>26</v>
      </c>
      <c r="B34" s="469"/>
      <c r="C34" s="489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477"/>
      <c r="X34" s="391"/>
      <c r="Y34" s="509"/>
      <c r="Z34" s="391"/>
      <c r="AA34" s="10"/>
      <c r="AC34" s="229"/>
    </row>
    <row r="35" spans="1:29">
      <c r="A35" s="469">
        <f t="shared" si="6"/>
        <v>27</v>
      </c>
      <c r="B35" s="469">
        <v>5</v>
      </c>
      <c r="C35" s="12">
        <f>ROUND('JAP-4 Proposed ERF Rev'!J46*1,0)</f>
        <v>7238</v>
      </c>
      <c r="D35" s="392">
        <f>ROUND('JAP-4 Proposed ERF Rev'!L46*1,0)</f>
        <v>330</v>
      </c>
      <c r="E35" s="392">
        <f>+'Sch 95'!F38</f>
        <v>0</v>
      </c>
      <c r="F35" s="392">
        <f>+'Sch 95a'!I38</f>
        <v>0</v>
      </c>
      <c r="G35" s="392">
        <f>+'Sch 120'!I38</f>
        <v>0</v>
      </c>
      <c r="H35" s="392">
        <f>+'Sch 129'!H38</f>
        <v>0</v>
      </c>
      <c r="I35" s="392">
        <f>+'Sch 132'!F38</f>
        <v>0</v>
      </c>
      <c r="J35" s="392">
        <f>+'Sch 137'!F38</f>
        <v>0</v>
      </c>
      <c r="K35" s="392">
        <f>+'Sch 140'!I38</f>
        <v>0</v>
      </c>
      <c r="L35" s="392">
        <f>+'Sch 141'!C35</f>
        <v>0</v>
      </c>
      <c r="M35" s="392">
        <f>+'Sch 142'!I38</f>
        <v>0</v>
      </c>
      <c r="N35" s="392">
        <f>+'Sch 194'!F38</f>
        <v>0</v>
      </c>
      <c r="O35" s="392">
        <f>SUM(E35:N35)</f>
        <v>0</v>
      </c>
      <c r="P35" s="392">
        <f>SUM(O35,D35)</f>
        <v>330</v>
      </c>
      <c r="Q35" s="82"/>
      <c r="R35" s="392">
        <f>-L35</f>
        <v>0</v>
      </c>
      <c r="S35" s="392">
        <f>+'Sch 141'!D35</f>
        <v>4.2202384602422853</v>
      </c>
      <c r="T35" s="391">
        <f>-S35</f>
        <v>-4.2202384602422853</v>
      </c>
      <c r="U35" s="392">
        <f>SUM(R35:T35)</f>
        <v>0</v>
      </c>
      <c r="V35" s="392">
        <f>SUM(P35,U35)</f>
        <v>330</v>
      </c>
      <c r="W35" s="475">
        <f>U35/P35</f>
        <v>0</v>
      </c>
      <c r="X35" s="391"/>
      <c r="Y35" s="507">
        <f>ROUND(U35/1000,1)</f>
        <v>0</v>
      </c>
      <c r="Z35" s="391"/>
      <c r="AA35" s="10"/>
      <c r="AC35" s="229"/>
    </row>
    <row r="36" spans="1:29">
      <c r="A36" s="469">
        <f t="shared" si="6"/>
        <v>28</v>
      </c>
      <c r="B36" s="469"/>
      <c r="C36" s="489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477"/>
      <c r="X36" s="391"/>
      <c r="Y36" s="509"/>
      <c r="Z36" s="391"/>
      <c r="AA36" s="10"/>
      <c r="AC36" s="229"/>
    </row>
    <row r="37" spans="1:29" ht="13.5" thickBot="1">
      <c r="A37" s="469">
        <f t="shared" si="6"/>
        <v>29</v>
      </c>
      <c r="B37" s="469" t="s">
        <v>23</v>
      </c>
      <c r="C37" s="13">
        <f>+C35+C33</f>
        <v>22969900</v>
      </c>
      <c r="D37" s="188">
        <f>+D35+D33</f>
        <v>2026369.2370000002</v>
      </c>
      <c r="E37" s="188">
        <f t="shared" ref="E37:I37" si="45">+E35+E33</f>
        <v>0</v>
      </c>
      <c r="F37" s="188">
        <f t="shared" si="45"/>
        <v>-37001</v>
      </c>
      <c r="G37" s="188">
        <f>+G35+G33</f>
        <v>96934</v>
      </c>
      <c r="H37" s="188">
        <f t="shared" si="45"/>
        <v>17570</v>
      </c>
      <c r="I37" s="188">
        <f t="shared" si="45"/>
        <v>0</v>
      </c>
      <c r="J37" s="188">
        <f t="shared" ref="J37" si="46">+J35+J33</f>
        <v>-1414</v>
      </c>
      <c r="K37" s="188">
        <f>+K35+K33</f>
        <v>62163</v>
      </c>
      <c r="L37" s="188">
        <f t="shared" ref="L37:M37" si="47">+L35+L33</f>
        <v>0</v>
      </c>
      <c r="M37" s="188">
        <f t="shared" si="47"/>
        <v>-3996</v>
      </c>
      <c r="N37" s="188">
        <f t="shared" ref="N37:V37" si="48">+N35+N33</f>
        <v>-82474</v>
      </c>
      <c r="O37" s="188">
        <f t="shared" ref="O37" si="49">+O35+O33</f>
        <v>51782</v>
      </c>
      <c r="P37" s="188">
        <f t="shared" si="48"/>
        <v>2078151.2370000002</v>
      </c>
      <c r="Q37" s="82"/>
      <c r="R37" s="188">
        <f t="shared" si="48"/>
        <v>0</v>
      </c>
      <c r="S37" s="188">
        <f t="shared" si="48"/>
        <v>25924.461238460179</v>
      </c>
      <c r="T37" s="188">
        <f t="shared" ref="T37" si="50">+T35+T33</f>
        <v>-25924.461238460179</v>
      </c>
      <c r="U37" s="188">
        <f t="shared" ref="U37" si="51">+U35+U33</f>
        <v>0</v>
      </c>
      <c r="V37" s="188">
        <f t="shared" si="48"/>
        <v>2078151.2370000002</v>
      </c>
      <c r="W37" s="476">
        <f>U37/P37</f>
        <v>0</v>
      </c>
      <c r="X37" s="391"/>
      <c r="Y37" s="508">
        <f t="shared" ref="Y37" si="52">+Y35+Y33</f>
        <v>0</v>
      </c>
      <c r="Z37" s="391"/>
      <c r="AA37" s="10"/>
      <c r="AC37" s="229"/>
    </row>
    <row r="38" spans="1:29" ht="13.5" thickTop="1"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82"/>
      <c r="R38" s="391"/>
      <c r="S38" s="391"/>
      <c r="T38" s="391"/>
      <c r="U38" s="391"/>
      <c r="V38" s="391"/>
      <c r="AC38" s="229"/>
    </row>
    <row r="39" spans="1:29">
      <c r="C39" s="40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AC39" s="229"/>
    </row>
    <row r="40" spans="1:29">
      <c r="C40" s="40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V40" s="391"/>
      <c r="AC40" s="229"/>
    </row>
    <row r="41" spans="1:29">
      <c r="AC41" s="229"/>
    </row>
  </sheetData>
  <mergeCells count="5">
    <mergeCell ref="A1:B1"/>
    <mergeCell ref="A2:B2"/>
    <mergeCell ref="A3:B3"/>
    <mergeCell ref="A4:B4"/>
    <mergeCell ref="S6:T6"/>
  </mergeCells>
  <printOptions horizontalCentered="1"/>
  <pageMargins left="0.7" right="0.7" top="0.75" bottom="0.75" header="0.3" footer="0.3"/>
  <pageSetup scale="44" fitToHeight="0" orientation="landscape" r:id="rId1"/>
  <headerFooter>
    <oddFooter>&amp;L&amp;"Times New Roman,Regular"&amp;F
&amp;A&amp;R&amp;"Times New Roman,Regular"Page &amp;P of &amp;N</oddFooter>
  </headerFooter>
  <colBreaks count="1" manualBreakCount="1">
    <brk id="16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3" sqref="A13"/>
      <selection pane="bottomRight" activeCell="P14" sqref="P14"/>
    </sheetView>
  </sheetViews>
  <sheetFormatPr defaultColWidth="9.42578125" defaultRowHeight="15"/>
  <cols>
    <col min="1" max="1" width="8.140625" style="231" bestFit="1" customWidth="1"/>
    <col min="2" max="2" width="11.7109375" style="231" customWidth="1"/>
    <col min="3" max="3" width="12.42578125" style="231" bestFit="1" customWidth="1"/>
    <col min="4" max="4" width="3.5703125" style="231" customWidth="1"/>
    <col min="5" max="5" width="9.7109375" style="231" bestFit="1" customWidth="1"/>
    <col min="6" max="6" width="4.140625" style="231" customWidth="1"/>
    <col min="7" max="7" width="15.5703125" style="231" bestFit="1" customWidth="1"/>
    <col min="8" max="8" width="3.85546875" style="231" customWidth="1"/>
    <col min="9" max="9" width="15.5703125" style="231" bestFit="1" customWidth="1"/>
    <col min="10" max="10" width="3.28515625" style="231" customWidth="1"/>
    <col min="11" max="11" width="12.42578125" style="231" bestFit="1" customWidth="1"/>
    <col min="12" max="12" width="3.85546875" style="332" customWidth="1"/>
    <col min="13" max="13" width="31" style="231" bestFit="1" customWidth="1"/>
    <col min="14" max="14" width="16.5703125" style="231" bestFit="1" customWidth="1"/>
    <col min="15" max="15" width="2.42578125" style="231" customWidth="1"/>
    <col min="16" max="16" width="16.7109375" style="231" bestFit="1" customWidth="1"/>
    <col min="17" max="17" width="3.42578125" style="231" customWidth="1"/>
    <col min="18" max="18" width="6.28515625" style="231" bestFit="1" customWidth="1"/>
    <col min="19" max="16384" width="9.42578125" style="231"/>
  </cols>
  <sheetData>
    <row r="1" spans="1:18" ht="18.75">
      <c r="B1" s="331" t="s">
        <v>0</v>
      </c>
      <c r="C1" s="331"/>
      <c r="D1" s="331"/>
      <c r="E1" s="331"/>
      <c r="F1" s="331"/>
      <c r="G1" s="331"/>
      <c r="H1" s="331"/>
      <c r="I1" s="331"/>
      <c r="J1" s="331"/>
      <c r="K1" s="331"/>
    </row>
    <row r="2" spans="1:18" ht="18.75">
      <c r="B2" s="331" t="s">
        <v>286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1:18" ht="18.75">
      <c r="B3" s="331" t="s">
        <v>361</v>
      </c>
      <c r="C3" s="331"/>
      <c r="D3" s="331"/>
      <c r="E3" s="331"/>
      <c r="F3" s="331"/>
      <c r="G3" s="331"/>
      <c r="H3" s="331"/>
      <c r="I3" s="331"/>
      <c r="J3" s="331"/>
      <c r="K3" s="331"/>
    </row>
    <row r="4" spans="1:18" ht="18.75">
      <c r="A4" s="344"/>
      <c r="B4" s="277"/>
      <c r="C4" s="277"/>
      <c r="D4" s="277"/>
      <c r="E4" s="277"/>
      <c r="F4" s="277"/>
      <c r="G4" s="277"/>
      <c r="H4" s="277"/>
      <c r="I4" s="277"/>
      <c r="J4" s="277"/>
    </row>
    <row r="6" spans="1:18" ht="15.75">
      <c r="B6" s="343" t="s">
        <v>359</v>
      </c>
      <c r="G6" s="538" t="s">
        <v>358</v>
      </c>
      <c r="H6" s="539"/>
      <c r="I6" s="539"/>
    </row>
    <row r="7" spans="1:18">
      <c r="B7" s="329" t="s">
        <v>325</v>
      </c>
      <c r="C7" s="342" t="s">
        <v>357</v>
      </c>
      <c r="G7" s="277" t="s">
        <v>28</v>
      </c>
      <c r="I7" s="277" t="s">
        <v>356</v>
      </c>
      <c r="K7" s="277" t="s">
        <v>302</v>
      </c>
    </row>
    <row r="8" spans="1:18" ht="16.5">
      <c r="A8" s="496" t="s">
        <v>3</v>
      </c>
      <c r="B8" s="328" t="s">
        <v>322</v>
      </c>
      <c r="C8" s="327" t="s">
        <v>321</v>
      </c>
      <c r="D8" s="325"/>
      <c r="E8" s="270" t="s">
        <v>282</v>
      </c>
      <c r="F8" s="325"/>
      <c r="G8" s="315" t="s">
        <v>407</v>
      </c>
      <c r="H8" s="315"/>
      <c r="I8" s="315" t="s">
        <v>408</v>
      </c>
      <c r="K8" s="341" t="s">
        <v>33</v>
      </c>
    </row>
    <row r="9" spans="1:18" ht="15.75">
      <c r="A9" s="276"/>
      <c r="B9" s="316" t="s">
        <v>96</v>
      </c>
      <c r="C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 t="s">
        <v>220</v>
      </c>
      <c r="O9" s="498"/>
      <c r="P9" s="498" t="s">
        <v>250</v>
      </c>
    </row>
    <row r="10" spans="1:18" s="276" customFormat="1" ht="15.75" thickBot="1">
      <c r="G10" s="327"/>
      <c r="H10" s="325"/>
      <c r="I10" s="327"/>
      <c r="L10" s="332"/>
    </row>
    <row r="11" spans="1:18">
      <c r="A11" s="275">
        <v>1</v>
      </c>
      <c r="B11" s="242">
        <v>1000</v>
      </c>
      <c r="C11" s="231">
        <v>300</v>
      </c>
      <c r="E11" s="242">
        <f>ROUND((B$11*C11),0)</f>
        <v>300000</v>
      </c>
      <c r="F11" s="242"/>
      <c r="G11" s="324">
        <f>ROUND(IF($B$11&gt;4400,$B$11*N$13,4400*$N$13)+$E11*N$14,0)</f>
        <v>41098</v>
      </c>
      <c r="H11" s="324"/>
      <c r="I11" s="324">
        <f>ROUND(IF($B$11&gt;4400,$B$11*P$13,4400*$N$13)+$E11*P$14,0)</f>
        <v>41098</v>
      </c>
      <c r="K11" s="238">
        <f>(I11-G11)/G11</f>
        <v>0</v>
      </c>
      <c r="M11" s="340"/>
      <c r="N11" s="339" t="s">
        <v>299</v>
      </c>
      <c r="O11" s="338"/>
      <c r="P11" s="495" t="s">
        <v>298</v>
      </c>
    </row>
    <row r="12" spans="1:18">
      <c r="A12" s="275">
        <f>+A11+1</f>
        <v>2</v>
      </c>
      <c r="C12" s="231">
        <v>500</v>
      </c>
      <c r="E12" s="242">
        <f>ROUND((B$11*C12),0)</f>
        <v>500000</v>
      </c>
      <c r="F12" s="242"/>
      <c r="G12" s="324">
        <f>ROUND(IF($B$11&gt;4400,$B$11*N$13,4400*$N$13)+$E12*N$14,0)</f>
        <v>52423</v>
      </c>
      <c r="H12" s="324"/>
      <c r="I12" s="324">
        <f>ROUND(IF($B$11&gt;4400,$B$11*P$13,4400*$N$13)+$E12*P$14,0)</f>
        <v>52423</v>
      </c>
      <c r="K12" s="238">
        <f>(I12-G12)/G12</f>
        <v>0</v>
      </c>
      <c r="M12" s="293"/>
      <c r="N12" s="257"/>
      <c r="O12" s="257"/>
      <c r="P12" s="337"/>
    </row>
    <row r="13" spans="1:18">
      <c r="A13" s="275">
        <f t="shared" ref="A13:A39" si="0">+A12+1</f>
        <v>3</v>
      </c>
      <c r="C13" s="231">
        <v>700</v>
      </c>
      <c r="E13" s="242">
        <f>ROUND((B$11*C13),0)</f>
        <v>700000</v>
      </c>
      <c r="F13" s="242"/>
      <c r="G13" s="324">
        <f>ROUND(IF($B$11&gt;4400,$B$11*N$13,4400*$N$13)+$E13*N$14,0)</f>
        <v>63747</v>
      </c>
      <c r="H13" s="324"/>
      <c r="I13" s="324">
        <f>ROUND(IF($B$11&gt;4400,$B$11*P$13,4400*$N$13)+$E13*P$14,0)</f>
        <v>63747</v>
      </c>
      <c r="K13" s="238">
        <f>(I13-G13)/G13</f>
        <v>0</v>
      </c>
      <c r="M13" s="294" t="s">
        <v>355</v>
      </c>
      <c r="N13" s="264">
        <f>SUM(N17,N27)</f>
        <v>5.48</v>
      </c>
      <c r="O13" s="297"/>
      <c r="P13" s="314">
        <f>SUM(P17,P27,P29)</f>
        <v>5.48</v>
      </c>
      <c r="R13" s="256">
        <f>(P13-N13)/N13</f>
        <v>0</v>
      </c>
    </row>
    <row r="14" spans="1:18">
      <c r="A14" s="275">
        <f t="shared" si="0"/>
        <v>4</v>
      </c>
      <c r="G14" s="324"/>
      <c r="H14" s="324"/>
      <c r="I14" s="324"/>
      <c r="K14" s="238"/>
      <c r="M14" s="294" t="s">
        <v>354</v>
      </c>
      <c r="N14" s="260">
        <f>SUM(N18,N20:N26,N28:N31)</f>
        <v>5.6620999999999991E-2</v>
      </c>
      <c r="O14" s="297"/>
      <c r="P14" s="258">
        <f>SUM(P18,P20:P26,P28,P30,P31)</f>
        <v>5.6620999999999991E-2</v>
      </c>
      <c r="R14" s="256">
        <f>(P14-N14)/N14</f>
        <v>0</v>
      </c>
    </row>
    <row r="15" spans="1:18" ht="15.75" thickBot="1">
      <c r="A15" s="275">
        <f t="shared" si="0"/>
        <v>5</v>
      </c>
      <c r="B15" s="242">
        <v>2000</v>
      </c>
      <c r="C15" s="231">
        <v>300</v>
      </c>
      <c r="E15" s="242">
        <f>ROUND((B$15*C15),0)</f>
        <v>600000</v>
      </c>
      <c r="F15" s="242"/>
      <c r="G15" s="324">
        <f>ROUND(IF($B$15&gt;4400,$B$15*N$13,4400*$N$13)+$E15*N$14,0)</f>
        <v>58085</v>
      </c>
      <c r="H15" s="324"/>
      <c r="I15" s="324">
        <f>ROUND(IF($B$15&gt;4400,$B$15*P$13,4400*$N$13)+$E15*P$14,0)</f>
        <v>58085</v>
      </c>
      <c r="K15" s="238">
        <f>(I15-G15)/G15</f>
        <v>0</v>
      </c>
      <c r="M15" s="336" t="s">
        <v>24</v>
      </c>
      <c r="N15" s="335" t="s">
        <v>24</v>
      </c>
      <c r="O15" s="253"/>
      <c r="P15" s="334" t="s">
        <v>24</v>
      </c>
    </row>
    <row r="16" spans="1:18">
      <c r="A16" s="275">
        <f t="shared" si="0"/>
        <v>6</v>
      </c>
      <c r="C16" s="231">
        <v>500</v>
      </c>
      <c r="E16" s="242">
        <f>ROUND((B$15*C16),0)</f>
        <v>1000000</v>
      </c>
      <c r="F16" s="242"/>
      <c r="G16" s="324">
        <f>ROUND(IF($B$15&gt;4400,$B$15*N$13,4400*$N$13)+$E16*N$14,0)</f>
        <v>80733</v>
      </c>
      <c r="H16" s="324"/>
      <c r="I16" s="324">
        <f>ROUND(IF($B$15&gt;4400,$B$15*P$13,4400*$N$13)+$E16*P$14,0)</f>
        <v>80733</v>
      </c>
      <c r="K16" s="238">
        <f>(I16-G16)/G16</f>
        <v>0</v>
      </c>
    </row>
    <row r="17" spans="1:16">
      <c r="A17" s="275">
        <f t="shared" si="0"/>
        <v>7</v>
      </c>
      <c r="C17" s="231">
        <v>700</v>
      </c>
      <c r="E17" s="242">
        <f>ROUND((B$15*C17),0)</f>
        <v>1400000</v>
      </c>
      <c r="F17" s="242"/>
      <c r="G17" s="324">
        <f>ROUND(IF($B$15&gt;4400,$B$15*N$13,4400*$N$13)+$E17*N$14,0)</f>
        <v>103381</v>
      </c>
      <c r="H17" s="324"/>
      <c r="I17" s="324">
        <f>ROUND(IF($B$15&gt;4400,$B$15*P$13,4400*$N$13)+$E17*P$14,0)</f>
        <v>103381</v>
      </c>
      <c r="K17" s="238">
        <f>(I17-G17)/G17</f>
        <v>0</v>
      </c>
      <c r="M17" s="231" t="str">
        <f>+M13</f>
        <v>Demand ($ per kVa)</v>
      </c>
      <c r="N17" s="484">
        <f>+'[1](JAP4)-Tariff Summary'!$D$163</f>
        <v>5.48</v>
      </c>
      <c r="O17" s="484"/>
      <c r="P17" s="484">
        <f>+N17</f>
        <v>5.48</v>
      </c>
    </row>
    <row r="18" spans="1:16">
      <c r="A18" s="275">
        <f t="shared" si="0"/>
        <v>8</v>
      </c>
      <c r="G18" s="324"/>
      <c r="H18" s="324"/>
      <c r="I18" s="324"/>
      <c r="K18" s="238"/>
      <c r="M18" s="231" t="str">
        <f>+M14</f>
        <v>Energy ($ per kWh)</v>
      </c>
      <c r="N18" s="485">
        <f>+'[1](JAP4)-Tariff Summary'!$D$161</f>
        <v>5.0738999999999999E-2</v>
      </c>
      <c r="O18" s="484"/>
      <c r="P18" s="484">
        <f>+N18</f>
        <v>5.0738999999999999E-2</v>
      </c>
    </row>
    <row r="19" spans="1:16">
      <c r="A19" s="275">
        <f t="shared" si="0"/>
        <v>9</v>
      </c>
      <c r="B19" s="242">
        <v>4000</v>
      </c>
      <c r="C19" s="231">
        <v>300</v>
      </c>
      <c r="E19" s="242">
        <f>ROUND((B$19*C19),0)</f>
        <v>1200000</v>
      </c>
      <c r="F19" s="242"/>
      <c r="G19" s="324">
        <f>ROUND(IF($B$19&gt;4400,$B$19*N$13,4400*$N$13)+$E19*N$14,0)</f>
        <v>92057</v>
      </c>
      <c r="H19" s="324"/>
      <c r="I19" s="324">
        <f>ROUND(IF($B$19&gt;4400,$B$19*P$13,4400*$N$13)+$E19*P$14,0)</f>
        <v>92057</v>
      </c>
      <c r="K19" s="238">
        <f>(I19-G19)/G19</f>
        <v>0</v>
      </c>
    </row>
    <row r="20" spans="1:16">
      <c r="A20" s="275">
        <f t="shared" si="0"/>
        <v>10</v>
      </c>
      <c r="C20" s="231">
        <v>500</v>
      </c>
      <c r="E20" s="242">
        <f>ROUND((B$19*C20),0)</f>
        <v>2000000</v>
      </c>
      <c r="F20" s="242"/>
      <c r="G20" s="324">
        <f>ROUND(IF($B$19&gt;4400,$B$19*N$13,4400*$N$13)+$E20*N$14,0)</f>
        <v>137354</v>
      </c>
      <c r="H20" s="324"/>
      <c r="I20" s="324">
        <f>ROUND(IF($B$19&gt;4400,$B$19*P$13,4400*$N$13)+$E20*P$14,0)</f>
        <v>137354</v>
      </c>
      <c r="K20" s="238">
        <f>(I20-G20)/G20</f>
        <v>0</v>
      </c>
      <c r="M20" s="247" t="s">
        <v>274</v>
      </c>
      <c r="N20" s="248">
        <v>0</v>
      </c>
      <c r="P20" s="248">
        <f>+N20</f>
        <v>0</v>
      </c>
    </row>
    <row r="21" spans="1:16">
      <c r="A21" s="275">
        <f t="shared" si="0"/>
        <v>11</v>
      </c>
      <c r="C21" s="231">
        <v>700</v>
      </c>
      <c r="E21" s="242">
        <f>ROUND((B$19*C21),0)</f>
        <v>2800000</v>
      </c>
      <c r="F21" s="242"/>
      <c r="G21" s="324">
        <f>ROUND(IF($B$19&gt;4400,$B$19*N$13,4400*$N$13)+$E21*N$14,0)</f>
        <v>182651</v>
      </c>
      <c r="H21" s="324"/>
      <c r="I21" s="324">
        <f>ROUND(IF($B$19&gt;4400,$B$19*P$13,4400*$N$13)+$E21*P$14,0)</f>
        <v>182651</v>
      </c>
      <c r="K21" s="238">
        <f>(I21-G21)/G21</f>
        <v>0</v>
      </c>
      <c r="M21" s="247" t="s">
        <v>273</v>
      </c>
      <c r="N21" s="248">
        <f>+'Sch 95a'!$H$29</f>
        <v>-1.5120000000000001E-3</v>
      </c>
      <c r="O21" s="276"/>
      <c r="P21" s="248">
        <f>+N21</f>
        <v>-1.5120000000000001E-3</v>
      </c>
    </row>
    <row r="22" spans="1:16">
      <c r="A22" s="275">
        <f t="shared" si="0"/>
        <v>12</v>
      </c>
      <c r="G22" s="324"/>
      <c r="H22" s="324"/>
      <c r="I22" s="324"/>
      <c r="K22" s="238"/>
      <c r="M22" s="247" t="s">
        <v>272</v>
      </c>
      <c r="N22" s="248">
        <f>+'Sch 120'!$H$29</f>
        <v>3.9039999999999999E-3</v>
      </c>
      <c r="O22" s="276"/>
      <c r="P22" s="248">
        <f t="shared" ref="P22:P26" si="1">+N22</f>
        <v>3.9039999999999999E-3</v>
      </c>
    </row>
    <row r="23" spans="1:16">
      <c r="A23" s="275">
        <f t="shared" si="0"/>
        <v>13</v>
      </c>
      <c r="B23" s="242">
        <v>6000</v>
      </c>
      <c r="C23" s="231">
        <v>300</v>
      </c>
      <c r="E23" s="242">
        <f>ROUND((B$23*C23),0)</f>
        <v>1800000</v>
      </c>
      <c r="F23" s="242"/>
      <c r="G23" s="324">
        <f>ROUND(IF($B$23&gt;4400,$B$23*N$13,4400*$N$13)+$E23*N$14,0)</f>
        <v>134798</v>
      </c>
      <c r="H23" s="324"/>
      <c r="I23" s="324">
        <f>ROUND(IF($B$23&gt;4400,$B$23*P$13,4400*$N$13)+$E23*P$14,0)</f>
        <v>134798</v>
      </c>
      <c r="K23" s="238">
        <f>(I23-G23)/G23</f>
        <v>0</v>
      </c>
      <c r="M23" s="247" t="s">
        <v>207</v>
      </c>
      <c r="N23" s="248">
        <f>+'Sch 129'!G29</f>
        <v>5.7300000000000005E-4</v>
      </c>
      <c r="O23" s="276"/>
      <c r="P23" s="248">
        <f t="shared" si="1"/>
        <v>5.7300000000000005E-4</v>
      </c>
    </row>
    <row r="24" spans="1:16">
      <c r="A24" s="275">
        <f t="shared" si="0"/>
        <v>14</v>
      </c>
      <c r="C24" s="231">
        <v>500</v>
      </c>
      <c r="E24" s="242">
        <f>ROUND((B$23*C24),0)</f>
        <v>3000000</v>
      </c>
      <c r="F24" s="242"/>
      <c r="G24" s="324">
        <f>ROUND(IF($B$23&gt;4400,$B$23*N$13,4400*$N$13)+$E24*N$14,0)</f>
        <v>202743</v>
      </c>
      <c r="H24" s="324"/>
      <c r="I24" s="324">
        <f>ROUND(IF($B$23&gt;4400,$B$23*P$13,4400*$N$13)+$E24*P$14,0)</f>
        <v>202743</v>
      </c>
      <c r="K24" s="238">
        <f>(I24-G24)/G24</f>
        <v>0</v>
      </c>
      <c r="M24" s="247" t="s">
        <v>208</v>
      </c>
      <c r="N24" s="248">
        <f>+'Sch 132'!E29</f>
        <v>0</v>
      </c>
      <c r="O24" s="276"/>
      <c r="P24" s="248">
        <f t="shared" si="1"/>
        <v>0</v>
      </c>
    </row>
    <row r="25" spans="1:16">
      <c r="A25" s="275">
        <f t="shared" si="0"/>
        <v>15</v>
      </c>
      <c r="C25" s="231">
        <v>700</v>
      </c>
      <c r="E25" s="242">
        <f>ROUND((B$23*C25),0)</f>
        <v>4200000</v>
      </c>
      <c r="F25" s="242"/>
      <c r="G25" s="324">
        <f>ROUND(IF($B$23&gt;4400,$B$23*N$13,4400*$N$13)+$E25*N$14,0)</f>
        <v>270688</v>
      </c>
      <c r="H25" s="324"/>
      <c r="I25" s="324">
        <f>ROUND(IF($B$23&gt;4400,$B$23*P$13,4400*$N$13)+$E25*P$14,0)</f>
        <v>270688</v>
      </c>
      <c r="K25" s="238">
        <f>(I25-G25)/G25</f>
        <v>0</v>
      </c>
      <c r="M25" s="247" t="s">
        <v>270</v>
      </c>
      <c r="N25" s="248">
        <f>+'Sch 137'!E29</f>
        <v>-5.8E-5</v>
      </c>
      <c r="O25" s="276"/>
      <c r="P25" s="248">
        <f t="shared" si="1"/>
        <v>-5.8E-5</v>
      </c>
    </row>
    <row r="26" spans="1:16">
      <c r="A26" s="275">
        <f t="shared" si="0"/>
        <v>16</v>
      </c>
      <c r="E26" s="242"/>
      <c r="F26" s="242"/>
      <c r="G26" s="324"/>
      <c r="H26" s="324"/>
      <c r="I26" s="324"/>
      <c r="K26" s="238"/>
      <c r="M26" s="247" t="s">
        <v>239</v>
      </c>
      <c r="N26" s="248">
        <f>+'Sch 140'!$H$29</f>
        <v>1.6520000000000003E-3</v>
      </c>
      <c r="O26" s="276"/>
      <c r="P26" s="248">
        <f t="shared" si="1"/>
        <v>1.6520000000000003E-3</v>
      </c>
    </row>
    <row r="27" spans="1:16">
      <c r="A27" s="275">
        <f t="shared" si="0"/>
        <v>17</v>
      </c>
      <c r="B27" s="242">
        <v>8000</v>
      </c>
      <c r="C27" s="231">
        <v>300</v>
      </c>
      <c r="E27" s="242">
        <f>ROUND((B$27*C27),0)</f>
        <v>2400000</v>
      </c>
      <c r="F27" s="242"/>
      <c r="G27" s="324">
        <f>ROUND(IF($B$27&gt;4400,$B$27*N$13,4400*$N$13)+$E27*N$14,0)</f>
        <v>179730</v>
      </c>
      <c r="H27" s="324"/>
      <c r="I27" s="324">
        <f>ROUND(IF($B$27&gt;4400,$B$27*P$13,4400*$N$13)+$E27*P$14,0)</f>
        <v>179730</v>
      </c>
      <c r="K27" s="238">
        <f>(I27-G27)/G27</f>
        <v>0</v>
      </c>
      <c r="M27" s="479" t="s">
        <v>478</v>
      </c>
      <c r="N27" s="513">
        <v>0</v>
      </c>
      <c r="O27" s="481"/>
      <c r="P27" s="513">
        <f>+'[1](JAP4)-Tariff Summary'!$F$163</f>
        <v>4.9999999999999822E-2</v>
      </c>
    </row>
    <row r="28" spans="1:16">
      <c r="A28" s="275">
        <f t="shared" si="0"/>
        <v>18</v>
      </c>
      <c r="C28" s="231">
        <v>500</v>
      </c>
      <c r="E28" s="242">
        <f>ROUND((B$27*C28),0)</f>
        <v>4000000</v>
      </c>
      <c r="F28" s="242"/>
      <c r="G28" s="324">
        <f>ROUND(IF($B$27&gt;4400,$B$27*N$13,4400*$N$13)+$E28*N$14,0)</f>
        <v>270324</v>
      </c>
      <c r="H28" s="324"/>
      <c r="I28" s="324">
        <f>ROUND(IF($B$27&gt;4400,$B$27*P$13,4400*$N$13)+$E28*P$14,0)</f>
        <v>270324</v>
      </c>
      <c r="K28" s="238">
        <f>(I28-G28)/G28</f>
        <v>0</v>
      </c>
      <c r="M28" s="479" t="s">
        <v>353</v>
      </c>
      <c r="N28" s="513">
        <v>0</v>
      </c>
      <c r="O28" s="481"/>
      <c r="P28" s="513">
        <f>+'[1](JAP4)-Tariff Summary'!$F$161</f>
        <v>5.0000000000000044E-4</v>
      </c>
    </row>
    <row r="29" spans="1:16">
      <c r="A29" s="275">
        <f t="shared" si="0"/>
        <v>19</v>
      </c>
      <c r="C29" s="231">
        <v>700</v>
      </c>
      <c r="E29" s="242">
        <f>ROUND((B$27*C29),0)</f>
        <v>5600000</v>
      </c>
      <c r="F29" s="242"/>
      <c r="G29" s="324">
        <f>ROUND(IF($B$27&gt;4400,$B$27*N$13,4400*$N$13)+$E29*N$14,0)</f>
        <v>360918</v>
      </c>
      <c r="H29" s="324"/>
      <c r="I29" s="324">
        <f>ROUND(IF($B$27&gt;4400,$B$27*P$13,4400*$N$13)+$E29*P$14,0)</f>
        <v>360918</v>
      </c>
      <c r="K29" s="238">
        <f>(I29-G29)/G29</f>
        <v>0</v>
      </c>
      <c r="M29" s="479" t="s">
        <v>525</v>
      </c>
      <c r="N29" s="513">
        <v>0</v>
      </c>
      <c r="O29" s="481"/>
      <c r="P29" s="513">
        <f>+'[1](JAP4)-Tariff Summary'!$G$163</f>
        <v>-4.9999999999999822E-2</v>
      </c>
    </row>
    <row r="30" spans="1:16">
      <c r="A30" s="275">
        <f t="shared" si="0"/>
        <v>20</v>
      </c>
      <c r="E30" s="242"/>
      <c r="F30" s="242"/>
      <c r="G30" s="324"/>
      <c r="H30" s="324"/>
      <c r="I30" s="324"/>
      <c r="K30" s="238"/>
      <c r="M30" s="514" t="s">
        <v>513</v>
      </c>
      <c r="N30" s="513">
        <v>0</v>
      </c>
      <c r="O30" s="481"/>
      <c r="P30" s="513">
        <f>+'[1](JAP4)-Tariff Summary'!$G$161</f>
        <v>-5.0000000000000044E-4</v>
      </c>
    </row>
    <row r="31" spans="1:16">
      <c r="A31" s="275">
        <f t="shared" si="0"/>
        <v>21</v>
      </c>
      <c r="B31" s="242">
        <v>10000</v>
      </c>
      <c r="C31" s="231">
        <v>300</v>
      </c>
      <c r="E31" s="242">
        <f>ROUND((B$31*C31),0)</f>
        <v>3000000</v>
      </c>
      <c r="F31" s="242"/>
      <c r="G31" s="324">
        <f>ROUND(IF($B$31&gt;4400,$B$31*N$13,4400*$N$13)+$E31*N$14,0)</f>
        <v>224663</v>
      </c>
      <c r="H31" s="324"/>
      <c r="I31" s="324">
        <f>ROUND(IF($B$31&gt;4400,$B$31*P$13,4400*$N$13)+$E31*P$14,0)</f>
        <v>224663</v>
      </c>
      <c r="K31" s="238">
        <f>(I31-G31)/G31</f>
        <v>0</v>
      </c>
      <c r="M31" s="247" t="s">
        <v>352</v>
      </c>
      <c r="N31" s="248">
        <f>+'Sch 142'!$G$29</f>
        <v>1.323E-3</v>
      </c>
      <c r="O31" s="276"/>
      <c r="P31" s="248">
        <f>+N31</f>
        <v>1.323E-3</v>
      </c>
    </row>
    <row r="32" spans="1:16">
      <c r="A32" s="275">
        <f t="shared" si="0"/>
        <v>22</v>
      </c>
      <c r="C32" s="231">
        <v>500</v>
      </c>
      <c r="E32" s="242">
        <f>ROUND((B$31*C32),0)</f>
        <v>5000000</v>
      </c>
      <c r="F32" s="242"/>
      <c r="G32" s="324">
        <f>ROUND(IF($B$31&gt;4400,$B$31*N$13,4400*$N$13)+$E32*N$14,0)</f>
        <v>337905</v>
      </c>
      <c r="H32" s="324"/>
      <c r="I32" s="324">
        <f>ROUND(IF($B$31&gt;4400,$B$31*P$13,4400*$N$13)+$E32*P$14,0)</f>
        <v>337905</v>
      </c>
      <c r="K32" s="238">
        <f>(I32-G32)/G32</f>
        <v>0</v>
      </c>
      <c r="P32" s="248"/>
    </row>
    <row r="33" spans="1:16">
      <c r="A33" s="275">
        <f t="shared" si="0"/>
        <v>23</v>
      </c>
      <c r="C33" s="231">
        <v>700</v>
      </c>
      <c r="E33" s="242">
        <f>ROUND((B$31*C33),0)</f>
        <v>7000000</v>
      </c>
      <c r="F33" s="242"/>
      <c r="G33" s="324">
        <f>ROUND(IF($B$31&gt;4400,$B$31*N$13,4400*$N$13)+$E33*N$14,0)</f>
        <v>451147</v>
      </c>
      <c r="H33" s="324"/>
      <c r="I33" s="324">
        <f>ROUND(IF($B$31&gt;4400,$B$31*P$13,4400*$N$13)+$E33*P$14,0)</f>
        <v>451147</v>
      </c>
      <c r="K33" s="238">
        <f>(I33-G33)/G33</f>
        <v>0</v>
      </c>
      <c r="M33" s="244" t="s">
        <v>383</v>
      </c>
      <c r="N33" s="243">
        <f>+'JAP-4 (ERF Impacts)'!W26</f>
        <v>0</v>
      </c>
      <c r="P33" s="248"/>
    </row>
    <row r="34" spans="1:16">
      <c r="A34" s="275">
        <f t="shared" si="0"/>
        <v>24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P34" s="248"/>
    </row>
    <row r="35" spans="1:16">
      <c r="A35" s="275">
        <f t="shared" si="0"/>
        <v>25</v>
      </c>
      <c r="P35" s="248"/>
    </row>
    <row r="36" spans="1:16">
      <c r="A36" s="275">
        <f t="shared" si="0"/>
        <v>26</v>
      </c>
      <c r="M36" s="247"/>
      <c r="N36" s="323"/>
      <c r="P36" s="246"/>
    </row>
    <row r="37" spans="1:16" ht="16.5">
      <c r="A37" s="275">
        <f t="shared" si="0"/>
        <v>27</v>
      </c>
      <c r="B37" s="403" t="s">
        <v>396</v>
      </c>
    </row>
    <row r="38" spans="1:16" ht="16.5">
      <c r="A38" s="275">
        <f t="shared" si="0"/>
        <v>28</v>
      </c>
      <c r="B38" s="468" t="s">
        <v>469</v>
      </c>
    </row>
    <row r="39" spans="1:16" ht="16.5">
      <c r="A39" s="275">
        <f t="shared" si="0"/>
        <v>29</v>
      </c>
      <c r="B39" s="510" t="s">
        <v>490</v>
      </c>
    </row>
    <row r="40" spans="1:16">
      <c r="B40" s="233"/>
    </row>
    <row r="41" spans="1:16">
      <c r="B41" s="233"/>
    </row>
    <row r="42" spans="1:16">
      <c r="B42" s="233"/>
    </row>
    <row r="43" spans="1:16">
      <c r="B43" s="233"/>
    </row>
    <row r="44" spans="1:16">
      <c r="B44" s="233"/>
    </row>
    <row r="45" spans="1:16">
      <c r="B45" s="233"/>
    </row>
    <row r="46" spans="1:16">
      <c r="B46" s="233"/>
    </row>
    <row r="47" spans="1:16">
      <c r="B47" s="233"/>
    </row>
    <row r="48" spans="1:16">
      <c r="B48" s="233"/>
    </row>
    <row r="49" spans="2:15">
      <c r="B49" s="233"/>
    </row>
    <row r="50" spans="2:15">
      <c r="B50" s="233"/>
    </row>
    <row r="54" spans="2:15">
      <c r="O54" s="232"/>
    </row>
  </sheetData>
  <mergeCells count="1">
    <mergeCell ref="G6:I6"/>
  </mergeCells>
  <printOptions horizontalCentered="1"/>
  <pageMargins left="0.7" right="0.7" top="0.75" bottom="0.75" header="0.3" footer="0.3"/>
  <pageSetup scale="7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491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theme="5" tint="0.79998168889431442"/>
    <pageSetUpPr fitToPage="1"/>
  </sheetPr>
  <dimension ref="B1:AA59"/>
  <sheetViews>
    <sheetView zoomScale="70" zoomScaleNormal="70" zoomScaleSheetLayoutView="70" workbookViewId="0">
      <pane xSplit="7" ySplit="14" topLeftCell="H24" activePane="bottomRight" state="frozen"/>
      <selection pane="topRight"/>
      <selection pane="bottomLeft"/>
      <selection pane="bottomRight" activeCell="N9" sqref="N9:S9"/>
    </sheetView>
  </sheetViews>
  <sheetFormatPr defaultColWidth="11.28515625" defaultRowHeight="15.75"/>
  <cols>
    <col min="1" max="1" width="0" style="14" hidden="1" customWidth="1"/>
    <col min="2" max="2" width="5.140625" style="14" customWidth="1"/>
    <col min="3" max="3" width="2.28515625" style="14" customWidth="1"/>
    <col min="4" max="4" width="39.85546875" style="17" customWidth="1"/>
    <col min="5" max="5" width="2.28515625" style="17" customWidth="1"/>
    <col min="6" max="6" width="12.28515625" style="17" bestFit="1" customWidth="1"/>
    <col min="7" max="7" width="2.28515625" style="17" customWidth="1"/>
    <col min="8" max="8" width="13" style="14" bestFit="1" customWidth="1"/>
    <col min="9" max="9" width="2.28515625" style="14" customWidth="1"/>
    <col min="10" max="10" width="15.42578125" style="14" bestFit="1" customWidth="1"/>
    <col min="11" max="11" width="3.28515625" style="14" customWidth="1"/>
    <col min="12" max="12" width="15.5703125" style="14" bestFit="1" customWidth="1"/>
    <col min="13" max="13" width="3" style="14" customWidth="1"/>
    <col min="14" max="14" width="13.7109375" style="14" bestFit="1" customWidth="1"/>
    <col min="15" max="15" width="2.85546875" style="14" customWidth="1"/>
    <col min="16" max="16" width="11.85546875" style="14" customWidth="1"/>
    <col min="17" max="18" width="11.85546875" style="280" customWidth="1"/>
    <col min="19" max="19" width="10.28515625" style="14" bestFit="1" customWidth="1"/>
    <col min="20" max="20" width="2.140625" style="14" customWidth="1"/>
    <col min="21" max="21" width="13" style="14" bestFit="1" customWidth="1"/>
    <col min="22" max="22" width="6.7109375" style="14" bestFit="1" customWidth="1"/>
    <col min="23" max="23" width="9.7109375" style="14" bestFit="1" customWidth="1"/>
    <col min="24" max="24" width="13.28515625" style="14" customWidth="1"/>
    <col min="25" max="25" width="11.28515625" style="14"/>
    <col min="26" max="26" width="12.28515625" style="14" bestFit="1" customWidth="1"/>
    <col min="27" max="16384" width="11.28515625" style="14"/>
  </cols>
  <sheetData>
    <row r="1" spans="2:24" ht="18.75">
      <c r="C1" s="15"/>
      <c r="D1" s="16"/>
      <c r="N1" s="18" t="s">
        <v>24</v>
      </c>
    </row>
    <row r="2" spans="2:24">
      <c r="B2" s="550" t="s">
        <v>25</v>
      </c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19"/>
    </row>
    <row r="3" spans="2:24">
      <c r="B3" s="551" t="s">
        <v>26</v>
      </c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20"/>
      <c r="V3" s="20"/>
    </row>
    <row r="4" spans="2:24">
      <c r="B4" s="550" t="s">
        <v>443</v>
      </c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1"/>
      <c r="S4" s="551"/>
      <c r="T4" s="551"/>
      <c r="U4" s="20"/>
      <c r="V4" s="20"/>
    </row>
    <row r="5" spans="2:24">
      <c r="B5" s="550" t="s">
        <v>27</v>
      </c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1"/>
      <c r="T5" s="551"/>
      <c r="U5" s="20"/>
      <c r="V5" s="20"/>
    </row>
    <row r="6" spans="2:24">
      <c r="B6" s="550" t="s">
        <v>444</v>
      </c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20"/>
      <c r="V6" s="20"/>
    </row>
    <row r="7" spans="2:24">
      <c r="B7" s="550"/>
      <c r="C7" s="550"/>
      <c r="D7" s="550"/>
      <c r="E7" s="550"/>
      <c r="F7" s="550"/>
      <c r="G7" s="550"/>
      <c r="H7" s="550"/>
      <c r="I7" s="550"/>
      <c r="J7" s="550"/>
      <c r="K7" s="550"/>
      <c r="L7" s="550"/>
      <c r="M7" s="550"/>
      <c r="N7" s="550"/>
      <c r="O7" s="550"/>
      <c r="P7" s="550"/>
      <c r="Q7" s="550"/>
      <c r="R7" s="550"/>
      <c r="S7" s="550"/>
      <c r="T7" s="550"/>
      <c r="U7" s="19"/>
      <c r="V7" s="19"/>
    </row>
    <row r="8" spans="2:24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12"/>
      <c r="R8" s="512"/>
      <c r="S8" s="21"/>
      <c r="T8" s="19"/>
      <c r="U8" s="19"/>
      <c r="V8" s="19"/>
    </row>
    <row r="9" spans="2:24">
      <c r="K9" s="22"/>
      <c r="L9" s="23"/>
      <c r="M9" s="24"/>
      <c r="N9" s="540" t="str">
        <f>'[1](JAP4) Proposed ERF Rev'!$N$9</f>
        <v>Effective March 2019</v>
      </c>
      <c r="O9" s="541"/>
      <c r="P9" s="541"/>
      <c r="Q9" s="541"/>
      <c r="R9" s="541"/>
      <c r="S9" s="542"/>
      <c r="T9" s="24"/>
      <c r="U9" s="25"/>
      <c r="V9" s="24"/>
    </row>
    <row r="10" spans="2:24">
      <c r="L10" s="26" t="s">
        <v>28</v>
      </c>
      <c r="M10" s="27"/>
      <c r="N10" s="543" t="s">
        <v>29</v>
      </c>
      <c r="O10" s="544"/>
      <c r="P10" s="544"/>
      <c r="Q10" s="544"/>
      <c r="R10" s="544"/>
      <c r="S10" s="545"/>
      <c r="T10" s="27"/>
      <c r="U10" s="28"/>
      <c r="V10" s="27"/>
    </row>
    <row r="11" spans="2:24">
      <c r="F11" s="29" t="s">
        <v>30</v>
      </c>
      <c r="G11" s="30"/>
      <c r="L11" s="28" t="s">
        <v>31</v>
      </c>
      <c r="M11" s="31"/>
      <c r="N11" s="31" t="s">
        <v>542</v>
      </c>
      <c r="O11" s="35"/>
      <c r="P11" s="35" t="s">
        <v>543</v>
      </c>
      <c r="Q11" s="31" t="s">
        <v>544</v>
      </c>
      <c r="R11" s="35"/>
      <c r="S11" s="32"/>
      <c r="T11" s="32"/>
      <c r="U11" s="28" t="s">
        <v>29</v>
      </c>
      <c r="V11" s="33"/>
      <c r="W11" s="546" t="s">
        <v>32</v>
      </c>
      <c r="X11" s="547" t="s">
        <v>33</v>
      </c>
    </row>
    <row r="12" spans="2:24">
      <c r="B12" s="33" t="s">
        <v>34</v>
      </c>
      <c r="F12" s="30" t="s">
        <v>35</v>
      </c>
      <c r="G12" s="30"/>
      <c r="H12" s="26" t="s">
        <v>36</v>
      </c>
      <c r="L12" s="26" t="s">
        <v>37</v>
      </c>
      <c r="M12" s="33"/>
      <c r="N12" s="193" t="s">
        <v>37</v>
      </c>
      <c r="O12" s="317"/>
      <c r="P12" s="34" t="s">
        <v>38</v>
      </c>
      <c r="Q12" s="34" t="s">
        <v>545</v>
      </c>
      <c r="R12" s="34" t="s">
        <v>29</v>
      </c>
      <c r="S12" s="317" t="s">
        <v>31</v>
      </c>
      <c r="T12" s="33"/>
      <c r="U12" s="26" t="s">
        <v>39</v>
      </c>
      <c r="V12" s="35"/>
      <c r="W12" s="547"/>
      <c r="X12" s="547"/>
    </row>
    <row r="13" spans="2:24">
      <c r="B13" s="36" t="s">
        <v>40</v>
      </c>
      <c r="D13" s="37" t="s">
        <v>41</v>
      </c>
      <c r="F13" s="37" t="s">
        <v>40</v>
      </c>
      <c r="G13" s="38"/>
      <c r="H13" s="39" t="s">
        <v>42</v>
      </c>
      <c r="J13" s="39" t="s">
        <v>43</v>
      </c>
      <c r="L13" s="40" t="s">
        <v>44</v>
      </c>
      <c r="M13" s="28"/>
      <c r="N13" s="194" t="s">
        <v>44</v>
      </c>
      <c r="O13" s="41"/>
      <c r="P13" s="42" t="s">
        <v>44</v>
      </c>
      <c r="Q13" s="42" t="s">
        <v>44</v>
      </c>
      <c r="R13" s="42" t="s">
        <v>546</v>
      </c>
      <c r="S13" s="511" t="s">
        <v>45</v>
      </c>
      <c r="T13" s="35"/>
      <c r="U13" s="40" t="s">
        <v>46</v>
      </c>
      <c r="V13" s="35"/>
      <c r="W13" s="547"/>
      <c r="X13" s="547"/>
    </row>
    <row r="14" spans="2:24">
      <c r="B14" s="43"/>
      <c r="D14" s="34" t="s">
        <v>47</v>
      </c>
      <c r="F14" s="34" t="s">
        <v>48</v>
      </c>
      <c r="G14" s="30"/>
      <c r="H14" s="34" t="s">
        <v>49</v>
      </c>
      <c r="J14" s="34" t="s">
        <v>50</v>
      </c>
      <c r="L14" s="34" t="s">
        <v>51</v>
      </c>
      <c r="M14" s="34"/>
      <c r="N14" s="34" t="s">
        <v>52</v>
      </c>
      <c r="O14" s="34"/>
      <c r="P14" s="34" t="s">
        <v>53</v>
      </c>
      <c r="Q14" s="34" t="s">
        <v>54</v>
      </c>
      <c r="R14" s="34" t="s">
        <v>55</v>
      </c>
      <c r="S14" s="34" t="s">
        <v>547</v>
      </c>
      <c r="T14" s="34"/>
      <c r="U14" s="34" t="s">
        <v>548</v>
      </c>
      <c r="V14" s="31"/>
    </row>
    <row r="15" spans="2:24">
      <c r="M15" s="34"/>
      <c r="N15" s="34" t="s">
        <v>24</v>
      </c>
      <c r="P15" s="34" t="s">
        <v>56</v>
      </c>
      <c r="Q15" s="34" t="s">
        <v>549</v>
      </c>
      <c r="R15" s="34" t="s">
        <v>550</v>
      </c>
      <c r="S15" s="34" t="s">
        <v>551</v>
      </c>
      <c r="T15" s="280"/>
      <c r="U15" s="34" t="s">
        <v>552</v>
      </c>
      <c r="V15" s="22"/>
    </row>
    <row r="16" spans="2:24">
      <c r="D16" s="44" t="s">
        <v>57</v>
      </c>
      <c r="V16" s="22"/>
    </row>
    <row r="17" spans="2:27">
      <c r="B17" s="33">
        <v>1</v>
      </c>
      <c r="D17" s="17" t="s">
        <v>57</v>
      </c>
      <c r="F17" s="29">
        <v>7</v>
      </c>
      <c r="G17" s="29"/>
      <c r="H17" s="45">
        <f>'[1](JAP4) Proposed ERF Rev'!H17</f>
        <v>1023208</v>
      </c>
      <c r="I17" s="18"/>
      <c r="J17" s="45">
        <f>'[1](JAP4) Proposed ERF Rev'!J17</f>
        <v>10657340</v>
      </c>
      <c r="L17" s="46">
        <f>'[1](JAP4) Proposed ERF Rev'!L17</f>
        <v>1109032.567</v>
      </c>
      <c r="M17" s="47"/>
      <c r="N17" s="47">
        <f>'[1](JAP4) Proposed ERF Rev'!N17</f>
        <v>1125619</v>
      </c>
      <c r="O17" s="46"/>
      <c r="P17" s="46">
        <f>N17-L17</f>
        <v>16586.432999999961</v>
      </c>
      <c r="Q17" s="47">
        <f>-P17</f>
        <v>-16586.432999999961</v>
      </c>
      <c r="R17" s="47">
        <f>SUM(L17,P17:Q17)</f>
        <v>1109032.567</v>
      </c>
      <c r="S17" s="515">
        <f>SUM(P17:Q17)/L17</f>
        <v>0</v>
      </c>
      <c r="T17" s="48"/>
      <c r="U17" s="516">
        <f>R17/J17*100</f>
        <v>10.406279306093266</v>
      </c>
      <c r="V17" s="49"/>
      <c r="W17" s="46"/>
      <c r="X17" s="46"/>
    </row>
    <row r="18" spans="2:27">
      <c r="B18" s="50">
        <f>MAX(B$14:B17)+1</f>
        <v>2</v>
      </c>
      <c r="D18" s="51" t="s">
        <v>58</v>
      </c>
      <c r="H18" s="52">
        <f>SUM(H17:H17)</f>
        <v>1023208</v>
      </c>
      <c r="J18" s="52">
        <f>SUM(J17:J17)</f>
        <v>10657340</v>
      </c>
      <c r="L18" s="53">
        <f>SUM(L17:L17)</f>
        <v>1109032.567</v>
      </c>
      <c r="M18" s="47"/>
      <c r="N18" s="53">
        <f>SUM(N17:N17)</f>
        <v>1125619</v>
      </c>
      <c r="O18" s="46"/>
      <c r="P18" s="53">
        <f>SUM(P17)</f>
        <v>16586.432999999961</v>
      </c>
      <c r="Q18" s="53">
        <f>SUM(Q17)</f>
        <v>-16586.432999999961</v>
      </c>
      <c r="R18" s="53">
        <f>SUM(R17)</f>
        <v>1109032.567</v>
      </c>
      <c r="S18" s="517">
        <f>SUM(P18:Q18)/L18</f>
        <v>0</v>
      </c>
      <c r="T18" s="48"/>
      <c r="U18" s="518">
        <f>R18/J18*100</f>
        <v>10.406279306093266</v>
      </c>
      <c r="V18" s="49"/>
      <c r="W18" s="53">
        <f>'[1](JAP4) Rate Spread'!$J$8</f>
        <v>16586.892521964</v>
      </c>
      <c r="X18" s="393">
        <f>W18-P18</f>
        <v>0.45952196403959533</v>
      </c>
      <c r="AA18" s="54"/>
    </row>
    <row r="19" spans="2:27">
      <c r="J19" s="18" t="s">
        <v>24</v>
      </c>
      <c r="L19" s="54"/>
      <c r="M19" s="54"/>
      <c r="N19" s="54"/>
      <c r="O19" s="54"/>
      <c r="P19" s="54"/>
      <c r="Q19" s="54"/>
      <c r="R19" s="54"/>
      <c r="S19" s="519"/>
      <c r="T19" s="280"/>
      <c r="U19" s="520"/>
      <c r="V19" s="22"/>
      <c r="W19" s="54"/>
      <c r="X19" s="54"/>
    </row>
    <row r="20" spans="2:27">
      <c r="D20" s="56" t="s">
        <v>59</v>
      </c>
      <c r="H20" s="57"/>
      <c r="L20" s="54"/>
      <c r="M20" s="54"/>
      <c r="N20" s="54"/>
      <c r="O20" s="54"/>
      <c r="P20" s="54"/>
      <c r="Q20" s="54"/>
      <c r="R20" s="54"/>
      <c r="S20" s="519"/>
      <c r="T20" s="280"/>
      <c r="U20" s="520"/>
      <c r="V20" s="22"/>
      <c r="W20" s="54"/>
      <c r="X20" s="54"/>
    </row>
    <row r="21" spans="2:27">
      <c r="B21" s="50">
        <f>MAX(B$14:B20)+1</f>
        <v>3</v>
      </c>
      <c r="D21" s="58" t="s">
        <v>60</v>
      </c>
      <c r="F21" s="29" t="s">
        <v>61</v>
      </c>
      <c r="G21" s="30"/>
      <c r="H21" s="45">
        <f>'[1](JAP4) Proposed ERF Rev'!H21</f>
        <v>129785.16666666667</v>
      </c>
      <c r="I21" s="18"/>
      <c r="J21" s="45">
        <f>'[1](JAP4) Proposed ERF Rev'!J21</f>
        <v>2769974</v>
      </c>
      <c r="L21" s="46">
        <f>'[1](JAP4) Proposed ERF Rev'!L21</f>
        <v>269558.01400000002</v>
      </c>
      <c r="M21" s="47"/>
      <c r="N21" s="46">
        <f>'[1](JAP4) Proposed ERF Rev'!N21</f>
        <v>272581</v>
      </c>
      <c r="O21" s="46"/>
      <c r="P21" s="46">
        <f t="shared" ref="P21:P24" si="0">N21-L21</f>
        <v>3022.9859999999753</v>
      </c>
      <c r="Q21" s="47">
        <f t="shared" ref="Q21:Q24" si="1">-P21</f>
        <v>-3022.9859999999753</v>
      </c>
      <c r="R21" s="47">
        <f t="shared" ref="R21:R24" si="2">SUM(L21,P21:Q21)</f>
        <v>269558.01400000002</v>
      </c>
      <c r="S21" s="515">
        <f t="shared" ref="S21:S25" si="3">SUM(P21:Q21)/L21</f>
        <v>0</v>
      </c>
      <c r="T21" s="48"/>
      <c r="U21" s="516">
        <f t="shared" ref="U21:U25" si="4">R21/J21*100</f>
        <v>9.7314275874069587</v>
      </c>
      <c r="V21" s="49"/>
      <c r="W21" s="46"/>
      <c r="X21" s="46"/>
      <c r="AA21" s="54"/>
    </row>
    <row r="22" spans="2:27">
      <c r="B22" s="50">
        <f>MAX(B$14:B21)+1</f>
        <v>4</v>
      </c>
      <c r="D22" s="58" t="s">
        <v>62</v>
      </c>
      <c r="E22" s="59"/>
      <c r="F22" s="29" t="s">
        <v>63</v>
      </c>
      <c r="G22" s="30"/>
      <c r="H22" s="45">
        <f>'[1](JAP4) Proposed ERF Rev'!H22</f>
        <v>7557.75</v>
      </c>
      <c r="I22" s="18"/>
      <c r="J22" s="45">
        <f>'[1](JAP4) Proposed ERF Rev'!J22</f>
        <v>2962665</v>
      </c>
      <c r="L22" s="46">
        <f>'[1](JAP4) Proposed ERF Rev'!L22</f>
        <v>267247.141</v>
      </c>
      <c r="M22" s="47"/>
      <c r="N22" s="46">
        <f>'[1](JAP4) Proposed ERF Rev'!N22</f>
        <v>269845</v>
      </c>
      <c r="O22" s="46"/>
      <c r="P22" s="46">
        <f t="shared" si="0"/>
        <v>2597.8589999999967</v>
      </c>
      <c r="Q22" s="47">
        <f t="shared" si="1"/>
        <v>-2597.8589999999967</v>
      </c>
      <c r="R22" s="47">
        <f t="shared" si="2"/>
        <v>267247.141</v>
      </c>
      <c r="S22" s="515">
        <f t="shared" si="3"/>
        <v>0</v>
      </c>
      <c r="T22" s="48"/>
      <c r="U22" s="516">
        <f t="shared" si="4"/>
        <v>9.0204981325934597</v>
      </c>
      <c r="V22" s="49"/>
      <c r="W22" s="46"/>
      <c r="X22" s="46"/>
      <c r="AA22" s="54"/>
    </row>
    <row r="23" spans="2:27">
      <c r="B23" s="50">
        <f>MAX(B$14:B22)+1</f>
        <v>5</v>
      </c>
      <c r="D23" s="58" t="s">
        <v>64</v>
      </c>
      <c r="F23" s="29" t="s">
        <v>65</v>
      </c>
      <c r="G23" s="30"/>
      <c r="H23" s="45">
        <f>'[1](JAP4) Proposed ERF Rev'!H23</f>
        <v>9920</v>
      </c>
      <c r="I23" s="18"/>
      <c r="J23" s="45">
        <f>'[1](JAP4) Proposed ERF Rev'!J23</f>
        <v>1872505.8629326143</v>
      </c>
      <c r="L23" s="46">
        <f>'[1](JAP4) Proposed ERF Rev'!L23</f>
        <v>155148.611</v>
      </c>
      <c r="M23" s="47"/>
      <c r="N23" s="46">
        <f>'[1](JAP4) Proposed ERF Rev'!N23</f>
        <v>156656.85</v>
      </c>
      <c r="O23" s="46"/>
      <c r="P23" s="46">
        <f t="shared" si="0"/>
        <v>1508.2390000000014</v>
      </c>
      <c r="Q23" s="47">
        <f t="shared" si="1"/>
        <v>-1508.2390000000014</v>
      </c>
      <c r="R23" s="47">
        <f t="shared" si="2"/>
        <v>155148.611</v>
      </c>
      <c r="S23" s="515">
        <f t="shared" si="3"/>
        <v>0</v>
      </c>
      <c r="T23" s="48"/>
      <c r="U23" s="516">
        <f t="shared" si="4"/>
        <v>8.2856141639532659</v>
      </c>
      <c r="V23" s="49"/>
      <c r="W23" s="46"/>
      <c r="X23" s="46"/>
      <c r="AA23" s="54"/>
    </row>
    <row r="24" spans="2:27">
      <c r="B24" s="50">
        <f>MAX(B$14:B23)+1</f>
        <v>6</v>
      </c>
      <c r="D24" s="58" t="s">
        <v>66</v>
      </c>
      <c r="F24" s="30">
        <v>29</v>
      </c>
      <c r="G24" s="30"/>
      <c r="H24" s="45">
        <f>'[1](JAP4) Proposed ERF Rev'!H24</f>
        <v>649.66666666666663</v>
      </c>
      <c r="I24" s="18"/>
      <c r="J24" s="45">
        <f>'[1](JAP4) Proposed ERF Rev'!J24</f>
        <v>18243</v>
      </c>
      <c r="L24" s="46">
        <f>'[1](JAP4) Proposed ERF Rev'!L24</f>
        <v>1449.5150000000001</v>
      </c>
      <c r="M24" s="47"/>
      <c r="N24" s="46">
        <f>'[1](JAP4) Proposed ERF Rev'!N24</f>
        <v>1463.5989999999999</v>
      </c>
      <c r="O24" s="46"/>
      <c r="P24" s="46">
        <f t="shared" si="0"/>
        <v>14.083999999999833</v>
      </c>
      <c r="Q24" s="47">
        <f t="shared" si="1"/>
        <v>-14.083999999999833</v>
      </c>
      <c r="R24" s="47">
        <f t="shared" si="2"/>
        <v>1449.5150000000001</v>
      </c>
      <c r="S24" s="515">
        <f t="shared" si="3"/>
        <v>0</v>
      </c>
      <c r="T24" s="48"/>
      <c r="U24" s="516">
        <f t="shared" si="4"/>
        <v>7.945595570903909</v>
      </c>
      <c r="V24" s="49"/>
      <c r="W24" s="46"/>
      <c r="X24" s="46"/>
      <c r="AA24" s="54"/>
    </row>
    <row r="25" spans="2:27">
      <c r="B25" s="50">
        <f>MAX(B$14:B24)+1</f>
        <v>7</v>
      </c>
      <c r="D25" s="51" t="s">
        <v>67</v>
      </c>
      <c r="F25" s="30"/>
      <c r="G25" s="30"/>
      <c r="H25" s="52">
        <f>SUM(H21:H24)</f>
        <v>147912.58333333334</v>
      </c>
      <c r="J25" s="52">
        <f>SUM(J21:J24)</f>
        <v>7623387.8629326141</v>
      </c>
      <c r="L25" s="53">
        <f>SUM(L21:L24)</f>
        <v>693403.28100000008</v>
      </c>
      <c r="M25" s="47"/>
      <c r="N25" s="53">
        <f>SUM(N21:N24)</f>
        <v>700546.44900000002</v>
      </c>
      <c r="O25" s="46"/>
      <c r="P25" s="53">
        <f>SUM(P21:P24)</f>
        <v>7143.1679999999733</v>
      </c>
      <c r="Q25" s="53">
        <f>SUM(Q21:Q24)</f>
        <v>-7143.1679999999733</v>
      </c>
      <c r="R25" s="53">
        <f>SUM(R21:R24)</f>
        <v>693403.28100000008</v>
      </c>
      <c r="S25" s="517">
        <f t="shared" si="3"/>
        <v>0</v>
      </c>
      <c r="T25" s="48"/>
      <c r="U25" s="518">
        <f t="shared" si="4"/>
        <v>9.0957366130031492</v>
      </c>
      <c r="V25" s="49"/>
      <c r="W25" s="53">
        <f>'[1](JAP4) Rate Spread'!$J$14</f>
        <v>7144.0883875107511</v>
      </c>
      <c r="X25" s="53">
        <f>W25-P25</f>
        <v>0.92038751077780034</v>
      </c>
      <c r="AA25" s="54"/>
    </row>
    <row r="26" spans="2:27">
      <c r="B26" s="50"/>
      <c r="D26" s="58"/>
      <c r="F26" s="30"/>
      <c r="G26" s="30"/>
      <c r="H26" s="45"/>
      <c r="J26" s="45"/>
      <c r="L26" s="46"/>
      <c r="M26" s="47"/>
      <c r="N26" s="46"/>
      <c r="O26" s="46"/>
      <c r="P26" s="46"/>
      <c r="Q26" s="47"/>
      <c r="R26" s="47"/>
      <c r="S26" s="515"/>
      <c r="T26" s="48"/>
      <c r="U26" s="516"/>
      <c r="V26" s="49"/>
      <c r="W26" s="46"/>
      <c r="X26" s="46"/>
    </row>
    <row r="27" spans="2:27">
      <c r="B27" s="50"/>
      <c r="D27" s="56" t="s">
        <v>68</v>
      </c>
      <c r="F27" s="30"/>
      <c r="G27" s="30"/>
      <c r="H27" s="45"/>
      <c r="J27" s="45"/>
      <c r="L27" s="46"/>
      <c r="M27" s="47"/>
      <c r="N27" s="46"/>
      <c r="O27" s="46"/>
      <c r="P27" s="46"/>
      <c r="Q27" s="47"/>
      <c r="R27" s="47"/>
      <c r="S27" s="515"/>
      <c r="T27" s="48"/>
      <c r="U27" s="516"/>
      <c r="V27" s="49"/>
      <c r="W27" s="46"/>
      <c r="X27" s="46"/>
    </row>
    <row r="28" spans="2:27">
      <c r="B28" s="50">
        <f>MAX(B$14:B26)+1</f>
        <v>8</v>
      </c>
      <c r="D28" s="58" t="s">
        <v>69</v>
      </c>
      <c r="F28" s="29" t="s">
        <v>70</v>
      </c>
      <c r="G28" s="30"/>
      <c r="H28" s="45">
        <f>'[1](JAP4) Proposed ERF Rev'!H28</f>
        <v>489.66666666666669</v>
      </c>
      <c r="I28" s="18"/>
      <c r="J28" s="45">
        <f>'[1](JAP4) Proposed ERF Rev'!J28</f>
        <v>1321181.4175556169</v>
      </c>
      <c r="L28" s="46">
        <f>'[1](JAP4) Proposed ERF Rev'!L28</f>
        <v>107151.91499999999</v>
      </c>
      <c r="M28" s="47"/>
      <c r="N28" s="46">
        <f>'[1](JAP4) Proposed ERF Rev'!N28</f>
        <v>108193.265</v>
      </c>
      <c r="O28" s="46"/>
      <c r="P28" s="46">
        <f t="shared" ref="P28:P30" si="5">N28-L28</f>
        <v>1041.3500000000058</v>
      </c>
      <c r="Q28" s="47">
        <f t="shared" ref="Q28:Q30" si="6">-P28</f>
        <v>-1041.3500000000058</v>
      </c>
      <c r="R28" s="47">
        <f t="shared" ref="R28:R30" si="7">SUM(L28,P28:Q28)</f>
        <v>107151.91499999999</v>
      </c>
      <c r="S28" s="515">
        <f t="shared" ref="S28:S31" si="8">SUM(P28:Q28)/L28</f>
        <v>0</v>
      </c>
      <c r="T28" s="48"/>
      <c r="U28" s="516">
        <f t="shared" ref="U28:U31" si="9">R28/J28*100</f>
        <v>8.1103104824352616</v>
      </c>
      <c r="V28" s="49"/>
      <c r="W28" s="46"/>
      <c r="X28" s="46"/>
      <c r="AA28" s="54"/>
    </row>
    <row r="29" spans="2:27">
      <c r="B29" s="50">
        <f>MAX(B$14:B28)+1</f>
        <v>9</v>
      </c>
      <c r="D29" s="58" t="s">
        <v>71</v>
      </c>
      <c r="F29" s="30">
        <v>35</v>
      </c>
      <c r="G29" s="30"/>
      <c r="H29" s="45">
        <f>'[1](JAP4) Proposed ERF Rev'!H29</f>
        <v>2.75</v>
      </c>
      <c r="I29" s="18"/>
      <c r="J29" s="45">
        <f>'[1](JAP4) Proposed ERF Rev'!J29</f>
        <v>3789.48</v>
      </c>
      <c r="L29" s="46">
        <f>'[1](JAP4) Proposed ERF Rev'!L29</f>
        <v>226.02600000000001</v>
      </c>
      <c r="M29" s="47"/>
      <c r="N29" s="46">
        <f>'[1](JAP4) Proposed ERF Rev'!N29</f>
        <v>231.095</v>
      </c>
      <c r="O29" s="46"/>
      <c r="P29" s="46">
        <f t="shared" si="5"/>
        <v>5.0689999999999884</v>
      </c>
      <c r="Q29" s="47">
        <f t="shared" si="6"/>
        <v>-5.0689999999999884</v>
      </c>
      <c r="R29" s="47">
        <f t="shared" si="7"/>
        <v>226.02600000000001</v>
      </c>
      <c r="S29" s="515">
        <f t="shared" si="8"/>
        <v>0</v>
      </c>
      <c r="T29" s="48"/>
      <c r="U29" s="516">
        <f t="shared" si="9"/>
        <v>5.9645650590582351</v>
      </c>
      <c r="V29" s="49"/>
      <c r="W29" s="46"/>
      <c r="X29" s="46"/>
      <c r="AA29" s="54"/>
    </row>
    <row r="30" spans="2:27">
      <c r="B30" s="50">
        <f>MAX(B$14:B29)+1</f>
        <v>10</v>
      </c>
      <c r="D30" s="17" t="s">
        <v>72</v>
      </c>
      <c r="F30" s="29">
        <v>43</v>
      </c>
      <c r="G30" s="30"/>
      <c r="H30" s="45">
        <f>'[1](JAP4) Proposed ERF Rev'!H30</f>
        <v>157.41666666666666</v>
      </c>
      <c r="I30" s="18"/>
      <c r="J30" s="45">
        <f>'[1](JAP4) Proposed ERF Rev'!J30</f>
        <v>123046.16422024449</v>
      </c>
      <c r="L30" s="46">
        <f>'[1](JAP4) Proposed ERF Rev'!L30</f>
        <v>10794.427</v>
      </c>
      <c r="M30" s="47"/>
      <c r="N30" s="46">
        <f>'[1](JAP4) Proposed ERF Rev'!N30</f>
        <v>10955.918</v>
      </c>
      <c r="O30" s="46"/>
      <c r="P30" s="46">
        <f t="shared" si="5"/>
        <v>161.49099999999999</v>
      </c>
      <c r="Q30" s="47">
        <f t="shared" si="6"/>
        <v>-161.49099999999999</v>
      </c>
      <c r="R30" s="47">
        <f t="shared" si="7"/>
        <v>10794.427</v>
      </c>
      <c r="S30" s="515">
        <f t="shared" si="8"/>
        <v>0</v>
      </c>
      <c r="T30" s="48"/>
      <c r="U30" s="516">
        <f t="shared" si="9"/>
        <v>8.772664364147662</v>
      </c>
      <c r="V30" s="49"/>
      <c r="W30" s="46"/>
      <c r="X30" s="46"/>
      <c r="AA30" s="54"/>
    </row>
    <row r="31" spans="2:27">
      <c r="B31" s="50">
        <f>MAX(B$14:B30)+1</f>
        <v>11</v>
      </c>
      <c r="D31" s="51" t="s">
        <v>73</v>
      </c>
      <c r="F31" s="30"/>
      <c r="G31" s="30"/>
      <c r="H31" s="52">
        <f>SUM(H28:H30)</f>
        <v>649.83333333333337</v>
      </c>
      <c r="J31" s="52">
        <f>SUM(J28:J30)</f>
        <v>1448017.0617758613</v>
      </c>
      <c r="L31" s="53">
        <f>SUM(L28:L30)</f>
        <v>118172.36799999999</v>
      </c>
      <c r="M31" s="47"/>
      <c r="N31" s="53">
        <f>SUM(N28:N30)</f>
        <v>119380.27800000001</v>
      </c>
      <c r="O31" s="46"/>
      <c r="P31" s="53">
        <f>SUM(P28:P30)</f>
        <v>1207.9100000000058</v>
      </c>
      <c r="Q31" s="53">
        <f>SUM(Q28:Q30)</f>
        <v>-1207.9100000000058</v>
      </c>
      <c r="R31" s="53">
        <f>SUM(R28:R30)</f>
        <v>118172.36799999999</v>
      </c>
      <c r="S31" s="517">
        <f t="shared" si="8"/>
        <v>0</v>
      </c>
      <c r="T31" s="48"/>
      <c r="U31" s="518">
        <f t="shared" si="9"/>
        <v>8.1609789773521264</v>
      </c>
      <c r="V31" s="49"/>
      <c r="W31" s="53">
        <f>'[1](JAP4) Rate Spread'!$J$20</f>
        <v>1208.1934176391908</v>
      </c>
      <c r="X31" s="53">
        <f>W31-P31</f>
        <v>0.28341763918501783</v>
      </c>
      <c r="AA31" s="54"/>
    </row>
    <row r="32" spans="2:27">
      <c r="B32" s="50"/>
      <c r="F32" s="29"/>
      <c r="G32" s="30"/>
      <c r="H32" s="45"/>
      <c r="J32" s="45"/>
      <c r="L32" s="46"/>
      <c r="M32" s="47"/>
      <c r="N32" s="46"/>
      <c r="O32" s="46"/>
      <c r="P32" s="46"/>
      <c r="Q32" s="47"/>
      <c r="R32" s="47"/>
      <c r="S32" s="515"/>
      <c r="T32" s="48"/>
      <c r="U32" s="516"/>
      <c r="V32" s="49"/>
      <c r="W32" s="46"/>
      <c r="X32" s="46"/>
      <c r="AA32" s="54"/>
    </row>
    <row r="33" spans="2:27">
      <c r="B33" s="50">
        <f>MAX(B$14:B32)+1</f>
        <v>12</v>
      </c>
      <c r="D33" s="17" t="s">
        <v>74</v>
      </c>
      <c r="F33" s="29">
        <v>40</v>
      </c>
      <c r="G33" s="30"/>
      <c r="H33" s="52">
        <f>'[1](JAP4) Proposed ERF Rev'!H33</f>
        <v>135.25</v>
      </c>
      <c r="J33" s="52">
        <f>'[1](JAP4) Proposed ERF Rev'!J33</f>
        <v>534767.4366040678</v>
      </c>
      <c r="L33" s="53">
        <f>'[1](JAP4) Proposed ERF Rev'!L33</f>
        <v>39012.15</v>
      </c>
      <c r="M33" s="47"/>
      <c r="N33" s="53">
        <f>'[1](JAP4) Proposed ERF Rev'!N33</f>
        <v>39336.402000000002</v>
      </c>
      <c r="O33" s="46"/>
      <c r="P33" s="53">
        <f>N33-L33</f>
        <v>324.25200000000041</v>
      </c>
      <c r="Q33" s="53">
        <f>-P33</f>
        <v>-324.25200000000041</v>
      </c>
      <c r="R33" s="53">
        <f>SUM(L33,P33:Q33)</f>
        <v>39012.15</v>
      </c>
      <c r="S33" s="517">
        <f>SUM(P33:Q33)/L33</f>
        <v>0</v>
      </c>
      <c r="T33" s="48"/>
      <c r="U33" s="518">
        <f>R33/J33*100</f>
        <v>7.2951618460052003</v>
      </c>
      <c r="V33" s="49"/>
      <c r="W33" s="53">
        <f>'[1](JAP4) Rate Spread'!$J$22</f>
        <v>324.25200000000109</v>
      </c>
      <c r="X33" s="53">
        <f>W33-P33</f>
        <v>6.8212102632969618E-13</v>
      </c>
      <c r="AA33" s="54"/>
    </row>
    <row r="34" spans="2:27">
      <c r="B34" s="50"/>
      <c r="F34" s="29"/>
      <c r="G34" s="30"/>
      <c r="H34" s="45"/>
      <c r="J34" s="45"/>
      <c r="L34" s="46"/>
      <c r="M34" s="47"/>
      <c r="N34" s="46"/>
      <c r="O34" s="46"/>
      <c r="P34" s="46"/>
      <c r="Q34" s="47"/>
      <c r="R34" s="47"/>
      <c r="S34" s="515"/>
      <c r="T34" s="48"/>
      <c r="U34" s="516"/>
      <c r="V34" s="49"/>
      <c r="W34" s="46"/>
      <c r="X34" s="46"/>
      <c r="AA34" s="54"/>
    </row>
    <row r="35" spans="2:27">
      <c r="B35" s="50"/>
      <c r="D35" s="56" t="s">
        <v>75</v>
      </c>
      <c r="F35" s="29"/>
      <c r="G35" s="30"/>
      <c r="H35" s="45"/>
      <c r="J35" s="45"/>
      <c r="L35" s="46"/>
      <c r="M35" s="47"/>
      <c r="N35" s="46"/>
      <c r="O35" s="46"/>
      <c r="P35" s="46"/>
      <c r="Q35" s="47"/>
      <c r="R35" s="47"/>
      <c r="S35" s="515"/>
      <c r="T35" s="48"/>
      <c r="U35" s="516"/>
      <c r="V35" s="49"/>
      <c r="W35" s="46"/>
      <c r="X35" s="46"/>
    </row>
    <row r="36" spans="2:27">
      <c r="B36" s="50">
        <f>MAX(B$14:B34)+1</f>
        <v>13</v>
      </c>
      <c r="D36" s="58" t="s">
        <v>76</v>
      </c>
      <c r="F36" s="29">
        <v>46</v>
      </c>
      <c r="G36" s="30"/>
      <c r="H36" s="45">
        <f>'[1](JAP4) Proposed ERF Rev'!H36</f>
        <v>5</v>
      </c>
      <c r="I36" s="18"/>
      <c r="J36" s="45">
        <f>'[1](JAP4) Proposed ERF Rev'!J36</f>
        <v>81153.842000000004</v>
      </c>
      <c r="L36" s="46">
        <f>'[1](JAP4) Proposed ERF Rev'!L36</f>
        <v>5401.9690000000001</v>
      </c>
      <c r="M36" s="47"/>
      <c r="N36" s="46">
        <f>'[1](JAP4) Proposed ERF Rev'!N36</f>
        <v>5455.5240000000003</v>
      </c>
      <c r="O36" s="46"/>
      <c r="P36" s="46">
        <f t="shared" ref="P36:P37" si="10">N36-L36</f>
        <v>53.555000000000291</v>
      </c>
      <c r="Q36" s="47">
        <f t="shared" ref="Q36:Q37" si="11">-P36</f>
        <v>-53.555000000000291</v>
      </c>
      <c r="R36" s="47">
        <f>SUM(L36,P36:Q36)</f>
        <v>5401.9690000000001</v>
      </c>
      <c r="S36" s="515">
        <f t="shared" ref="S36:S38" si="12">SUM(P36:Q36)/L36</f>
        <v>0</v>
      </c>
      <c r="T36" s="48"/>
      <c r="U36" s="516">
        <f t="shared" ref="U36:U38" si="13">R36/J36*100</f>
        <v>6.6564550326526746</v>
      </c>
      <c r="V36" s="49"/>
      <c r="W36" s="46"/>
      <c r="X36" s="46"/>
      <c r="AA36" s="54"/>
    </row>
    <row r="37" spans="2:27">
      <c r="B37" s="50">
        <f>MAX(B$14:B36)+1</f>
        <v>14</v>
      </c>
      <c r="D37" s="17" t="s">
        <v>77</v>
      </c>
      <c r="F37" s="29">
        <v>49</v>
      </c>
      <c r="G37" s="30"/>
      <c r="H37" s="45">
        <f>'[1](JAP4) Proposed ERF Rev'!H37</f>
        <v>20</v>
      </c>
      <c r="I37" s="18"/>
      <c r="J37" s="45">
        <f>'[1](JAP4) Proposed ERF Rev'!J37</f>
        <v>553489.29599999997</v>
      </c>
      <c r="L37" s="46">
        <f>'[1](JAP4) Proposed ERF Rev'!L37</f>
        <v>36052.419000000002</v>
      </c>
      <c r="M37" s="47"/>
      <c r="N37" s="46">
        <f>'[1](JAP4) Proposed ERF Rev'!N37</f>
        <v>36401.894</v>
      </c>
      <c r="O37" s="46"/>
      <c r="P37" s="46">
        <f t="shared" si="10"/>
        <v>349.47499999999854</v>
      </c>
      <c r="Q37" s="47">
        <f t="shared" si="11"/>
        <v>-349.47499999999854</v>
      </c>
      <c r="R37" s="47">
        <f>SUM(L37,P37:Q37)</f>
        <v>36052.419000000002</v>
      </c>
      <c r="S37" s="515">
        <f t="shared" si="12"/>
        <v>0</v>
      </c>
      <c r="T37" s="48"/>
      <c r="U37" s="516">
        <f t="shared" si="13"/>
        <v>6.5136614674477826</v>
      </c>
      <c r="V37" s="49"/>
      <c r="W37" s="46"/>
      <c r="X37" s="46"/>
      <c r="AA37" s="54"/>
    </row>
    <row r="38" spans="2:27">
      <c r="B38" s="50">
        <f>MAX(B$14:B37)+1</f>
        <v>15</v>
      </c>
      <c r="D38" s="51" t="s">
        <v>75</v>
      </c>
      <c r="F38" s="30"/>
      <c r="G38" s="30"/>
      <c r="H38" s="52">
        <f>SUM(H36:H37)</f>
        <v>25</v>
      </c>
      <c r="J38" s="52">
        <f>SUM(J36:J37)</f>
        <v>634643.13800000004</v>
      </c>
      <c r="L38" s="53">
        <f>SUM(L36:L37)</f>
        <v>41454.387999999999</v>
      </c>
      <c r="M38" s="47"/>
      <c r="N38" s="53">
        <f>SUM(N36:N37)</f>
        <v>41857.417999999998</v>
      </c>
      <c r="O38" s="46"/>
      <c r="P38" s="53">
        <f>SUM(P36:P37)</f>
        <v>403.02999999999884</v>
      </c>
      <c r="Q38" s="53">
        <f>SUM(Q36:Q37)</f>
        <v>-403.02999999999884</v>
      </c>
      <c r="R38" s="53">
        <f>SUM(R36:R37)</f>
        <v>41454.387999999999</v>
      </c>
      <c r="S38" s="517">
        <f t="shared" si="12"/>
        <v>0</v>
      </c>
      <c r="T38" s="48"/>
      <c r="U38" s="518">
        <f t="shared" si="13"/>
        <v>6.5319209360142789</v>
      </c>
      <c r="V38" s="49"/>
      <c r="W38" s="53">
        <f>'[1](JAP4) Rate Spread'!$J$24</f>
        <v>402.99958198420177</v>
      </c>
      <c r="X38" s="53">
        <f>W38-P38</f>
        <v>-3.041801579706771E-2</v>
      </c>
      <c r="AA38" s="54"/>
    </row>
    <row r="39" spans="2:27">
      <c r="B39" s="50"/>
      <c r="F39" s="29"/>
      <c r="G39" s="30"/>
      <c r="H39" s="45"/>
      <c r="J39" s="45"/>
      <c r="L39" s="46"/>
      <c r="M39" s="47"/>
      <c r="N39" s="46"/>
      <c r="O39" s="46"/>
      <c r="P39" s="46"/>
      <c r="Q39" s="47"/>
      <c r="R39" s="47"/>
      <c r="S39" s="515"/>
      <c r="T39" s="48"/>
      <c r="U39" s="516"/>
      <c r="V39" s="49"/>
      <c r="W39" s="46"/>
      <c r="X39" s="46"/>
      <c r="AA39" s="54"/>
    </row>
    <row r="40" spans="2:27">
      <c r="B40" s="50">
        <f>MAX(B$14:B39)+1</f>
        <v>16</v>
      </c>
      <c r="D40" s="17" t="s">
        <v>78</v>
      </c>
      <c r="F40" s="29" t="s">
        <v>79</v>
      </c>
      <c r="G40" s="30"/>
      <c r="H40" s="52">
        <f>'[1](JAP4) Proposed ERF Rev'!H40</f>
        <v>20</v>
      </c>
      <c r="J40" s="52">
        <f>'[1](JAP4) Proposed ERF Rev'!J40</f>
        <v>1993600.694324</v>
      </c>
      <c r="L40" s="53">
        <f>'[1](JAP4) Proposed ERF Rev'!L40</f>
        <v>8376.0509999999995</v>
      </c>
      <c r="M40" s="47"/>
      <c r="N40" s="53">
        <f>'[1](JAP4) Proposed ERF Rev'!N40</f>
        <v>8383.2009999999991</v>
      </c>
      <c r="O40" s="46"/>
      <c r="P40" s="53">
        <f>N40-L40</f>
        <v>7.1499999999996362</v>
      </c>
      <c r="Q40" s="53">
        <f>-P40</f>
        <v>-7.1499999999996362</v>
      </c>
      <c r="R40" s="53">
        <f>SUM(L40,P40:Q40)</f>
        <v>8376.0509999999995</v>
      </c>
      <c r="S40" s="517">
        <f>SUM(P40:Q40)/L40</f>
        <v>0</v>
      </c>
      <c r="T40" s="48"/>
      <c r="U40" s="518">
        <f>R40/J40*100</f>
        <v>0.42014687413821311</v>
      </c>
      <c r="V40" s="49"/>
      <c r="W40" s="53">
        <f>'[1](JAP4) Rate Spread'!$J$26</f>
        <v>7.15</v>
      </c>
      <c r="X40" s="53">
        <f>W40-P40</f>
        <v>3.6415315207705135E-13</v>
      </c>
      <c r="AA40" s="54"/>
    </row>
    <row r="41" spans="2:27">
      <c r="B41" s="50"/>
      <c r="F41" s="29"/>
      <c r="G41" s="30"/>
      <c r="H41" s="45"/>
      <c r="J41" s="45"/>
      <c r="L41" s="46"/>
      <c r="M41" s="47"/>
      <c r="N41" s="46"/>
      <c r="O41" s="46"/>
      <c r="P41" s="46"/>
      <c r="Q41" s="47"/>
      <c r="R41" s="47"/>
      <c r="S41" s="515"/>
      <c r="T41" s="48"/>
      <c r="U41" s="516"/>
      <c r="V41" s="49"/>
      <c r="W41" s="46"/>
      <c r="X41" s="46"/>
      <c r="AA41" s="54"/>
    </row>
    <row r="42" spans="2:27">
      <c r="B42" s="50">
        <f>MAX(B$14:B41)+1</f>
        <v>17</v>
      </c>
      <c r="D42" s="17" t="s">
        <v>80</v>
      </c>
      <c r="F42" s="29" t="s">
        <v>20</v>
      </c>
      <c r="G42" s="30"/>
      <c r="H42" s="52">
        <f>'[1](JAP4) Proposed ERF Rev'!H42</f>
        <v>7697.083333333333</v>
      </c>
      <c r="J42" s="52">
        <f>'[1](JAP4) Proposed ERF Rev'!J42</f>
        <v>70906.886296500015</v>
      </c>
      <c r="L42" s="53">
        <f>'[1](JAP4) Proposed ERF Rev'!L42</f>
        <v>16588.931</v>
      </c>
      <c r="M42" s="47"/>
      <c r="N42" s="53">
        <f>'[1](JAP4) Proposed ERF Rev'!N42</f>
        <v>16837.228999999999</v>
      </c>
      <c r="O42" s="46"/>
      <c r="P42" s="53">
        <f>N42-L42</f>
        <v>248.29799999999886</v>
      </c>
      <c r="Q42" s="53">
        <f>-P42</f>
        <v>-248.29799999999886</v>
      </c>
      <c r="R42" s="53">
        <f>SUM(L42,P42:Q42)</f>
        <v>16588.931</v>
      </c>
      <c r="S42" s="517">
        <f>SUM(P42:Q42)/L42</f>
        <v>0</v>
      </c>
      <c r="T42" s="48"/>
      <c r="U42" s="518">
        <f>R42/J42*100</f>
        <v>23.395373660370183</v>
      </c>
      <c r="V42" s="49"/>
      <c r="W42" s="53">
        <f>'[1](JAP4) Rate Spread'!$J$28</f>
        <v>248.10706532775495</v>
      </c>
      <c r="X42" s="53">
        <f>W42-P42</f>
        <v>-0.19093467224391247</v>
      </c>
      <c r="AA42" s="54"/>
    </row>
    <row r="43" spans="2:27">
      <c r="B43" s="50"/>
      <c r="F43" s="29"/>
      <c r="G43" s="30"/>
      <c r="H43" s="45"/>
      <c r="J43" s="45"/>
      <c r="L43" s="46"/>
      <c r="M43" s="47"/>
      <c r="N43" s="46"/>
      <c r="O43" s="46"/>
      <c r="P43" s="46"/>
      <c r="Q43" s="47"/>
      <c r="R43" s="47"/>
      <c r="S43" s="515"/>
      <c r="T43" s="48"/>
      <c r="U43" s="516"/>
      <c r="V43" s="49"/>
      <c r="W43" s="46"/>
      <c r="X43" s="46"/>
      <c r="AA43" s="54"/>
    </row>
    <row r="44" spans="2:27">
      <c r="B44" s="50">
        <f>MAX(B$14:B43)+1</f>
        <v>18</v>
      </c>
      <c r="D44" s="51" t="s">
        <v>81</v>
      </c>
      <c r="H44" s="52">
        <f>SUM(H42,H40,H38,H33,H31,H25,H18)</f>
        <v>1179647.75</v>
      </c>
      <c r="J44" s="52">
        <f>SUM(J42,J40,J38,J33,J31,J25,J18)</f>
        <v>22962663.079933044</v>
      </c>
      <c r="L44" s="53">
        <f>SUM(L42,L40,L38,L33,L31,L25,L18)</f>
        <v>2026039.736</v>
      </c>
      <c r="M44" s="47"/>
      <c r="N44" s="53">
        <f>SUM(N42,N40,N38,N33,N31,N25,N18)</f>
        <v>2051959.977</v>
      </c>
      <c r="O44" s="46"/>
      <c r="P44" s="53">
        <f>SUM(P42,P40,P38,P33,P31,P25,P18)</f>
        <v>25920.240999999936</v>
      </c>
      <c r="Q44" s="53">
        <f>SUM(Q42,Q40,Q38,Q33,Q31,Q25,Q18)</f>
        <v>-25920.240999999936</v>
      </c>
      <c r="R44" s="53">
        <f>SUM(R42,R40,R38,R33,R31,R25,R18)</f>
        <v>2026039.736</v>
      </c>
      <c r="S44" s="517">
        <f>SUM(P44:Q44)/L44</f>
        <v>0</v>
      </c>
      <c r="T44" s="48"/>
      <c r="U44" s="518">
        <f>R44/J44*100</f>
        <v>8.8231914954609341</v>
      </c>
      <c r="V44" s="49"/>
      <c r="W44" s="53">
        <f>SUM(W42,W40,W38,W33,W31,W25,W18)</f>
        <v>25921.682974425901</v>
      </c>
      <c r="X44" s="53">
        <f>W44-P44</f>
        <v>1.4419744259648724</v>
      </c>
      <c r="AA44" s="54"/>
    </row>
    <row r="45" spans="2:27">
      <c r="B45" s="33"/>
      <c r="L45" s="54"/>
      <c r="M45" s="54"/>
      <c r="N45" s="54"/>
      <c r="O45" s="54"/>
      <c r="P45" s="54"/>
      <c r="Q45" s="54"/>
      <c r="R45" s="54"/>
      <c r="S45" s="519"/>
      <c r="T45" s="280"/>
      <c r="U45" s="520"/>
      <c r="V45" s="22"/>
      <c r="W45" s="54"/>
      <c r="X45" s="54"/>
      <c r="AA45" s="54"/>
    </row>
    <row r="46" spans="2:27">
      <c r="B46" s="50">
        <f>MAX(B$14:B45)+1</f>
        <v>19</v>
      </c>
      <c r="D46" s="17" t="s">
        <v>82</v>
      </c>
      <c r="F46" s="29" t="s">
        <v>20</v>
      </c>
      <c r="G46" s="30"/>
      <c r="H46" s="52">
        <f>'[1](JAP4) Proposed ERF Rev'!H46</f>
        <v>8</v>
      </c>
      <c r="J46" s="52">
        <f>'[1](JAP4) Proposed ERF Rev'!J46</f>
        <v>7237.6555782419</v>
      </c>
      <c r="L46" s="53">
        <f>'[1](JAP4) Proposed ERF Rev'!L46</f>
        <v>329.85399999999998</v>
      </c>
      <c r="M46" s="47"/>
      <c r="N46" s="53">
        <f>'[1](JAP4) Proposed ERF Rev'!N46</f>
        <v>334.07423846024227</v>
      </c>
      <c r="O46" s="46"/>
      <c r="P46" s="53">
        <f>N46-L46</f>
        <v>4.2202384602422853</v>
      </c>
      <c r="Q46" s="53">
        <f>-P46</f>
        <v>-4.2202384602422853</v>
      </c>
      <c r="R46" s="53">
        <f>SUM(L46,P46:Q46)</f>
        <v>329.85399999999998</v>
      </c>
      <c r="S46" s="517">
        <f>SUM(P46:Q46)/L46</f>
        <v>0</v>
      </c>
      <c r="T46" s="48"/>
      <c r="U46" s="518">
        <f>R46/J46*100</f>
        <v>4.5574702530971347</v>
      </c>
      <c r="V46" s="49"/>
      <c r="W46" s="53">
        <f>'[1](JAP4) Rate Spread'!$J$32</f>
        <v>4.2202384602422631</v>
      </c>
      <c r="X46" s="53">
        <f>W46-P46</f>
        <v>-2.2204460492503131E-14</v>
      </c>
      <c r="AA46" s="54"/>
    </row>
    <row r="47" spans="2:27">
      <c r="B47" s="33"/>
      <c r="L47" s="54"/>
      <c r="M47" s="54"/>
      <c r="N47" s="54"/>
      <c r="O47" s="54"/>
      <c r="P47" s="54"/>
      <c r="Q47" s="54"/>
      <c r="R47" s="54"/>
      <c r="S47" s="519"/>
      <c r="T47" s="280"/>
      <c r="U47" s="520"/>
      <c r="V47" s="22"/>
      <c r="W47" s="54"/>
      <c r="X47" s="54"/>
      <c r="AA47" s="54"/>
    </row>
    <row r="48" spans="2:27" ht="16.5" thickBot="1">
      <c r="B48" s="50">
        <f>MAX(B$14:B47)+1</f>
        <v>20</v>
      </c>
      <c r="D48" s="60" t="s">
        <v>83</v>
      </c>
      <c r="H48" s="61">
        <f>H46+H44</f>
        <v>1179655.75</v>
      </c>
      <c r="J48" s="61">
        <f>J46+J44</f>
        <v>22969900.735511284</v>
      </c>
      <c r="L48" s="62">
        <f>L46+L44</f>
        <v>2026369.59</v>
      </c>
      <c r="M48" s="63"/>
      <c r="N48" s="62">
        <f>N46+N44</f>
        <v>2052294.0512384602</v>
      </c>
      <c r="O48" s="64"/>
      <c r="P48" s="62">
        <f>P46+P44</f>
        <v>25924.461238460179</v>
      </c>
      <c r="Q48" s="62">
        <f>Q46+Q44</f>
        <v>-25924.461238460179</v>
      </c>
      <c r="R48" s="62">
        <f>R46+R44</f>
        <v>2026369.59</v>
      </c>
      <c r="S48" s="521">
        <f>SUM(P48:Q48)/L48</f>
        <v>0</v>
      </c>
      <c r="T48" s="49"/>
      <c r="U48" s="522">
        <f>R48/J48*100</f>
        <v>8.8218473964375868</v>
      </c>
      <c r="V48" s="49"/>
      <c r="W48" s="62">
        <f t="shared" ref="W48:X48" si="14">W46+W44</f>
        <v>25925.903212886144</v>
      </c>
      <c r="X48" s="62">
        <f t="shared" si="14"/>
        <v>1.4419744259648501</v>
      </c>
      <c r="AA48" s="54"/>
    </row>
    <row r="49" spans="2:27" ht="16.5" thickTop="1">
      <c r="B49" s="548" t="s">
        <v>24</v>
      </c>
      <c r="C49" s="549"/>
      <c r="D49" s="549"/>
      <c r="H49" s="65"/>
      <c r="J49" s="65"/>
      <c r="L49" s="66"/>
      <c r="M49" s="49"/>
      <c r="N49" s="66"/>
      <c r="O49" s="66"/>
      <c r="P49" s="66"/>
      <c r="Q49" s="67"/>
      <c r="R49" s="67"/>
      <c r="S49" s="55"/>
      <c r="T49" s="49"/>
      <c r="U49" s="49"/>
      <c r="V49" s="49"/>
      <c r="AA49" s="54"/>
    </row>
    <row r="50" spans="2:27" ht="18.75" customHeight="1">
      <c r="H50" s="280"/>
      <c r="I50" s="280"/>
      <c r="J50" s="57"/>
      <c r="K50" s="280"/>
      <c r="L50" s="71"/>
      <c r="P50" s="67" t="s">
        <v>24</v>
      </c>
      <c r="Q50" s="67"/>
      <c r="R50" s="67"/>
      <c r="S50" s="68" t="s">
        <v>24</v>
      </c>
      <c r="AA50" s="54"/>
    </row>
    <row r="51" spans="2:27">
      <c r="H51" s="280"/>
      <c r="I51" s="280"/>
      <c r="J51" s="57"/>
      <c r="K51" s="280"/>
      <c r="L51" s="71"/>
      <c r="M51" s="22"/>
      <c r="N51" s="69"/>
      <c r="P51" s="69"/>
      <c r="Q51" s="69"/>
      <c r="R51" s="69"/>
      <c r="S51" s="70"/>
      <c r="T51" s="22"/>
      <c r="U51" s="22"/>
      <c r="V51" s="22"/>
      <c r="AA51" s="54"/>
    </row>
    <row r="52" spans="2:27">
      <c r="J52" s="57"/>
      <c r="L52" s="71"/>
      <c r="M52" s="22"/>
      <c r="N52" s="71"/>
      <c r="P52" s="71"/>
      <c r="Q52" s="71"/>
      <c r="R52" s="71"/>
      <c r="T52" s="22"/>
      <c r="U52" s="66"/>
      <c r="V52" s="22"/>
    </row>
    <row r="53" spans="2:27">
      <c r="N53" s="72"/>
      <c r="P53" s="73"/>
      <c r="Q53" s="73"/>
      <c r="R53" s="73"/>
      <c r="S53" s="74"/>
    </row>
    <row r="54" spans="2:27">
      <c r="N54" s="22"/>
      <c r="P54" s="75"/>
      <c r="Q54" s="75"/>
      <c r="R54" s="75"/>
      <c r="S54" s="76"/>
    </row>
    <row r="55" spans="2:27">
      <c r="N55" s="43"/>
      <c r="P55" s="77"/>
      <c r="Q55" s="77"/>
      <c r="R55" s="77"/>
      <c r="S55" s="78"/>
    </row>
    <row r="56" spans="2:27">
      <c r="N56" s="79"/>
      <c r="S56" s="80"/>
    </row>
    <row r="57" spans="2:27">
      <c r="N57" s="18"/>
      <c r="S57" s="81"/>
    </row>
    <row r="59" spans="2:27">
      <c r="N59" s="43"/>
    </row>
  </sheetData>
  <mergeCells count="11">
    <mergeCell ref="B7:T7"/>
    <mergeCell ref="B2:T2"/>
    <mergeCell ref="B3:T3"/>
    <mergeCell ref="B4:T4"/>
    <mergeCell ref="B5:T5"/>
    <mergeCell ref="B6:T6"/>
    <mergeCell ref="N9:S9"/>
    <mergeCell ref="N10:S10"/>
    <mergeCell ref="W11:W13"/>
    <mergeCell ref="X11:X13"/>
    <mergeCell ref="B49:D49"/>
  </mergeCells>
  <printOptions horizontalCentered="1"/>
  <pageMargins left="0.7" right="0.7" top="0.75" bottom="0.75" header="0.3" footer="0.3"/>
  <pageSetup scale="7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490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4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1.5703125" style="1" bestFit="1" customWidth="1"/>
    <col min="6" max="6" width="13.28515625" style="1" bestFit="1" customWidth="1"/>
    <col min="7" max="16384" width="8.85546875" style="1"/>
  </cols>
  <sheetData>
    <row r="1" spans="1:6">
      <c r="A1" s="552" t="s">
        <v>0</v>
      </c>
      <c r="B1" s="552"/>
      <c r="C1" s="552"/>
      <c r="D1" s="552"/>
      <c r="E1" s="552"/>
      <c r="F1" s="552"/>
    </row>
    <row r="2" spans="1:6">
      <c r="A2" s="553" t="s">
        <v>88</v>
      </c>
      <c r="B2" s="552"/>
      <c r="C2" s="552"/>
      <c r="D2" s="552"/>
      <c r="E2" s="552"/>
      <c r="F2" s="552"/>
    </row>
    <row r="3" spans="1:6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6">
      <c r="A4" s="552"/>
      <c r="B4" s="552"/>
      <c r="C4" s="552"/>
      <c r="D4" s="552"/>
      <c r="E4" s="552"/>
      <c r="F4" s="552"/>
    </row>
    <row r="5" spans="1:6">
      <c r="A5" s="2"/>
      <c r="B5" s="3"/>
      <c r="C5" s="3"/>
      <c r="D5" s="3"/>
      <c r="E5" s="4"/>
      <c r="F5" s="4"/>
    </row>
    <row r="6" spans="1:6" ht="38.25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359" t="s">
        <v>445</v>
      </c>
      <c r="F6" s="7" t="s">
        <v>205</v>
      </c>
    </row>
    <row r="7" spans="1:6">
      <c r="A7" s="3">
        <v>1</v>
      </c>
      <c r="B7" s="3">
        <v>7</v>
      </c>
      <c r="C7" s="4"/>
      <c r="D7" s="9">
        <f>+'JAP-4 (ERF Impacts)'!C9</f>
        <v>10657340</v>
      </c>
      <c r="E7" s="182">
        <v>0</v>
      </c>
      <c r="F7" s="183">
        <f>ROUND(D7*E7,0)</f>
        <v>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82">
        <v>0</v>
      </c>
      <c r="F8" s="183">
        <f>ROUND(D8*E8,0)</f>
        <v>0</v>
      </c>
    </row>
    <row r="9" spans="1:6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0</v>
      </c>
    </row>
    <row r="10" spans="1:6">
      <c r="A10" s="3">
        <f t="shared" si="0"/>
        <v>4</v>
      </c>
      <c r="B10" s="3"/>
      <c r="C10" s="4"/>
      <c r="D10" s="9"/>
      <c r="E10" s="182"/>
      <c r="F10" s="183"/>
    </row>
    <row r="11" spans="1:6">
      <c r="A11" s="3">
        <f t="shared" si="0"/>
        <v>5</v>
      </c>
      <c r="B11" s="3">
        <v>8</v>
      </c>
      <c r="C11" s="4"/>
      <c r="D11" s="9">
        <v>0</v>
      </c>
      <c r="E11" s="182">
        <v>0</v>
      </c>
      <c r="F11" s="18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D12" s="9">
        <f>+'JAP-4 (ERF Impacts)'!C12</f>
        <v>2769974</v>
      </c>
      <c r="E12" s="182">
        <v>0</v>
      </c>
      <c r="F12" s="183">
        <f t="shared" si="2"/>
        <v>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82">
        <v>0</v>
      </c>
      <c r="F13" s="183">
        <f t="shared" si="2"/>
        <v>0</v>
      </c>
    </row>
    <row r="14" spans="1:6">
      <c r="A14" s="3">
        <f t="shared" si="0"/>
        <v>8</v>
      </c>
      <c r="B14" s="2">
        <v>25</v>
      </c>
      <c r="D14" s="9">
        <f>+'JAP-4 (ERF Impacts)'!C13</f>
        <v>2962665</v>
      </c>
      <c r="E14" s="182">
        <v>0</v>
      </c>
      <c r="F14" s="183">
        <f t="shared" si="2"/>
        <v>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82">
        <v>0</v>
      </c>
      <c r="F15" s="183">
        <f t="shared" si="2"/>
        <v>0</v>
      </c>
    </row>
    <row r="16" spans="1:6">
      <c r="A16" s="3">
        <f t="shared" si="0"/>
        <v>10</v>
      </c>
      <c r="B16" s="3" t="s">
        <v>16</v>
      </c>
      <c r="D16" s="9">
        <f>+'JAP-4 (ERF Impacts)'!C14</f>
        <v>1872506</v>
      </c>
      <c r="E16" s="182">
        <v>0</v>
      </c>
      <c r="F16" s="183">
        <f t="shared" si="2"/>
        <v>0</v>
      </c>
    </row>
    <row r="17" spans="1:6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v>0</v>
      </c>
      <c r="F17" s="183">
        <f t="shared" si="2"/>
        <v>0</v>
      </c>
    </row>
    <row r="18" spans="1:6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3">SUM(F11:F17)</f>
        <v>0</v>
      </c>
    </row>
    <row r="19" spans="1:6">
      <c r="A19" s="3">
        <f t="shared" si="0"/>
        <v>13</v>
      </c>
      <c r="B19" s="3"/>
      <c r="C19" s="4"/>
      <c r="D19" s="9"/>
      <c r="E19" s="182"/>
      <c r="F19" s="183"/>
    </row>
    <row r="20" spans="1:6">
      <c r="A20" s="3">
        <f t="shared" si="0"/>
        <v>14</v>
      </c>
      <c r="B20" s="3">
        <v>10</v>
      </c>
      <c r="D20" s="9">
        <v>0</v>
      </c>
      <c r="E20" s="182">
        <v>0</v>
      </c>
      <c r="F20" s="18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2">
        <v>0</v>
      </c>
      <c r="F21" s="183">
        <f>ROUND(D21*E21,0)</f>
        <v>0</v>
      </c>
    </row>
    <row r="22" spans="1:6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2">
        <v>0</v>
      </c>
      <c r="F22" s="183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2">
        <v>0</v>
      </c>
      <c r="F23" s="183">
        <f>ROUND(D23*E23,0)</f>
        <v>0</v>
      </c>
    </row>
    <row r="24" spans="1:6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4">SUM(F20:F23)</f>
        <v>0</v>
      </c>
    </row>
    <row r="25" spans="1:6">
      <c r="A25" s="3">
        <f t="shared" si="0"/>
        <v>19</v>
      </c>
      <c r="B25" s="3"/>
      <c r="C25" s="4"/>
      <c r="D25" s="9"/>
      <c r="E25" s="182"/>
      <c r="F25" s="183"/>
    </row>
    <row r="26" spans="1:6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v>0</v>
      </c>
      <c r="F26" s="185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82"/>
      <c r="F27" s="183"/>
    </row>
    <row r="28" spans="1:6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v>0</v>
      </c>
      <c r="F28" s="18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v>0</v>
      </c>
      <c r="F29" s="183">
        <f>ROUND(D29*E29,0)</f>
        <v>0</v>
      </c>
    </row>
    <row r="30" spans="1:6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5">SUM(F28:F29)</f>
        <v>0</v>
      </c>
    </row>
    <row r="31" spans="1:6">
      <c r="A31" s="3">
        <f t="shared" si="0"/>
        <v>25</v>
      </c>
      <c r="B31" s="3"/>
      <c r="C31" s="4"/>
      <c r="D31" s="9"/>
      <c r="E31" s="182"/>
      <c r="F31" s="183"/>
    </row>
    <row r="32" spans="1:6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v>0</v>
      </c>
      <c r="F32" s="185">
        <f>ROUND(D32*E32,0)</f>
        <v>0</v>
      </c>
    </row>
    <row r="33" spans="1:6">
      <c r="A33" s="3">
        <f t="shared" si="0"/>
        <v>27</v>
      </c>
      <c r="B33" s="3"/>
      <c r="C33" s="4"/>
      <c r="D33" s="9"/>
      <c r="E33" s="182"/>
      <c r="F33" s="183"/>
    </row>
    <row r="34" spans="1:6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v>0</v>
      </c>
      <c r="F34" s="18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182"/>
      <c r="F35" s="183"/>
    </row>
    <row r="36" spans="1:6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6">SUM(F9,F18,F24,F26,F30,F32,F34)</f>
        <v>0</v>
      </c>
    </row>
    <row r="37" spans="1:6" ht="13.5" thickTop="1">
      <c r="A37" s="3">
        <f t="shared" si="0"/>
        <v>31</v>
      </c>
      <c r="B37" s="3"/>
      <c r="F37" s="183"/>
    </row>
    <row r="38" spans="1:6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>
        <v>0</v>
      </c>
      <c r="F38" s="185">
        <f>ROUND(D38*E38,0)</f>
        <v>0</v>
      </c>
    </row>
    <row r="39" spans="1:6">
      <c r="A39" s="3">
        <f t="shared" si="0"/>
        <v>33</v>
      </c>
      <c r="B39" s="3"/>
      <c r="F39" s="183"/>
    </row>
    <row r="40" spans="1:6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F40" s="188">
        <f t="shared" ref="F40" si="7">SUM(F36,F38)</f>
        <v>0</v>
      </c>
    </row>
    <row r="41" spans="1:6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workbookViewId="0">
      <pane xSplit="3" ySplit="6" topLeftCell="H7" activePane="bottomRight" state="frozen"/>
      <selection pane="topRight" activeCell="D1" sqref="D1"/>
      <selection pane="bottomLeft" activeCell="A7" sqref="A7"/>
      <selection pane="bottomRight" activeCell="H7" sqref="H7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7" width="2.42578125" style="1" customWidth="1"/>
    <col min="8" max="8" width="18.28515625" style="1" bestFit="1" customWidth="1"/>
    <col min="9" max="9" width="9.5703125" style="1" bestFit="1" customWidth="1"/>
    <col min="10" max="10" width="2.28515625" style="1" customWidth="1"/>
    <col min="11" max="11" width="12.7109375" style="1" customWidth="1"/>
    <col min="12" max="16384" width="8.85546875" style="1"/>
  </cols>
  <sheetData>
    <row r="1" spans="1:11">
      <c r="A1" s="552" t="s">
        <v>0</v>
      </c>
      <c r="B1" s="552"/>
      <c r="C1" s="552"/>
      <c r="D1" s="552"/>
      <c r="E1" s="552"/>
      <c r="F1" s="552"/>
    </row>
    <row r="2" spans="1:11">
      <c r="A2" s="553" t="s">
        <v>92</v>
      </c>
      <c r="B2" s="552"/>
      <c r="C2" s="552"/>
      <c r="D2" s="552"/>
      <c r="E2" s="552"/>
      <c r="F2" s="552"/>
    </row>
    <row r="3" spans="1:11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11">
      <c r="A4" s="552"/>
      <c r="B4" s="552"/>
      <c r="C4" s="552"/>
      <c r="D4" s="552"/>
      <c r="E4" s="552"/>
      <c r="F4" s="552"/>
    </row>
    <row r="5" spans="1:11">
      <c r="A5" s="2"/>
      <c r="B5" s="3"/>
      <c r="C5" s="3"/>
      <c r="D5" s="3"/>
      <c r="E5" s="4"/>
      <c r="F5" s="4" t="s">
        <v>125</v>
      </c>
    </row>
    <row r="6" spans="1:11" ht="63.75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359" t="s">
        <v>409</v>
      </c>
      <c r="F6" s="7" t="s">
        <v>204</v>
      </c>
      <c r="H6" s="359" t="s">
        <v>532</v>
      </c>
      <c r="I6" s="359" t="s">
        <v>204</v>
      </c>
      <c r="K6" s="87"/>
    </row>
    <row r="7" spans="1:11">
      <c r="A7" s="3">
        <v>1</v>
      </c>
      <c r="B7" s="3">
        <v>7</v>
      </c>
      <c r="C7" s="4"/>
      <c r="D7" s="9">
        <f>+'JAP-4 (ERF Impacts)'!C9</f>
        <v>10657340</v>
      </c>
      <c r="E7" s="182">
        <f>+'UE-180887 Sch 95A'!F8</f>
        <v>-2.0720000000000001E-3</v>
      </c>
      <c r="F7" s="183">
        <f>ROUND(D7*E7,0)</f>
        <v>-22082</v>
      </c>
      <c r="H7" s="182">
        <f>+'UE-180887 Sch 95A'!G8</f>
        <v>-1.913E-3</v>
      </c>
      <c r="I7" s="391">
        <f>ROUND(D7*H7,0)</f>
        <v>-20387</v>
      </c>
      <c r="K7" s="408"/>
    </row>
    <row r="8" spans="1:11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+'UE-180887 Sch 95A'!F11</f>
        <v>-1.7129999999999999E-3</v>
      </c>
      <c r="F8" s="183">
        <f>ROUND(D8*E8,0)</f>
        <v>0</v>
      </c>
      <c r="H8" s="182">
        <f>+'UE-180887 Sch 95A'!G11</f>
        <v>-1.5679999999999999E-3</v>
      </c>
      <c r="I8" s="391">
        <f>ROUND(D8*H8,0)</f>
        <v>0</v>
      </c>
      <c r="K8" s="408"/>
    </row>
    <row r="9" spans="1:11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-22082</v>
      </c>
      <c r="H9" s="184"/>
      <c r="I9" s="392">
        <f t="shared" ref="I9" si="2">SUM(I7:I8)</f>
        <v>-20387</v>
      </c>
      <c r="K9" s="392"/>
    </row>
    <row r="10" spans="1:11">
      <c r="A10" s="3">
        <f t="shared" si="0"/>
        <v>4</v>
      </c>
      <c r="B10" s="3"/>
      <c r="C10" s="4"/>
      <c r="D10" s="9"/>
      <c r="E10" s="182"/>
      <c r="F10" s="183"/>
      <c r="H10" s="182"/>
      <c r="I10" s="391"/>
      <c r="K10" s="391"/>
    </row>
    <row r="11" spans="1:11">
      <c r="A11" s="3">
        <f t="shared" si="0"/>
        <v>5</v>
      </c>
      <c r="B11" s="3">
        <v>8</v>
      </c>
      <c r="C11" s="4"/>
      <c r="D11" s="9">
        <v>0</v>
      </c>
      <c r="E11" s="182">
        <f>+'UE-180887 Sch 95A'!F10</f>
        <v>-1.6739999999999999E-3</v>
      </c>
      <c r="F11" s="183">
        <f t="shared" ref="F11:F17" si="3">ROUND(D11*E11,0)</f>
        <v>0</v>
      </c>
      <c r="H11" s="182">
        <f>+'UE-180887 Sch 95A'!G10</f>
        <v>-1.6410000000000001E-3</v>
      </c>
      <c r="I11" s="391">
        <f t="shared" ref="I11:I17" si="4">ROUND(D11*H11,0)</f>
        <v>0</v>
      </c>
      <c r="K11" s="408"/>
    </row>
    <row r="12" spans="1:11">
      <c r="A12" s="3">
        <f t="shared" si="0"/>
        <v>6</v>
      </c>
      <c r="B12" s="3">
        <v>24</v>
      </c>
      <c r="D12" s="9">
        <f>+'JAP-4 (ERF Impacts)'!C12</f>
        <v>2769974</v>
      </c>
      <c r="E12" s="186">
        <f>+E11</f>
        <v>-1.6739999999999999E-3</v>
      </c>
      <c r="F12" s="183">
        <f t="shared" si="3"/>
        <v>-4637</v>
      </c>
      <c r="H12" s="186">
        <f>+H11</f>
        <v>-1.6410000000000001E-3</v>
      </c>
      <c r="I12" s="391">
        <f t="shared" si="4"/>
        <v>-4546</v>
      </c>
      <c r="K12" s="408"/>
    </row>
    <row r="13" spans="1:11">
      <c r="A13" s="3">
        <f t="shared" si="0"/>
        <v>7</v>
      </c>
      <c r="B13" s="2">
        <v>11</v>
      </c>
      <c r="C13" s="4"/>
      <c r="D13" s="9">
        <v>0</v>
      </c>
      <c r="E13" s="182">
        <f>+E8</f>
        <v>-1.7129999999999999E-3</v>
      </c>
      <c r="F13" s="183">
        <f t="shared" si="3"/>
        <v>0</v>
      </c>
      <c r="H13" s="182">
        <f>+H8</f>
        <v>-1.5679999999999999E-3</v>
      </c>
      <c r="I13" s="391">
        <f t="shared" si="4"/>
        <v>0</v>
      </c>
      <c r="K13" s="408"/>
    </row>
    <row r="14" spans="1:11">
      <c r="A14" s="3">
        <f t="shared" si="0"/>
        <v>8</v>
      </c>
      <c r="B14" s="2">
        <v>25</v>
      </c>
      <c r="D14" s="9">
        <f>+'JAP-4 (ERF Impacts)'!C13</f>
        <v>2962665</v>
      </c>
      <c r="E14" s="186">
        <f>+E13</f>
        <v>-1.7129999999999999E-3</v>
      </c>
      <c r="F14" s="183">
        <f t="shared" si="3"/>
        <v>-5075</v>
      </c>
      <c r="H14" s="186">
        <f>+H13</f>
        <v>-1.5679999999999999E-3</v>
      </c>
      <c r="I14" s="391">
        <f t="shared" si="4"/>
        <v>-4645</v>
      </c>
      <c r="K14" s="408"/>
    </row>
    <row r="15" spans="1:11">
      <c r="A15" s="3">
        <f t="shared" si="0"/>
        <v>9</v>
      </c>
      <c r="B15" s="3">
        <v>12</v>
      </c>
      <c r="C15" s="4"/>
      <c r="D15" s="9">
        <v>0</v>
      </c>
      <c r="E15" s="182">
        <f>+'UE-180887 Sch 95A'!F12</f>
        <v>-1.786E-3</v>
      </c>
      <c r="F15" s="183">
        <f t="shared" si="3"/>
        <v>0</v>
      </c>
      <c r="H15" s="182">
        <f>+'UE-180887 Sch 95A'!G12</f>
        <v>-1.7099999999999999E-3</v>
      </c>
      <c r="I15" s="391">
        <f t="shared" si="4"/>
        <v>0</v>
      </c>
      <c r="K15" s="408"/>
    </row>
    <row r="16" spans="1:11">
      <c r="A16" s="3">
        <f t="shared" si="0"/>
        <v>10</v>
      </c>
      <c r="B16" s="3" t="s">
        <v>16</v>
      </c>
      <c r="D16" s="9">
        <f>+'JAP-4 (ERF Impacts)'!C14</f>
        <v>1872506</v>
      </c>
      <c r="E16" s="186">
        <f>+E15</f>
        <v>-1.786E-3</v>
      </c>
      <c r="F16" s="183">
        <f t="shared" si="3"/>
        <v>-3344</v>
      </c>
      <c r="H16" s="186">
        <f>+H15</f>
        <v>-1.7099999999999999E-3</v>
      </c>
      <c r="I16" s="391">
        <f t="shared" si="4"/>
        <v>-3202</v>
      </c>
      <c r="K16" s="408"/>
    </row>
    <row r="17" spans="1:11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+'UE-180887 Sch 95A'!F13</f>
        <v>-1.562E-3</v>
      </c>
      <c r="F17" s="183">
        <f t="shared" si="3"/>
        <v>-28</v>
      </c>
      <c r="H17" s="182">
        <f>+'UE-180887 Sch 95A'!G13</f>
        <v>-1.276E-3</v>
      </c>
      <c r="I17" s="391">
        <f t="shared" si="4"/>
        <v>-23</v>
      </c>
      <c r="K17" s="408"/>
    </row>
    <row r="18" spans="1:11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5">SUM(F11:F17)</f>
        <v>-13084</v>
      </c>
      <c r="H18" s="184"/>
      <c r="I18" s="392">
        <f t="shared" ref="I18" si="6">SUM(I11:I17)</f>
        <v>-12416</v>
      </c>
      <c r="K18" s="392"/>
    </row>
    <row r="19" spans="1:11">
      <c r="A19" s="3">
        <f t="shared" si="0"/>
        <v>13</v>
      </c>
      <c r="B19" s="3"/>
      <c r="C19" s="4"/>
      <c r="D19" s="9"/>
      <c r="E19" s="182"/>
      <c r="F19" s="183"/>
      <c r="H19" s="182"/>
      <c r="I19" s="391"/>
      <c r="K19" s="391"/>
    </row>
    <row r="20" spans="1:11">
      <c r="A20" s="3">
        <f t="shared" si="0"/>
        <v>14</v>
      </c>
      <c r="B20" s="3">
        <v>10</v>
      </c>
      <c r="D20" s="9">
        <v>0</v>
      </c>
      <c r="E20" s="182">
        <f>+'UE-180887 Sch 95A'!F17</f>
        <v>-1.668E-3</v>
      </c>
      <c r="F20" s="183">
        <f>ROUND(D20*E20,0)</f>
        <v>0</v>
      </c>
      <c r="H20" s="182">
        <f>+'UE-180887 Sch 95A'!G17</f>
        <v>-1.5430000000000001E-3</v>
      </c>
      <c r="I20" s="391">
        <f t="shared" ref="I20:I23" si="7">ROUND(D20*H20,0)</f>
        <v>0</v>
      </c>
      <c r="K20" s="408"/>
    </row>
    <row r="21" spans="1:11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-1.668E-3</v>
      </c>
      <c r="F21" s="183">
        <f>ROUND(D21*E21,0)</f>
        <v>-2204</v>
      </c>
      <c r="H21" s="186">
        <f>+H20</f>
        <v>-1.5430000000000001E-3</v>
      </c>
      <c r="I21" s="391">
        <f t="shared" si="7"/>
        <v>-2039</v>
      </c>
      <c r="K21" s="408"/>
    </row>
    <row r="22" spans="1:11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2">
        <f>+'UE-180887 Sch 95A'!F18</f>
        <v>-1.129E-3</v>
      </c>
      <c r="F22" s="183">
        <f>ROUND(D22*E22,0)</f>
        <v>-4</v>
      </c>
      <c r="H22" s="182">
        <f>+'UE-180887 Sch 95A'!G18</f>
        <v>-1.1590000000000001E-3</v>
      </c>
      <c r="I22" s="391">
        <f t="shared" si="7"/>
        <v>-4</v>
      </c>
      <c r="K22" s="408"/>
    </row>
    <row r="23" spans="1:11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2">
        <f>+'UE-180887 Sch 95A'!F19</f>
        <v>-1.508E-3</v>
      </c>
      <c r="F23" s="183">
        <f>ROUND(D23*E23,0)</f>
        <v>-186</v>
      </c>
      <c r="H23" s="182">
        <f>+'UE-180887 Sch 95A'!G19</f>
        <v>-1.294E-3</v>
      </c>
      <c r="I23" s="391">
        <f t="shared" si="7"/>
        <v>-159</v>
      </c>
      <c r="K23" s="408"/>
    </row>
    <row r="24" spans="1:11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8">SUM(F20:F23)</f>
        <v>-2394</v>
      </c>
      <c r="H24" s="184"/>
      <c r="I24" s="392">
        <f t="shared" ref="I24" si="9">SUM(I20:I23)</f>
        <v>-2202</v>
      </c>
      <c r="K24" s="392"/>
    </row>
    <row r="25" spans="1:11">
      <c r="A25" s="3">
        <f t="shared" si="0"/>
        <v>19</v>
      </c>
      <c r="B25" s="3"/>
      <c r="C25" s="4"/>
      <c r="D25" s="9"/>
      <c r="E25" s="182"/>
      <c r="F25" s="183"/>
      <c r="H25" s="182"/>
      <c r="I25" s="391"/>
      <c r="K25" s="391"/>
    </row>
    <row r="26" spans="1:11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+'UE-180887 Sch 95A'!F23</f>
        <v>-1.7719999999999999E-3</v>
      </c>
      <c r="F26" s="185">
        <f>ROUND(D26*E26,0)</f>
        <v>-948</v>
      </c>
      <c r="H26" s="184">
        <f>+'UE-180887 Sch 95A'!G23</f>
        <v>-1.755E-3</v>
      </c>
      <c r="I26" s="391">
        <f>ROUND(D26*H26,0)</f>
        <v>-939</v>
      </c>
      <c r="K26" s="408"/>
    </row>
    <row r="27" spans="1:11">
      <c r="A27" s="3">
        <f t="shared" si="0"/>
        <v>21</v>
      </c>
      <c r="B27" s="3"/>
      <c r="C27" s="4"/>
      <c r="D27" s="9"/>
      <c r="E27" s="182"/>
      <c r="F27" s="183"/>
      <c r="H27" s="182"/>
      <c r="I27" s="391"/>
      <c r="K27" s="391"/>
    </row>
    <row r="28" spans="1:11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+'UE-180887 Sch 95A'!F25</f>
        <v>-8.5300000000000003E-4</v>
      </c>
      <c r="F28" s="183">
        <f>ROUND(D28*E28,0)</f>
        <v>-69</v>
      </c>
      <c r="H28" s="182">
        <f>+'UE-180887 Sch 95A'!G25</f>
        <v>-9.9700000000000006E-4</v>
      </c>
      <c r="I28" s="391">
        <f t="shared" ref="I28:I29" si="10">ROUND(D28*H28,0)</f>
        <v>-81</v>
      </c>
      <c r="K28" s="408"/>
    </row>
    <row r="29" spans="1:11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+'UE-180887 Sch 95A'!F26</f>
        <v>-1.6949999999999999E-3</v>
      </c>
      <c r="F29" s="183">
        <f>ROUND(D29*E29,0)</f>
        <v>-938</v>
      </c>
      <c r="H29" s="182">
        <f>+'UE-180887 Sch 95A'!G26</f>
        <v>-1.5120000000000001E-3</v>
      </c>
      <c r="I29" s="391">
        <f t="shared" si="10"/>
        <v>-837</v>
      </c>
      <c r="K29" s="408"/>
    </row>
    <row r="30" spans="1:11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11">SUM(F28:F29)</f>
        <v>-1007</v>
      </c>
      <c r="H30" s="184"/>
      <c r="I30" s="392">
        <f t="shared" ref="I30" si="12">SUM(I28:I29)</f>
        <v>-918</v>
      </c>
      <c r="K30" s="392"/>
    </row>
    <row r="31" spans="1:11">
      <c r="A31" s="3">
        <f t="shared" si="0"/>
        <v>25</v>
      </c>
      <c r="B31" s="3"/>
      <c r="C31" s="4"/>
      <c r="D31" s="9"/>
      <c r="E31" s="182"/>
      <c r="F31" s="183"/>
      <c r="H31" s="182"/>
      <c r="I31" s="391"/>
      <c r="K31" s="391"/>
    </row>
    <row r="32" spans="1:11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+'UE-180887 Sch 95A'!F30</f>
        <v>-2.1120000000000002E-3</v>
      </c>
      <c r="F32" s="185">
        <f>ROUND(D32*E32,0)</f>
        <v>-150</v>
      </c>
      <c r="H32" s="184">
        <f>+'UE-180887 Sch 95A'!G30</f>
        <v>-1.9659999999999999E-3</v>
      </c>
      <c r="I32" s="391">
        <f>ROUND(D32*H32,0)</f>
        <v>-139</v>
      </c>
      <c r="K32" s="408"/>
    </row>
    <row r="33" spans="1:11">
      <c r="A33" s="3">
        <f t="shared" si="0"/>
        <v>27</v>
      </c>
      <c r="B33" s="3"/>
      <c r="C33" s="4"/>
      <c r="D33" s="9"/>
      <c r="E33" s="182"/>
      <c r="F33" s="183"/>
      <c r="H33" s="182"/>
      <c r="I33" s="391"/>
      <c r="K33" s="391"/>
    </row>
    <row r="34" spans="1:11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+'UE-180887 Sch 95A'!F37</f>
        <v>0</v>
      </c>
      <c r="F34" s="185">
        <f>ROUND(D34*E34,0)</f>
        <v>0</v>
      </c>
      <c r="H34" s="184">
        <f>+'UE-180887 Sch 95A'!G37</f>
        <v>0</v>
      </c>
      <c r="I34" s="391">
        <f>ROUND(D34*H34,0)</f>
        <v>0</v>
      </c>
      <c r="K34" s="408"/>
    </row>
    <row r="35" spans="1:11">
      <c r="A35" s="3">
        <f t="shared" si="0"/>
        <v>29</v>
      </c>
      <c r="B35" s="3"/>
      <c r="C35" s="4"/>
      <c r="D35" s="9"/>
      <c r="E35" s="182"/>
      <c r="F35" s="183"/>
      <c r="H35" s="182"/>
      <c r="I35" s="391"/>
      <c r="K35" s="391"/>
    </row>
    <row r="36" spans="1:11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13">SUM(F9,F18,F24,F26,F30,F32,F34)</f>
        <v>-39665</v>
      </c>
      <c r="H36" s="187"/>
      <c r="I36" s="188">
        <f t="shared" ref="I36" si="14">SUM(I9,I18,I24,I26,I30,I32,I34)</f>
        <v>-37001</v>
      </c>
      <c r="K36" s="188"/>
    </row>
    <row r="37" spans="1:11" ht="13.5" thickTop="1">
      <c r="A37" s="3">
        <f t="shared" si="0"/>
        <v>31</v>
      </c>
      <c r="B37" s="3"/>
      <c r="F37" s="183"/>
      <c r="I37" s="391"/>
      <c r="K37" s="391"/>
    </row>
    <row r="38" spans="1:11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/>
      <c r="F38" s="185">
        <f>ROUND(D38*E38,0)</f>
        <v>0</v>
      </c>
      <c r="H38" s="184"/>
      <c r="I38" s="391">
        <f>ROUND(D38*H38,0)</f>
        <v>0</v>
      </c>
      <c r="K38" s="408"/>
    </row>
    <row r="39" spans="1:11">
      <c r="A39" s="3">
        <f t="shared" si="0"/>
        <v>33</v>
      </c>
      <c r="B39" s="3"/>
      <c r="F39" s="183"/>
      <c r="I39" s="391"/>
      <c r="K39" s="391"/>
    </row>
    <row r="40" spans="1:11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F40" s="188">
        <f t="shared" ref="F40" si="15">SUM(F36,F38)</f>
        <v>-39665</v>
      </c>
      <c r="I40" s="188">
        <f t="shared" ref="I40" si="16">SUM(I36,I38)</f>
        <v>-37001</v>
      </c>
      <c r="K40" s="188"/>
    </row>
    <row r="41" spans="1:11" ht="13.5" thickTop="1">
      <c r="I41" s="40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2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7" width="8.85546875" style="1"/>
    <col min="8" max="8" width="10.85546875" style="1" bestFit="1" customWidth="1"/>
    <col min="9" max="9" width="9.5703125" style="1" bestFit="1" customWidth="1"/>
    <col min="10" max="10" width="8.85546875" style="1"/>
    <col min="11" max="11" width="9.5703125" style="1" bestFit="1" customWidth="1"/>
    <col min="12" max="16384" width="8.85546875" style="1"/>
  </cols>
  <sheetData>
    <row r="1" spans="1:11">
      <c r="A1" s="552" t="s">
        <v>0</v>
      </c>
      <c r="B1" s="552"/>
      <c r="C1" s="552"/>
      <c r="D1" s="552"/>
      <c r="E1" s="552"/>
      <c r="F1" s="552"/>
    </row>
    <row r="2" spans="1:11">
      <c r="A2" s="553" t="s">
        <v>202</v>
      </c>
      <c r="B2" s="552"/>
      <c r="C2" s="552"/>
      <c r="D2" s="552"/>
      <c r="E2" s="552"/>
      <c r="F2" s="552"/>
    </row>
    <row r="3" spans="1:11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11">
      <c r="A4" s="552"/>
      <c r="B4" s="552"/>
      <c r="C4" s="552"/>
      <c r="D4" s="552"/>
      <c r="E4" s="552"/>
      <c r="F4" s="552"/>
    </row>
    <row r="5" spans="1:11">
      <c r="A5" s="2"/>
      <c r="B5" s="3"/>
      <c r="C5" s="3"/>
      <c r="D5" s="3"/>
      <c r="E5" s="4"/>
      <c r="F5" s="4" t="s">
        <v>125</v>
      </c>
    </row>
    <row r="6" spans="1:11" ht="51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7" t="s">
        <v>362</v>
      </c>
      <c r="F6" s="7" t="s">
        <v>203</v>
      </c>
      <c r="H6" s="359" t="s">
        <v>409</v>
      </c>
      <c r="I6" s="359" t="s">
        <v>203</v>
      </c>
      <c r="K6" s="359" t="s">
        <v>410</v>
      </c>
    </row>
    <row r="7" spans="1:11">
      <c r="A7" s="3">
        <v>1</v>
      </c>
      <c r="B7" s="3">
        <v>7</v>
      </c>
      <c r="C7" s="4"/>
      <c r="D7" s="9">
        <f>+'JAP-4 (ERF Impacts)'!C9</f>
        <v>10657340</v>
      </c>
      <c r="E7" s="182">
        <f>+'UE-180285 Sch 120 '!F7</f>
        <v>6.0750000000000005E-3</v>
      </c>
      <c r="F7" s="183">
        <f>ROUND(D7*E7,0)</f>
        <v>64743</v>
      </c>
      <c r="H7" s="182">
        <f>+'UE-180285 Sch 120 '!G7</f>
        <v>4.8599999999999997E-3</v>
      </c>
      <c r="I7" s="391">
        <f>ROUND(D7*H7,0)</f>
        <v>51795</v>
      </c>
      <c r="K7" s="391">
        <f>+I7-F7</f>
        <v>-12948</v>
      </c>
    </row>
    <row r="8" spans="1:11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+'UE-180285 Sch 120 '!F10</f>
        <v>4.4990000000000004E-3</v>
      </c>
      <c r="F8" s="183">
        <f>ROUND(D8*E8,0)</f>
        <v>0</v>
      </c>
      <c r="H8" s="182">
        <f>+'UE-180285 Sch 120 '!G10</f>
        <v>4.2570000000000004E-3</v>
      </c>
      <c r="I8" s="391">
        <f>ROUND(D8*H8,0)</f>
        <v>0</v>
      </c>
      <c r="K8" s="391">
        <f>+I8-F8</f>
        <v>0</v>
      </c>
    </row>
    <row r="9" spans="1:11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64743</v>
      </c>
      <c r="H9" s="184"/>
      <c r="I9" s="392">
        <f t="shared" ref="I9:K9" si="2">SUM(I7:I8)</f>
        <v>51795</v>
      </c>
      <c r="K9" s="392">
        <f t="shared" si="2"/>
        <v>-12948</v>
      </c>
    </row>
    <row r="10" spans="1:11">
      <c r="A10" s="3">
        <f t="shared" si="0"/>
        <v>4</v>
      </c>
      <c r="B10" s="3"/>
      <c r="C10" s="4"/>
      <c r="D10" s="9"/>
      <c r="E10" s="182"/>
      <c r="F10" s="183"/>
      <c r="H10" s="182"/>
      <c r="I10" s="391"/>
      <c r="K10" s="391"/>
    </row>
    <row r="11" spans="1:11">
      <c r="A11" s="3">
        <f t="shared" si="0"/>
        <v>5</v>
      </c>
      <c r="B11" s="3">
        <v>8</v>
      </c>
      <c r="C11" s="4"/>
      <c r="D11" s="9">
        <v>0</v>
      </c>
      <c r="E11" s="182">
        <f>+'UE-180285 Sch 120 '!F9</f>
        <v>4.6410000000000002E-3</v>
      </c>
      <c r="F11" s="183">
        <f t="shared" ref="F11:F17" si="3">ROUND(D11*E11,0)</f>
        <v>0</v>
      </c>
      <c r="H11" s="182">
        <f>+'UE-180285 Sch 120 '!G9</f>
        <v>4.2079999999999999E-3</v>
      </c>
      <c r="I11" s="391">
        <f t="shared" ref="I11:I17" si="4">ROUND(D11*H11,0)</f>
        <v>0</v>
      </c>
      <c r="K11" s="391">
        <f t="shared" ref="K11:K17" si="5">+I11-F11</f>
        <v>0</v>
      </c>
    </row>
    <row r="12" spans="1:11">
      <c r="A12" s="3">
        <f t="shared" si="0"/>
        <v>6</v>
      </c>
      <c r="B12" s="3">
        <v>24</v>
      </c>
      <c r="D12" s="9">
        <f>+'JAP-4 (ERF Impacts)'!C12</f>
        <v>2769974</v>
      </c>
      <c r="E12" s="186">
        <f>+E11</f>
        <v>4.6410000000000002E-3</v>
      </c>
      <c r="F12" s="183">
        <f t="shared" si="3"/>
        <v>12855</v>
      </c>
      <c r="H12" s="186">
        <f>+H11</f>
        <v>4.2079999999999999E-3</v>
      </c>
      <c r="I12" s="391">
        <f t="shared" si="4"/>
        <v>11656</v>
      </c>
      <c r="K12" s="391">
        <f t="shared" si="5"/>
        <v>-1199</v>
      </c>
    </row>
    <row r="13" spans="1:11">
      <c r="A13" s="3">
        <f t="shared" si="0"/>
        <v>7</v>
      </c>
      <c r="B13" s="2">
        <v>11</v>
      </c>
      <c r="C13" s="4"/>
      <c r="D13" s="9">
        <v>0</v>
      </c>
      <c r="E13" s="182">
        <f>+E8</f>
        <v>4.4990000000000004E-3</v>
      </c>
      <c r="F13" s="183">
        <f t="shared" si="3"/>
        <v>0</v>
      </c>
      <c r="H13" s="182">
        <f>+H8</f>
        <v>4.2570000000000004E-3</v>
      </c>
      <c r="I13" s="391">
        <f t="shared" si="4"/>
        <v>0</v>
      </c>
      <c r="K13" s="391">
        <f t="shared" si="5"/>
        <v>0</v>
      </c>
    </row>
    <row r="14" spans="1:11">
      <c r="A14" s="3">
        <f t="shared" si="0"/>
        <v>8</v>
      </c>
      <c r="B14" s="2">
        <v>25</v>
      </c>
      <c r="D14" s="9">
        <f>+'JAP-4 (ERF Impacts)'!C13</f>
        <v>2962665</v>
      </c>
      <c r="E14" s="186">
        <f>+E13</f>
        <v>4.4990000000000004E-3</v>
      </c>
      <c r="F14" s="183">
        <f t="shared" si="3"/>
        <v>13329</v>
      </c>
      <c r="H14" s="186">
        <f>+H13</f>
        <v>4.2570000000000004E-3</v>
      </c>
      <c r="I14" s="391">
        <f t="shared" si="4"/>
        <v>12612</v>
      </c>
      <c r="K14" s="391">
        <f t="shared" si="5"/>
        <v>-717</v>
      </c>
    </row>
    <row r="15" spans="1:11">
      <c r="A15" s="3">
        <f t="shared" si="0"/>
        <v>9</v>
      </c>
      <c r="B15" s="3">
        <v>12</v>
      </c>
      <c r="C15" s="4"/>
      <c r="D15" s="9">
        <v>0</v>
      </c>
      <c r="E15" s="182">
        <f>+'UE-180285 Sch 120 '!F11</f>
        <v>4.8000000000000004E-3</v>
      </c>
      <c r="F15" s="183">
        <f t="shared" si="3"/>
        <v>0</v>
      </c>
      <c r="H15" s="182">
        <f>+'UE-180285 Sch 120 '!G11</f>
        <v>4.3249999999999999E-3</v>
      </c>
      <c r="I15" s="391">
        <f t="shared" si="4"/>
        <v>0</v>
      </c>
      <c r="K15" s="391">
        <f t="shared" si="5"/>
        <v>0</v>
      </c>
    </row>
    <row r="16" spans="1:11">
      <c r="A16" s="3">
        <f t="shared" si="0"/>
        <v>10</v>
      </c>
      <c r="B16" s="3" t="s">
        <v>16</v>
      </c>
      <c r="D16" s="9">
        <f>+'JAP-4 (ERF Impacts)'!C14</f>
        <v>1872506</v>
      </c>
      <c r="E16" s="186">
        <f>+E15</f>
        <v>4.8000000000000004E-3</v>
      </c>
      <c r="F16" s="183">
        <f t="shared" si="3"/>
        <v>8988</v>
      </c>
      <c r="H16" s="186">
        <f>+H15</f>
        <v>4.3249999999999999E-3</v>
      </c>
      <c r="I16" s="391">
        <f t="shared" si="4"/>
        <v>8099</v>
      </c>
      <c r="K16" s="391">
        <f t="shared" si="5"/>
        <v>-889</v>
      </c>
    </row>
    <row r="17" spans="1:11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+'UE-180285 Sch 120 '!F12</f>
        <v>4.5799999999999999E-3</v>
      </c>
      <c r="F17" s="183">
        <f t="shared" si="3"/>
        <v>84</v>
      </c>
      <c r="H17" s="182">
        <f>+'UE-180285 Sch 120 '!G12</f>
        <v>3.1960000000000001E-3</v>
      </c>
      <c r="I17" s="391">
        <f t="shared" si="4"/>
        <v>58</v>
      </c>
      <c r="K17" s="391">
        <f t="shared" si="5"/>
        <v>-26</v>
      </c>
    </row>
    <row r="18" spans="1:11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6">SUM(F11:F17)</f>
        <v>35256</v>
      </c>
      <c r="H18" s="184"/>
      <c r="I18" s="392">
        <f t="shared" ref="I18:K18" si="7">SUM(I11:I17)</f>
        <v>32425</v>
      </c>
      <c r="K18" s="392">
        <f t="shared" si="7"/>
        <v>-2831</v>
      </c>
    </row>
    <row r="19" spans="1:11">
      <c r="A19" s="3">
        <f t="shared" si="0"/>
        <v>13</v>
      </c>
      <c r="B19" s="3"/>
      <c r="C19" s="4"/>
      <c r="D19" s="9"/>
      <c r="E19" s="182"/>
      <c r="F19" s="183"/>
      <c r="H19" s="182"/>
      <c r="I19" s="391"/>
      <c r="K19" s="391"/>
    </row>
    <row r="20" spans="1:11">
      <c r="A20" s="3">
        <f t="shared" si="0"/>
        <v>14</v>
      </c>
      <c r="B20" s="3">
        <v>10</v>
      </c>
      <c r="D20" s="9">
        <v>0</v>
      </c>
      <c r="E20" s="182">
        <f>+'UE-180285 Sch 120 '!F16</f>
        <v>4.5519999999999996E-3</v>
      </c>
      <c r="F20" s="183">
        <f>ROUND(D20*E20,0)</f>
        <v>0</v>
      </c>
      <c r="H20" s="182">
        <f>+'UE-180285 Sch 120 '!G16</f>
        <v>4.1520000000000003E-3</v>
      </c>
      <c r="I20" s="391">
        <f t="shared" ref="I20:I23" si="8">ROUND(D20*H20,0)</f>
        <v>0</v>
      </c>
      <c r="K20" s="391">
        <f t="shared" ref="K20:K23" si="9">+I20-F20</f>
        <v>0</v>
      </c>
    </row>
    <row r="21" spans="1:11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4.5519999999999996E-3</v>
      </c>
      <c r="F21" s="183">
        <f>ROUND(D21*E21,0)</f>
        <v>6014</v>
      </c>
      <c r="H21" s="186">
        <f>+H20</f>
        <v>4.1520000000000003E-3</v>
      </c>
      <c r="I21" s="391">
        <f t="shared" si="8"/>
        <v>5486</v>
      </c>
      <c r="K21" s="391">
        <f t="shared" si="9"/>
        <v>-528</v>
      </c>
    </row>
    <row r="22" spans="1:11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2">
        <f>+'UE-180285 Sch 120 '!F17</f>
        <v>3.1360000000000003E-3</v>
      </c>
      <c r="F22" s="183">
        <f>ROUND(D22*E22,0)</f>
        <v>12</v>
      </c>
      <c r="H22" s="182">
        <f>+'UE-180285 Sch 120 '!G17</f>
        <v>2.9009999999999999E-3</v>
      </c>
      <c r="I22" s="391">
        <f t="shared" si="8"/>
        <v>11</v>
      </c>
      <c r="K22" s="391">
        <f t="shared" si="9"/>
        <v>-1</v>
      </c>
    </row>
    <row r="23" spans="1:11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2">
        <f>+'UE-180285 Sch 120 '!F18</f>
        <v>4.2499999999999994E-3</v>
      </c>
      <c r="F23" s="183">
        <f>ROUND(D23*E23,0)</f>
        <v>523</v>
      </c>
      <c r="H23" s="182">
        <f>+'UE-180285 Sch 120 '!G18</f>
        <v>3.2989999999999998E-3</v>
      </c>
      <c r="I23" s="391">
        <f t="shared" si="8"/>
        <v>406</v>
      </c>
      <c r="K23" s="391">
        <f t="shared" si="9"/>
        <v>-117</v>
      </c>
    </row>
    <row r="24" spans="1:11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10">SUM(F20:F23)</f>
        <v>6549</v>
      </c>
      <c r="H24" s="184"/>
      <c r="I24" s="392">
        <f t="shared" ref="I24:K24" si="11">SUM(I20:I23)</f>
        <v>5903</v>
      </c>
      <c r="K24" s="392">
        <f t="shared" si="11"/>
        <v>-646</v>
      </c>
    </row>
    <row r="25" spans="1:11">
      <c r="A25" s="3">
        <f t="shared" si="0"/>
        <v>19</v>
      </c>
      <c r="B25" s="3"/>
      <c r="C25" s="4"/>
      <c r="D25" s="9"/>
      <c r="E25" s="182"/>
      <c r="F25" s="183"/>
      <c r="H25" s="182"/>
      <c r="I25" s="391"/>
      <c r="K25" s="391"/>
    </row>
    <row r="26" spans="1:11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+'UE-180285 Sch 120 '!F22</f>
        <v>5.1419999999999999E-3</v>
      </c>
      <c r="F26" s="185">
        <f>ROUND(D26*E26,0)</f>
        <v>2750</v>
      </c>
      <c r="H26" s="184">
        <f>+'UE-180285 Sch 120 '!G22</f>
        <v>3.79E-3</v>
      </c>
      <c r="I26" s="392">
        <f>ROUND(D26*H26,0)</f>
        <v>2027</v>
      </c>
      <c r="K26" s="392">
        <f>+I26-F26</f>
        <v>-723</v>
      </c>
    </row>
    <row r="27" spans="1:11">
      <c r="A27" s="3">
        <f t="shared" si="0"/>
        <v>21</v>
      </c>
      <c r="B27" s="3"/>
      <c r="C27" s="4"/>
      <c r="D27" s="9"/>
      <c r="E27" s="182"/>
      <c r="F27" s="183"/>
      <c r="H27" s="182"/>
      <c r="I27" s="391"/>
      <c r="K27" s="391"/>
    </row>
    <row r="28" spans="1:11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+'UE-180285 Sch 120 '!F24</f>
        <v>2.9170000000000003E-3</v>
      </c>
      <c r="F28" s="183">
        <f>ROUND(D28*E28,0)</f>
        <v>237</v>
      </c>
      <c r="H28" s="182">
        <f>+'UE-180285 Sch 120 '!G24</f>
        <v>2.6159999999999998E-3</v>
      </c>
      <c r="I28" s="391">
        <f t="shared" ref="I28:I29" si="12">ROUND(D28*H28,0)</f>
        <v>212</v>
      </c>
      <c r="K28" s="391">
        <f t="shared" ref="K28:K29" si="13">+I28-F28</f>
        <v>-25</v>
      </c>
    </row>
    <row r="29" spans="1:11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+'UE-180285 Sch 120 '!F25</f>
        <v>4.4260000000000002E-3</v>
      </c>
      <c r="F29" s="183">
        <f>ROUND(D29*E29,0)</f>
        <v>2450</v>
      </c>
      <c r="H29" s="182">
        <f>+'UE-180285 Sch 120 '!G25</f>
        <v>3.9039999999999999E-3</v>
      </c>
      <c r="I29" s="391">
        <f t="shared" si="12"/>
        <v>2161</v>
      </c>
      <c r="K29" s="391">
        <f t="shared" si="13"/>
        <v>-289</v>
      </c>
    </row>
    <row r="30" spans="1:11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14">SUM(F28:F29)</f>
        <v>2687</v>
      </c>
      <c r="H30" s="184"/>
      <c r="I30" s="392">
        <f t="shared" ref="I30:K30" si="15">SUM(I28:I29)</f>
        <v>2373</v>
      </c>
      <c r="K30" s="392">
        <f t="shared" si="15"/>
        <v>-314</v>
      </c>
    </row>
    <row r="31" spans="1:11">
      <c r="A31" s="3">
        <f t="shared" si="0"/>
        <v>25</v>
      </c>
      <c r="B31" s="3"/>
      <c r="C31" s="4"/>
      <c r="D31" s="9"/>
      <c r="E31" s="182"/>
      <c r="F31" s="183"/>
      <c r="H31" s="182"/>
      <c r="I31" s="391"/>
      <c r="K31" s="391"/>
    </row>
    <row r="32" spans="1:11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+'UE-180285 Sch 120 '!F31</f>
        <v>6.2750000000000002E-3</v>
      </c>
      <c r="F32" s="185">
        <f>ROUND(D32*E32,0)</f>
        <v>445</v>
      </c>
      <c r="H32" s="184">
        <f>+'UE-180285 Sch 120 '!G31</f>
        <v>4.5710000000000004E-3</v>
      </c>
      <c r="I32" s="392">
        <f>ROUND(D32*H32,0)</f>
        <v>324</v>
      </c>
      <c r="K32" s="392">
        <f>+I32-F32</f>
        <v>-121</v>
      </c>
    </row>
    <row r="33" spans="1:11">
      <c r="A33" s="3">
        <f t="shared" si="0"/>
        <v>27</v>
      </c>
      <c r="B33" s="3"/>
      <c r="C33" s="4"/>
      <c r="D33" s="9"/>
      <c r="E33" s="182"/>
      <c r="F33" s="183"/>
      <c r="H33" s="182"/>
      <c r="I33" s="391"/>
      <c r="K33" s="391"/>
    </row>
    <row r="34" spans="1:11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+'UE-180285 Sch 120 '!F29</f>
        <v>1.0820000000000001E-3</v>
      </c>
      <c r="F34" s="185">
        <f>ROUND(D34*E34,0)</f>
        <v>2157</v>
      </c>
      <c r="H34" s="184">
        <f>+'UE-180285 Sch 120 '!G29</f>
        <v>1.047E-3</v>
      </c>
      <c r="I34" s="392">
        <f>ROUND(D34*H34,0)</f>
        <v>2087</v>
      </c>
      <c r="K34" s="392">
        <f>+I34-F34</f>
        <v>-70</v>
      </c>
    </row>
    <row r="35" spans="1:11">
      <c r="A35" s="3">
        <f t="shared" si="0"/>
        <v>29</v>
      </c>
      <c r="B35" s="3"/>
      <c r="C35" s="4"/>
      <c r="D35" s="9"/>
      <c r="E35" s="182"/>
      <c r="F35" s="183"/>
      <c r="H35" s="182"/>
      <c r="I35" s="391"/>
      <c r="K35" s="391"/>
    </row>
    <row r="36" spans="1:11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16">SUM(F9,F18,F24,F26,F30,F32,F34)</f>
        <v>114587</v>
      </c>
      <c r="H36" s="187"/>
      <c r="I36" s="188">
        <f t="shared" ref="I36:K36" si="17">SUM(I9,I18,I24,I26,I30,I32,I34)</f>
        <v>96934</v>
      </c>
      <c r="K36" s="188">
        <f t="shared" si="17"/>
        <v>-17653</v>
      </c>
    </row>
    <row r="37" spans="1:11" ht="13.5" thickTop="1">
      <c r="A37" s="3">
        <f t="shared" si="0"/>
        <v>31</v>
      </c>
      <c r="B37" s="3"/>
      <c r="F37" s="183"/>
      <c r="I37" s="391"/>
      <c r="K37" s="391"/>
    </row>
    <row r="38" spans="1:11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>
        <v>0</v>
      </c>
      <c r="F38" s="185">
        <f>ROUND(D38*E38,0)</f>
        <v>0</v>
      </c>
      <c r="H38" s="184">
        <v>0</v>
      </c>
      <c r="I38" s="392">
        <f>ROUND(D38*H38,0)</f>
        <v>0</v>
      </c>
      <c r="K38" s="392">
        <f>+I38-F38</f>
        <v>0</v>
      </c>
    </row>
    <row r="39" spans="1:11">
      <c r="A39" s="3">
        <f t="shared" si="0"/>
        <v>33</v>
      </c>
      <c r="B39" s="3"/>
      <c r="F39" s="183"/>
      <c r="I39" s="391"/>
      <c r="K39" s="391"/>
    </row>
    <row r="40" spans="1:11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E40" s="229">
        <f>+F40/D40</f>
        <v>4.9885720007488057E-3</v>
      </c>
      <c r="F40" s="188">
        <f t="shared" ref="F40" si="18">SUM(F36,F38)</f>
        <v>114587</v>
      </c>
      <c r="H40" s="229">
        <f>+I40/D40</f>
        <v>4.2200444930104181E-3</v>
      </c>
      <c r="I40" s="188">
        <f t="shared" ref="I40:K40" si="19">SUM(I36,I38)</f>
        <v>96934</v>
      </c>
      <c r="K40" s="188">
        <f t="shared" si="19"/>
        <v>-17653</v>
      </c>
    </row>
    <row r="41" spans="1:11" ht="13.5" thickTop="1"/>
    <row r="42" spans="1:11">
      <c r="I42" s="40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H4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85546875" defaultRowHeight="12.75"/>
  <cols>
    <col min="1" max="1" width="7.7109375" style="1" bestFit="1" customWidth="1"/>
    <col min="2" max="2" width="10.28515625" style="1" bestFit="1" customWidth="1"/>
    <col min="3" max="3" width="21" style="1" bestFit="1" customWidth="1"/>
    <col min="4" max="4" width="15.140625" style="1" bestFit="1" customWidth="1"/>
    <col min="5" max="5" width="14" style="1" bestFit="1" customWidth="1"/>
    <col min="6" max="6" width="13.28515625" style="1" bestFit="1" customWidth="1"/>
    <col min="7" max="7" width="14" style="1" bestFit="1" customWidth="1"/>
    <col min="8" max="8" width="12.85546875" style="1" bestFit="1" customWidth="1"/>
    <col min="9" max="16384" width="8.85546875" style="1"/>
  </cols>
  <sheetData>
    <row r="1" spans="1:8">
      <c r="A1" s="552" t="s">
        <v>0</v>
      </c>
      <c r="B1" s="552"/>
      <c r="C1" s="552"/>
      <c r="D1" s="552"/>
      <c r="E1" s="552"/>
      <c r="F1" s="552"/>
    </row>
    <row r="2" spans="1:8">
      <c r="A2" s="553" t="s">
        <v>207</v>
      </c>
      <c r="B2" s="552"/>
      <c r="C2" s="552"/>
      <c r="D2" s="552"/>
      <c r="E2" s="552"/>
      <c r="F2" s="552"/>
    </row>
    <row r="3" spans="1:8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8">
      <c r="A4" s="552"/>
      <c r="B4" s="552"/>
      <c r="C4" s="552"/>
      <c r="D4" s="552"/>
      <c r="E4" s="552"/>
      <c r="F4" s="552"/>
    </row>
    <row r="5" spans="1:8">
      <c r="A5" s="2"/>
      <c r="B5" s="3"/>
      <c r="C5" s="3"/>
      <c r="D5" s="3"/>
      <c r="E5" s="4"/>
      <c r="F5" s="4" t="s">
        <v>125</v>
      </c>
    </row>
    <row r="6" spans="1:8" ht="38.25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359" t="s">
        <v>370</v>
      </c>
      <c r="F6" s="7" t="s">
        <v>206</v>
      </c>
      <c r="G6" s="493" t="s">
        <v>470</v>
      </c>
      <c r="H6" s="359" t="s">
        <v>206</v>
      </c>
    </row>
    <row r="7" spans="1:8">
      <c r="A7" s="3">
        <v>1</v>
      </c>
      <c r="B7" s="3">
        <v>7</v>
      </c>
      <c r="C7" s="4"/>
      <c r="D7" s="9">
        <f>+'JAP-4 (ERF Impacts)'!C9</f>
        <v>10657340</v>
      </c>
      <c r="E7" s="182">
        <f>+'UE-180739 Sch 129'!F9</f>
        <v>9.3700000000000001E-4</v>
      </c>
      <c r="F7" s="183">
        <f>ROUND(D7*E7,0)</f>
        <v>9986</v>
      </c>
      <c r="G7" s="182">
        <f>+'UE-180739 Sch 129'!G9</f>
        <v>8.9499999999999996E-4</v>
      </c>
      <c r="H7" s="391">
        <f>ROUND(D7*G7,0)</f>
        <v>9538</v>
      </c>
    </row>
    <row r="8" spans="1:8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+'UE-180739 Sch 129'!F12</f>
        <v>7.94E-4</v>
      </c>
      <c r="F8" s="183">
        <f>ROUND(D8*E8,0)</f>
        <v>0</v>
      </c>
      <c r="G8" s="182">
        <f>+'UE-180739 Sch 129'!G12</f>
        <v>7.9600000000000005E-4</v>
      </c>
      <c r="H8" s="391">
        <f>ROUND(D8*G8,0)</f>
        <v>0</v>
      </c>
    </row>
    <row r="9" spans="1:8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:H9" si="1">SUM(F7:F8)</f>
        <v>9986</v>
      </c>
      <c r="G9" s="184"/>
      <c r="H9" s="392">
        <f t="shared" si="1"/>
        <v>9538</v>
      </c>
    </row>
    <row r="10" spans="1:8">
      <c r="A10" s="3">
        <f t="shared" si="0"/>
        <v>4</v>
      </c>
      <c r="B10" s="3"/>
      <c r="C10" s="4"/>
      <c r="D10" s="9"/>
      <c r="E10" s="182"/>
      <c r="F10" s="183"/>
      <c r="G10" s="182"/>
      <c r="H10" s="391"/>
    </row>
    <row r="11" spans="1:8">
      <c r="A11" s="3">
        <f t="shared" si="0"/>
        <v>5</v>
      </c>
      <c r="B11" s="3">
        <v>8</v>
      </c>
      <c r="C11" s="4"/>
      <c r="D11" s="9">
        <v>0</v>
      </c>
      <c r="E11" s="182">
        <f>+'UE-180739 Sch 129'!F11</f>
        <v>8.5499999999999997E-4</v>
      </c>
      <c r="F11" s="183">
        <f t="shared" ref="F11:F17" si="2">ROUND(D11*E11,0)</f>
        <v>0</v>
      </c>
      <c r="G11" s="182">
        <f>+'UE-180739 Sch 129'!G11</f>
        <v>8.5700000000000001E-4</v>
      </c>
      <c r="H11" s="391">
        <f t="shared" ref="H11:H17" si="3">ROUND(D11*G11,0)</f>
        <v>0</v>
      </c>
    </row>
    <row r="12" spans="1:8">
      <c r="A12" s="3">
        <f t="shared" si="0"/>
        <v>6</v>
      </c>
      <c r="B12" s="3">
        <v>24</v>
      </c>
      <c r="D12" s="9">
        <f>+'JAP-4 (ERF Impacts)'!C12</f>
        <v>2769974</v>
      </c>
      <c r="E12" s="186">
        <f>+E11</f>
        <v>8.5499999999999997E-4</v>
      </c>
      <c r="F12" s="183">
        <f t="shared" si="2"/>
        <v>2368</v>
      </c>
      <c r="G12" s="186">
        <f>+G11</f>
        <v>8.5700000000000001E-4</v>
      </c>
      <c r="H12" s="391">
        <f t="shared" si="3"/>
        <v>2374</v>
      </c>
    </row>
    <row r="13" spans="1:8">
      <c r="A13" s="3">
        <f t="shared" si="0"/>
        <v>7</v>
      </c>
      <c r="B13" s="2">
        <v>11</v>
      </c>
      <c r="C13" s="4"/>
      <c r="D13" s="9">
        <v>0</v>
      </c>
      <c r="E13" s="182">
        <f>+E8</f>
        <v>7.94E-4</v>
      </c>
      <c r="F13" s="183">
        <f t="shared" si="2"/>
        <v>0</v>
      </c>
      <c r="G13" s="182">
        <f>+G8</f>
        <v>7.9600000000000005E-4</v>
      </c>
      <c r="H13" s="391">
        <f t="shared" si="3"/>
        <v>0</v>
      </c>
    </row>
    <row r="14" spans="1:8">
      <c r="A14" s="3">
        <f t="shared" si="0"/>
        <v>8</v>
      </c>
      <c r="B14" s="2">
        <v>25</v>
      </c>
      <c r="D14" s="9">
        <f>+'JAP-4 (ERF Impacts)'!C13</f>
        <v>2962665</v>
      </c>
      <c r="E14" s="186">
        <f>+E13</f>
        <v>7.94E-4</v>
      </c>
      <c r="F14" s="183">
        <f t="shared" si="2"/>
        <v>2352</v>
      </c>
      <c r="G14" s="186">
        <f>+G13</f>
        <v>7.9600000000000005E-4</v>
      </c>
      <c r="H14" s="391">
        <f t="shared" si="3"/>
        <v>2358</v>
      </c>
    </row>
    <row r="15" spans="1:8">
      <c r="A15" s="3">
        <f t="shared" si="0"/>
        <v>9</v>
      </c>
      <c r="B15" s="3">
        <v>12</v>
      </c>
      <c r="C15" s="4"/>
      <c r="D15" s="9">
        <v>0</v>
      </c>
      <c r="E15" s="182">
        <f>+'UE-180739 Sch 129'!F13</f>
        <v>7.0699999999999995E-4</v>
      </c>
      <c r="F15" s="183">
        <f t="shared" si="2"/>
        <v>0</v>
      </c>
      <c r="G15" s="182">
        <f>+'UE-180739 Sch 129'!G13</f>
        <v>7.1699999999999997E-4</v>
      </c>
      <c r="H15" s="391">
        <f t="shared" si="3"/>
        <v>0</v>
      </c>
    </row>
    <row r="16" spans="1:8">
      <c r="A16" s="3">
        <f t="shared" si="0"/>
        <v>10</v>
      </c>
      <c r="B16" s="3" t="s">
        <v>16</v>
      </c>
      <c r="D16" s="9">
        <f>+'JAP-4 (ERF Impacts)'!C14</f>
        <v>1872506</v>
      </c>
      <c r="E16" s="186">
        <f>+E15</f>
        <v>7.0699999999999995E-4</v>
      </c>
      <c r="F16" s="183">
        <f t="shared" si="2"/>
        <v>1324</v>
      </c>
      <c r="G16" s="186">
        <f>+G15</f>
        <v>7.1699999999999997E-4</v>
      </c>
      <c r="H16" s="391">
        <f t="shared" si="3"/>
        <v>1343</v>
      </c>
    </row>
    <row r="17" spans="1:8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+'UE-180739 Sch 129'!F14</f>
        <v>7.1199999999999996E-4</v>
      </c>
      <c r="F17" s="183">
        <f t="shared" si="2"/>
        <v>13</v>
      </c>
      <c r="G17" s="182">
        <f>+'UE-180739 Sch 129'!G14</f>
        <v>7.1199999999999996E-4</v>
      </c>
      <c r="H17" s="391">
        <f t="shared" si="3"/>
        <v>13</v>
      </c>
    </row>
    <row r="18" spans="1:8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:H18" si="4">SUM(F11:F17)</f>
        <v>6057</v>
      </c>
      <c r="G18" s="184"/>
      <c r="H18" s="392">
        <f t="shared" si="4"/>
        <v>6088</v>
      </c>
    </row>
    <row r="19" spans="1:8">
      <c r="A19" s="3">
        <f t="shared" si="0"/>
        <v>13</v>
      </c>
      <c r="B19" s="3"/>
      <c r="C19" s="4"/>
      <c r="D19" s="9"/>
      <c r="E19" s="182"/>
      <c r="F19" s="183"/>
      <c r="G19" s="182"/>
      <c r="H19" s="391"/>
    </row>
    <row r="20" spans="1:8">
      <c r="A20" s="3">
        <f t="shared" si="0"/>
        <v>14</v>
      </c>
      <c r="B20" s="3">
        <v>10</v>
      </c>
      <c r="D20" s="9">
        <v>0</v>
      </c>
      <c r="E20" s="182">
        <f>+'UE-180739 Sch 129'!F18</f>
        <v>6.96E-4</v>
      </c>
      <c r="F20" s="183">
        <f>ROUND(D20*E20,0)</f>
        <v>0</v>
      </c>
      <c r="G20" s="182">
        <f>+'UE-180739 Sch 129'!G18</f>
        <v>7.0399999999999998E-4</v>
      </c>
      <c r="H20" s="391">
        <f t="shared" ref="H20:H23" si="5">ROUND(D20*G20,0)</f>
        <v>0</v>
      </c>
    </row>
    <row r="21" spans="1:8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6.96E-4</v>
      </c>
      <c r="F21" s="183">
        <f>ROUND(D21*E21,0)</f>
        <v>920</v>
      </c>
      <c r="G21" s="186">
        <f>+G20</f>
        <v>7.0399999999999998E-4</v>
      </c>
      <c r="H21" s="391">
        <f t="shared" si="5"/>
        <v>930</v>
      </c>
    </row>
    <row r="22" spans="1:8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2">
        <f>+'UE-180739 Sch 129'!F19</f>
        <v>4.64E-4</v>
      </c>
      <c r="F22" s="183">
        <f>ROUND(D22*E22,0)</f>
        <v>2</v>
      </c>
      <c r="G22" s="182">
        <f>+'UE-180739 Sch 129'!G19</f>
        <v>5.1199999999999998E-4</v>
      </c>
      <c r="H22" s="391">
        <f t="shared" si="5"/>
        <v>2</v>
      </c>
    </row>
    <row r="23" spans="1:8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2">
        <f>+'UE-180739 Sch 129'!F20</f>
        <v>7.6999999999999996E-4</v>
      </c>
      <c r="F23" s="183">
        <f>ROUND(D23*E23,0)</f>
        <v>95</v>
      </c>
      <c r="G23" s="182">
        <f>+'UE-180739 Sch 129'!G20</f>
        <v>7.7899999999999996E-4</v>
      </c>
      <c r="H23" s="391">
        <f t="shared" si="5"/>
        <v>96</v>
      </c>
    </row>
    <row r="24" spans="1:8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:H24" si="6">SUM(F20:F23)</f>
        <v>1017</v>
      </c>
      <c r="G24" s="184"/>
      <c r="H24" s="392">
        <f t="shared" si="6"/>
        <v>1028</v>
      </c>
    </row>
    <row r="25" spans="1:8">
      <c r="A25" s="3">
        <f t="shared" si="0"/>
        <v>19</v>
      </c>
      <c r="B25" s="3"/>
      <c r="C25" s="4"/>
      <c r="D25" s="9"/>
      <c r="E25" s="182"/>
      <c r="F25" s="183"/>
      <c r="G25" s="182"/>
      <c r="H25" s="391"/>
    </row>
    <row r="26" spans="1:8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+'UE-180739 Sch 129'!F24</f>
        <v>6.7000000000000002E-4</v>
      </c>
      <c r="F26" s="185">
        <f>ROUND(D26*E26,0)</f>
        <v>358</v>
      </c>
      <c r="G26" s="184">
        <f>+'UE-180739 Sch 129'!G24</f>
        <v>6.4800000000000003E-4</v>
      </c>
      <c r="H26" s="392">
        <f>ROUND(D26*G26,0)</f>
        <v>347</v>
      </c>
    </row>
    <row r="27" spans="1:8">
      <c r="A27" s="3">
        <f t="shared" si="0"/>
        <v>21</v>
      </c>
      <c r="B27" s="3"/>
      <c r="C27" s="4"/>
      <c r="D27" s="9"/>
      <c r="E27" s="182"/>
      <c r="F27" s="183"/>
      <c r="G27" s="182"/>
      <c r="H27" s="391"/>
    </row>
    <row r="28" spans="1:8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+'UE-180739 Sch 129'!F26</f>
        <v>5.9800000000000001E-4</v>
      </c>
      <c r="F28" s="183">
        <f>ROUND(D28*E28,0)</f>
        <v>49</v>
      </c>
      <c r="G28" s="182">
        <f>+'UE-180739 Sch 129'!G26</f>
        <v>5.8799999999999998E-4</v>
      </c>
      <c r="H28" s="391">
        <f t="shared" ref="H28:H29" si="7">ROUND(D28*G28,0)</f>
        <v>48</v>
      </c>
    </row>
    <row r="29" spans="1:8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+'UE-180739 Sch 129'!F27</f>
        <v>5.7600000000000001E-4</v>
      </c>
      <c r="F29" s="183">
        <f>ROUND(D29*E29,0)</f>
        <v>319</v>
      </c>
      <c r="G29" s="182">
        <f>+'UE-180739 Sch 129'!G27</f>
        <v>5.7300000000000005E-4</v>
      </c>
      <c r="H29" s="391">
        <f t="shared" si="7"/>
        <v>317</v>
      </c>
    </row>
    <row r="30" spans="1:8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:H30" si="8">SUM(F28:F29)</f>
        <v>368</v>
      </c>
      <c r="G30" s="184"/>
      <c r="H30" s="392">
        <f t="shared" si="8"/>
        <v>365</v>
      </c>
    </row>
    <row r="31" spans="1:8">
      <c r="A31" s="3">
        <f t="shared" si="0"/>
        <v>25</v>
      </c>
      <c r="B31" s="3"/>
      <c r="C31" s="4"/>
      <c r="D31" s="9"/>
      <c r="E31" s="182"/>
      <c r="F31" s="183"/>
      <c r="G31" s="182"/>
      <c r="H31" s="391"/>
    </row>
    <row r="32" spans="1:8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+'UE-180739 Sch 129'!F31</f>
        <v>2.1689999999999999E-3</v>
      </c>
      <c r="F32" s="185">
        <f>ROUND(D32*E32,0)</f>
        <v>154</v>
      </c>
      <c r="G32" s="184">
        <f>+'UE-180739 Sch 129'!G31</f>
        <v>1.951E-3</v>
      </c>
      <c r="H32" s="392">
        <f>ROUND(D32*G32,0)</f>
        <v>138</v>
      </c>
    </row>
    <row r="33" spans="1:8">
      <c r="A33" s="3">
        <f t="shared" si="0"/>
        <v>27</v>
      </c>
      <c r="B33" s="3"/>
      <c r="C33" s="4"/>
      <c r="D33" s="9"/>
      <c r="E33" s="182"/>
      <c r="F33" s="183"/>
      <c r="G33" s="182"/>
      <c r="H33" s="391"/>
    </row>
    <row r="34" spans="1:8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+'UE-180739 Sch 129'!F33</f>
        <v>3.3000000000000003E-5</v>
      </c>
      <c r="F34" s="185">
        <f>ROUND(D34*E34,0)</f>
        <v>66</v>
      </c>
      <c r="G34" s="184">
        <f>+'UE-180739 Sch 129'!G33</f>
        <v>3.3000000000000003E-5</v>
      </c>
      <c r="H34" s="392">
        <f>ROUND(D34*G34,0)</f>
        <v>66</v>
      </c>
    </row>
    <row r="35" spans="1:8">
      <c r="A35" s="3">
        <f t="shared" si="0"/>
        <v>29</v>
      </c>
      <c r="B35" s="3"/>
      <c r="C35" s="4"/>
      <c r="D35" s="9"/>
      <c r="E35" s="182"/>
      <c r="F35" s="183"/>
      <c r="G35" s="182"/>
      <c r="H35" s="391"/>
    </row>
    <row r="36" spans="1:8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:H36" si="9">SUM(F9,F18,F24,F26,F30,F32,F34)</f>
        <v>18006</v>
      </c>
      <c r="G36" s="187"/>
      <c r="H36" s="188">
        <f t="shared" si="9"/>
        <v>17570</v>
      </c>
    </row>
    <row r="37" spans="1:8" ht="13.5" thickTop="1">
      <c r="A37" s="3">
        <f t="shared" si="0"/>
        <v>31</v>
      </c>
      <c r="B37" s="3"/>
      <c r="F37" s="183"/>
      <c r="H37" s="391"/>
    </row>
    <row r="38" spans="1:8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>
        <v>0</v>
      </c>
      <c r="F38" s="185">
        <f>ROUND(D38*E38,0)</f>
        <v>0</v>
      </c>
      <c r="G38" s="184">
        <v>0</v>
      </c>
      <c r="H38" s="392">
        <f>ROUND(D38*G38,0)</f>
        <v>0</v>
      </c>
    </row>
    <row r="39" spans="1:8">
      <c r="A39" s="3">
        <f t="shared" si="0"/>
        <v>33</v>
      </c>
      <c r="B39" s="3"/>
      <c r="F39" s="183"/>
      <c r="H39" s="391"/>
    </row>
    <row r="40" spans="1:8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F40" s="188">
        <f t="shared" ref="F40:H40" si="10">SUM(F36,F38)</f>
        <v>18006</v>
      </c>
      <c r="H40" s="188">
        <f t="shared" si="10"/>
        <v>17570</v>
      </c>
    </row>
    <row r="41" spans="1:8" ht="13.5" thickTop="1"/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4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6" sqref="E6"/>
    </sheetView>
  </sheetViews>
  <sheetFormatPr defaultRowHeight="12.75"/>
  <cols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52" t="s">
        <v>0</v>
      </c>
      <c r="B1" s="552"/>
      <c r="C1" s="552"/>
      <c r="D1" s="552"/>
      <c r="E1" s="552"/>
      <c r="F1" s="552"/>
    </row>
    <row r="2" spans="1:6">
      <c r="A2" s="553" t="s">
        <v>208</v>
      </c>
      <c r="B2" s="552"/>
      <c r="C2" s="552"/>
      <c r="D2" s="552"/>
      <c r="E2" s="552"/>
      <c r="F2" s="552"/>
    </row>
    <row r="3" spans="1:6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6">
      <c r="A4" s="552"/>
      <c r="B4" s="552"/>
      <c r="C4" s="552"/>
      <c r="D4" s="552"/>
      <c r="E4" s="552"/>
      <c r="F4" s="552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359" t="s">
        <v>532</v>
      </c>
      <c r="F6" s="7" t="s">
        <v>209</v>
      </c>
    </row>
    <row r="7" spans="1:6">
      <c r="A7" s="3">
        <v>1</v>
      </c>
      <c r="B7" s="3">
        <v>7</v>
      </c>
      <c r="C7" s="4"/>
      <c r="D7" s="9">
        <f>+'JAP-4 (ERF Impacts)'!C9</f>
        <v>10657340</v>
      </c>
      <c r="E7" s="182">
        <f>+'UE-180976 Sch 132'!G10</f>
        <v>0</v>
      </c>
      <c r="F7" s="183">
        <f>ROUND(D7*E7,0)</f>
        <v>0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+'UE-180976 Sch 132'!G12</f>
        <v>0</v>
      </c>
      <c r="F8" s="183">
        <f>ROUND(D8*E8,0)</f>
        <v>0</v>
      </c>
    </row>
    <row r="9" spans="1:6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0</v>
      </c>
    </row>
    <row r="10" spans="1:6">
      <c r="A10" s="3">
        <f t="shared" si="0"/>
        <v>4</v>
      </c>
      <c r="B10" s="3"/>
      <c r="C10" s="4"/>
      <c r="D10" s="9"/>
      <c r="E10" s="182"/>
      <c r="F10" s="183"/>
    </row>
    <row r="11" spans="1:6">
      <c r="A11" s="3">
        <f t="shared" si="0"/>
        <v>5</v>
      </c>
      <c r="B11" s="3">
        <v>8</v>
      </c>
      <c r="C11" s="4"/>
      <c r="D11" s="9">
        <v>0</v>
      </c>
      <c r="E11" s="182">
        <f>+'UE-180976 Sch 132'!G11</f>
        <v>0</v>
      </c>
      <c r="F11" s="18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+'JAP-4 (ERF Impacts)'!C12</f>
        <v>2769974</v>
      </c>
      <c r="E12" s="186">
        <f>+E11</f>
        <v>0</v>
      </c>
      <c r="F12" s="183">
        <f t="shared" si="2"/>
        <v>0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82">
        <f>+E8</f>
        <v>0</v>
      </c>
      <c r="F13" s="18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+'JAP-4 (ERF Impacts)'!C13</f>
        <v>2962665</v>
      </c>
      <c r="E14" s="186">
        <f>+E13</f>
        <v>0</v>
      </c>
      <c r="F14" s="183">
        <f t="shared" si="2"/>
        <v>0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82">
        <f>+'UE-180976 Sch 132'!G13</f>
        <v>0</v>
      </c>
      <c r="F15" s="183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9">
        <f>+'JAP-4 (ERF Impacts)'!C14</f>
        <v>1872506</v>
      </c>
      <c r="E16" s="186">
        <f>+E15</f>
        <v>0</v>
      </c>
      <c r="F16" s="183">
        <f t="shared" si="2"/>
        <v>0</v>
      </c>
    </row>
    <row r="17" spans="1:6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+E8</f>
        <v>0</v>
      </c>
      <c r="F17" s="183">
        <f t="shared" si="2"/>
        <v>0</v>
      </c>
    </row>
    <row r="18" spans="1:6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3">SUM(F11:F17)</f>
        <v>0</v>
      </c>
    </row>
    <row r="19" spans="1:6">
      <c r="A19" s="3">
        <f t="shared" si="0"/>
        <v>13</v>
      </c>
      <c r="B19" s="3"/>
      <c r="C19" s="4"/>
      <c r="D19" s="9"/>
      <c r="E19" s="182"/>
      <c r="F19" s="183"/>
    </row>
    <row r="20" spans="1:6">
      <c r="A20" s="3">
        <f t="shared" si="0"/>
        <v>14</v>
      </c>
      <c r="B20" s="3">
        <v>10</v>
      </c>
      <c r="C20" s="1"/>
      <c r="D20" s="9">
        <v>0</v>
      </c>
      <c r="E20" s="182">
        <f>+'UE-180976 Sch 132'!G14</f>
        <v>0</v>
      </c>
      <c r="F20" s="18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0</v>
      </c>
      <c r="F21" s="183">
        <f>ROUND(D21*E21,0)</f>
        <v>0</v>
      </c>
    </row>
    <row r="22" spans="1:6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6">
        <f t="shared" ref="E22:E23" si="4">+E21</f>
        <v>0</v>
      </c>
      <c r="F22" s="183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6">
        <f t="shared" si="4"/>
        <v>0</v>
      </c>
      <c r="F23" s="183">
        <f>ROUND(D23*E23,0)</f>
        <v>0</v>
      </c>
    </row>
    <row r="24" spans="1:6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5">SUM(F20:F23)</f>
        <v>0</v>
      </c>
    </row>
    <row r="25" spans="1:6">
      <c r="A25" s="3">
        <f t="shared" si="0"/>
        <v>19</v>
      </c>
      <c r="B25" s="3"/>
      <c r="C25" s="4"/>
      <c r="D25" s="9"/>
      <c r="E25" s="182"/>
      <c r="F25" s="183"/>
    </row>
    <row r="26" spans="1:6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+'UE-180976 Sch 132'!G15</f>
        <v>0</v>
      </c>
      <c r="F26" s="185">
        <f>ROUND(D26*E26,0)</f>
        <v>0</v>
      </c>
    </row>
    <row r="27" spans="1:6">
      <c r="A27" s="3">
        <f t="shared" si="0"/>
        <v>21</v>
      </c>
      <c r="B27" s="3"/>
      <c r="C27" s="4"/>
      <c r="D27" s="9"/>
      <c r="E27" s="182"/>
      <c r="F27" s="183"/>
    </row>
    <row r="28" spans="1:6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+'UE-180976 Sch 132'!G16</f>
        <v>0</v>
      </c>
      <c r="F28" s="18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+E28</f>
        <v>0</v>
      </c>
      <c r="F29" s="183">
        <f>ROUND(D29*E29,0)</f>
        <v>0</v>
      </c>
    </row>
    <row r="30" spans="1:6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6">SUM(F28:F29)</f>
        <v>0</v>
      </c>
    </row>
    <row r="31" spans="1:6">
      <c r="A31" s="3">
        <f t="shared" si="0"/>
        <v>25</v>
      </c>
      <c r="B31" s="3"/>
      <c r="C31" s="4"/>
      <c r="D31" s="9"/>
      <c r="E31" s="182"/>
      <c r="F31" s="183"/>
    </row>
    <row r="32" spans="1:6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+'UE-180976 Sch 132'!G18</f>
        <v>0</v>
      </c>
      <c r="F32" s="185">
        <f>ROUND(D32*E32,0)</f>
        <v>0</v>
      </c>
    </row>
    <row r="33" spans="1:6">
      <c r="A33" s="3">
        <f t="shared" si="0"/>
        <v>27</v>
      </c>
      <c r="B33" s="3"/>
      <c r="C33" s="4"/>
      <c r="D33" s="9"/>
      <c r="E33" s="182"/>
      <c r="F33" s="183"/>
    </row>
    <row r="34" spans="1:6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+'UE-180976 Sch 132'!G17</f>
        <v>0</v>
      </c>
      <c r="F34" s="18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182"/>
      <c r="F35" s="183"/>
    </row>
    <row r="36" spans="1:6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7">SUM(F9,F18,F24,F26,F30,F32,F34)</f>
        <v>0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83"/>
    </row>
    <row r="38" spans="1:6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>
        <v>0</v>
      </c>
      <c r="F38" s="185">
        <f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183"/>
    </row>
    <row r="40" spans="1:6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E40" s="1"/>
      <c r="F40" s="188">
        <f t="shared" ref="F40" si="8">SUM(F36,F38)</f>
        <v>0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41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7" sqref="E7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5.140625" bestFit="1" customWidth="1"/>
    <col min="5" max="5" width="11.5703125" bestFit="1" customWidth="1"/>
    <col min="6" max="6" width="12.140625" bestFit="1" customWidth="1"/>
  </cols>
  <sheetData>
    <row r="1" spans="1:6">
      <c r="A1" s="552" t="s">
        <v>0</v>
      </c>
      <c r="B1" s="552"/>
      <c r="C1" s="552"/>
      <c r="D1" s="552"/>
      <c r="E1" s="552"/>
      <c r="F1" s="552"/>
    </row>
    <row r="2" spans="1:6">
      <c r="A2" s="553" t="s">
        <v>232</v>
      </c>
      <c r="B2" s="552"/>
      <c r="C2" s="552"/>
      <c r="D2" s="552"/>
      <c r="E2" s="552"/>
      <c r="F2" s="552"/>
    </row>
    <row r="3" spans="1:6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6">
      <c r="A4" s="552"/>
      <c r="B4" s="552"/>
      <c r="C4" s="552"/>
      <c r="D4" s="552"/>
      <c r="E4" s="552"/>
      <c r="F4" s="552"/>
    </row>
    <row r="5" spans="1:6">
      <c r="A5" s="2"/>
      <c r="B5" s="3"/>
      <c r="C5" s="3"/>
      <c r="D5" s="3"/>
      <c r="E5" s="4"/>
      <c r="F5" s="4" t="s">
        <v>125</v>
      </c>
    </row>
    <row r="6" spans="1:6" ht="51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359" t="s">
        <v>532</v>
      </c>
      <c r="F6" s="7" t="s">
        <v>233</v>
      </c>
    </row>
    <row r="7" spans="1:6">
      <c r="A7" s="3">
        <v>1</v>
      </c>
      <c r="B7" s="3">
        <v>7</v>
      </c>
      <c r="C7" s="4"/>
      <c r="D7" s="9">
        <f>+'JAP-4 (ERF Impacts)'!C9</f>
        <v>10657340</v>
      </c>
      <c r="E7" s="182">
        <f>+'UE-180978 Sch 137'!G9</f>
        <v>-7.2999999999999999E-5</v>
      </c>
      <c r="F7" s="183">
        <f>ROUND(D7*E7,0)</f>
        <v>-778</v>
      </c>
    </row>
    <row r="8" spans="1:6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+'UE-180978 Sch 137'!G12</f>
        <v>-6.0000000000000002E-5</v>
      </c>
      <c r="F8" s="183">
        <f>ROUND(D8*E8,0)</f>
        <v>0</v>
      </c>
    </row>
    <row r="9" spans="1:6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-778</v>
      </c>
    </row>
    <row r="10" spans="1:6">
      <c r="A10" s="3">
        <f t="shared" si="0"/>
        <v>4</v>
      </c>
      <c r="B10" s="3"/>
      <c r="C10" s="4"/>
      <c r="D10" s="9"/>
      <c r="E10" s="182"/>
      <c r="F10" s="183"/>
    </row>
    <row r="11" spans="1:6">
      <c r="A11" s="3">
        <f t="shared" si="0"/>
        <v>5</v>
      </c>
      <c r="B11" s="3">
        <v>8</v>
      </c>
      <c r="C11" s="4"/>
      <c r="D11" s="9">
        <v>0</v>
      </c>
      <c r="E11" s="182">
        <f>+'UE-180978 Sch 137'!G11</f>
        <v>-6.3E-5</v>
      </c>
      <c r="F11" s="18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9">
        <f>+'JAP-4 (ERF Impacts)'!C12</f>
        <v>2769974</v>
      </c>
      <c r="E12" s="186">
        <f>+E11</f>
        <v>-6.3E-5</v>
      </c>
      <c r="F12" s="183">
        <f t="shared" si="2"/>
        <v>-175</v>
      </c>
    </row>
    <row r="13" spans="1:6">
      <c r="A13" s="3">
        <f t="shared" si="0"/>
        <v>7</v>
      </c>
      <c r="B13" s="2">
        <v>11</v>
      </c>
      <c r="C13" s="4"/>
      <c r="D13" s="9">
        <v>0</v>
      </c>
      <c r="E13" s="182">
        <f>+E8</f>
        <v>-6.0000000000000002E-5</v>
      </c>
      <c r="F13" s="18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9">
        <f>+'JAP-4 (ERF Impacts)'!C13</f>
        <v>2962665</v>
      </c>
      <c r="E14" s="186">
        <f>+E13</f>
        <v>-6.0000000000000002E-5</v>
      </c>
      <c r="F14" s="183">
        <f t="shared" si="2"/>
        <v>-178</v>
      </c>
    </row>
    <row r="15" spans="1:6">
      <c r="A15" s="3">
        <f t="shared" si="0"/>
        <v>9</v>
      </c>
      <c r="B15" s="3">
        <v>12</v>
      </c>
      <c r="C15" s="4"/>
      <c r="D15" s="9">
        <v>0</v>
      </c>
      <c r="E15" s="182">
        <f>+'UE-180978 Sch 137'!G13</f>
        <v>-6.4999999999999994E-5</v>
      </c>
      <c r="F15" s="183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9">
        <f>+'JAP-4 (ERF Impacts)'!C14</f>
        <v>1872506</v>
      </c>
      <c r="E16" s="186">
        <f>+E15</f>
        <v>-6.4999999999999994E-5</v>
      </c>
      <c r="F16" s="183">
        <f t="shared" si="2"/>
        <v>-122</v>
      </c>
    </row>
    <row r="17" spans="1:6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+'UE-180978 Sch 137'!G14</f>
        <v>-4.8999999999999998E-5</v>
      </c>
      <c r="F17" s="391">
        <f t="shared" si="2"/>
        <v>-1</v>
      </c>
    </row>
    <row r="18" spans="1:6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3">SUM(F11:F17)</f>
        <v>-476</v>
      </c>
    </row>
    <row r="19" spans="1:6">
      <c r="A19" s="3">
        <f t="shared" si="0"/>
        <v>13</v>
      </c>
      <c r="B19" s="3"/>
      <c r="C19" s="4"/>
      <c r="D19" s="9"/>
      <c r="E19" s="182"/>
      <c r="F19" s="183"/>
    </row>
    <row r="20" spans="1:6">
      <c r="A20" s="3">
        <f t="shared" si="0"/>
        <v>14</v>
      </c>
      <c r="B20" s="3">
        <v>10</v>
      </c>
      <c r="C20" s="1"/>
      <c r="D20" s="9">
        <v>0</v>
      </c>
      <c r="E20" s="182">
        <f>+'UE-180978 Sch 137'!G18</f>
        <v>-5.8999999999999998E-5</v>
      </c>
      <c r="F20" s="18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-5.8999999999999998E-5</v>
      </c>
      <c r="F21" s="183">
        <f>ROUND(D21*E21,0)</f>
        <v>-78</v>
      </c>
    </row>
    <row r="22" spans="1:6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6">
        <f>+'UE-180978 Sch 137'!G19</f>
        <v>-4.3999999999999999E-5</v>
      </c>
      <c r="F22" s="183">
        <f>ROUND(D22*E22,0)</f>
        <v>0</v>
      </c>
    </row>
    <row r="23" spans="1:6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6">
        <f>+'UE-180978 Sch 137'!G20</f>
        <v>-5.0000000000000002E-5</v>
      </c>
      <c r="F23" s="183">
        <f>ROUND(D23*E23,0)</f>
        <v>-6</v>
      </c>
    </row>
    <row r="24" spans="1:6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4">SUM(F20:F23)</f>
        <v>-84</v>
      </c>
    </row>
    <row r="25" spans="1:6">
      <c r="A25" s="3">
        <f t="shared" si="0"/>
        <v>19</v>
      </c>
      <c r="B25" s="3"/>
      <c r="C25" s="4"/>
      <c r="D25" s="9"/>
      <c r="E25" s="182"/>
      <c r="F25" s="183"/>
    </row>
    <row r="26" spans="1:6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+'UE-180978 Sch 137'!G24</f>
        <v>-6.7000000000000002E-5</v>
      </c>
      <c r="F26" s="185">
        <f>ROUND(D26*E26,0)</f>
        <v>-36</v>
      </c>
    </row>
    <row r="27" spans="1:6">
      <c r="A27" s="3">
        <f t="shared" si="0"/>
        <v>21</v>
      </c>
      <c r="B27" s="3"/>
      <c r="C27" s="4"/>
      <c r="D27" s="9"/>
      <c r="E27" s="182"/>
      <c r="F27" s="183"/>
    </row>
    <row r="28" spans="1:6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+'UE-180978 Sch 137'!G26</f>
        <v>-3.8000000000000002E-5</v>
      </c>
      <c r="F28" s="183">
        <f>ROUND(D28*E28,0)</f>
        <v>-3</v>
      </c>
    </row>
    <row r="29" spans="1:6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+'UE-180978 Sch 137'!G27</f>
        <v>-5.8E-5</v>
      </c>
      <c r="F29" s="183">
        <f>ROUND(D29*E29,0)</f>
        <v>-32</v>
      </c>
    </row>
    <row r="30" spans="1:6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5">SUM(F28:F29)</f>
        <v>-35</v>
      </c>
    </row>
    <row r="31" spans="1:6">
      <c r="A31" s="3">
        <f t="shared" si="0"/>
        <v>25</v>
      </c>
      <c r="B31" s="3"/>
      <c r="C31" s="4"/>
      <c r="D31" s="9"/>
      <c r="E31" s="182"/>
      <c r="F31" s="183"/>
    </row>
    <row r="32" spans="1:6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+'UE-180978 Sch 137'!G31</f>
        <v>-7.4999999999999993E-5</v>
      </c>
      <c r="F32" s="185">
        <f>ROUND(D32*E32,0)</f>
        <v>-5</v>
      </c>
    </row>
    <row r="33" spans="1:6">
      <c r="A33" s="3">
        <f t="shared" si="0"/>
        <v>27</v>
      </c>
      <c r="B33" s="3"/>
      <c r="C33" s="4"/>
      <c r="D33" s="9"/>
      <c r="E33" s="182"/>
      <c r="F33" s="183"/>
    </row>
    <row r="34" spans="1:6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+'UE-180978 Sch 137'!G38</f>
        <v>0</v>
      </c>
      <c r="F34" s="185">
        <f>ROUND(D34*E34,0)</f>
        <v>0</v>
      </c>
    </row>
    <row r="35" spans="1:6">
      <c r="A35" s="3">
        <f t="shared" si="0"/>
        <v>29</v>
      </c>
      <c r="B35" s="3"/>
      <c r="C35" s="4"/>
      <c r="D35" s="9"/>
      <c r="E35" s="182"/>
      <c r="F35" s="183"/>
    </row>
    <row r="36" spans="1:6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6">SUM(F9,F18,F24,F26,F30,F32,F34)</f>
        <v>-1414</v>
      </c>
    </row>
    <row r="37" spans="1:6" ht="13.5" thickTop="1">
      <c r="A37" s="3">
        <f t="shared" si="0"/>
        <v>31</v>
      </c>
      <c r="B37" s="3"/>
      <c r="C37" s="1"/>
      <c r="D37" s="1"/>
      <c r="E37" s="1"/>
      <c r="F37" s="183"/>
    </row>
    <row r="38" spans="1:6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/>
      <c r="F38" s="185">
        <f>ROUND(D38*E38,0)</f>
        <v>0</v>
      </c>
    </row>
    <row r="39" spans="1:6">
      <c r="A39" s="3">
        <f t="shared" si="0"/>
        <v>33</v>
      </c>
      <c r="B39" s="3"/>
      <c r="C39" s="1"/>
      <c r="D39" s="1"/>
      <c r="E39" s="1"/>
      <c r="F39" s="183"/>
    </row>
    <row r="40" spans="1:6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E40" s="1"/>
      <c r="F40" s="188">
        <f t="shared" ref="F40" si="7">SUM(F36,F38)</f>
        <v>-1414</v>
      </c>
    </row>
    <row r="41" spans="1:6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workbookViewId="0"/>
  </sheetViews>
  <sheetFormatPr defaultColWidth="8.85546875" defaultRowHeight="15.75"/>
  <cols>
    <col min="1" max="16384" width="8.85546875" style="230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5.140625" bestFit="1" customWidth="1"/>
    <col min="5" max="5" width="10.85546875" bestFit="1" customWidth="1"/>
    <col min="6" max="6" width="12.42578125" bestFit="1" customWidth="1"/>
    <col min="8" max="8" width="10.85546875" bestFit="1" customWidth="1"/>
  </cols>
  <sheetData>
    <row r="1" spans="1:10">
      <c r="A1" s="552" t="s">
        <v>0</v>
      </c>
      <c r="B1" s="552"/>
      <c r="C1" s="552"/>
      <c r="D1" s="552"/>
      <c r="E1" s="552"/>
      <c r="F1" s="552"/>
    </row>
    <row r="2" spans="1:10">
      <c r="A2" s="553" t="s">
        <v>239</v>
      </c>
      <c r="B2" s="552"/>
      <c r="C2" s="552"/>
      <c r="D2" s="552"/>
      <c r="E2" s="552"/>
      <c r="F2" s="552"/>
    </row>
    <row r="3" spans="1:10">
      <c r="A3" s="552" t="str">
        <f>+'JAP-4 (ERF Impacts)'!A3</f>
        <v>Test Year ended June 2018</v>
      </c>
      <c r="B3" s="552"/>
      <c r="C3" s="552"/>
      <c r="D3" s="552"/>
      <c r="E3" s="552"/>
      <c r="F3" s="552"/>
    </row>
    <row r="4" spans="1:10">
      <c r="A4" s="552"/>
      <c r="B4" s="552"/>
      <c r="C4" s="552"/>
      <c r="D4" s="552"/>
      <c r="E4" s="552"/>
      <c r="F4" s="552"/>
    </row>
    <row r="5" spans="1:10">
      <c r="A5" s="2"/>
      <c r="B5" s="3"/>
      <c r="C5" s="3"/>
      <c r="D5" s="3"/>
      <c r="E5" s="4"/>
      <c r="F5" s="4" t="s">
        <v>125</v>
      </c>
    </row>
    <row r="6" spans="1:10" ht="63.75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7" t="s">
        <v>362</v>
      </c>
      <c r="F6" s="7" t="s">
        <v>240</v>
      </c>
      <c r="H6" s="359" t="s">
        <v>409</v>
      </c>
      <c r="I6" s="359" t="s">
        <v>240</v>
      </c>
      <c r="J6" s="1"/>
    </row>
    <row r="7" spans="1:10">
      <c r="A7" s="3">
        <v>1</v>
      </c>
      <c r="B7" s="3">
        <v>7</v>
      </c>
      <c r="C7" s="4"/>
      <c r="D7" s="9">
        <f>+'JAP-4 (ERF Impacts)'!C9</f>
        <v>10657340</v>
      </c>
      <c r="E7" s="182">
        <f>+'UE-180257 Sch 140'!F8</f>
        <v>3.6039999999999996E-3</v>
      </c>
      <c r="F7" s="183">
        <f>ROUND(D7*E7,0)</f>
        <v>38409</v>
      </c>
      <c r="H7" s="182">
        <f>+'UE-180257 Sch 140'!G8</f>
        <v>3.4720000000000003E-3</v>
      </c>
      <c r="I7" s="391">
        <f>ROUND(D7*H7,0)</f>
        <v>37002</v>
      </c>
      <c r="J7" s="1"/>
    </row>
    <row r="8" spans="1:10">
      <c r="A8" s="3">
        <f t="shared" ref="A8:A40" si="0">+A7+1</f>
        <v>2</v>
      </c>
      <c r="B8" s="2" t="s">
        <v>14</v>
      </c>
      <c r="C8" s="4"/>
      <c r="D8" s="9">
        <v>0</v>
      </c>
      <c r="E8" s="182">
        <f>+'UE-180257 Sch 140'!F13</f>
        <v>2.3180000000000002E-3</v>
      </c>
      <c r="F8" s="183">
        <f>ROUND(D8*E8,0)</f>
        <v>0</v>
      </c>
      <c r="H8" s="182">
        <f>+'UE-180257 Sch 140'!G13</f>
        <v>2.467E-3</v>
      </c>
      <c r="I8" s="391">
        <f>ROUND(D8*H8,0)</f>
        <v>0</v>
      </c>
      <c r="J8" s="1"/>
    </row>
    <row r="9" spans="1:10">
      <c r="A9" s="3">
        <f t="shared" si="0"/>
        <v>3</v>
      </c>
      <c r="B9" s="3"/>
      <c r="C9" s="4" t="s">
        <v>15</v>
      </c>
      <c r="D9" s="12">
        <f>SUM(D7:D8)</f>
        <v>10657340</v>
      </c>
      <c r="E9" s="184"/>
      <c r="F9" s="185">
        <f t="shared" ref="F9" si="1">SUM(F7:F8)</f>
        <v>38409</v>
      </c>
      <c r="H9" s="184"/>
      <c r="I9" s="392">
        <f t="shared" ref="I9" si="2">SUM(I7:I8)</f>
        <v>37002</v>
      </c>
      <c r="J9" s="1"/>
    </row>
    <row r="10" spans="1:10">
      <c r="A10" s="3">
        <f t="shared" si="0"/>
        <v>4</v>
      </c>
      <c r="B10" s="3"/>
      <c r="C10" s="4"/>
      <c r="D10" s="9"/>
      <c r="E10" s="182"/>
      <c r="F10" s="183"/>
      <c r="H10" s="182"/>
      <c r="I10" s="391"/>
      <c r="J10" s="1"/>
    </row>
    <row r="11" spans="1:10">
      <c r="A11" s="3">
        <f t="shared" si="0"/>
        <v>5</v>
      </c>
      <c r="B11" s="3">
        <v>8</v>
      </c>
      <c r="C11" s="4"/>
      <c r="D11" s="9">
        <v>0</v>
      </c>
      <c r="E11" s="182">
        <f>+'UE-180257 Sch 140'!F12</f>
        <v>2.5469999999999998E-3</v>
      </c>
      <c r="F11" s="183">
        <f t="shared" ref="F11:F17" si="3">ROUND(D11*E11,0)</f>
        <v>0</v>
      </c>
      <c r="H11" s="182">
        <f>+'UE-180257 Sch 140'!G12</f>
        <v>2.6289999999999998E-3</v>
      </c>
      <c r="I11" s="391">
        <f t="shared" ref="I11:I17" si="4">ROUND(D11*H11,0)</f>
        <v>0</v>
      </c>
      <c r="J11" s="1"/>
    </row>
    <row r="12" spans="1:10">
      <c r="A12" s="3">
        <f t="shared" si="0"/>
        <v>6</v>
      </c>
      <c r="B12" s="3">
        <v>24</v>
      </c>
      <c r="C12" s="1"/>
      <c r="D12" s="9">
        <f>+'JAP-4 (ERF Impacts)'!C12</f>
        <v>2769974</v>
      </c>
      <c r="E12" s="186">
        <f>+E11</f>
        <v>2.5469999999999998E-3</v>
      </c>
      <c r="F12" s="183">
        <f t="shared" si="3"/>
        <v>7055</v>
      </c>
      <c r="H12" s="186">
        <f>+H11</f>
        <v>2.6289999999999998E-3</v>
      </c>
      <c r="I12" s="391">
        <f t="shared" si="4"/>
        <v>7282</v>
      </c>
      <c r="J12" s="1"/>
    </row>
    <row r="13" spans="1:10">
      <c r="A13" s="3">
        <f t="shared" si="0"/>
        <v>7</v>
      </c>
      <c r="B13" s="2">
        <v>11</v>
      </c>
      <c r="C13" s="4"/>
      <c r="D13" s="9">
        <v>0</v>
      </c>
      <c r="E13" s="182">
        <f>+E8</f>
        <v>2.3180000000000002E-3</v>
      </c>
      <c r="F13" s="183">
        <f t="shared" si="3"/>
        <v>0</v>
      </c>
      <c r="H13" s="182">
        <f>+H8</f>
        <v>2.467E-3</v>
      </c>
      <c r="I13" s="391">
        <f t="shared" si="4"/>
        <v>0</v>
      </c>
      <c r="J13" s="1"/>
    </row>
    <row r="14" spans="1:10">
      <c r="A14" s="3">
        <f t="shared" si="0"/>
        <v>8</v>
      </c>
      <c r="B14" s="2">
        <v>25</v>
      </c>
      <c r="C14" s="1"/>
      <c r="D14" s="9">
        <f>+'JAP-4 (ERF Impacts)'!C13</f>
        <v>2962665</v>
      </c>
      <c r="E14" s="186">
        <f>+E13</f>
        <v>2.3180000000000002E-3</v>
      </c>
      <c r="F14" s="183">
        <f t="shared" si="3"/>
        <v>6867</v>
      </c>
      <c r="H14" s="186">
        <f>+H13</f>
        <v>2.467E-3</v>
      </c>
      <c r="I14" s="391">
        <f t="shared" si="4"/>
        <v>7309</v>
      </c>
      <c r="J14" s="1"/>
    </row>
    <row r="15" spans="1:10">
      <c r="A15" s="3">
        <f t="shared" si="0"/>
        <v>9</v>
      </c>
      <c r="B15" s="3">
        <v>12</v>
      </c>
      <c r="C15" s="4"/>
      <c r="D15" s="9">
        <v>0</v>
      </c>
      <c r="E15" s="182">
        <f>+'UE-180257 Sch 140'!F14</f>
        <v>2.2060000000000001E-3</v>
      </c>
      <c r="F15" s="183">
        <f t="shared" si="3"/>
        <v>0</v>
      </c>
      <c r="H15" s="182">
        <f>+'UE-180257 Sch 140'!G14</f>
        <v>2.2649999999999997E-3</v>
      </c>
      <c r="I15" s="391">
        <f t="shared" si="4"/>
        <v>0</v>
      </c>
      <c r="J15" s="1"/>
    </row>
    <row r="16" spans="1:10">
      <c r="A16" s="3">
        <f t="shared" si="0"/>
        <v>10</v>
      </c>
      <c r="B16" s="3" t="s">
        <v>16</v>
      </c>
      <c r="C16" s="1"/>
      <c r="D16" s="9">
        <f>+'JAP-4 (ERF Impacts)'!C14</f>
        <v>1872506</v>
      </c>
      <c r="E16" s="186">
        <f>+E15</f>
        <v>2.2060000000000001E-3</v>
      </c>
      <c r="F16" s="183">
        <f t="shared" si="3"/>
        <v>4131</v>
      </c>
      <c r="H16" s="186">
        <f>+H15</f>
        <v>2.2649999999999997E-3</v>
      </c>
      <c r="I16" s="391">
        <f t="shared" si="4"/>
        <v>4241</v>
      </c>
      <c r="J16" s="1"/>
    </row>
    <row r="17" spans="1:10">
      <c r="A17" s="3">
        <f t="shared" si="0"/>
        <v>11</v>
      </c>
      <c r="B17" s="3">
        <v>29</v>
      </c>
      <c r="C17" s="4"/>
      <c r="D17" s="9">
        <f>+'JAP-4 (ERF Impacts)'!C15</f>
        <v>18243</v>
      </c>
      <c r="E17" s="182">
        <f>+'UE-180257 Sch 140'!F15</f>
        <v>2.3180000000000002E-3</v>
      </c>
      <c r="F17" s="183">
        <f t="shared" si="3"/>
        <v>42</v>
      </c>
      <c r="H17" s="182">
        <f>+'UE-180257 Sch 140'!G15</f>
        <v>2.467E-3</v>
      </c>
      <c r="I17" s="391">
        <f t="shared" si="4"/>
        <v>45</v>
      </c>
      <c r="J17" s="1"/>
    </row>
    <row r="18" spans="1:10">
      <c r="A18" s="3">
        <f t="shared" si="0"/>
        <v>12</v>
      </c>
      <c r="B18" s="3"/>
      <c r="C18" s="11" t="s">
        <v>17</v>
      </c>
      <c r="D18" s="12">
        <f>SUM(D11:D17)</f>
        <v>7623388</v>
      </c>
      <c r="E18" s="184"/>
      <c r="F18" s="185">
        <f t="shared" ref="F18" si="5">SUM(F11:F17)</f>
        <v>18095</v>
      </c>
      <c r="H18" s="184"/>
      <c r="I18" s="392">
        <f t="shared" ref="I18" si="6">SUM(I11:I17)</f>
        <v>18877</v>
      </c>
      <c r="J18" s="1"/>
    </row>
    <row r="19" spans="1:10">
      <c r="A19" s="3">
        <f t="shared" si="0"/>
        <v>13</v>
      </c>
      <c r="B19" s="3"/>
      <c r="C19" s="4"/>
      <c r="D19" s="9"/>
      <c r="E19" s="182"/>
      <c r="F19" s="183"/>
      <c r="H19" s="182"/>
      <c r="I19" s="391"/>
      <c r="J19" s="1"/>
    </row>
    <row r="20" spans="1:10">
      <c r="A20" s="3">
        <f t="shared" si="0"/>
        <v>14</v>
      </c>
      <c r="B20" s="3">
        <v>10</v>
      </c>
      <c r="C20" s="1"/>
      <c r="D20" s="9">
        <v>0</v>
      </c>
      <c r="E20" s="182">
        <f>+'UE-180257 Sch 140'!F19</f>
        <v>2.1980000000000003E-3</v>
      </c>
      <c r="F20" s="183">
        <f>ROUND(D20*E20,0)</f>
        <v>0</v>
      </c>
      <c r="H20" s="182">
        <f>+'UE-180257 Sch 140'!G19</f>
        <v>2.2539999999999999E-3</v>
      </c>
      <c r="I20" s="391">
        <f t="shared" ref="I20:I23" si="7">ROUND(D20*H20,0)</f>
        <v>0</v>
      </c>
      <c r="J20" s="1"/>
    </row>
    <row r="21" spans="1:10">
      <c r="A21" s="3">
        <f t="shared" si="0"/>
        <v>15</v>
      </c>
      <c r="B21" s="3">
        <v>31</v>
      </c>
      <c r="C21" s="4"/>
      <c r="D21" s="9">
        <f>+'JAP-4 (ERF Impacts)'!C18</f>
        <v>1321181</v>
      </c>
      <c r="E21" s="186">
        <f>+E20</f>
        <v>2.1980000000000003E-3</v>
      </c>
      <c r="F21" s="183">
        <f>ROUND(D21*E21,0)</f>
        <v>2904</v>
      </c>
      <c r="H21" s="186">
        <f>+H20</f>
        <v>2.2539999999999999E-3</v>
      </c>
      <c r="I21" s="391">
        <f t="shared" si="7"/>
        <v>2978</v>
      </c>
      <c r="J21" s="1"/>
    </row>
    <row r="22" spans="1:10">
      <c r="A22" s="3">
        <f t="shared" si="0"/>
        <v>16</v>
      </c>
      <c r="B22" s="3">
        <v>35</v>
      </c>
      <c r="C22" s="4"/>
      <c r="D22" s="9">
        <f>+'JAP-4 (ERF Impacts)'!C19</f>
        <v>3789</v>
      </c>
      <c r="E22" s="182">
        <f>+'UE-180257 Sch 140'!F21</f>
        <v>3.7650000000000001E-3</v>
      </c>
      <c r="F22" s="183">
        <f>ROUND(D22*E22,0)</f>
        <v>14</v>
      </c>
      <c r="H22" s="186">
        <f>+'UE-180257 Sch 140'!G20</f>
        <v>2.2539999999999999E-3</v>
      </c>
      <c r="I22" s="391">
        <f t="shared" si="7"/>
        <v>9</v>
      </c>
      <c r="J22" s="1"/>
    </row>
    <row r="23" spans="1:10">
      <c r="A23" s="3">
        <f t="shared" si="0"/>
        <v>17</v>
      </c>
      <c r="B23" s="3">
        <v>43</v>
      </c>
      <c r="C23" s="4"/>
      <c r="D23" s="9">
        <f>+'JAP-4 (ERF Impacts)'!C20</f>
        <v>123046</v>
      </c>
      <c r="E23" s="182">
        <f>+'UE-180257 Sch 140'!F22</f>
        <v>2.3315886902838226E-3</v>
      </c>
      <c r="F23" s="183">
        <f>ROUND(D23*E23,0)</f>
        <v>287</v>
      </c>
      <c r="H23" s="186">
        <f>+'UE-180257 Sch 140'!G21</f>
        <v>3.2960000000000003E-3</v>
      </c>
      <c r="I23" s="391">
        <f t="shared" si="7"/>
        <v>406</v>
      </c>
      <c r="J23" s="1"/>
    </row>
    <row r="24" spans="1:10">
      <c r="A24" s="3">
        <f t="shared" si="0"/>
        <v>18</v>
      </c>
      <c r="B24" s="3"/>
      <c r="C24" s="4" t="s">
        <v>18</v>
      </c>
      <c r="D24" s="12">
        <f>SUM(D20:D23)</f>
        <v>1448016</v>
      </c>
      <c r="E24" s="184"/>
      <c r="F24" s="185">
        <f t="shared" ref="F24" si="8">SUM(F20:F23)</f>
        <v>3205</v>
      </c>
      <c r="H24" s="184"/>
      <c r="I24" s="392">
        <f t="shared" ref="I24" si="9">SUM(I20:I23)</f>
        <v>3393</v>
      </c>
      <c r="J24" s="1"/>
    </row>
    <row r="25" spans="1:10">
      <c r="A25" s="3">
        <f t="shared" si="0"/>
        <v>19</v>
      </c>
      <c r="B25" s="3"/>
      <c r="C25" s="4"/>
      <c r="D25" s="9"/>
      <c r="E25" s="182"/>
      <c r="F25" s="183"/>
      <c r="H25" s="182"/>
      <c r="I25" s="391"/>
      <c r="J25" s="1"/>
    </row>
    <row r="26" spans="1:10">
      <c r="A26" s="3">
        <f t="shared" si="0"/>
        <v>20</v>
      </c>
      <c r="B26" s="3">
        <v>40</v>
      </c>
      <c r="C26" s="4"/>
      <c r="D26" s="12">
        <f>+'JAP-4 (ERF Impacts)'!C23</f>
        <v>534767</v>
      </c>
      <c r="E26" s="184">
        <f>+'UE-180257 Sch 140'!F24</f>
        <v>2.3499999999999997E-3</v>
      </c>
      <c r="F26" s="185">
        <f>ROUND(D26*E26,0)</f>
        <v>1257</v>
      </c>
      <c r="H26" s="184">
        <f>+'UE-180257 Sch 140'!G24</f>
        <v>2.104E-3</v>
      </c>
      <c r="I26" s="392">
        <f>ROUND(D26*H26,0)</f>
        <v>1125</v>
      </c>
      <c r="J26" s="1"/>
    </row>
    <row r="27" spans="1:10">
      <c r="A27" s="3">
        <f t="shared" si="0"/>
        <v>21</v>
      </c>
      <c r="B27" s="3"/>
      <c r="C27" s="4"/>
      <c r="D27" s="9"/>
      <c r="E27" s="182"/>
      <c r="F27" s="183"/>
      <c r="H27" s="182"/>
      <c r="I27" s="391"/>
      <c r="J27" s="1"/>
    </row>
    <row r="28" spans="1:10">
      <c r="A28" s="3">
        <f t="shared" si="0"/>
        <v>22</v>
      </c>
      <c r="B28" s="3">
        <v>46</v>
      </c>
      <c r="C28" s="4"/>
      <c r="D28" s="9">
        <f>+'JAP-4 (ERF Impacts)'!C25</f>
        <v>81154</v>
      </c>
      <c r="E28" s="182">
        <f>+'UE-180257 Sch 140'!F27</f>
        <v>1.4659999999999999E-3</v>
      </c>
      <c r="F28" s="183">
        <f>ROUND(D28*E28,0)</f>
        <v>119</v>
      </c>
      <c r="H28" s="182">
        <f>+'UE-180257 Sch 140'!G27</f>
        <v>1.6520000000000003E-3</v>
      </c>
      <c r="I28" s="391">
        <f t="shared" ref="I28:I29" si="10">ROUND(D28*H28,0)</f>
        <v>134</v>
      </c>
      <c r="J28" s="1"/>
    </row>
    <row r="29" spans="1:10">
      <c r="A29" s="3">
        <f t="shared" si="0"/>
        <v>23</v>
      </c>
      <c r="B29" s="3">
        <v>49</v>
      </c>
      <c r="C29" s="4"/>
      <c r="D29" s="9">
        <f>+'JAP-4 (ERF Impacts)'!C26</f>
        <v>553489</v>
      </c>
      <c r="E29" s="182">
        <f>+'UE-180257 Sch 140'!F28</f>
        <v>1.4659999999999999E-3</v>
      </c>
      <c r="F29" s="183">
        <f>ROUND(D29*E29,0)</f>
        <v>811</v>
      </c>
      <c r="H29" s="182">
        <f>+'UE-180257 Sch 140'!G28</f>
        <v>1.6520000000000003E-3</v>
      </c>
      <c r="I29" s="391">
        <f t="shared" si="10"/>
        <v>914</v>
      </c>
      <c r="J29" s="1"/>
    </row>
    <row r="30" spans="1:10">
      <c r="A30" s="3">
        <f t="shared" si="0"/>
        <v>24</v>
      </c>
      <c r="B30" s="3"/>
      <c r="C30" s="4" t="s">
        <v>19</v>
      </c>
      <c r="D30" s="12">
        <f>SUM(D28:D29)</f>
        <v>634643</v>
      </c>
      <c r="E30" s="184"/>
      <c r="F30" s="185">
        <f t="shared" ref="F30" si="11">SUM(F28:F29)</f>
        <v>930</v>
      </c>
      <c r="H30" s="184"/>
      <c r="I30" s="392">
        <f t="shared" ref="I30" si="12">SUM(I28:I29)</f>
        <v>1048</v>
      </c>
      <c r="J30" s="1"/>
    </row>
    <row r="31" spans="1:10">
      <c r="A31" s="3">
        <f t="shared" si="0"/>
        <v>25</v>
      </c>
      <c r="B31" s="3"/>
      <c r="C31" s="4"/>
      <c r="D31" s="9"/>
      <c r="E31" s="182"/>
      <c r="F31" s="183"/>
      <c r="H31" s="182"/>
      <c r="I31" s="391"/>
      <c r="J31" s="1"/>
    </row>
    <row r="32" spans="1:10">
      <c r="A32" s="3">
        <f t="shared" si="0"/>
        <v>26</v>
      </c>
      <c r="B32" s="3" t="s">
        <v>20</v>
      </c>
      <c r="C32" s="4"/>
      <c r="D32" s="12">
        <f>+'JAP-4 (ERF Impacts)'!C29</f>
        <v>70907</v>
      </c>
      <c r="E32" s="184">
        <f>+'UE-180257 Sch 140'!F31</f>
        <v>1.0231000000000001E-2</v>
      </c>
      <c r="F32" s="185">
        <f>ROUND(D32*E32,0)</f>
        <v>725</v>
      </c>
      <c r="H32" s="184">
        <f>+'UE-180257 Sch 140'!G31</f>
        <v>9.2829999999999996E-3</v>
      </c>
      <c r="I32" s="392">
        <f>ROUND(D32*H32,0)</f>
        <v>658</v>
      </c>
      <c r="J32" s="1"/>
    </row>
    <row r="33" spans="1:10">
      <c r="A33" s="3">
        <f t="shared" si="0"/>
        <v>27</v>
      </c>
      <c r="B33" s="3"/>
      <c r="C33" s="4"/>
      <c r="D33" s="9"/>
      <c r="E33" s="182"/>
      <c r="F33" s="183"/>
      <c r="H33" s="182"/>
      <c r="I33" s="391"/>
      <c r="J33" s="1"/>
    </row>
    <row r="34" spans="1:10">
      <c r="A34" s="3">
        <f t="shared" si="0"/>
        <v>28</v>
      </c>
      <c r="B34" s="3" t="s">
        <v>21</v>
      </c>
      <c r="C34" s="4"/>
      <c r="D34" s="12">
        <f>+'JAP-4 (ERF Impacts)'!C31</f>
        <v>1993601</v>
      </c>
      <c r="E34" s="184">
        <f>+'UE-180257 Sch 140'!F33</f>
        <v>2.99E-4</v>
      </c>
      <c r="F34" s="185">
        <f>ROUND(D34*E34,0)</f>
        <v>596</v>
      </c>
      <c r="H34" s="184">
        <f>+'UE-180257 Sch 140'!G33</f>
        <v>2.9999999999999997E-5</v>
      </c>
      <c r="I34" s="392">
        <f>ROUND(D34*H34,0)</f>
        <v>60</v>
      </c>
      <c r="J34" s="1"/>
    </row>
    <row r="35" spans="1:10">
      <c r="A35" s="3">
        <f t="shared" si="0"/>
        <v>29</v>
      </c>
      <c r="B35" s="3"/>
      <c r="C35" s="4"/>
      <c r="D35" s="9"/>
      <c r="E35" s="182"/>
      <c r="F35" s="183"/>
      <c r="H35" s="182"/>
      <c r="I35" s="391"/>
      <c r="J35" s="1"/>
    </row>
    <row r="36" spans="1:10" ht="13.5" thickBot="1">
      <c r="A36" s="3">
        <f t="shared" si="0"/>
        <v>30</v>
      </c>
      <c r="B36" s="3"/>
      <c r="C36" s="11" t="s">
        <v>89</v>
      </c>
      <c r="D36" s="13">
        <f>SUM(D9,D18,D24,D26,D30,D32,D34)</f>
        <v>22962662</v>
      </c>
      <c r="E36" s="187"/>
      <c r="F36" s="188">
        <f t="shared" ref="F36" si="13">SUM(F9,F18,F24,F26,F30,F32,F34)</f>
        <v>63217</v>
      </c>
      <c r="H36" s="187"/>
      <c r="I36" s="188">
        <f t="shared" ref="I36" si="14">SUM(I9,I18,I24,I26,I30,I32,I34)</f>
        <v>62163</v>
      </c>
      <c r="J36" s="1"/>
    </row>
    <row r="37" spans="1:10" ht="13.5" thickTop="1">
      <c r="A37" s="3">
        <f t="shared" si="0"/>
        <v>31</v>
      </c>
      <c r="B37" s="3"/>
      <c r="C37" s="1"/>
      <c r="D37" s="1"/>
      <c r="E37" s="1"/>
      <c r="F37" s="183"/>
      <c r="H37" s="1"/>
      <c r="I37" s="391"/>
      <c r="J37" s="1"/>
    </row>
    <row r="38" spans="1:10">
      <c r="A38" s="3">
        <f t="shared" si="0"/>
        <v>32</v>
      </c>
      <c r="B38" s="3">
        <v>5</v>
      </c>
      <c r="C38" s="1" t="s">
        <v>90</v>
      </c>
      <c r="D38" s="9">
        <f>+'JAP-4 (ERF Impacts)'!C35</f>
        <v>7238</v>
      </c>
      <c r="E38" s="184">
        <v>0</v>
      </c>
      <c r="F38" s="185">
        <f>ROUND(D38*E38,-3)</f>
        <v>0</v>
      </c>
      <c r="H38" s="184">
        <v>0</v>
      </c>
      <c r="I38" s="392">
        <f>ROUND(D38*H38,0)</f>
        <v>0</v>
      </c>
      <c r="J38" s="1"/>
    </row>
    <row r="39" spans="1:10">
      <c r="A39" s="3">
        <f t="shared" si="0"/>
        <v>33</v>
      </c>
      <c r="B39" s="3"/>
      <c r="C39" s="1"/>
      <c r="D39" s="1"/>
      <c r="E39" s="1"/>
      <c r="F39" s="183"/>
      <c r="H39" s="1"/>
      <c r="I39" s="391"/>
      <c r="J39" s="1"/>
    </row>
    <row r="40" spans="1:10" ht="13.5" thickBot="1">
      <c r="A40" s="3">
        <f t="shared" si="0"/>
        <v>34</v>
      </c>
      <c r="B40" s="3"/>
      <c r="C40" s="11" t="s">
        <v>91</v>
      </c>
      <c r="D40" s="13">
        <f>SUM(D36,D38)</f>
        <v>22969900</v>
      </c>
      <c r="E40" s="1"/>
      <c r="F40" s="188">
        <f t="shared" ref="F40" si="15">SUM(F36,F38)</f>
        <v>63217</v>
      </c>
      <c r="H40" s="1">
        <f>+I40/D40</f>
        <v>2.7062808283884561E-3</v>
      </c>
      <c r="I40" s="188">
        <f t="shared" ref="I40" si="16">SUM(I36,I38)</f>
        <v>62163</v>
      </c>
      <c r="J40" s="1"/>
    </row>
    <row r="41" spans="1:10" ht="13.5" thickTop="1">
      <c r="D41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8.85546875" defaultRowHeight="15"/>
  <cols>
    <col min="1" max="1" width="4.7109375" style="145" bestFit="1" customWidth="1"/>
    <col min="2" max="2" width="23.28515625" style="145" bestFit="1" customWidth="1"/>
    <col min="3" max="3" width="16.5703125" style="145" customWidth="1"/>
    <col min="4" max="4" width="14.7109375" style="145" bestFit="1" customWidth="1"/>
    <col min="5" max="5" width="11.5703125" style="145" bestFit="1" customWidth="1"/>
    <col min="6" max="6" width="13.28515625" style="145" bestFit="1" customWidth="1"/>
    <col min="7" max="7" width="12.5703125" style="145" bestFit="1" customWidth="1"/>
    <col min="8" max="8" width="13.28515625" style="145" customWidth="1"/>
    <col min="9" max="10" width="17.7109375" style="145" bestFit="1" customWidth="1"/>
    <col min="11" max="11" width="13.28515625" style="145" bestFit="1" customWidth="1"/>
    <col min="12" max="16384" width="8.85546875" style="145"/>
  </cols>
  <sheetData>
    <row r="1" spans="1:7">
      <c r="A1" s="552" t="s">
        <v>0</v>
      </c>
      <c r="B1" s="552"/>
      <c r="C1" s="552"/>
      <c r="D1" s="552"/>
      <c r="E1" s="389"/>
      <c r="F1" s="389"/>
      <c r="G1" s="389"/>
    </row>
    <row r="2" spans="1:7">
      <c r="A2" s="552" t="s">
        <v>454</v>
      </c>
      <c r="B2" s="552"/>
      <c r="C2" s="552"/>
      <c r="D2" s="552"/>
      <c r="E2" s="389"/>
      <c r="F2" s="389"/>
      <c r="G2" s="389"/>
    </row>
    <row r="3" spans="1:7">
      <c r="A3" s="552" t="str">
        <f>+'JAP-4 (ERF Impacts)'!A3</f>
        <v>Test Year ended June 2018</v>
      </c>
      <c r="B3" s="552"/>
      <c r="C3" s="552"/>
      <c r="D3" s="552"/>
      <c r="E3" s="389"/>
      <c r="F3" s="389"/>
      <c r="G3" s="389"/>
    </row>
    <row r="4" spans="1:7">
      <c r="A4" s="552" t="str">
        <f>+'JAP-4 (ERF Impacts)'!A4</f>
        <v>$ x 1000</v>
      </c>
      <c r="B4" s="552"/>
      <c r="C4" s="552"/>
      <c r="D4" s="552"/>
    </row>
    <row r="6" spans="1:7" ht="64.5">
      <c r="A6" s="216" t="s">
        <v>243</v>
      </c>
      <c r="B6" s="217" t="s">
        <v>41</v>
      </c>
      <c r="C6" s="467" t="s">
        <v>455</v>
      </c>
      <c r="D6" s="467" t="s">
        <v>456</v>
      </c>
    </row>
    <row r="7" spans="1:7">
      <c r="A7" s="218">
        <v>1</v>
      </c>
      <c r="B7" s="219">
        <v>7</v>
      </c>
      <c r="C7" s="220"/>
      <c r="D7" s="220">
        <f>+'JAP-4 Proposed ERF Rev'!P17</f>
        <v>16586.432999999961</v>
      </c>
    </row>
    <row r="8" spans="1:7">
      <c r="A8" s="218">
        <v>2</v>
      </c>
      <c r="B8" s="219" t="s">
        <v>241</v>
      </c>
      <c r="C8" s="220"/>
      <c r="D8" s="220">
        <v>0</v>
      </c>
    </row>
    <row r="9" spans="1:7">
      <c r="A9" s="218">
        <v>3</v>
      </c>
      <c r="B9" s="219" t="s">
        <v>163</v>
      </c>
      <c r="C9" s="220">
        <f t="shared" ref="C9:D9" si="0">SUM(C7:C8)</f>
        <v>0</v>
      </c>
      <c r="D9" s="220">
        <f t="shared" si="0"/>
        <v>16586.432999999961</v>
      </c>
    </row>
    <row r="10" spans="1:7">
      <c r="A10" s="218">
        <v>4</v>
      </c>
      <c r="B10" s="219"/>
      <c r="C10" s="220"/>
      <c r="D10" s="220"/>
    </row>
    <row r="11" spans="1:7">
      <c r="A11" s="218">
        <v>5</v>
      </c>
      <c r="B11" s="219" t="s">
        <v>144</v>
      </c>
      <c r="C11" s="220"/>
      <c r="D11" s="220">
        <f>+'JAP-4 Proposed ERF Rev'!P21</f>
        <v>3022.9859999999753</v>
      </c>
    </row>
    <row r="12" spans="1:7">
      <c r="A12" s="218">
        <v>6</v>
      </c>
      <c r="B12" s="219" t="s">
        <v>244</v>
      </c>
      <c r="C12" s="220"/>
      <c r="D12" s="220">
        <f>+'JAP-4 Proposed ERF Rev'!P22</f>
        <v>2597.8589999999967</v>
      </c>
    </row>
    <row r="13" spans="1:7">
      <c r="A13" s="218">
        <v>7</v>
      </c>
      <c r="B13" s="219" t="s">
        <v>238</v>
      </c>
      <c r="C13" s="220"/>
      <c r="D13" s="220">
        <f>+'JAP-4 Proposed ERF Rev'!P23</f>
        <v>1508.2390000000014</v>
      </c>
    </row>
    <row r="14" spans="1:7">
      <c r="A14" s="218">
        <v>8</v>
      </c>
      <c r="B14" s="219" t="s">
        <v>245</v>
      </c>
      <c r="C14" s="220"/>
      <c r="D14" s="220">
        <v>0</v>
      </c>
    </row>
    <row r="15" spans="1:7">
      <c r="A15" s="218">
        <v>9</v>
      </c>
      <c r="B15" s="219">
        <v>29</v>
      </c>
      <c r="C15" s="220"/>
      <c r="D15" s="220">
        <f>+'JAP-4 Proposed ERF Rev'!P24</f>
        <v>14.083999999999833</v>
      </c>
    </row>
    <row r="16" spans="1:7">
      <c r="A16" s="218">
        <v>10</v>
      </c>
      <c r="B16" s="219" t="s">
        <v>17</v>
      </c>
      <c r="C16" s="220">
        <f t="shared" ref="C16:D16" si="1">SUM(C11:C15)</f>
        <v>0</v>
      </c>
      <c r="D16" s="220">
        <f t="shared" si="1"/>
        <v>7143.1679999999733</v>
      </c>
    </row>
    <row r="17" spans="1:11">
      <c r="A17" s="218">
        <v>11</v>
      </c>
      <c r="B17" s="219"/>
      <c r="C17" s="220"/>
      <c r="D17" s="220"/>
    </row>
    <row r="18" spans="1:11">
      <c r="A18" s="218">
        <v>12</v>
      </c>
      <c r="B18" s="219" t="s">
        <v>147</v>
      </c>
      <c r="C18" s="220"/>
      <c r="D18" s="220">
        <f>+'JAP-4 Proposed ERF Rev'!P28</f>
        <v>1041.3500000000058</v>
      </c>
    </row>
    <row r="19" spans="1:11">
      <c r="A19" s="218">
        <v>13</v>
      </c>
      <c r="B19" s="219">
        <v>35</v>
      </c>
      <c r="C19" s="220"/>
      <c r="D19" s="220">
        <f>+'JAP-4 Proposed ERF Rev'!P29</f>
        <v>5.0689999999999884</v>
      </c>
    </row>
    <row r="20" spans="1:11">
      <c r="A20" s="218">
        <v>14</v>
      </c>
      <c r="B20" s="219">
        <v>43</v>
      </c>
      <c r="C20" s="220"/>
      <c r="D20" s="220">
        <f>+'JAP-4 Proposed ERF Rev'!P30</f>
        <v>161.49099999999999</v>
      </c>
    </row>
    <row r="21" spans="1:11">
      <c r="A21" s="218">
        <v>15</v>
      </c>
      <c r="B21" s="219" t="s">
        <v>18</v>
      </c>
      <c r="C21" s="220">
        <f t="shared" ref="C21:D21" si="2">SUM(C18:C20)</f>
        <v>0</v>
      </c>
      <c r="D21" s="220">
        <f t="shared" si="2"/>
        <v>1207.9100000000058</v>
      </c>
    </row>
    <row r="22" spans="1:11">
      <c r="A22" s="218">
        <v>16</v>
      </c>
      <c r="B22" s="219"/>
      <c r="C22" s="220"/>
      <c r="D22" s="220"/>
      <c r="E22" s="221"/>
      <c r="G22" s="221"/>
      <c r="H22" s="221"/>
      <c r="J22" s="221"/>
      <c r="K22" s="221"/>
    </row>
    <row r="23" spans="1:11">
      <c r="A23" s="218">
        <v>17</v>
      </c>
      <c r="B23" s="219">
        <v>40</v>
      </c>
      <c r="C23" s="220"/>
      <c r="D23" s="220">
        <f>+'JAP-4 Proposed ERF Rev'!P33</f>
        <v>324.25200000000041</v>
      </c>
      <c r="E23" s="221"/>
      <c r="G23" s="221"/>
      <c r="H23" s="221"/>
      <c r="J23" s="221"/>
      <c r="K23" s="221"/>
    </row>
    <row r="24" spans="1:11">
      <c r="A24" s="218">
        <v>18</v>
      </c>
      <c r="B24" s="219"/>
      <c r="C24" s="220"/>
      <c r="D24" s="220"/>
      <c r="E24" s="221"/>
      <c r="G24" s="221"/>
      <c r="H24" s="221"/>
    </row>
    <row r="25" spans="1:11">
      <c r="A25" s="218">
        <v>19</v>
      </c>
      <c r="B25" s="219">
        <v>46</v>
      </c>
      <c r="C25" s="220"/>
      <c r="D25" s="220">
        <f>+'JAP-4 Proposed ERF Rev'!P36</f>
        <v>53.555000000000291</v>
      </c>
    </row>
    <row r="26" spans="1:11">
      <c r="A26" s="218">
        <v>20</v>
      </c>
      <c r="B26" s="219">
        <v>49</v>
      </c>
      <c r="C26" s="220"/>
      <c r="D26" s="220">
        <f>+'JAP-4 Proposed ERF Rev'!P37</f>
        <v>349.47499999999854</v>
      </c>
    </row>
    <row r="27" spans="1:11">
      <c r="A27" s="218">
        <v>21</v>
      </c>
      <c r="B27" s="219" t="s">
        <v>19</v>
      </c>
      <c r="C27" s="220">
        <f t="shared" ref="C27:D27" si="3">SUM(C25:C26)</f>
        <v>0</v>
      </c>
      <c r="D27" s="220">
        <f t="shared" si="3"/>
        <v>403.02999999999884</v>
      </c>
    </row>
    <row r="28" spans="1:11">
      <c r="A28" s="218">
        <v>22</v>
      </c>
      <c r="B28" s="219"/>
      <c r="C28" s="220"/>
      <c r="D28" s="220"/>
    </row>
    <row r="29" spans="1:11">
      <c r="A29" s="218">
        <v>23</v>
      </c>
      <c r="B29" s="219" t="s">
        <v>20</v>
      </c>
      <c r="C29" s="220"/>
      <c r="D29" s="220">
        <f>+'JAP-4 Proposed ERF Rev'!P42</f>
        <v>248.29799999999886</v>
      </c>
    </row>
    <row r="30" spans="1:11">
      <c r="A30" s="218">
        <v>24</v>
      </c>
      <c r="B30" s="219"/>
      <c r="C30" s="220"/>
      <c r="D30" s="220"/>
    </row>
    <row r="31" spans="1:11">
      <c r="A31" s="218">
        <v>25</v>
      </c>
      <c r="B31" s="219" t="s">
        <v>124</v>
      </c>
      <c r="C31" s="220"/>
      <c r="D31" s="220">
        <f>+'JAP-4 Proposed ERF Rev'!P40</f>
        <v>7.1499999999996362</v>
      </c>
    </row>
    <row r="32" spans="1:11">
      <c r="A32" s="218">
        <v>26</v>
      </c>
      <c r="B32" s="219"/>
      <c r="C32" s="220"/>
      <c r="D32" s="220"/>
    </row>
    <row r="33" spans="1:4">
      <c r="A33" s="218">
        <v>27</v>
      </c>
      <c r="B33" s="219" t="s">
        <v>246</v>
      </c>
      <c r="C33" s="220">
        <f t="shared" ref="C33:D33" si="4">SUM(C9,C16,C21,C23,C27,C29,C31)</f>
        <v>0</v>
      </c>
      <c r="D33" s="220">
        <f t="shared" si="4"/>
        <v>25920.240999999936</v>
      </c>
    </row>
    <row r="34" spans="1:4">
      <c r="A34" s="218">
        <v>28</v>
      </c>
      <c r="B34" s="219"/>
      <c r="C34" s="220"/>
      <c r="D34" s="220"/>
    </row>
    <row r="35" spans="1:4">
      <c r="A35" s="218">
        <v>29</v>
      </c>
      <c r="B35" s="219" t="s">
        <v>200</v>
      </c>
      <c r="C35" s="220"/>
      <c r="D35" s="220">
        <f>+'JAP-4 Proposed ERF Rev'!P46</f>
        <v>4.2202384602422853</v>
      </c>
    </row>
    <row r="36" spans="1:4">
      <c r="A36" s="218">
        <v>30</v>
      </c>
      <c r="B36" s="219"/>
      <c r="C36" s="220"/>
      <c r="D36" s="220"/>
    </row>
    <row r="37" spans="1:4">
      <c r="A37" s="218">
        <v>31</v>
      </c>
      <c r="B37" s="219" t="s">
        <v>247</v>
      </c>
      <c r="C37" s="220">
        <f t="shared" ref="C37:D37" si="5">SUM(C33,C35)</f>
        <v>0</v>
      </c>
      <c r="D37" s="220">
        <f t="shared" si="5"/>
        <v>25924.461238460179</v>
      </c>
    </row>
    <row r="38" spans="1:4">
      <c r="C38" s="220"/>
      <c r="D38" s="220"/>
    </row>
    <row r="39" spans="1:4">
      <c r="C39" s="222"/>
      <c r="D39" s="222"/>
    </row>
  </sheetData>
  <mergeCells count="4">
    <mergeCell ref="A4:D4"/>
    <mergeCell ref="A1:D1"/>
    <mergeCell ref="A2:D2"/>
    <mergeCell ref="A3:D3"/>
  </mergeCells>
  <printOptions horizontalCentered="1"/>
  <pageMargins left="0.7" right="0.7" top="0.75" bottom="0.75" header="0.3" footer="0.3"/>
  <pageSetup scale="92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46"/>
  <sheetViews>
    <sheetView workbookViewId="0">
      <pane xSplit="3" ySplit="6" topLeftCell="D16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85546875" defaultRowHeight="12.75"/>
  <cols>
    <col min="1" max="2" width="8.85546875" style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2.5703125" style="1" customWidth="1"/>
    <col min="7" max="7" width="12.28515625" style="1" customWidth="1"/>
    <col min="8" max="8" width="11.5703125" style="1" bestFit="1" customWidth="1"/>
    <col min="9" max="9" width="11.7109375" style="1" customWidth="1"/>
    <col min="10" max="16384" width="8.85546875" style="1"/>
  </cols>
  <sheetData>
    <row r="1" spans="1:9">
      <c r="A1" s="552" t="s">
        <v>0</v>
      </c>
      <c r="B1" s="552"/>
      <c r="C1" s="552"/>
      <c r="D1" s="552"/>
      <c r="E1" s="552"/>
    </row>
    <row r="2" spans="1:9">
      <c r="A2" s="553" t="s">
        <v>248</v>
      </c>
      <c r="B2" s="552"/>
      <c r="C2" s="552"/>
      <c r="D2" s="552"/>
      <c r="E2" s="552"/>
    </row>
    <row r="3" spans="1:9">
      <c r="A3" s="552" t="str">
        <f>+'JAP-4 (ERF Impacts)'!A3</f>
        <v>Test Year ended June 2018</v>
      </c>
      <c r="B3" s="552"/>
      <c r="C3" s="552"/>
      <c r="D3" s="552"/>
      <c r="E3" s="552"/>
    </row>
    <row r="4" spans="1:9">
      <c r="A4" s="552"/>
      <c r="B4" s="552"/>
      <c r="C4" s="552"/>
      <c r="D4" s="552"/>
      <c r="E4" s="552"/>
    </row>
    <row r="5" spans="1:9">
      <c r="A5" s="388"/>
      <c r="B5" s="387"/>
      <c r="C5" s="387"/>
      <c r="D5" s="387"/>
      <c r="E5" s="387"/>
    </row>
    <row r="6" spans="1:9" ht="51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7" t="s">
        <v>249</v>
      </c>
      <c r="G6" s="359" t="s">
        <v>413</v>
      </c>
      <c r="H6" s="359" t="s">
        <v>412</v>
      </c>
      <c r="I6" s="359" t="s">
        <v>411</v>
      </c>
    </row>
    <row r="7" spans="1:9">
      <c r="A7" s="387">
        <v>1</v>
      </c>
      <c r="B7" s="387">
        <v>7</v>
      </c>
      <c r="C7" s="4"/>
      <c r="D7" s="9">
        <f>+'JAP-4 (ERF Impacts)'!C9</f>
        <v>10657340</v>
      </c>
      <c r="E7" s="9"/>
      <c r="G7" s="182">
        <f>+'UE-180282 Sch 142'!I9</f>
        <v>-1.237E-3</v>
      </c>
      <c r="H7" s="182"/>
      <c r="I7" s="391">
        <f>ROUND(D7*G7+H7*E7/1000,0)</f>
        <v>-13183</v>
      </c>
    </row>
    <row r="8" spans="1:9">
      <c r="A8" s="387">
        <f t="shared" ref="A8:A40" si="0">+A7+1</f>
        <v>2</v>
      </c>
      <c r="B8" s="388" t="s">
        <v>14</v>
      </c>
      <c r="C8" s="4"/>
      <c r="D8" s="9">
        <v>0</v>
      </c>
      <c r="E8" s="9"/>
      <c r="G8" s="182">
        <f>+'UE-180282 Sch 142'!I10</f>
        <v>1.408E-3</v>
      </c>
      <c r="H8" s="182"/>
      <c r="I8" s="391">
        <f>ROUND(D8*G8+H8*E8/1000,0)</f>
        <v>0</v>
      </c>
    </row>
    <row r="9" spans="1:9">
      <c r="A9" s="387">
        <f t="shared" si="0"/>
        <v>3</v>
      </c>
      <c r="B9" s="387"/>
      <c r="C9" s="4" t="s">
        <v>15</v>
      </c>
      <c r="D9" s="12">
        <f>SUM(D7:D8)</f>
        <v>10657340</v>
      </c>
      <c r="E9" s="9"/>
      <c r="G9" s="401"/>
      <c r="H9" s="401"/>
      <c r="I9" s="392">
        <f t="shared" ref="I9" si="1">SUM(I7:I8)</f>
        <v>-13183</v>
      </c>
    </row>
    <row r="10" spans="1:9">
      <c r="A10" s="387">
        <f t="shared" si="0"/>
        <v>4</v>
      </c>
      <c r="B10" s="387"/>
      <c r="C10" s="4"/>
      <c r="D10" s="9"/>
      <c r="E10" s="9"/>
      <c r="G10" s="182"/>
      <c r="H10" s="182"/>
      <c r="I10" s="391"/>
    </row>
    <row r="11" spans="1:9">
      <c r="A11" s="387">
        <f t="shared" si="0"/>
        <v>5</v>
      </c>
      <c r="B11" s="387">
        <v>8</v>
      </c>
      <c r="C11" s="4"/>
      <c r="D11" s="9">
        <v>0</v>
      </c>
      <c r="E11" s="9"/>
      <c r="G11" s="182">
        <f>+'UE-180282 Sch 142'!I13</f>
        <v>1.2509999999999999E-3</v>
      </c>
      <c r="H11" s="182"/>
      <c r="I11" s="391">
        <f t="shared" ref="I11:I17" si="2">ROUND(D11*G11+H11*E11/1000,0)</f>
        <v>0</v>
      </c>
    </row>
    <row r="12" spans="1:9">
      <c r="A12" s="387">
        <f t="shared" si="0"/>
        <v>6</v>
      </c>
      <c r="B12" s="387">
        <v>24</v>
      </c>
      <c r="D12" s="9">
        <f>+'JAP-4 (ERF Impacts)'!C12</f>
        <v>2769974</v>
      </c>
      <c r="E12" s="9"/>
      <c r="G12" s="182">
        <f>+'UE-180282 Sch 142'!I14</f>
        <v>1.2509999999999999E-3</v>
      </c>
      <c r="H12" s="182"/>
      <c r="I12" s="391">
        <f t="shared" si="2"/>
        <v>3465</v>
      </c>
    </row>
    <row r="13" spans="1:9">
      <c r="A13" s="387">
        <f t="shared" si="0"/>
        <v>7</v>
      </c>
      <c r="B13" s="388">
        <v>11</v>
      </c>
      <c r="C13" s="4"/>
      <c r="D13" s="9">
        <v>0</v>
      </c>
      <c r="E13" s="9"/>
      <c r="G13" s="182">
        <f>+'UE-180282 Sch 142'!I15</f>
        <v>1.408E-3</v>
      </c>
      <c r="H13" s="182"/>
      <c r="I13" s="391">
        <f t="shared" si="2"/>
        <v>0</v>
      </c>
    </row>
    <row r="14" spans="1:9">
      <c r="A14" s="387">
        <f t="shared" si="0"/>
        <v>8</v>
      </c>
      <c r="B14" s="388">
        <v>25</v>
      </c>
      <c r="D14" s="9">
        <f>+'JAP-4 (ERF Impacts)'!C13</f>
        <v>2962665</v>
      </c>
      <c r="E14" s="9"/>
      <c r="G14" s="182">
        <f>+'UE-180282 Sch 142'!I16</f>
        <v>1.408E-3</v>
      </c>
      <c r="H14" s="182"/>
      <c r="I14" s="391">
        <f t="shared" si="2"/>
        <v>4171</v>
      </c>
    </row>
    <row r="15" spans="1:9">
      <c r="A15" s="387">
        <f t="shared" si="0"/>
        <v>9</v>
      </c>
      <c r="B15" s="387">
        <v>12</v>
      </c>
      <c r="C15" s="4"/>
      <c r="D15" s="401">
        <v>0</v>
      </c>
      <c r="E15" s="9"/>
      <c r="G15" s="182">
        <f>+'UE-180282 Sch 142'!I17</f>
        <v>8.5000000000000006E-5</v>
      </c>
      <c r="H15" s="182"/>
      <c r="I15" s="391">
        <f t="shared" si="2"/>
        <v>0</v>
      </c>
    </row>
    <row r="16" spans="1:9">
      <c r="A16" s="387">
        <f t="shared" si="0"/>
        <v>10</v>
      </c>
      <c r="B16" s="387" t="s">
        <v>16</v>
      </c>
      <c r="D16" s="401">
        <f>+'JAP-4 (ERF Impacts)'!C14</f>
        <v>1872506</v>
      </c>
      <c r="E16" s="9">
        <f>SUM('[1](JAP4) SecVolt RD'!$C$75,'[1](JAP4) SecVolt RD'!$C$99)</f>
        <v>4623786</v>
      </c>
      <c r="G16" s="182">
        <f>+'UE-180282 Sch 142'!I18</f>
        <v>8.5000000000000006E-5</v>
      </c>
      <c r="H16" s="182">
        <f>+'UE-180282 Sch 142'!I20</f>
        <v>-0.06</v>
      </c>
      <c r="I16" s="391">
        <f t="shared" si="2"/>
        <v>-118</v>
      </c>
    </row>
    <row r="17" spans="1:9">
      <c r="A17" s="387">
        <f t="shared" si="0"/>
        <v>11</v>
      </c>
      <c r="B17" s="387">
        <v>29</v>
      </c>
      <c r="C17" s="4"/>
      <c r="D17" s="9">
        <f>+'JAP-4 (ERF Impacts)'!C15</f>
        <v>18243</v>
      </c>
      <c r="E17" s="9"/>
      <c r="G17" s="182">
        <f>+'UE-180282 Sch 142'!I21</f>
        <v>1.408E-3</v>
      </c>
      <c r="H17" s="182"/>
      <c r="I17" s="391">
        <f t="shared" si="2"/>
        <v>26</v>
      </c>
    </row>
    <row r="18" spans="1:9">
      <c r="A18" s="387">
        <f t="shared" si="0"/>
        <v>12</v>
      </c>
      <c r="B18" s="387"/>
      <c r="C18" s="11" t="s">
        <v>17</v>
      </c>
      <c r="D18" s="12">
        <f>SUM(D11:D17)</f>
        <v>7623388</v>
      </c>
      <c r="E18" s="12">
        <f>SUM(E11:E17)</f>
        <v>4623786</v>
      </c>
      <c r="G18" s="401"/>
      <c r="H18" s="401"/>
      <c r="I18" s="392">
        <f t="shared" ref="I18" si="3">SUM(I11:I17)</f>
        <v>7544</v>
      </c>
    </row>
    <row r="19" spans="1:9">
      <c r="A19" s="387">
        <f t="shared" si="0"/>
        <v>13</v>
      </c>
      <c r="B19" s="387"/>
      <c r="C19" s="4"/>
      <c r="D19" s="9"/>
      <c r="E19" s="9"/>
      <c r="G19" s="182"/>
      <c r="H19" s="182"/>
      <c r="I19" s="391"/>
    </row>
    <row r="20" spans="1:9">
      <c r="A20" s="387">
        <f t="shared" si="0"/>
        <v>14</v>
      </c>
      <c r="B20" s="387">
        <v>10</v>
      </c>
      <c r="D20" s="401"/>
      <c r="E20" s="9"/>
      <c r="G20" s="182"/>
      <c r="H20" s="182"/>
      <c r="I20" s="391">
        <f>ROUND(D20*G20+H20*E20/1000,0)</f>
        <v>0</v>
      </c>
    </row>
    <row r="21" spans="1:9">
      <c r="A21" s="387">
        <f t="shared" si="0"/>
        <v>15</v>
      </c>
      <c r="B21" s="387">
        <v>31</v>
      </c>
      <c r="C21" s="4"/>
      <c r="D21" s="401">
        <f>+'JAP-4 (ERF Impacts)'!C18</f>
        <v>1321181</v>
      </c>
      <c r="E21" s="9">
        <f>+'[1](JAP4) PriVolt RD'!$C$25</f>
        <v>3271651</v>
      </c>
      <c r="G21" s="182">
        <f>+'UE-180282 Sch 142'!I25</f>
        <v>-5.5999999999999999E-5</v>
      </c>
      <c r="H21" s="182">
        <f>+'UE-180282 Sch 142'!I26</f>
        <v>-0.08</v>
      </c>
      <c r="I21" s="391">
        <f>ROUND(D21*G21+H21*E21/1000,0)</f>
        <v>-336</v>
      </c>
    </row>
    <row r="22" spans="1:9">
      <c r="A22" s="387">
        <f t="shared" si="0"/>
        <v>16</v>
      </c>
      <c r="B22" s="387">
        <v>35</v>
      </c>
      <c r="C22" s="4"/>
      <c r="D22" s="9">
        <f>+'JAP-4 (ERF Impacts)'!C19</f>
        <v>3789</v>
      </c>
      <c r="E22" s="9"/>
      <c r="G22" s="182">
        <f>+'UE-180282 Sch 142'!I28</f>
        <v>1.408E-3</v>
      </c>
      <c r="H22" s="182"/>
      <c r="I22" s="391">
        <f>ROUND(D22*G22+H22*E22/1000,0)</f>
        <v>5</v>
      </c>
    </row>
    <row r="23" spans="1:9">
      <c r="A23" s="387">
        <f t="shared" si="0"/>
        <v>17</v>
      </c>
      <c r="B23" s="387">
        <v>43</v>
      </c>
      <c r="C23" s="4"/>
      <c r="D23" s="9">
        <f>+'JAP-4 (ERF Impacts)'!C20</f>
        <v>123046</v>
      </c>
      <c r="E23" s="9"/>
      <c r="G23" s="182">
        <f>+'UE-180282 Sch 142'!I29</f>
        <v>1.408E-3</v>
      </c>
      <c r="H23" s="182"/>
      <c r="I23" s="391">
        <f>ROUND(D23*G23+H23*E23/1000,0)</f>
        <v>173</v>
      </c>
    </row>
    <row r="24" spans="1:9">
      <c r="A24" s="387">
        <f t="shared" si="0"/>
        <v>18</v>
      </c>
      <c r="B24" s="387"/>
      <c r="C24" s="4" t="s">
        <v>18</v>
      </c>
      <c r="D24" s="12">
        <f>SUM(D20:D23)</f>
        <v>1448016</v>
      </c>
      <c r="E24" s="12">
        <f>SUM(E20:E23)</f>
        <v>3271651</v>
      </c>
      <c r="G24" s="401"/>
      <c r="H24" s="401"/>
      <c r="I24" s="392">
        <f t="shared" ref="I24" si="4">SUM(I20:I23)</f>
        <v>-158</v>
      </c>
    </row>
    <row r="25" spans="1:9">
      <c r="A25" s="387">
        <f t="shared" si="0"/>
        <v>19</v>
      </c>
      <c r="B25" s="387"/>
      <c r="C25" s="4"/>
      <c r="D25" s="9"/>
      <c r="E25" s="9"/>
      <c r="G25" s="182"/>
      <c r="H25" s="182"/>
      <c r="I25" s="391"/>
    </row>
    <row r="26" spans="1:9">
      <c r="A26" s="387">
        <f t="shared" si="0"/>
        <v>20</v>
      </c>
      <c r="B26" s="387">
        <v>40</v>
      </c>
      <c r="C26" s="4"/>
      <c r="D26" s="12">
        <f>+'JAP-4 (ERF Impacts)'!C23</f>
        <v>534767</v>
      </c>
      <c r="E26" s="9"/>
      <c r="G26" s="182">
        <f>+'UE-180282 Sch 142'!I32</f>
        <v>1.7980000000000001E-3</v>
      </c>
      <c r="H26" s="182"/>
      <c r="I26" s="391">
        <f>ROUND(D26*G26+H26*E26/1000,0)</f>
        <v>962</v>
      </c>
    </row>
    <row r="27" spans="1:9">
      <c r="A27" s="387">
        <f t="shared" si="0"/>
        <v>21</v>
      </c>
      <c r="B27" s="387"/>
      <c r="C27" s="4"/>
      <c r="D27" s="9"/>
      <c r="E27" s="9"/>
      <c r="G27" s="182"/>
      <c r="H27" s="182"/>
      <c r="I27" s="391"/>
    </row>
    <row r="28" spans="1:9">
      <c r="A28" s="387">
        <f t="shared" si="0"/>
        <v>22</v>
      </c>
      <c r="B28" s="387">
        <v>46</v>
      </c>
      <c r="C28" s="4"/>
      <c r="D28" s="9">
        <f>+'JAP-4 (ERF Impacts)'!C25</f>
        <v>81154</v>
      </c>
      <c r="E28" s="9"/>
      <c r="G28" s="182">
        <f>+'UE-180282 Sch 142'!I34</f>
        <v>1.323E-3</v>
      </c>
      <c r="H28" s="182"/>
      <c r="I28" s="391">
        <f>ROUND(D28*G28+H28*E28/1000,0)</f>
        <v>107</v>
      </c>
    </row>
    <row r="29" spans="1:9">
      <c r="A29" s="387">
        <f t="shared" si="0"/>
        <v>23</v>
      </c>
      <c r="B29" s="387">
        <v>49</v>
      </c>
      <c r="C29" s="4"/>
      <c r="D29" s="9">
        <f>+'JAP-4 (ERF Impacts)'!C26</f>
        <v>553489</v>
      </c>
      <c r="E29" s="9"/>
      <c r="G29" s="182">
        <f>+'UE-180282 Sch 142'!I35</f>
        <v>1.323E-3</v>
      </c>
      <c r="H29" s="182"/>
      <c r="I29" s="391">
        <f>ROUND(D29*G29+H29*E29/1000,0)</f>
        <v>732</v>
      </c>
    </row>
    <row r="30" spans="1:9">
      <c r="A30" s="387">
        <f t="shared" si="0"/>
        <v>24</v>
      </c>
      <c r="B30" s="387"/>
      <c r="C30" s="4" t="s">
        <v>19</v>
      </c>
      <c r="D30" s="12">
        <f>SUM(D28:D29)</f>
        <v>634643</v>
      </c>
      <c r="E30" s="9"/>
      <c r="G30" s="401"/>
      <c r="H30" s="401"/>
      <c r="I30" s="392">
        <f t="shared" ref="I30" si="5">SUM(I28:I29)</f>
        <v>839</v>
      </c>
    </row>
    <row r="31" spans="1:9">
      <c r="A31" s="387">
        <f t="shared" si="0"/>
        <v>25</v>
      </c>
      <c r="B31" s="387"/>
      <c r="C31" s="4"/>
      <c r="D31" s="9"/>
      <c r="E31" s="9"/>
      <c r="G31" s="182"/>
      <c r="H31" s="182"/>
      <c r="I31" s="391"/>
    </row>
    <row r="32" spans="1:9">
      <c r="A32" s="387">
        <f t="shared" si="0"/>
        <v>26</v>
      </c>
      <c r="B32" s="387" t="s">
        <v>20</v>
      </c>
      <c r="C32" s="4"/>
      <c r="D32" s="12">
        <f>+'JAP-4 (ERF Impacts)'!C29</f>
        <v>70907</v>
      </c>
      <c r="E32" s="9"/>
      <c r="G32" s="401"/>
      <c r="H32" s="401"/>
      <c r="I32" s="391">
        <f>ROUND(D32*G32+H32*E32/1000,0)</f>
        <v>0</v>
      </c>
    </row>
    <row r="33" spans="1:9">
      <c r="A33" s="387">
        <f t="shared" si="0"/>
        <v>27</v>
      </c>
      <c r="B33" s="387"/>
      <c r="C33" s="4"/>
      <c r="D33" s="9"/>
      <c r="E33" s="9"/>
      <c r="G33" s="401"/>
      <c r="H33" s="401"/>
      <c r="I33" s="391"/>
    </row>
    <row r="34" spans="1:9">
      <c r="A34" s="387">
        <f t="shared" si="0"/>
        <v>28</v>
      </c>
      <c r="B34" s="387" t="s">
        <v>21</v>
      </c>
      <c r="C34" s="4"/>
      <c r="D34" s="12">
        <f>+'JAP-4 (ERF Impacts)'!C31</f>
        <v>1993601</v>
      </c>
      <c r="E34" s="9"/>
      <c r="G34" s="401"/>
      <c r="H34" s="401"/>
      <c r="I34" s="391">
        <f>ROUND(D34*G34+H34*E34/1000,0)</f>
        <v>0</v>
      </c>
    </row>
    <row r="35" spans="1:9">
      <c r="A35" s="387">
        <f t="shared" si="0"/>
        <v>29</v>
      </c>
      <c r="B35" s="387"/>
      <c r="C35" s="4"/>
      <c r="D35" s="9"/>
      <c r="E35" s="9"/>
      <c r="G35" s="401"/>
      <c r="H35" s="401"/>
      <c r="I35" s="391"/>
    </row>
    <row r="36" spans="1:9" ht="13.5" thickBot="1">
      <c r="A36" s="387">
        <f t="shared" si="0"/>
        <v>30</v>
      </c>
      <c r="B36" s="387"/>
      <c r="C36" s="11" t="s">
        <v>89</v>
      </c>
      <c r="D36" s="13">
        <f>SUM(D9,D18,D24,D26,D30,D32,D34)</f>
        <v>22962662</v>
      </c>
      <c r="E36" s="13">
        <f>SUM(E9,E18,E24,E26,E30,E32,E34)</f>
        <v>7895437</v>
      </c>
      <c r="G36" s="401"/>
      <c r="H36" s="401"/>
      <c r="I36" s="188">
        <f t="shared" ref="I36" si="6">SUM(I9,I18,I24,I26,I30,I32,I34)</f>
        <v>-3996</v>
      </c>
    </row>
    <row r="37" spans="1:9" ht="13.5" thickTop="1">
      <c r="A37" s="387">
        <f t="shared" si="0"/>
        <v>31</v>
      </c>
      <c r="B37" s="387"/>
      <c r="E37" s="9"/>
      <c r="G37" s="401"/>
      <c r="H37" s="401"/>
      <c r="I37" s="391"/>
    </row>
    <row r="38" spans="1:9">
      <c r="A38" s="387">
        <f t="shared" si="0"/>
        <v>32</v>
      </c>
      <c r="B38" s="387">
        <v>5</v>
      </c>
      <c r="C38" s="1" t="s">
        <v>90</v>
      </c>
      <c r="D38" s="9">
        <f>+'JAP-4 (ERF Impacts)'!C35</f>
        <v>7238</v>
      </c>
      <c r="E38" s="9"/>
      <c r="G38" s="401"/>
      <c r="H38" s="401"/>
      <c r="I38" s="391">
        <f>ROUND(D38*G38+H38*E38/1000,0)</f>
        <v>0</v>
      </c>
    </row>
    <row r="39" spans="1:9">
      <c r="A39" s="387">
        <f t="shared" si="0"/>
        <v>33</v>
      </c>
      <c r="B39" s="387"/>
      <c r="E39" s="9"/>
      <c r="I39" s="391"/>
    </row>
    <row r="40" spans="1:9" ht="13.5" thickBot="1">
      <c r="A40" s="387">
        <f t="shared" si="0"/>
        <v>34</v>
      </c>
      <c r="B40" s="387"/>
      <c r="C40" s="11" t="s">
        <v>91</v>
      </c>
      <c r="D40" s="13">
        <f>SUM(D36,D38)</f>
        <v>22969900</v>
      </c>
      <c r="E40" s="9"/>
      <c r="I40" s="188">
        <f t="shared" ref="I40" si="7">SUM(I36,I38)</f>
        <v>-3996</v>
      </c>
    </row>
    <row r="41" spans="1:9" ht="13.5" thickTop="1">
      <c r="E41" s="9"/>
    </row>
    <row r="42" spans="1:9">
      <c r="C42" s="1" t="s">
        <v>388</v>
      </c>
      <c r="E42" s="9"/>
    </row>
    <row r="43" spans="1:9">
      <c r="C43" s="402" t="s">
        <v>389</v>
      </c>
      <c r="E43" s="9"/>
    </row>
    <row r="44" spans="1:9">
      <c r="E44" s="9"/>
    </row>
    <row r="45" spans="1:9">
      <c r="E45" s="9"/>
    </row>
    <row r="46" spans="1:9">
      <c r="E46" s="9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87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43"/>
  <sheetViews>
    <sheetView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2.75"/>
  <cols>
    <col min="1" max="1" width="7.7109375" bestFit="1" customWidth="1"/>
    <col min="2" max="2" width="10.28515625" bestFit="1" customWidth="1"/>
    <col min="3" max="3" width="21" bestFit="1" customWidth="1"/>
    <col min="4" max="4" width="13.7109375" bestFit="1" customWidth="1"/>
    <col min="5" max="5" width="11.5703125" bestFit="1" customWidth="1"/>
    <col min="6" max="6" width="12.140625" bestFit="1" customWidth="1"/>
    <col min="14" max="14" width="9.7109375" bestFit="1" customWidth="1"/>
  </cols>
  <sheetData>
    <row r="1" spans="1:6">
      <c r="A1" s="552" t="s">
        <v>0</v>
      </c>
      <c r="B1" s="552"/>
      <c r="C1" s="552"/>
      <c r="D1" s="552"/>
      <c r="E1" s="552"/>
      <c r="F1" s="552"/>
    </row>
    <row r="2" spans="1:6">
      <c r="A2" s="553" t="s">
        <v>260</v>
      </c>
      <c r="B2" s="552"/>
      <c r="C2" s="552"/>
      <c r="D2" s="552"/>
      <c r="E2" s="552"/>
      <c r="F2" s="552"/>
    </row>
    <row r="3" spans="1:6">
      <c r="A3" s="552" t="s">
        <v>84</v>
      </c>
      <c r="B3" s="552"/>
      <c r="C3" s="552"/>
      <c r="D3" s="552"/>
      <c r="E3" s="552"/>
      <c r="F3" s="552"/>
    </row>
    <row r="4" spans="1:6">
      <c r="A4" s="552"/>
      <c r="B4" s="552"/>
      <c r="C4" s="552"/>
      <c r="D4" s="552"/>
      <c r="E4" s="552"/>
      <c r="F4" s="552"/>
    </row>
    <row r="5" spans="1:6">
      <c r="A5" s="2"/>
      <c r="B5" s="3"/>
      <c r="C5" s="3"/>
      <c r="D5" s="3"/>
      <c r="E5" s="4"/>
      <c r="F5" s="4" t="s">
        <v>125</v>
      </c>
    </row>
    <row r="6" spans="1:6" ht="63.75">
      <c r="A6" s="6" t="s">
        <v>3</v>
      </c>
      <c r="B6" s="6" t="s">
        <v>4</v>
      </c>
      <c r="C6" s="6" t="s">
        <v>41</v>
      </c>
      <c r="D6" s="7" t="str">
        <f>+'JAP-4 (ERF Impacts)'!C7</f>
        <v>Annual mWh Delivered Sales YE 6-2018</v>
      </c>
      <c r="E6" s="7" t="s">
        <v>380</v>
      </c>
      <c r="F6" s="7" t="s">
        <v>261</v>
      </c>
    </row>
    <row r="7" spans="1:6">
      <c r="A7" s="3">
        <v>1</v>
      </c>
      <c r="B7" s="3">
        <v>7</v>
      </c>
      <c r="C7" s="4"/>
      <c r="D7" s="471">
        <v>10657340.915968496</v>
      </c>
      <c r="E7" s="182">
        <f>-'UE-170946 Sch 194'!D18</f>
        <v>-7.4058380000000005E-3</v>
      </c>
      <c r="F7" s="183">
        <f>ROUND(D7*E7,0)</f>
        <v>-78927</v>
      </c>
    </row>
    <row r="8" spans="1:6">
      <c r="A8" s="3">
        <f t="shared" ref="A8:A40" si="0">+A7+1</f>
        <v>2</v>
      </c>
      <c r="B8" s="2" t="s">
        <v>14</v>
      </c>
      <c r="C8" s="4"/>
      <c r="D8" s="471">
        <v>0</v>
      </c>
      <c r="E8" s="182"/>
      <c r="F8" s="183">
        <f>ROUND(D8*E8,0)</f>
        <v>0</v>
      </c>
    </row>
    <row r="9" spans="1:6">
      <c r="A9" s="3">
        <f t="shared" si="0"/>
        <v>3</v>
      </c>
      <c r="B9" s="3"/>
      <c r="C9" s="4" t="s">
        <v>15</v>
      </c>
      <c r="D9" s="472">
        <f>SUM(D7:D8)</f>
        <v>10657340.915968496</v>
      </c>
      <c r="E9" s="184"/>
      <c r="F9" s="185">
        <f t="shared" ref="F9" si="1">SUM(F7:F8)</f>
        <v>-78927</v>
      </c>
    </row>
    <row r="10" spans="1:6">
      <c r="A10" s="3">
        <f t="shared" si="0"/>
        <v>4</v>
      </c>
      <c r="B10" s="3"/>
      <c r="C10" s="4"/>
      <c r="D10" s="471"/>
      <c r="E10" s="182"/>
      <c r="F10" s="183"/>
    </row>
    <row r="11" spans="1:6">
      <c r="A11" s="3">
        <f t="shared" si="0"/>
        <v>5</v>
      </c>
      <c r="B11" s="3">
        <v>8</v>
      </c>
      <c r="C11" s="4"/>
      <c r="D11" s="471">
        <v>0</v>
      </c>
      <c r="E11" s="182">
        <f>+$E$7</f>
        <v>-7.4058380000000005E-3</v>
      </c>
      <c r="F11" s="183">
        <f t="shared" ref="F11:F17" si="2">ROUND(D11*E11,0)</f>
        <v>0</v>
      </c>
    </row>
    <row r="12" spans="1:6">
      <c r="A12" s="3">
        <f t="shared" si="0"/>
        <v>6</v>
      </c>
      <c r="B12" s="3">
        <v>24</v>
      </c>
      <c r="C12" s="1"/>
      <c r="D12" s="471">
        <v>255742.34265355926</v>
      </c>
      <c r="E12" s="182">
        <f t="shared" ref="E12:E17" si="3">+$E$7</f>
        <v>-7.4058380000000005E-3</v>
      </c>
      <c r="F12" s="183">
        <f t="shared" si="2"/>
        <v>-1894</v>
      </c>
    </row>
    <row r="13" spans="1:6">
      <c r="A13" s="3">
        <f t="shared" si="0"/>
        <v>7</v>
      </c>
      <c r="B13" s="2">
        <v>11</v>
      </c>
      <c r="C13" s="4"/>
      <c r="D13" s="471">
        <v>0</v>
      </c>
      <c r="E13" s="182">
        <f t="shared" si="3"/>
        <v>-7.4058380000000005E-3</v>
      </c>
      <c r="F13" s="183">
        <f t="shared" si="2"/>
        <v>0</v>
      </c>
    </row>
    <row r="14" spans="1:6">
      <c r="A14" s="3">
        <f t="shared" si="0"/>
        <v>8</v>
      </c>
      <c r="B14" s="2">
        <v>25</v>
      </c>
      <c r="C14" s="1"/>
      <c r="D14" s="471">
        <v>149796.34070566666</v>
      </c>
      <c r="E14" s="182">
        <f t="shared" si="3"/>
        <v>-7.4058380000000005E-3</v>
      </c>
      <c r="F14" s="183">
        <f t="shared" si="2"/>
        <v>-1109</v>
      </c>
    </row>
    <row r="15" spans="1:6">
      <c r="A15" s="3">
        <f t="shared" si="0"/>
        <v>9</v>
      </c>
      <c r="B15" s="3">
        <v>12</v>
      </c>
      <c r="C15" s="4"/>
      <c r="D15" s="471">
        <v>0</v>
      </c>
      <c r="E15" s="182">
        <f t="shared" si="3"/>
        <v>-7.4058380000000005E-3</v>
      </c>
      <c r="F15" s="183">
        <f t="shared" si="2"/>
        <v>0</v>
      </c>
    </row>
    <row r="16" spans="1:6">
      <c r="A16" s="3">
        <f t="shared" si="0"/>
        <v>10</v>
      </c>
      <c r="B16" s="3" t="s">
        <v>16</v>
      </c>
      <c r="C16" s="1"/>
      <c r="D16" s="471">
        <v>16855.27</v>
      </c>
      <c r="E16" s="182">
        <f t="shared" si="3"/>
        <v>-7.4058380000000005E-3</v>
      </c>
      <c r="F16" s="183">
        <f t="shared" si="2"/>
        <v>-125</v>
      </c>
    </row>
    <row r="17" spans="1:6">
      <c r="A17" s="3">
        <f t="shared" si="0"/>
        <v>11</v>
      </c>
      <c r="B17" s="3">
        <v>29</v>
      </c>
      <c r="C17" s="4"/>
      <c r="D17" s="471">
        <v>18646.963869000003</v>
      </c>
      <c r="E17" s="182">
        <f t="shared" si="3"/>
        <v>-7.4058380000000005E-3</v>
      </c>
      <c r="F17" s="183">
        <f t="shared" si="2"/>
        <v>-138</v>
      </c>
    </row>
    <row r="18" spans="1:6">
      <c r="A18" s="3">
        <f t="shared" si="0"/>
        <v>12</v>
      </c>
      <c r="B18" s="3"/>
      <c r="C18" s="11" t="s">
        <v>17</v>
      </c>
      <c r="D18" s="472">
        <f>SUM(D11:D17)</f>
        <v>441040.91722822597</v>
      </c>
      <c r="E18" s="184"/>
      <c r="F18" s="185">
        <f t="shared" ref="F18" si="4">SUM(F11:F17)</f>
        <v>-3266</v>
      </c>
    </row>
    <row r="19" spans="1:6">
      <c r="A19" s="3">
        <f t="shared" si="0"/>
        <v>13</v>
      </c>
      <c r="B19" s="3"/>
      <c r="C19" s="4"/>
      <c r="D19" s="471"/>
      <c r="E19" s="182"/>
      <c r="F19" s="183"/>
    </row>
    <row r="20" spans="1:6">
      <c r="A20" s="3">
        <f t="shared" si="0"/>
        <v>14</v>
      </c>
      <c r="B20" s="3">
        <v>10</v>
      </c>
      <c r="C20" s="1"/>
      <c r="D20" s="471">
        <v>0</v>
      </c>
      <c r="E20" s="182">
        <f t="shared" ref="E20:E22" si="5">+$E$7</f>
        <v>-7.4058380000000005E-3</v>
      </c>
      <c r="F20" s="183">
        <f>ROUND(D20*E20,0)</f>
        <v>0</v>
      </c>
    </row>
    <row r="21" spans="1:6">
      <c r="A21" s="3">
        <f t="shared" si="0"/>
        <v>15</v>
      </c>
      <c r="B21" s="3">
        <v>31</v>
      </c>
      <c r="C21" s="4"/>
      <c r="D21" s="471">
        <v>32223.39</v>
      </c>
      <c r="E21" s="182">
        <f t="shared" si="5"/>
        <v>-7.4058380000000005E-3</v>
      </c>
      <c r="F21" s="183">
        <f>ROUND(D21*E21,0)</f>
        <v>-239</v>
      </c>
    </row>
    <row r="22" spans="1:6">
      <c r="A22" s="3">
        <f t="shared" si="0"/>
        <v>16</v>
      </c>
      <c r="B22" s="3">
        <v>35</v>
      </c>
      <c r="C22" s="4"/>
      <c r="D22" s="471">
        <v>3789.48</v>
      </c>
      <c r="E22" s="182">
        <f t="shared" si="5"/>
        <v>-7.4058380000000005E-3</v>
      </c>
      <c r="F22" s="183">
        <f>ROUND(D22*E22,0)</f>
        <v>-28</v>
      </c>
    </row>
    <row r="23" spans="1:6">
      <c r="A23" s="3">
        <f t="shared" si="0"/>
        <v>17</v>
      </c>
      <c r="B23" s="3">
        <v>43</v>
      </c>
      <c r="C23" s="4"/>
      <c r="D23" s="471">
        <v>0</v>
      </c>
      <c r="E23" s="182"/>
      <c r="F23" s="183">
        <f>ROUND(D23*E23,0)</f>
        <v>0</v>
      </c>
    </row>
    <row r="24" spans="1:6">
      <c r="A24" s="3">
        <f t="shared" si="0"/>
        <v>18</v>
      </c>
      <c r="B24" s="3"/>
      <c r="C24" s="4" t="s">
        <v>18</v>
      </c>
      <c r="D24" s="472">
        <f>SUM(D20:D23)</f>
        <v>36012.870000000003</v>
      </c>
      <c r="E24" s="184"/>
      <c r="F24" s="185">
        <f t="shared" ref="F24" si="6">SUM(F20:F23)</f>
        <v>-267</v>
      </c>
    </row>
    <row r="25" spans="1:6">
      <c r="A25" s="3">
        <f t="shared" si="0"/>
        <v>19</v>
      </c>
      <c r="B25" s="3"/>
      <c r="C25" s="4"/>
      <c r="D25" s="471"/>
      <c r="E25" s="182"/>
      <c r="F25" s="183"/>
    </row>
    <row r="26" spans="1:6">
      <c r="A26" s="3">
        <f t="shared" si="0"/>
        <v>20</v>
      </c>
      <c r="B26" s="3">
        <v>40</v>
      </c>
      <c r="C26" s="4"/>
      <c r="D26" s="472">
        <v>0</v>
      </c>
      <c r="E26" s="184"/>
      <c r="F26" s="185">
        <f>ROUND(D26*E26,0)</f>
        <v>0</v>
      </c>
    </row>
    <row r="27" spans="1:6">
      <c r="A27" s="3">
        <f t="shared" si="0"/>
        <v>21</v>
      </c>
      <c r="B27" s="3"/>
      <c r="C27" s="4"/>
      <c r="D27" s="471"/>
      <c r="E27" s="182"/>
      <c r="F27" s="183"/>
    </row>
    <row r="28" spans="1:6">
      <c r="A28" s="3">
        <f t="shared" si="0"/>
        <v>22</v>
      </c>
      <c r="B28" s="3">
        <v>46</v>
      </c>
      <c r="C28" s="4"/>
      <c r="D28" s="471">
        <v>0</v>
      </c>
      <c r="E28" s="182"/>
      <c r="F28" s="183">
        <f>ROUND(D28*E28,0)</f>
        <v>0</v>
      </c>
    </row>
    <row r="29" spans="1:6">
      <c r="A29" s="3">
        <f t="shared" si="0"/>
        <v>23</v>
      </c>
      <c r="B29" s="3">
        <v>49</v>
      </c>
      <c r="C29" s="4"/>
      <c r="D29" s="471">
        <v>0</v>
      </c>
      <c r="E29" s="182"/>
      <c r="F29" s="183">
        <f>ROUND(D29*E29,0)</f>
        <v>0</v>
      </c>
    </row>
    <row r="30" spans="1:6">
      <c r="A30" s="3">
        <f t="shared" si="0"/>
        <v>24</v>
      </c>
      <c r="B30" s="3"/>
      <c r="C30" s="4" t="s">
        <v>19</v>
      </c>
      <c r="D30" s="472">
        <f>SUM(D28:D29)</f>
        <v>0</v>
      </c>
      <c r="E30" s="184"/>
      <c r="F30" s="185">
        <f t="shared" ref="F30" si="7">SUM(F28:F29)</f>
        <v>0</v>
      </c>
    </row>
    <row r="31" spans="1:6">
      <c r="A31" s="3">
        <f t="shared" si="0"/>
        <v>25</v>
      </c>
      <c r="B31" s="3"/>
      <c r="C31" s="4"/>
      <c r="D31" s="471"/>
      <c r="E31" s="182"/>
      <c r="F31" s="183"/>
    </row>
    <row r="32" spans="1:6">
      <c r="A32" s="3">
        <f t="shared" si="0"/>
        <v>26</v>
      </c>
      <c r="B32" s="3" t="s">
        <v>20</v>
      </c>
      <c r="C32" s="4"/>
      <c r="D32" s="472">
        <v>1916.5476705000001</v>
      </c>
      <c r="E32" s="184">
        <f>+E7</f>
        <v>-7.4058380000000005E-3</v>
      </c>
      <c r="F32" s="185">
        <f>ROUND(D32*E32,0)</f>
        <v>-14</v>
      </c>
    </row>
    <row r="33" spans="1:6">
      <c r="A33" s="3">
        <f t="shared" si="0"/>
        <v>27</v>
      </c>
      <c r="B33" s="3"/>
      <c r="C33" s="4"/>
      <c r="D33" s="471"/>
      <c r="E33" s="182"/>
      <c r="F33" s="183"/>
    </row>
    <row r="34" spans="1:6">
      <c r="A34" s="3">
        <f t="shared" si="0"/>
        <v>28</v>
      </c>
      <c r="B34" s="3" t="s">
        <v>21</v>
      </c>
      <c r="C34" s="4"/>
      <c r="D34" s="472">
        <v>0</v>
      </c>
      <c r="E34" s="184">
        <v>0</v>
      </c>
      <c r="F34" s="185">
        <f>ROUND(D34*E34,0)</f>
        <v>0</v>
      </c>
    </row>
    <row r="35" spans="1:6">
      <c r="A35" s="3">
        <f t="shared" si="0"/>
        <v>29</v>
      </c>
      <c r="B35" s="3"/>
      <c r="C35" s="4"/>
      <c r="D35" s="471"/>
      <c r="E35" s="182"/>
      <c r="F35" s="183"/>
    </row>
    <row r="36" spans="1:6" ht="13.5" thickBot="1">
      <c r="A36" s="3">
        <f t="shared" si="0"/>
        <v>30</v>
      </c>
      <c r="B36" s="3"/>
      <c r="C36" s="11" t="s">
        <v>89</v>
      </c>
      <c r="D36" s="473">
        <f>SUM(D9,D18,D24,D26,D30,D32,D34)</f>
        <v>11136311.250867222</v>
      </c>
      <c r="E36" s="187"/>
      <c r="F36" s="188">
        <f t="shared" ref="F36" si="8">SUM(F9,F18,F24,F26,F30,F32,F34)</f>
        <v>-82474</v>
      </c>
    </row>
    <row r="37" spans="1:6" ht="13.5" thickTop="1">
      <c r="A37" s="3">
        <f t="shared" si="0"/>
        <v>31</v>
      </c>
      <c r="B37" s="3"/>
      <c r="C37" s="1"/>
      <c r="D37" s="471"/>
      <c r="E37" s="1"/>
      <c r="F37" s="183"/>
    </row>
    <row r="38" spans="1:6">
      <c r="A38" s="3">
        <f t="shared" si="0"/>
        <v>32</v>
      </c>
      <c r="B38" s="3">
        <v>5</v>
      </c>
      <c r="C38" s="1" t="s">
        <v>90</v>
      </c>
      <c r="D38" s="472">
        <v>0</v>
      </c>
      <c r="E38" s="184">
        <v>0</v>
      </c>
      <c r="F38" s="185">
        <f>ROUND(D38*E38,-3)</f>
        <v>0</v>
      </c>
    </row>
    <row r="39" spans="1:6">
      <c r="A39" s="3">
        <f t="shared" si="0"/>
        <v>33</v>
      </c>
      <c r="B39" s="3"/>
      <c r="C39" s="1"/>
      <c r="D39" s="471"/>
      <c r="E39" s="1"/>
      <c r="F39" s="183"/>
    </row>
    <row r="40" spans="1:6" ht="13.5" thickBot="1">
      <c r="A40" s="3">
        <f t="shared" si="0"/>
        <v>34</v>
      </c>
      <c r="B40" s="3"/>
      <c r="C40" s="11" t="s">
        <v>91</v>
      </c>
      <c r="D40" s="473">
        <f>SUM(D36,D38)</f>
        <v>11136311.250867222</v>
      </c>
      <c r="E40" s="1"/>
      <c r="F40" s="188">
        <f t="shared" ref="F40" si="9">SUM(F36,F38)</f>
        <v>-82474</v>
      </c>
    </row>
    <row r="41" spans="1:6" ht="13.5" thickTop="1">
      <c r="D41" s="1"/>
    </row>
    <row r="42" spans="1:6">
      <c r="D42" s="228"/>
    </row>
    <row r="43" spans="1:6">
      <c r="D43" s="228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94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"/>
  <sheetViews>
    <sheetView workbookViewId="0"/>
  </sheetViews>
  <sheetFormatPr defaultColWidth="8.85546875" defaultRowHeight="12.75"/>
  <cols>
    <col min="1" max="16384" width="8.85546875" style="492"/>
  </cols>
  <sheetData/>
  <printOptions horizontalCentered="1"/>
  <pageMargins left="0.7" right="0.7" top="0.75" bottom="0.71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41"/>
  <sheetViews>
    <sheetView workbookViewId="0">
      <pane xSplit="3" ySplit="6" topLeftCell="D8" activePane="bottomRight" state="frozen"/>
      <selection pane="topRight" activeCell="D1" sqref="D1"/>
      <selection pane="bottomLeft" activeCell="A7" sqref="A7"/>
      <selection pane="bottomRight" activeCell="I26" sqref="I25:I26"/>
    </sheetView>
  </sheetViews>
  <sheetFormatPr defaultColWidth="8.85546875" defaultRowHeight="12.75"/>
  <cols>
    <col min="1" max="1" width="7.7109375" style="1" bestFit="1" customWidth="1"/>
    <col min="2" max="2" width="22.5703125" style="1" bestFit="1" customWidth="1"/>
    <col min="3" max="3" width="11.7109375" style="1" bestFit="1" customWidth="1"/>
    <col min="4" max="5" width="15.140625" style="1" bestFit="1" customWidth="1"/>
    <col min="6" max="7" width="11.5703125" style="1" bestFit="1" customWidth="1"/>
    <col min="8" max="9" width="15.140625" style="1" bestFit="1" customWidth="1"/>
    <col min="10" max="10" width="11.42578125" style="1" bestFit="1" customWidth="1"/>
    <col min="11" max="16384" width="8.85546875" style="1"/>
  </cols>
  <sheetData>
    <row r="1" spans="1:11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>
      <c r="A2" s="151" t="s">
        <v>194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>
      <c r="A3" s="154"/>
      <c r="B3" s="139"/>
      <c r="C3" s="155"/>
      <c r="D3" s="128"/>
      <c r="E3" s="128"/>
      <c r="F3" s="128"/>
      <c r="G3" s="139"/>
      <c r="H3" s="139"/>
      <c r="I3" s="128"/>
      <c r="J3" s="139"/>
      <c r="K3" s="156"/>
    </row>
    <row r="4" spans="1:11">
      <c r="A4" s="157"/>
      <c r="B4" s="87"/>
      <c r="C4" s="87"/>
      <c r="D4" s="158"/>
      <c r="E4" s="158"/>
      <c r="F4" s="158"/>
      <c r="G4" s="159"/>
      <c r="H4" s="158"/>
      <c r="I4" s="158"/>
      <c r="J4" s="159"/>
      <c r="K4" s="160"/>
    </row>
    <row r="5" spans="1:11" ht="77.25" thickBot="1">
      <c r="A5" s="161" t="s">
        <v>3</v>
      </c>
      <c r="B5" s="162" t="s">
        <v>93</v>
      </c>
      <c r="C5" s="162" t="s">
        <v>127</v>
      </c>
      <c r="D5" s="85" t="s">
        <v>526</v>
      </c>
      <c r="E5" s="84" t="s">
        <v>527</v>
      </c>
      <c r="F5" s="84" t="s">
        <v>528</v>
      </c>
      <c r="G5" s="84" t="s">
        <v>529</v>
      </c>
      <c r="H5" s="84" t="s">
        <v>530</v>
      </c>
      <c r="I5" s="84" t="s">
        <v>531</v>
      </c>
      <c r="J5" s="162" t="s">
        <v>195</v>
      </c>
      <c r="K5" s="163" t="s">
        <v>196</v>
      </c>
    </row>
    <row r="6" spans="1:11" ht="25.5">
      <c r="A6" s="164"/>
      <c r="B6" s="165"/>
      <c r="C6" s="165"/>
      <c r="D6" s="166" t="s">
        <v>96</v>
      </c>
      <c r="E6" s="166" t="s">
        <v>97</v>
      </c>
      <c r="F6" s="167" t="s">
        <v>98</v>
      </c>
      <c r="G6" s="165" t="s">
        <v>99</v>
      </c>
      <c r="H6" s="166" t="s">
        <v>197</v>
      </c>
      <c r="I6" s="166" t="s">
        <v>198</v>
      </c>
      <c r="J6" s="165" t="s">
        <v>102</v>
      </c>
      <c r="K6" s="168" t="s">
        <v>103</v>
      </c>
    </row>
    <row r="7" spans="1:11">
      <c r="A7" s="154"/>
      <c r="B7" s="139"/>
      <c r="C7" s="155"/>
      <c r="D7" s="128"/>
      <c r="E7" s="128"/>
      <c r="F7" s="128"/>
      <c r="G7" s="139"/>
      <c r="H7" s="139"/>
      <c r="I7" s="128"/>
      <c r="J7" s="139"/>
      <c r="K7" s="156"/>
    </row>
    <row r="8" spans="1:11">
      <c r="A8" s="154">
        <v>1</v>
      </c>
      <c r="B8" s="139" t="s">
        <v>15</v>
      </c>
      <c r="C8" s="155">
        <v>7</v>
      </c>
      <c r="D8" s="128">
        <v>10808199000</v>
      </c>
      <c r="E8" s="130">
        <v>1127443000</v>
      </c>
      <c r="F8" s="88">
        <v>-2.0720000000000001E-3</v>
      </c>
      <c r="G8" s="88">
        <v>-1.913E-3</v>
      </c>
      <c r="H8" s="130">
        <v>1105048411.6719999</v>
      </c>
      <c r="I8" s="130">
        <v>1106766915.313</v>
      </c>
      <c r="J8" s="130">
        <v>1718503.6410000324</v>
      </c>
      <c r="K8" s="169">
        <v>1.5551387820193691E-3</v>
      </c>
    </row>
    <row r="9" spans="1:11">
      <c r="A9" s="154">
        <v>2</v>
      </c>
      <c r="B9" s="139"/>
      <c r="C9" s="155"/>
      <c r="D9" s="128"/>
      <c r="E9" s="130"/>
      <c r="F9" s="130"/>
      <c r="G9" s="130"/>
      <c r="H9" s="170"/>
      <c r="I9" s="130"/>
      <c r="J9" s="130"/>
      <c r="K9" s="169"/>
    </row>
    <row r="10" spans="1:11">
      <c r="A10" s="154">
        <v>3</v>
      </c>
      <c r="B10" s="171" t="s">
        <v>104</v>
      </c>
      <c r="C10" s="155" t="s">
        <v>105</v>
      </c>
      <c r="D10" s="128">
        <v>3088796000</v>
      </c>
      <c r="E10" s="130">
        <v>324889000</v>
      </c>
      <c r="F10" s="88">
        <v>-1.6739999999999999E-3</v>
      </c>
      <c r="G10" s="88">
        <v>-1.6410000000000001E-3</v>
      </c>
      <c r="H10" s="130">
        <v>319718355.49599999</v>
      </c>
      <c r="I10" s="130">
        <v>319820285.764</v>
      </c>
      <c r="J10" s="130">
        <v>101930.26800000668</v>
      </c>
      <c r="K10" s="169">
        <v>3.1881268700345838E-4</v>
      </c>
    </row>
    <row r="11" spans="1:11">
      <c r="A11" s="154">
        <v>4</v>
      </c>
      <c r="B11" s="172" t="s">
        <v>106</v>
      </c>
      <c r="C11" s="119" t="s">
        <v>107</v>
      </c>
      <c r="D11" s="128">
        <v>3251471000</v>
      </c>
      <c r="E11" s="130">
        <v>319869000</v>
      </c>
      <c r="F11" s="88">
        <v>-1.7129999999999999E-3</v>
      </c>
      <c r="G11" s="88">
        <v>-1.5679999999999999E-3</v>
      </c>
      <c r="H11" s="130">
        <v>314299230.17699999</v>
      </c>
      <c r="I11" s="130">
        <v>314770693.472</v>
      </c>
      <c r="J11" s="130">
        <v>471463.29500001669</v>
      </c>
      <c r="K11" s="169">
        <v>1.5000459744508715E-3</v>
      </c>
    </row>
    <row r="12" spans="1:11">
      <c r="A12" s="154">
        <v>5</v>
      </c>
      <c r="B12" s="172" t="s">
        <v>108</v>
      </c>
      <c r="C12" s="155" t="s">
        <v>109</v>
      </c>
      <c r="D12" s="128">
        <v>1936207000</v>
      </c>
      <c r="E12" s="130">
        <v>173043000</v>
      </c>
      <c r="F12" s="88">
        <v>-1.786E-3</v>
      </c>
      <c r="G12" s="88">
        <v>-1.7099999999999999E-3</v>
      </c>
      <c r="H12" s="130">
        <v>169584934.29800001</v>
      </c>
      <c r="I12" s="130">
        <v>169732086.03</v>
      </c>
      <c r="J12" s="130">
        <v>147151.73199999332</v>
      </c>
      <c r="K12" s="169">
        <v>8.677170092327521E-4</v>
      </c>
    </row>
    <row r="13" spans="1:11">
      <c r="A13" s="154">
        <v>6</v>
      </c>
      <c r="B13" s="172" t="s">
        <v>110</v>
      </c>
      <c r="C13" s="155">
        <v>29</v>
      </c>
      <c r="D13" s="128">
        <v>16225000</v>
      </c>
      <c r="E13" s="130">
        <v>1308000</v>
      </c>
      <c r="F13" s="88">
        <v>-1.562E-3</v>
      </c>
      <c r="G13" s="88">
        <v>-1.276E-3</v>
      </c>
      <c r="H13" s="130">
        <v>1282656.55</v>
      </c>
      <c r="I13" s="130">
        <v>1287296.8999999999</v>
      </c>
      <c r="J13" s="130">
        <v>4640.3499999998603</v>
      </c>
      <c r="K13" s="169">
        <v>3.6177650205737929E-3</v>
      </c>
    </row>
    <row r="14" spans="1:11">
      <c r="A14" s="154">
        <v>7</v>
      </c>
      <c r="B14" s="139"/>
      <c r="C14" s="155"/>
      <c r="D14" s="128"/>
      <c r="E14" s="130"/>
      <c r="F14" s="170"/>
      <c r="G14" s="170"/>
      <c r="H14" s="170"/>
      <c r="I14" s="130"/>
      <c r="J14" s="130"/>
      <c r="K14" s="169"/>
    </row>
    <row r="15" spans="1:11">
      <c r="A15" s="154">
        <v>8</v>
      </c>
      <c r="B15" s="139" t="s">
        <v>111</v>
      </c>
      <c r="C15" s="155"/>
      <c r="D15" s="128">
        <v>8292699000</v>
      </c>
      <c r="E15" s="130">
        <v>819109000</v>
      </c>
      <c r="F15" s="88">
        <v>-1.715222447962961E-3</v>
      </c>
      <c r="G15" s="88">
        <v>-1.6277737602679177E-3</v>
      </c>
      <c r="H15" s="130">
        <v>804885176.52099991</v>
      </c>
      <c r="I15" s="130">
        <v>805610362.16600001</v>
      </c>
      <c r="J15" s="130">
        <v>725185.64500001655</v>
      </c>
      <c r="K15" s="169">
        <v>9.0098024681548603E-4</v>
      </c>
    </row>
    <row r="16" spans="1:11">
      <c r="A16" s="154">
        <v>9</v>
      </c>
      <c r="B16" s="139"/>
      <c r="C16" s="155"/>
      <c r="D16" s="128"/>
      <c r="E16" s="130"/>
      <c r="F16" s="170"/>
      <c r="G16" s="170"/>
      <c r="H16" s="170"/>
      <c r="I16" s="130"/>
      <c r="J16" s="130"/>
      <c r="K16" s="169"/>
    </row>
    <row r="17" spans="1:11">
      <c r="A17" s="154">
        <v>10</v>
      </c>
      <c r="B17" s="172" t="s">
        <v>112</v>
      </c>
      <c r="C17" s="155" t="s">
        <v>113</v>
      </c>
      <c r="D17" s="128">
        <v>1417061000</v>
      </c>
      <c r="E17" s="130">
        <v>124121000</v>
      </c>
      <c r="F17" s="88">
        <v>-1.668E-3</v>
      </c>
      <c r="G17" s="88">
        <v>-1.5430000000000001E-3</v>
      </c>
      <c r="H17" s="130">
        <v>121757342.252</v>
      </c>
      <c r="I17" s="130">
        <v>121934474.877</v>
      </c>
      <c r="J17" s="130">
        <v>177132.625</v>
      </c>
      <c r="K17" s="169">
        <v>1.4548003572005563E-3</v>
      </c>
    </row>
    <row r="18" spans="1:11">
      <c r="A18" s="154">
        <v>11</v>
      </c>
      <c r="B18" s="172" t="s">
        <v>114</v>
      </c>
      <c r="C18" s="155">
        <v>35</v>
      </c>
      <c r="D18" s="128">
        <v>5167000</v>
      </c>
      <c r="E18" s="130">
        <v>294000</v>
      </c>
      <c r="F18" s="88">
        <v>-1.129E-3</v>
      </c>
      <c r="G18" s="88">
        <v>-1.1590000000000001E-3</v>
      </c>
      <c r="H18" s="130">
        <v>288166.45699999999</v>
      </c>
      <c r="I18" s="130">
        <v>288011.44699999999</v>
      </c>
      <c r="J18" s="130">
        <v>-155.01000000000931</v>
      </c>
      <c r="K18" s="169">
        <v>-5.379182629850958E-4</v>
      </c>
    </row>
    <row r="19" spans="1:11">
      <c r="A19" s="154">
        <v>12</v>
      </c>
      <c r="B19" s="172" t="s">
        <v>115</v>
      </c>
      <c r="C19" s="155">
        <v>43</v>
      </c>
      <c r="D19" s="128">
        <v>125684000</v>
      </c>
      <c r="E19" s="130">
        <v>12142000</v>
      </c>
      <c r="F19" s="88">
        <v>-1.508E-3</v>
      </c>
      <c r="G19" s="88">
        <v>-1.294E-3</v>
      </c>
      <c r="H19" s="130">
        <v>11952468.528000001</v>
      </c>
      <c r="I19" s="130">
        <v>11979364.903999999</v>
      </c>
      <c r="J19" s="130">
        <v>26896.375999998301</v>
      </c>
      <c r="K19" s="169">
        <v>2.2502779184894331E-3</v>
      </c>
    </row>
    <row r="20" spans="1:11">
      <c r="A20" s="154">
        <v>13</v>
      </c>
      <c r="B20" s="173"/>
      <c r="C20" s="155"/>
      <c r="D20" s="128"/>
      <c r="E20" s="130"/>
      <c r="F20" s="170"/>
      <c r="G20" s="170"/>
      <c r="H20" s="170"/>
      <c r="I20" s="130"/>
      <c r="J20" s="130"/>
      <c r="K20" s="169"/>
    </row>
    <row r="21" spans="1:11">
      <c r="A21" s="154">
        <v>14</v>
      </c>
      <c r="B21" s="173" t="s">
        <v>116</v>
      </c>
      <c r="C21" s="155"/>
      <c r="D21" s="128">
        <v>1547912000</v>
      </c>
      <c r="E21" s="130">
        <v>136557000</v>
      </c>
      <c r="F21" s="88">
        <v>-1.6532094608737449E-3</v>
      </c>
      <c r="G21" s="88">
        <v>-1.5215004289649539E-3</v>
      </c>
      <c r="H21" s="130">
        <v>133997977.237</v>
      </c>
      <c r="I21" s="130">
        <v>134201851.228</v>
      </c>
      <c r="J21" s="130">
        <v>203873.99099999829</v>
      </c>
      <c r="K21" s="169">
        <v>1.5214706610041564E-3</v>
      </c>
    </row>
    <row r="22" spans="1:11">
      <c r="A22" s="154">
        <v>15</v>
      </c>
      <c r="B22" s="173"/>
      <c r="C22" s="155"/>
      <c r="D22" s="128"/>
      <c r="E22" s="130"/>
      <c r="F22" s="170"/>
      <c r="G22" s="170"/>
      <c r="H22" s="170"/>
      <c r="I22" s="130"/>
      <c r="J22" s="130"/>
      <c r="K22" s="169"/>
    </row>
    <row r="23" spans="1:11">
      <c r="A23" s="154">
        <v>16</v>
      </c>
      <c r="B23" s="174" t="s">
        <v>74</v>
      </c>
      <c r="C23" s="155">
        <v>40</v>
      </c>
      <c r="D23" s="128">
        <v>586557000</v>
      </c>
      <c r="E23" s="130">
        <v>47406000</v>
      </c>
      <c r="F23" s="88">
        <v>-1.7719999999999999E-3</v>
      </c>
      <c r="G23" s="88">
        <v>-1.755E-3</v>
      </c>
      <c r="H23" s="130">
        <v>46366620.995999999</v>
      </c>
      <c r="I23" s="130">
        <v>46376592.465000004</v>
      </c>
      <c r="J23" s="130">
        <v>9971.4690000042319</v>
      </c>
      <c r="K23" s="169">
        <v>2.1505705582609654E-4</v>
      </c>
    </row>
    <row r="24" spans="1:11">
      <c r="A24" s="154">
        <v>17</v>
      </c>
      <c r="B24" s="173"/>
      <c r="C24" s="155"/>
      <c r="D24" s="128"/>
      <c r="E24" s="130"/>
      <c r="F24" s="170"/>
      <c r="G24" s="170"/>
      <c r="H24" s="170"/>
      <c r="I24" s="130"/>
      <c r="J24" s="130"/>
      <c r="K24" s="169"/>
    </row>
    <row r="25" spans="1:11">
      <c r="A25" s="154">
        <v>18</v>
      </c>
      <c r="B25" s="172" t="s">
        <v>118</v>
      </c>
      <c r="C25" s="155">
        <v>46</v>
      </c>
      <c r="D25" s="128">
        <v>76343000</v>
      </c>
      <c r="E25" s="130">
        <v>5523000</v>
      </c>
      <c r="F25" s="88">
        <v>-8.5300000000000003E-4</v>
      </c>
      <c r="G25" s="88">
        <v>-9.9700000000000006E-4</v>
      </c>
      <c r="H25" s="130">
        <v>5457879.4210000001</v>
      </c>
      <c r="I25" s="130">
        <v>5446886.0290000001</v>
      </c>
      <c r="J25" s="130">
        <v>-10993.391999999993</v>
      </c>
      <c r="K25" s="169">
        <v>-2.014224051506394E-3</v>
      </c>
    </row>
    <row r="26" spans="1:11">
      <c r="A26" s="154">
        <v>19</v>
      </c>
      <c r="B26" s="171" t="s">
        <v>119</v>
      </c>
      <c r="C26" s="155">
        <v>49</v>
      </c>
      <c r="D26" s="128">
        <v>603277000</v>
      </c>
      <c r="E26" s="130">
        <v>43323000</v>
      </c>
      <c r="F26" s="88">
        <v>-1.6949999999999999E-3</v>
      </c>
      <c r="G26" s="88">
        <v>-1.5120000000000001E-3</v>
      </c>
      <c r="H26" s="130">
        <v>42300445.484999999</v>
      </c>
      <c r="I26" s="130">
        <v>42410845.175999999</v>
      </c>
      <c r="J26" s="130">
        <v>110399.69099999964</v>
      </c>
      <c r="K26" s="169">
        <v>2.6098942867906214E-3</v>
      </c>
    </row>
    <row r="27" spans="1:11">
      <c r="A27" s="154">
        <v>20</v>
      </c>
      <c r="B27" s="139"/>
      <c r="C27" s="155"/>
      <c r="D27" s="128"/>
      <c r="E27" s="130"/>
      <c r="F27" s="170"/>
      <c r="G27" s="170"/>
      <c r="H27" s="170"/>
      <c r="I27" s="130"/>
      <c r="J27" s="130"/>
      <c r="K27" s="169"/>
    </row>
    <row r="28" spans="1:11">
      <c r="A28" s="154">
        <v>21</v>
      </c>
      <c r="B28" s="174" t="s">
        <v>120</v>
      </c>
      <c r="C28" s="155"/>
      <c r="D28" s="128">
        <v>679620000</v>
      </c>
      <c r="E28" s="130">
        <v>48846000</v>
      </c>
      <c r="F28" s="88">
        <v>-1.6004165474824163E-3</v>
      </c>
      <c r="G28" s="88">
        <v>-1.4541490759542098E-3</v>
      </c>
      <c r="H28" s="128">
        <v>47758324.906000003</v>
      </c>
      <c r="I28" s="128">
        <v>47857731.204999998</v>
      </c>
      <c r="J28" s="130">
        <v>99406.29899999965</v>
      </c>
      <c r="K28" s="169">
        <v>2.0814444224259419E-3</v>
      </c>
    </row>
    <row r="29" spans="1:11">
      <c r="A29" s="154">
        <v>22</v>
      </c>
      <c r="B29" s="139"/>
      <c r="C29" s="155"/>
      <c r="D29" s="128"/>
      <c r="E29" s="130"/>
      <c r="F29" s="170"/>
      <c r="G29" s="170"/>
      <c r="H29" s="170"/>
      <c r="I29" s="130"/>
      <c r="J29" s="130"/>
      <c r="K29" s="169"/>
    </row>
    <row r="30" spans="1:11">
      <c r="A30" s="154">
        <v>23</v>
      </c>
      <c r="B30" s="139" t="s">
        <v>121</v>
      </c>
      <c r="C30" s="155" t="s">
        <v>20</v>
      </c>
      <c r="D30" s="128">
        <v>71132000</v>
      </c>
      <c r="E30" s="130">
        <v>16951000</v>
      </c>
      <c r="F30" s="88">
        <v>-2.1120000000000002E-3</v>
      </c>
      <c r="G30" s="88">
        <v>-1.9659999999999999E-3</v>
      </c>
      <c r="H30" s="130">
        <v>16800769.215999998</v>
      </c>
      <c r="I30" s="130">
        <v>16811154.488000002</v>
      </c>
      <c r="J30" s="130">
        <v>10385.272000003606</v>
      </c>
      <c r="K30" s="169">
        <v>6.1814264968971329E-4</v>
      </c>
    </row>
    <row r="31" spans="1:11">
      <c r="A31" s="154">
        <v>24</v>
      </c>
      <c r="B31" s="139"/>
      <c r="C31" s="155"/>
      <c r="D31" s="128"/>
      <c r="E31" s="130"/>
      <c r="F31" s="170"/>
      <c r="G31" s="170"/>
      <c r="H31" s="139"/>
      <c r="I31" s="130"/>
      <c r="J31" s="130"/>
      <c r="K31" s="169"/>
    </row>
    <row r="32" spans="1:11">
      <c r="A32" s="154">
        <v>25</v>
      </c>
      <c r="B32" s="175" t="s">
        <v>199</v>
      </c>
      <c r="C32" s="119" t="s">
        <v>200</v>
      </c>
      <c r="D32" s="128">
        <v>7036000</v>
      </c>
      <c r="E32" s="130">
        <v>695000</v>
      </c>
      <c r="F32" s="88">
        <v>-2.0140000000000002E-3</v>
      </c>
      <c r="G32" s="88">
        <v>-1.8699999999999999E-3</v>
      </c>
      <c r="H32" s="130">
        <v>680829.49600000004</v>
      </c>
      <c r="I32" s="130">
        <v>681842.68</v>
      </c>
      <c r="J32" s="130">
        <v>1013.1840000000084</v>
      </c>
      <c r="K32" s="169">
        <v>1.4881611415966155E-3</v>
      </c>
    </row>
    <row r="33" spans="1:11">
      <c r="A33" s="154">
        <v>26</v>
      </c>
      <c r="B33" s="175"/>
      <c r="C33" s="119"/>
      <c r="D33" s="128"/>
      <c r="E33" s="130"/>
      <c r="F33" s="170"/>
      <c r="G33" s="170"/>
      <c r="H33" s="170"/>
      <c r="I33" s="130"/>
      <c r="J33" s="130"/>
      <c r="K33" s="169"/>
    </row>
    <row r="34" spans="1:11">
      <c r="A34" s="154">
        <v>27</v>
      </c>
      <c r="B34" s="172" t="s">
        <v>122</v>
      </c>
      <c r="C34" s="155"/>
      <c r="D34" s="128">
        <v>21993155000</v>
      </c>
      <c r="E34" s="130">
        <v>2197007000</v>
      </c>
      <c r="F34" s="88">
        <v>-1.8855362023320434E-3</v>
      </c>
      <c r="G34" s="88">
        <v>-1.7595488610304114E-3</v>
      </c>
      <c r="H34" s="130">
        <v>2155538110.0439997</v>
      </c>
      <c r="I34" s="130">
        <v>2158306449.5449996</v>
      </c>
      <c r="J34" s="130">
        <v>2768339.5010000546</v>
      </c>
      <c r="K34" s="169">
        <v>1.2842916059338642E-3</v>
      </c>
    </row>
    <row r="35" spans="1:11">
      <c r="A35" s="154">
        <v>28</v>
      </c>
      <c r="B35" s="174"/>
      <c r="C35" s="155"/>
      <c r="D35" s="128"/>
      <c r="E35" s="130"/>
      <c r="F35" s="170"/>
      <c r="G35" s="170"/>
      <c r="H35" s="170"/>
      <c r="I35" s="130"/>
      <c r="J35" s="130"/>
      <c r="K35" s="169"/>
    </row>
    <row r="36" spans="1:11">
      <c r="A36" s="154">
        <v>29</v>
      </c>
      <c r="B36" s="174" t="s">
        <v>201</v>
      </c>
      <c r="C36" s="155"/>
      <c r="D36" s="128"/>
      <c r="E36" s="130"/>
      <c r="F36" s="130"/>
      <c r="G36" s="170"/>
      <c r="H36" s="170"/>
      <c r="I36" s="130"/>
      <c r="J36" s="130"/>
      <c r="K36" s="169"/>
    </row>
    <row r="37" spans="1:11">
      <c r="A37" s="154">
        <v>30</v>
      </c>
      <c r="B37" s="172" t="s">
        <v>123</v>
      </c>
      <c r="C37" s="119" t="s">
        <v>124</v>
      </c>
      <c r="D37" s="128">
        <v>2028599000</v>
      </c>
      <c r="E37" s="130">
        <v>9904000</v>
      </c>
      <c r="F37" s="130"/>
      <c r="G37" s="170"/>
      <c r="H37" s="130">
        <v>9904000</v>
      </c>
      <c r="I37" s="130">
        <v>9904000</v>
      </c>
      <c r="J37" s="130">
        <v>0</v>
      </c>
      <c r="K37" s="169"/>
    </row>
    <row r="38" spans="1:11">
      <c r="A38" s="154">
        <v>31</v>
      </c>
      <c r="B38" s="174"/>
      <c r="C38" s="155"/>
      <c r="D38" s="128"/>
      <c r="E38" s="130"/>
      <c r="F38" s="130"/>
      <c r="G38" s="170"/>
      <c r="H38" s="170"/>
      <c r="I38" s="130"/>
      <c r="J38" s="130"/>
      <c r="K38" s="169"/>
    </row>
    <row r="39" spans="1:11">
      <c r="A39" s="154">
        <v>32</v>
      </c>
      <c r="B39" s="174" t="s">
        <v>22</v>
      </c>
      <c r="C39" s="155"/>
      <c r="D39" s="128">
        <v>24021754000</v>
      </c>
      <c r="E39" s="130">
        <v>2206911000</v>
      </c>
      <c r="F39" s="130"/>
      <c r="G39" s="170"/>
      <c r="H39" s="130">
        <v>2165442110.0439997</v>
      </c>
      <c r="I39" s="130">
        <v>2168210449.5449996</v>
      </c>
      <c r="J39" s="130">
        <v>2768339.5010000546</v>
      </c>
      <c r="K39" s="169"/>
    </row>
    <row r="40" spans="1:11" ht="13.5" thickBot="1">
      <c r="A40" s="176"/>
      <c r="B40" s="177"/>
      <c r="C40" s="178"/>
      <c r="D40" s="179"/>
      <c r="E40" s="180"/>
      <c r="F40" s="180"/>
      <c r="G40" s="177"/>
      <c r="H40" s="177"/>
      <c r="I40" s="179"/>
      <c r="J40" s="177"/>
      <c r="K40" s="181"/>
    </row>
    <row r="41" spans="1:11">
      <c r="A41" s="155"/>
      <c r="B41" s="139"/>
      <c r="C41" s="155"/>
      <c r="D41" s="128"/>
      <c r="E41" s="128"/>
      <c r="F41" s="128"/>
      <c r="G41" s="139"/>
      <c r="H41" s="139"/>
      <c r="I41" s="128"/>
      <c r="J41" s="130"/>
      <c r="K41" s="139"/>
    </row>
  </sheetData>
  <printOptions horizontalCentered="1"/>
  <pageMargins left="0.7" right="0.7" top="0.75" bottom="0.75" header="0.3" footer="0.3"/>
  <pageSetup scale="8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3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8.85546875" defaultRowHeight="12.75"/>
  <cols>
    <col min="1" max="1" width="7.7109375" style="1" bestFit="1" customWidth="1"/>
    <col min="2" max="2" width="30.42578125" style="1" bestFit="1" customWidth="1"/>
    <col min="3" max="3" width="8.7109375" style="1" bestFit="1" customWidth="1"/>
    <col min="4" max="5" width="15.140625" style="1" bestFit="1" customWidth="1"/>
    <col min="6" max="7" width="10.85546875" style="1" bestFit="1" customWidth="1"/>
    <col min="8" max="9" width="15.140625" style="1" bestFit="1" customWidth="1"/>
    <col min="10" max="10" width="13.28515625" style="1" bestFit="1" customWidth="1"/>
    <col min="11" max="11" width="8" style="1" bestFit="1" customWidth="1"/>
    <col min="12" max="16384" width="8.85546875" style="1"/>
  </cols>
  <sheetData>
    <row r="1" spans="1:11">
      <c r="A1" s="345"/>
      <c r="B1" s="346" t="s">
        <v>415</v>
      </c>
      <c r="C1" s="346"/>
      <c r="D1" s="347"/>
      <c r="E1" s="347"/>
      <c r="F1" s="346"/>
      <c r="G1" s="346"/>
      <c r="H1" s="347"/>
      <c r="I1" s="347"/>
      <c r="J1" s="346"/>
      <c r="K1" s="348"/>
    </row>
    <row r="2" spans="1:11">
      <c r="A2" s="349"/>
      <c r="B2" s="350" t="s">
        <v>126</v>
      </c>
      <c r="C2" s="350"/>
      <c r="D2" s="351"/>
      <c r="E2" s="351"/>
      <c r="F2" s="350"/>
      <c r="G2" s="350"/>
      <c r="H2" s="351"/>
      <c r="I2" s="351"/>
      <c r="J2" s="350"/>
      <c r="K2" s="352"/>
    </row>
    <row r="3" spans="1:11">
      <c r="A3" s="349"/>
      <c r="B3" s="83"/>
      <c r="C3" s="353"/>
      <c r="D3" s="354"/>
      <c r="E3" s="354"/>
      <c r="F3" s="83"/>
      <c r="G3" s="83"/>
      <c r="H3" s="354"/>
      <c r="I3" s="354"/>
      <c r="J3" s="83"/>
      <c r="K3" s="355"/>
    </row>
    <row r="4" spans="1:11" ht="63.75">
      <c r="A4" s="356" t="s">
        <v>3</v>
      </c>
      <c r="B4" s="357" t="s">
        <v>93</v>
      </c>
      <c r="C4" s="357" t="s">
        <v>127</v>
      </c>
      <c r="D4" s="358" t="s">
        <v>416</v>
      </c>
      <c r="E4" s="358" t="s">
        <v>417</v>
      </c>
      <c r="F4" s="359" t="s">
        <v>418</v>
      </c>
      <c r="G4" s="359" t="s">
        <v>419</v>
      </c>
      <c r="H4" s="360" t="s">
        <v>363</v>
      </c>
      <c r="I4" s="360" t="s">
        <v>420</v>
      </c>
      <c r="J4" s="361" t="s">
        <v>94</v>
      </c>
      <c r="K4" s="362" t="s">
        <v>95</v>
      </c>
    </row>
    <row r="5" spans="1:11">
      <c r="A5" s="363"/>
      <c r="B5" s="364"/>
      <c r="C5" s="364"/>
      <c r="D5" s="86" t="s">
        <v>96</v>
      </c>
      <c r="E5" s="86" t="s">
        <v>97</v>
      </c>
      <c r="F5" s="87" t="s">
        <v>98</v>
      </c>
      <c r="G5" s="87" t="s">
        <v>99</v>
      </c>
      <c r="H5" s="365" t="s">
        <v>100</v>
      </c>
      <c r="I5" s="366" t="s">
        <v>101</v>
      </c>
      <c r="J5" s="364" t="s">
        <v>102</v>
      </c>
      <c r="K5" s="367" t="s">
        <v>103</v>
      </c>
    </row>
    <row r="6" spans="1:11">
      <c r="A6" s="368">
        <v>1</v>
      </c>
      <c r="B6" s="83"/>
      <c r="C6" s="353"/>
      <c r="D6" s="191"/>
      <c r="E6" s="191"/>
      <c r="F6" s="83"/>
      <c r="G6" s="190"/>
      <c r="H6" s="354"/>
      <c r="I6" s="354"/>
      <c r="J6" s="83"/>
      <c r="K6" s="355"/>
    </row>
    <row r="7" spans="1:11">
      <c r="A7" s="368">
        <v>2</v>
      </c>
      <c r="B7" s="369" t="s">
        <v>15</v>
      </c>
      <c r="C7" s="353">
        <v>7</v>
      </c>
      <c r="D7" s="191">
        <v>10637302000</v>
      </c>
      <c r="E7" s="214">
        <v>1111192000</v>
      </c>
      <c r="F7" s="192">
        <v>6.0750000000000005E-3</v>
      </c>
      <c r="G7" s="192">
        <v>4.8599999999999997E-3</v>
      </c>
      <c r="H7" s="370">
        <v>1175813609.6500001</v>
      </c>
      <c r="I7" s="370">
        <v>1162889287.72</v>
      </c>
      <c r="J7" s="370">
        <v>-12924321.930000067</v>
      </c>
      <c r="K7" s="407">
        <v>-1.0991811817731213E-2</v>
      </c>
    </row>
    <row r="8" spans="1:11">
      <c r="A8" s="368">
        <v>3</v>
      </c>
      <c r="B8" s="369"/>
      <c r="C8" s="353"/>
      <c r="D8" s="191"/>
      <c r="E8" s="214"/>
      <c r="F8" s="192"/>
      <c r="G8" s="192"/>
      <c r="H8" s="370"/>
      <c r="I8" s="370"/>
      <c r="J8" s="370"/>
      <c r="K8" s="407"/>
    </row>
    <row r="9" spans="1:11">
      <c r="A9" s="368">
        <v>4</v>
      </c>
      <c r="B9" s="372" t="s">
        <v>104</v>
      </c>
      <c r="C9" s="404" t="s">
        <v>364</v>
      </c>
      <c r="D9" s="191">
        <v>3012037000</v>
      </c>
      <c r="E9" s="214">
        <v>307540000</v>
      </c>
      <c r="F9" s="192">
        <v>4.6410000000000002E-3</v>
      </c>
      <c r="G9" s="192">
        <v>4.2079999999999999E-3</v>
      </c>
      <c r="H9" s="370">
        <v>321518863.71700001</v>
      </c>
      <c r="I9" s="370">
        <v>320214651.69599998</v>
      </c>
      <c r="J9" s="370">
        <v>-1304212.0210000277</v>
      </c>
      <c r="K9" s="407">
        <v>-4.0564090265882233E-3</v>
      </c>
    </row>
    <row r="10" spans="1:11">
      <c r="A10" s="368">
        <v>5</v>
      </c>
      <c r="B10" s="373" t="s">
        <v>106</v>
      </c>
      <c r="C10" s="404" t="s">
        <v>365</v>
      </c>
      <c r="D10" s="191">
        <v>2993580000</v>
      </c>
      <c r="E10" s="214">
        <v>282440000</v>
      </c>
      <c r="F10" s="192">
        <v>4.4990000000000004E-3</v>
      </c>
      <c r="G10" s="192">
        <v>4.2570000000000004E-3</v>
      </c>
      <c r="H10" s="370">
        <v>295908116.42000002</v>
      </c>
      <c r="I10" s="370">
        <v>295183670.06</v>
      </c>
      <c r="J10" s="370">
        <v>-724446.36000001431</v>
      </c>
      <c r="K10" s="407">
        <v>-2.4482138873533447E-3</v>
      </c>
    </row>
    <row r="11" spans="1:11">
      <c r="A11" s="368">
        <v>6</v>
      </c>
      <c r="B11" s="373" t="s">
        <v>108</v>
      </c>
      <c r="C11" s="404" t="s">
        <v>366</v>
      </c>
      <c r="D11" s="191">
        <v>1913788000</v>
      </c>
      <c r="E11" s="214">
        <v>162635000</v>
      </c>
      <c r="F11" s="192">
        <v>4.8000000000000004E-3</v>
      </c>
      <c r="G11" s="192">
        <v>4.3249999999999999E-3</v>
      </c>
      <c r="H11" s="370">
        <v>171821182.40000001</v>
      </c>
      <c r="I11" s="370">
        <v>170912133.09999999</v>
      </c>
      <c r="J11" s="370">
        <v>-909049.30000001192</v>
      </c>
      <c r="K11" s="407">
        <v>-5.2906707269872212E-3</v>
      </c>
    </row>
    <row r="12" spans="1:11">
      <c r="A12" s="368">
        <v>7</v>
      </c>
      <c r="B12" s="373" t="s">
        <v>110</v>
      </c>
      <c r="C12" s="353">
        <v>29</v>
      </c>
      <c r="D12" s="191">
        <v>16193000</v>
      </c>
      <c r="E12" s="214">
        <v>1236000</v>
      </c>
      <c r="F12" s="192">
        <v>4.5799999999999999E-3</v>
      </c>
      <c r="G12" s="192">
        <v>3.1960000000000001E-3</v>
      </c>
      <c r="H12" s="370">
        <v>1310163.94</v>
      </c>
      <c r="I12" s="370">
        <v>1287752.828</v>
      </c>
      <c r="J12" s="370">
        <v>-22411.111999999965</v>
      </c>
      <c r="K12" s="407">
        <v>-1.7105578405706971E-2</v>
      </c>
    </row>
    <row r="13" spans="1:11">
      <c r="A13" s="368">
        <v>8</v>
      </c>
      <c r="B13" s="369"/>
      <c r="C13" s="353"/>
      <c r="D13" s="191"/>
      <c r="E13" s="214"/>
      <c r="F13" s="192"/>
      <c r="G13" s="192"/>
      <c r="H13" s="370"/>
      <c r="I13" s="370"/>
      <c r="J13" s="370"/>
      <c r="K13" s="407"/>
    </row>
    <row r="14" spans="1:11">
      <c r="A14" s="368">
        <v>9</v>
      </c>
      <c r="B14" s="369" t="s">
        <v>111</v>
      </c>
      <c r="C14" s="353"/>
      <c r="D14" s="191">
        <v>7935598000</v>
      </c>
      <c r="E14" s="214">
        <v>753851000</v>
      </c>
      <c r="F14" s="192">
        <v>4.6259999999999999E-3</v>
      </c>
      <c r="G14" s="192">
        <v>4.2529999999999998E-3</v>
      </c>
      <c r="H14" s="370">
        <v>790558326.47700012</v>
      </c>
      <c r="I14" s="370">
        <v>787598207.68400002</v>
      </c>
      <c r="J14" s="370">
        <v>-2960118.7930000536</v>
      </c>
      <c r="K14" s="407">
        <v>-3.7443395305079654E-3</v>
      </c>
    </row>
    <row r="15" spans="1:11">
      <c r="A15" s="368">
        <v>10</v>
      </c>
      <c r="B15" s="369"/>
      <c r="C15" s="353"/>
      <c r="D15" s="191"/>
      <c r="E15" s="214"/>
      <c r="F15" s="192"/>
      <c r="G15" s="192"/>
      <c r="H15" s="370"/>
      <c r="I15" s="370"/>
      <c r="J15" s="370"/>
      <c r="K15" s="407"/>
    </row>
    <row r="16" spans="1:11">
      <c r="A16" s="368">
        <v>11</v>
      </c>
      <c r="B16" s="373" t="s">
        <v>112</v>
      </c>
      <c r="C16" s="404" t="s">
        <v>367</v>
      </c>
      <c r="D16" s="191">
        <v>1316672000</v>
      </c>
      <c r="E16" s="214">
        <v>110312000</v>
      </c>
      <c r="F16" s="192">
        <v>4.5519999999999996E-3</v>
      </c>
      <c r="G16" s="192">
        <v>4.1520000000000003E-3</v>
      </c>
      <c r="H16" s="370">
        <v>116305490.94400001</v>
      </c>
      <c r="I16" s="370">
        <v>115778822.14399999</v>
      </c>
      <c r="J16" s="370">
        <v>-526668.80000001192</v>
      </c>
      <c r="K16" s="407">
        <v>-4.5283227449132045E-3</v>
      </c>
    </row>
    <row r="17" spans="1:11">
      <c r="A17" s="368">
        <v>12</v>
      </c>
      <c r="B17" s="373" t="s">
        <v>114</v>
      </c>
      <c r="C17" s="353">
        <v>35</v>
      </c>
      <c r="D17" s="191">
        <v>5161000</v>
      </c>
      <c r="E17" s="214">
        <v>280000</v>
      </c>
      <c r="F17" s="192">
        <v>3.1360000000000003E-3</v>
      </c>
      <c r="G17" s="192">
        <v>2.9009999999999999E-3</v>
      </c>
      <c r="H17" s="370">
        <v>296184.89600000001</v>
      </c>
      <c r="I17" s="370">
        <v>294972.06099999999</v>
      </c>
      <c r="J17" s="370">
        <v>-1212.835000000021</v>
      </c>
      <c r="K17" s="407">
        <v>-4.094857693216135E-3</v>
      </c>
    </row>
    <row r="18" spans="1:11">
      <c r="A18" s="368">
        <v>13</v>
      </c>
      <c r="B18" s="373" t="s">
        <v>115</v>
      </c>
      <c r="C18" s="353">
        <v>43</v>
      </c>
      <c r="D18" s="191">
        <v>123190000</v>
      </c>
      <c r="E18" s="214">
        <v>11679000</v>
      </c>
      <c r="F18" s="192">
        <v>4.2499999999999994E-3</v>
      </c>
      <c r="G18" s="192">
        <v>3.2989999999999998E-3</v>
      </c>
      <c r="H18" s="370">
        <v>12202557.5</v>
      </c>
      <c r="I18" s="370">
        <v>12085403.810000001</v>
      </c>
      <c r="J18" s="370">
        <v>-117153.68999999948</v>
      </c>
      <c r="K18" s="407">
        <v>-9.600748859409142E-3</v>
      </c>
    </row>
    <row r="19" spans="1:11">
      <c r="A19" s="368">
        <v>14</v>
      </c>
      <c r="B19" s="369"/>
      <c r="C19" s="353"/>
      <c r="D19" s="191"/>
      <c r="E19" s="214"/>
      <c r="F19" s="192"/>
      <c r="G19" s="192"/>
      <c r="H19" s="370"/>
      <c r="I19" s="370"/>
      <c r="J19" s="370"/>
      <c r="K19" s="407"/>
    </row>
    <row r="20" spans="1:11">
      <c r="A20" s="368">
        <v>15</v>
      </c>
      <c r="B20" s="374" t="s">
        <v>116</v>
      </c>
      <c r="C20" s="353"/>
      <c r="D20" s="191">
        <v>1445023000</v>
      </c>
      <c r="E20" s="214">
        <v>122271000</v>
      </c>
      <c r="F20" s="192">
        <v>4.5209999999999998E-3</v>
      </c>
      <c r="G20" s="192">
        <v>4.0749999999999996E-3</v>
      </c>
      <c r="H20" s="370">
        <v>128804233.34</v>
      </c>
      <c r="I20" s="370">
        <v>128159198.015</v>
      </c>
      <c r="J20" s="370">
        <v>-645035.32500001136</v>
      </c>
      <c r="K20" s="407">
        <v>-5.0078736410575442E-3</v>
      </c>
    </row>
    <row r="21" spans="1:11">
      <c r="A21" s="368">
        <v>16</v>
      </c>
      <c r="B21" s="369"/>
      <c r="C21" s="353"/>
      <c r="D21" s="191"/>
      <c r="E21" s="214"/>
      <c r="F21" s="192"/>
      <c r="G21" s="192"/>
      <c r="H21" s="370"/>
      <c r="I21" s="370"/>
      <c r="J21" s="370"/>
      <c r="K21" s="407"/>
    </row>
    <row r="22" spans="1:11">
      <c r="A22" s="368">
        <v>17</v>
      </c>
      <c r="B22" s="374" t="s">
        <v>117</v>
      </c>
      <c r="C22" s="353">
        <v>40</v>
      </c>
      <c r="D22" s="191">
        <v>679072000</v>
      </c>
      <c r="E22" s="214">
        <v>52535000</v>
      </c>
      <c r="F22" s="192">
        <v>5.1419999999999999E-3</v>
      </c>
      <c r="G22" s="192">
        <v>3.79E-3</v>
      </c>
      <c r="H22" s="370">
        <v>56026788.223999999</v>
      </c>
      <c r="I22" s="370">
        <v>55108682.880000003</v>
      </c>
      <c r="J22" s="370">
        <v>-918105.34399999678</v>
      </c>
      <c r="K22" s="407">
        <v>-1.6386899429775115E-2</v>
      </c>
    </row>
    <row r="23" spans="1:11">
      <c r="A23" s="368">
        <v>18</v>
      </c>
      <c r="B23" s="369"/>
      <c r="C23" s="353"/>
      <c r="D23" s="191"/>
      <c r="E23" s="214"/>
      <c r="F23" s="192"/>
      <c r="G23" s="192"/>
      <c r="H23" s="370"/>
      <c r="I23" s="370"/>
      <c r="J23" s="370"/>
      <c r="K23" s="407"/>
    </row>
    <row r="24" spans="1:11">
      <c r="A24" s="368">
        <v>19</v>
      </c>
      <c r="B24" s="373" t="s">
        <v>118</v>
      </c>
      <c r="C24" s="353">
        <v>46</v>
      </c>
      <c r="D24" s="191">
        <v>72776000</v>
      </c>
      <c r="E24" s="214">
        <v>5157000</v>
      </c>
      <c r="F24" s="192">
        <v>2.9170000000000003E-3</v>
      </c>
      <c r="G24" s="192">
        <v>2.6159999999999998E-3</v>
      </c>
      <c r="H24" s="370">
        <v>5369287.5920000002</v>
      </c>
      <c r="I24" s="370">
        <v>5347382.0159999998</v>
      </c>
      <c r="J24" s="370">
        <v>-21905.57600000035</v>
      </c>
      <c r="K24" s="407">
        <v>-4.0797918950437086E-3</v>
      </c>
    </row>
    <row r="25" spans="1:11">
      <c r="A25" s="368">
        <v>20</v>
      </c>
      <c r="B25" s="372" t="s">
        <v>119</v>
      </c>
      <c r="C25" s="353">
        <v>49</v>
      </c>
      <c r="D25" s="191">
        <v>584007000</v>
      </c>
      <c r="E25" s="214">
        <v>40025000</v>
      </c>
      <c r="F25" s="192">
        <v>4.4260000000000002E-3</v>
      </c>
      <c r="G25" s="192">
        <v>3.9039999999999999E-3</v>
      </c>
      <c r="H25" s="370">
        <v>42609814.982000001</v>
      </c>
      <c r="I25" s="370">
        <v>42304963.328000002</v>
      </c>
      <c r="J25" s="370">
        <v>-304851.65399999917</v>
      </c>
      <c r="K25" s="407">
        <v>-7.1544937270621818E-3</v>
      </c>
    </row>
    <row r="26" spans="1:11">
      <c r="A26" s="368">
        <v>21</v>
      </c>
      <c r="B26" s="369"/>
      <c r="C26" s="353"/>
      <c r="D26" s="191"/>
      <c r="E26" s="214"/>
      <c r="F26" s="192"/>
      <c r="G26" s="192"/>
      <c r="H26" s="370"/>
      <c r="I26" s="370"/>
      <c r="J26" s="370"/>
      <c r="K26" s="407"/>
    </row>
    <row r="27" spans="1:11">
      <c r="A27" s="368">
        <v>22</v>
      </c>
      <c r="B27" s="369" t="s">
        <v>120</v>
      </c>
      <c r="C27" s="353"/>
      <c r="D27" s="191">
        <v>656783000</v>
      </c>
      <c r="E27" s="214">
        <v>45182000</v>
      </c>
      <c r="F27" s="192">
        <v>4.2589999999999998E-3</v>
      </c>
      <c r="G27" s="192">
        <v>3.761E-3</v>
      </c>
      <c r="H27" s="354">
        <v>47979102.574000001</v>
      </c>
      <c r="I27" s="354">
        <v>47652345.344000004</v>
      </c>
      <c r="J27" s="370">
        <v>-326757.22999999952</v>
      </c>
      <c r="K27" s="407">
        <v>-6.810407291299986E-3</v>
      </c>
    </row>
    <row r="28" spans="1:11">
      <c r="A28" s="368">
        <v>23</v>
      </c>
      <c r="B28" s="369"/>
      <c r="C28" s="353"/>
      <c r="D28" s="191"/>
      <c r="E28" s="214"/>
      <c r="F28" s="192"/>
      <c r="G28" s="192"/>
      <c r="H28" s="370"/>
      <c r="I28" s="370"/>
      <c r="J28" s="370"/>
      <c r="K28" s="407"/>
    </row>
    <row r="29" spans="1:11">
      <c r="A29" s="368">
        <v>24</v>
      </c>
      <c r="B29" s="369" t="s">
        <v>368</v>
      </c>
      <c r="C29" s="353" t="s">
        <v>124</v>
      </c>
      <c r="D29" s="191">
        <v>2088697000</v>
      </c>
      <c r="E29" s="214">
        <v>9141000</v>
      </c>
      <c r="F29" s="192">
        <v>1.0820000000000001E-3</v>
      </c>
      <c r="G29" s="192">
        <v>1.047E-3</v>
      </c>
      <c r="H29" s="370">
        <v>11400970.153999999</v>
      </c>
      <c r="I29" s="370">
        <v>11327865.759</v>
      </c>
      <c r="J29" s="370">
        <v>-73104.394999999553</v>
      </c>
      <c r="K29" s="407">
        <v>-6.4121205487369052E-3</v>
      </c>
    </row>
    <row r="30" spans="1:11">
      <c r="A30" s="368">
        <v>25</v>
      </c>
      <c r="B30" s="369"/>
      <c r="C30" s="353"/>
      <c r="D30" s="191"/>
      <c r="E30" s="214"/>
      <c r="F30" s="192"/>
      <c r="G30" s="192"/>
      <c r="H30" s="370"/>
      <c r="I30" s="370"/>
      <c r="J30" s="370"/>
      <c r="K30" s="407"/>
    </row>
    <row r="31" spans="1:11">
      <c r="A31" s="368">
        <v>26</v>
      </c>
      <c r="B31" s="83" t="s">
        <v>121</v>
      </c>
      <c r="C31" s="404" t="s">
        <v>20</v>
      </c>
      <c r="D31" s="191">
        <v>76506000</v>
      </c>
      <c r="E31" s="214">
        <v>19539000</v>
      </c>
      <c r="F31" s="192">
        <v>6.2750000000000002E-3</v>
      </c>
      <c r="G31" s="192">
        <v>4.5710000000000004E-3</v>
      </c>
      <c r="H31" s="370">
        <v>20019075.149999999</v>
      </c>
      <c r="I31" s="370">
        <v>19888708.925999999</v>
      </c>
      <c r="J31" s="370">
        <v>-130366.22399999946</v>
      </c>
      <c r="K31" s="407">
        <v>-6.5121002355595569E-3</v>
      </c>
    </row>
    <row r="32" spans="1:11">
      <c r="A32" s="368">
        <v>27</v>
      </c>
      <c r="B32" s="369"/>
      <c r="C32" s="353"/>
      <c r="D32" s="191"/>
      <c r="E32" s="214"/>
      <c r="F32" s="192"/>
      <c r="G32" s="192"/>
      <c r="H32" s="370"/>
      <c r="I32" s="370"/>
      <c r="J32" s="370"/>
      <c r="K32" s="407"/>
    </row>
    <row r="33" spans="1:11">
      <c r="A33" s="368">
        <v>28</v>
      </c>
      <c r="B33" s="369" t="s">
        <v>22</v>
      </c>
      <c r="C33" s="353"/>
      <c r="D33" s="191">
        <v>23518981000</v>
      </c>
      <c r="E33" s="214">
        <v>2113711000</v>
      </c>
      <c r="F33" s="371">
        <v>4.9699999999999996E-3</v>
      </c>
      <c r="G33" s="192">
        <v>4.2059999999999997E-3</v>
      </c>
      <c r="H33" s="370">
        <v>2230602105.5690002</v>
      </c>
      <c r="I33" s="370">
        <v>2212624296.3280001</v>
      </c>
      <c r="J33" s="370">
        <v>-17977809.241000127</v>
      </c>
      <c r="K33" s="407">
        <v>-8.0596217479200309E-3</v>
      </c>
    </row>
    <row r="34" spans="1:11" ht="13.5" thickBot="1">
      <c r="A34" s="375"/>
      <c r="B34" s="376"/>
      <c r="C34" s="377"/>
      <c r="D34" s="378"/>
      <c r="E34" s="378"/>
      <c r="F34" s="379"/>
      <c r="G34" s="376"/>
      <c r="H34" s="378"/>
      <c r="I34" s="378"/>
      <c r="J34" s="376"/>
      <c r="K34" s="380"/>
    </row>
    <row r="35" spans="1:11">
      <c r="A35" s="83"/>
      <c r="B35" s="83"/>
      <c r="C35" s="353"/>
      <c r="D35" s="354"/>
      <c r="E35" s="354"/>
      <c r="F35" s="83"/>
      <c r="G35" s="83"/>
      <c r="H35" s="354"/>
      <c r="I35" s="354"/>
      <c r="J35" s="83"/>
      <c r="K35" s="83"/>
    </row>
    <row r="36" spans="1:11">
      <c r="A36" s="83"/>
      <c r="B36" s="554" t="s">
        <v>421</v>
      </c>
      <c r="C36" s="554">
        <v>0</v>
      </c>
      <c r="D36" s="554">
        <v>0</v>
      </c>
      <c r="E36" s="554">
        <v>0</v>
      </c>
      <c r="F36" s="554">
        <v>0</v>
      </c>
      <c r="G36" s="554">
        <v>0</v>
      </c>
      <c r="H36" s="554">
        <v>0</v>
      </c>
      <c r="I36" s="554">
        <v>0</v>
      </c>
      <c r="J36" s="554">
        <v>0</v>
      </c>
      <c r="K36" s="554">
        <v>0</v>
      </c>
    </row>
  </sheetData>
  <mergeCells count="1">
    <mergeCell ref="B36:K36"/>
  </mergeCells>
  <printOptions horizontalCentered="1"/>
  <pageMargins left="0.7" right="0.7" top="0.75" bottom="0.75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L37"/>
  <sheetViews>
    <sheetView zoomScale="80" zoomScaleNormal="80" workbookViewId="0">
      <pane xSplit="3" ySplit="7" topLeftCell="D8" activePane="bottomRight" state="frozen"/>
      <selection activeCell="B36" sqref="B36:K36"/>
      <selection pane="topRight" activeCell="B36" sqref="B36:K36"/>
      <selection pane="bottomLeft" activeCell="B36" sqref="B36:K36"/>
      <selection pane="bottomRight" activeCell="D8" sqref="D8"/>
    </sheetView>
  </sheetViews>
  <sheetFormatPr defaultColWidth="8.85546875" defaultRowHeight="12.75"/>
  <cols>
    <col min="1" max="1" width="8.85546875" style="1"/>
    <col min="2" max="2" width="22.5703125" style="1" bestFit="1" customWidth="1"/>
    <col min="3" max="3" width="11.5703125" style="1" bestFit="1" customWidth="1"/>
    <col min="4" max="5" width="15.140625" style="1" bestFit="1" customWidth="1"/>
    <col min="6" max="7" width="10.85546875" style="1" bestFit="1" customWidth="1"/>
    <col min="8" max="8" width="11.5703125" style="1" bestFit="1" customWidth="1"/>
    <col min="9" max="10" width="15.140625" style="1" bestFit="1" customWidth="1"/>
    <col min="11" max="11" width="11.42578125" style="1" bestFit="1" customWidth="1"/>
    <col min="12" max="12" width="8.5703125" style="1" bestFit="1" customWidth="1"/>
    <col min="13" max="16384" width="8.85546875" style="1"/>
  </cols>
  <sheetData>
    <row r="1" spans="1:12">
      <c r="A1" s="395" t="s">
        <v>446</v>
      </c>
      <c r="B1" s="438"/>
      <c r="C1" s="438"/>
      <c r="D1" s="347"/>
      <c r="E1" s="347"/>
      <c r="F1" s="438"/>
      <c r="G1" s="438"/>
      <c r="H1" s="438"/>
      <c r="I1" s="347"/>
      <c r="J1" s="347"/>
      <c r="K1" s="438"/>
      <c r="L1" s="439"/>
    </row>
    <row r="2" spans="1:12">
      <c r="A2" s="396" t="s">
        <v>128</v>
      </c>
      <c r="B2" s="440"/>
      <c r="C2" s="440"/>
      <c r="D2" s="351"/>
      <c r="E2" s="351"/>
      <c r="F2" s="440"/>
      <c r="G2" s="440"/>
      <c r="H2" s="440"/>
      <c r="I2" s="351"/>
      <c r="J2" s="351"/>
      <c r="K2" s="440"/>
      <c r="L2" s="441"/>
    </row>
    <row r="3" spans="1:12">
      <c r="A3" s="396" t="s">
        <v>129</v>
      </c>
      <c r="B3" s="440"/>
      <c r="C3" s="440"/>
      <c r="D3" s="351"/>
      <c r="E3" s="351"/>
      <c r="F3" s="440"/>
      <c r="G3" s="440"/>
      <c r="H3" s="440"/>
      <c r="I3" s="351"/>
      <c r="J3" s="351"/>
      <c r="K3" s="440"/>
      <c r="L3" s="441"/>
    </row>
    <row r="4" spans="1:12">
      <c r="A4" s="396" t="s">
        <v>447</v>
      </c>
      <c r="B4" s="440"/>
      <c r="C4" s="440"/>
      <c r="D4" s="351"/>
      <c r="E4" s="351"/>
      <c r="F4" s="440"/>
      <c r="G4" s="440"/>
      <c r="H4" s="440"/>
      <c r="I4" s="351"/>
      <c r="J4" s="351"/>
      <c r="K4" s="440"/>
      <c r="L4" s="441"/>
    </row>
    <row r="5" spans="1:12">
      <c r="A5" s="396"/>
      <c r="B5" s="440"/>
      <c r="C5" s="440"/>
      <c r="D5" s="351"/>
      <c r="E5" s="351"/>
      <c r="F5" s="440"/>
      <c r="G5" s="440"/>
      <c r="H5" s="440"/>
      <c r="I5" s="351"/>
      <c r="J5" s="351"/>
      <c r="K5" s="440"/>
      <c r="L5" s="441"/>
    </row>
    <row r="6" spans="1:12" ht="90" thickBot="1">
      <c r="A6" s="442" t="s">
        <v>3</v>
      </c>
      <c r="B6" s="443" t="s">
        <v>130</v>
      </c>
      <c r="C6" s="443" t="s">
        <v>131</v>
      </c>
      <c r="D6" s="444" t="s">
        <v>448</v>
      </c>
      <c r="E6" s="444" t="s">
        <v>449</v>
      </c>
      <c r="F6" s="445" t="s">
        <v>450</v>
      </c>
      <c r="G6" s="445" t="s">
        <v>451</v>
      </c>
      <c r="H6" s="445" t="s">
        <v>132</v>
      </c>
      <c r="I6" s="444" t="s">
        <v>452</v>
      </c>
      <c r="J6" s="444" t="s">
        <v>453</v>
      </c>
      <c r="K6" s="445" t="s">
        <v>133</v>
      </c>
      <c r="L6" s="446" t="s">
        <v>134</v>
      </c>
    </row>
    <row r="7" spans="1:12" ht="26.25" thickBot="1">
      <c r="A7" s="442"/>
      <c r="B7" s="443"/>
      <c r="C7" s="443"/>
      <c r="D7" s="447" t="s">
        <v>135</v>
      </c>
      <c r="E7" s="447" t="s">
        <v>136</v>
      </c>
      <c r="F7" s="443" t="s">
        <v>137</v>
      </c>
      <c r="G7" s="443" t="s">
        <v>138</v>
      </c>
      <c r="H7" s="445" t="s">
        <v>139</v>
      </c>
      <c r="I7" s="444" t="s">
        <v>140</v>
      </c>
      <c r="J7" s="444" t="s">
        <v>141</v>
      </c>
      <c r="K7" s="445" t="s">
        <v>142</v>
      </c>
      <c r="L7" s="446" t="s">
        <v>143</v>
      </c>
    </row>
    <row r="8" spans="1:12">
      <c r="A8" s="448"/>
      <c r="B8" s="449"/>
      <c r="C8" s="450"/>
      <c r="D8" s="354"/>
      <c r="E8" s="354"/>
      <c r="F8" s="449"/>
      <c r="G8" s="449"/>
      <c r="H8" s="449"/>
      <c r="I8" s="354"/>
      <c r="J8" s="354"/>
      <c r="K8" s="449"/>
      <c r="L8" s="451"/>
    </row>
    <row r="9" spans="1:12">
      <c r="A9" s="448">
        <v>1</v>
      </c>
      <c r="B9" s="452" t="s">
        <v>15</v>
      </c>
      <c r="C9" s="450">
        <v>7</v>
      </c>
      <c r="D9" s="354">
        <v>10809562000</v>
      </c>
      <c r="E9" s="370">
        <v>1095893000</v>
      </c>
      <c r="F9" s="453">
        <v>9.3700000000000001E-4</v>
      </c>
      <c r="G9" s="453">
        <v>8.9499999999999996E-4</v>
      </c>
      <c r="H9" s="453">
        <f>G9-F9</f>
        <v>-4.2000000000000045E-5</v>
      </c>
      <c r="I9" s="370">
        <f>+F9*D9+E9</f>
        <v>1106021559.5940001</v>
      </c>
      <c r="J9" s="370">
        <f>+G9*D9+E9</f>
        <v>1105567557.99</v>
      </c>
      <c r="K9" s="370">
        <f>+J9-I9</f>
        <v>-454001.60400009155</v>
      </c>
      <c r="L9" s="454">
        <f>IF(I9&gt;0,+K9/I9,0)</f>
        <v>-4.1048169455823908E-4</v>
      </c>
    </row>
    <row r="10" spans="1:12">
      <c r="A10" s="448">
        <f>+A9+1</f>
        <v>2</v>
      </c>
      <c r="B10" s="452"/>
      <c r="C10" s="450"/>
      <c r="D10" s="354"/>
      <c r="E10" s="370"/>
      <c r="F10" s="455"/>
      <c r="G10" s="455"/>
      <c r="H10" s="453" t="s">
        <v>24</v>
      </c>
      <c r="I10" s="370"/>
      <c r="J10" s="370"/>
      <c r="K10" s="370"/>
      <c r="L10" s="454"/>
    </row>
    <row r="11" spans="1:12">
      <c r="A11" s="448">
        <f t="shared" ref="A11:A36" si="0">+A10+1</f>
        <v>3</v>
      </c>
      <c r="B11" s="456" t="s">
        <v>104</v>
      </c>
      <c r="C11" s="457" t="s">
        <v>144</v>
      </c>
      <c r="D11" s="354">
        <v>3049254000</v>
      </c>
      <c r="E11" s="370">
        <v>313091000</v>
      </c>
      <c r="F11" s="453">
        <v>8.5499999999999997E-4</v>
      </c>
      <c r="G11" s="453">
        <v>8.5700000000000001E-4</v>
      </c>
      <c r="H11" s="453">
        <f t="shared" ref="H11:H35" si="1">G11-F11</f>
        <v>2.0000000000000486E-6</v>
      </c>
      <c r="I11" s="370">
        <f t="shared" ref="I11:I14" si="2">+F11*D11+E11</f>
        <v>315698112.17000002</v>
      </c>
      <c r="J11" s="370">
        <f t="shared" ref="J11:J14" si="3">+G11*D11+E11</f>
        <v>315704210.67799997</v>
      </c>
      <c r="K11" s="370">
        <f>+J11-I11</f>
        <v>6098.5079999566078</v>
      </c>
      <c r="L11" s="454">
        <f>IF(I11&gt;0,+K11/I11,0)</f>
        <v>1.931753078292919E-5</v>
      </c>
    </row>
    <row r="12" spans="1:12">
      <c r="A12" s="448">
        <f t="shared" si="0"/>
        <v>4</v>
      </c>
      <c r="B12" s="458" t="s">
        <v>106</v>
      </c>
      <c r="C12" s="459" t="s">
        <v>145</v>
      </c>
      <c r="D12" s="354">
        <v>3208495000</v>
      </c>
      <c r="E12" s="370">
        <v>307686000</v>
      </c>
      <c r="F12" s="453">
        <v>7.94E-4</v>
      </c>
      <c r="G12" s="453">
        <v>7.9600000000000005E-4</v>
      </c>
      <c r="H12" s="453">
        <f t="shared" si="1"/>
        <v>2.0000000000000486E-6</v>
      </c>
      <c r="I12" s="370">
        <f t="shared" si="2"/>
        <v>310233545.02999997</v>
      </c>
      <c r="J12" s="370">
        <f t="shared" si="3"/>
        <v>310239962.01999998</v>
      </c>
      <c r="K12" s="370">
        <f>+J12-I12</f>
        <v>6416.9900000095367</v>
      </c>
      <c r="L12" s="454">
        <f>IF(I12&gt;0,+K12/I12,0)</f>
        <v>2.0684384725027095E-5</v>
      </c>
    </row>
    <row r="13" spans="1:12">
      <c r="A13" s="448">
        <f t="shared" si="0"/>
        <v>5</v>
      </c>
      <c r="B13" s="458" t="s">
        <v>108</v>
      </c>
      <c r="C13" s="459" t="s">
        <v>146</v>
      </c>
      <c r="D13" s="354">
        <v>1921550000</v>
      </c>
      <c r="E13" s="370">
        <v>166978000</v>
      </c>
      <c r="F13" s="453">
        <v>7.0699999999999995E-4</v>
      </c>
      <c r="G13" s="453">
        <v>7.1699999999999997E-4</v>
      </c>
      <c r="H13" s="453">
        <f t="shared" si="1"/>
        <v>1.0000000000000026E-5</v>
      </c>
      <c r="I13" s="370">
        <f t="shared" si="2"/>
        <v>168336535.84999999</v>
      </c>
      <c r="J13" s="370">
        <f t="shared" si="3"/>
        <v>168355751.34999999</v>
      </c>
      <c r="K13" s="370">
        <f>+J13-I13</f>
        <v>19215.5</v>
      </c>
      <c r="L13" s="454">
        <f>IF(I13&gt;0,+K13/I13,0)</f>
        <v>1.1414931347477887E-4</v>
      </c>
    </row>
    <row r="14" spans="1:12">
      <c r="A14" s="448">
        <f t="shared" si="0"/>
        <v>6</v>
      </c>
      <c r="B14" s="458" t="s">
        <v>110</v>
      </c>
      <c r="C14" s="450">
        <v>29</v>
      </c>
      <c r="D14" s="354">
        <v>16140000</v>
      </c>
      <c r="E14" s="370">
        <v>1264000</v>
      </c>
      <c r="F14" s="453">
        <v>7.1199999999999996E-4</v>
      </c>
      <c r="G14" s="453">
        <v>7.1199999999999996E-4</v>
      </c>
      <c r="H14" s="453">
        <f t="shared" si="1"/>
        <v>0</v>
      </c>
      <c r="I14" s="370">
        <f t="shared" si="2"/>
        <v>1275491.68</v>
      </c>
      <c r="J14" s="370">
        <f t="shared" si="3"/>
        <v>1275491.68</v>
      </c>
      <c r="K14" s="370">
        <f>+J14-I14</f>
        <v>0</v>
      </c>
      <c r="L14" s="454">
        <f>IF(I14&gt;0,+K14/I14,0)</f>
        <v>0</v>
      </c>
    </row>
    <row r="15" spans="1:12">
      <c r="A15" s="448">
        <f t="shared" si="0"/>
        <v>7</v>
      </c>
      <c r="B15" s="452"/>
      <c r="C15" s="450"/>
      <c r="D15" s="354"/>
      <c r="E15" s="370"/>
      <c r="F15" s="455"/>
      <c r="G15" s="455"/>
      <c r="H15" s="453" t="s">
        <v>24</v>
      </c>
      <c r="I15" s="370"/>
      <c r="J15" s="370"/>
      <c r="K15" s="370"/>
      <c r="L15" s="454"/>
    </row>
    <row r="16" spans="1:12">
      <c r="A16" s="448">
        <f t="shared" si="0"/>
        <v>8</v>
      </c>
      <c r="B16" s="452" t="s">
        <v>111</v>
      </c>
      <c r="C16" s="450"/>
      <c r="D16" s="354">
        <f>SUM(D11:D15)</f>
        <v>8195439000</v>
      </c>
      <c r="E16" s="370">
        <f>SUM(E11:E15)</f>
        <v>789019000</v>
      </c>
      <c r="F16" s="453">
        <f>($I16-$E16)/$D16</f>
        <v>7.9613608618159671E-4</v>
      </c>
      <c r="G16" s="453">
        <f>($J16-$E16)/$D16</f>
        <v>8.0000787364776008E-4</v>
      </c>
      <c r="H16" s="453">
        <f t="shared" si="1"/>
        <v>3.8717874661633664E-6</v>
      </c>
      <c r="I16" s="370">
        <f>SUM(I11:I15)</f>
        <v>795543684.73000002</v>
      </c>
      <c r="J16" s="370">
        <f>SUM(J11:J15)</f>
        <v>795575415.72799993</v>
      </c>
      <c r="K16" s="370">
        <f>SUM(K11:K14)</f>
        <v>31730.997999966145</v>
      </c>
      <c r="L16" s="454">
        <f>IF(I16&gt;0,+K16/I16,0)</f>
        <v>3.9885927836552864E-5</v>
      </c>
    </row>
    <row r="17" spans="1:12">
      <c r="A17" s="448">
        <f t="shared" si="0"/>
        <v>9</v>
      </c>
      <c r="B17" s="452"/>
      <c r="C17" s="450"/>
      <c r="D17" s="354"/>
      <c r="E17" s="370"/>
      <c r="F17" s="455"/>
      <c r="G17" s="455"/>
      <c r="H17" s="453" t="s">
        <v>24</v>
      </c>
      <c r="I17" s="370"/>
      <c r="J17" s="370"/>
      <c r="K17" s="370"/>
      <c r="L17" s="454"/>
    </row>
    <row r="18" spans="1:12">
      <c r="A18" s="448">
        <f t="shared" si="0"/>
        <v>10</v>
      </c>
      <c r="B18" s="458" t="s">
        <v>112</v>
      </c>
      <c r="C18" s="457" t="s">
        <v>147</v>
      </c>
      <c r="D18" s="354">
        <v>1409546000</v>
      </c>
      <c r="E18" s="370">
        <v>120161000</v>
      </c>
      <c r="F18" s="453">
        <v>6.96E-4</v>
      </c>
      <c r="G18" s="453">
        <v>7.0399999999999998E-4</v>
      </c>
      <c r="H18" s="453">
        <f t="shared" si="1"/>
        <v>7.9999999999999776E-6</v>
      </c>
      <c r="I18" s="370">
        <f t="shared" ref="I18:I20" si="4">+F18*D18+E18</f>
        <v>121142044.016</v>
      </c>
      <c r="J18" s="370">
        <f t="shared" ref="J18:J20" si="5">+G18*D18+E18</f>
        <v>121153320.384</v>
      </c>
      <c r="K18" s="370">
        <f>+J18-I18</f>
        <v>11276.368000000715</v>
      </c>
      <c r="L18" s="454">
        <f>IF(I18&gt;0,+K18/I18,0)</f>
        <v>9.3083851206203629E-5</v>
      </c>
    </row>
    <row r="19" spans="1:12">
      <c r="A19" s="448">
        <f t="shared" si="0"/>
        <v>11</v>
      </c>
      <c r="B19" s="458" t="s">
        <v>114</v>
      </c>
      <c r="C19" s="450">
        <v>35</v>
      </c>
      <c r="D19" s="354">
        <v>5150000</v>
      </c>
      <c r="E19" s="370">
        <v>284000</v>
      </c>
      <c r="F19" s="453">
        <v>4.64E-4</v>
      </c>
      <c r="G19" s="453">
        <v>5.1199999999999998E-4</v>
      </c>
      <c r="H19" s="453">
        <f t="shared" si="1"/>
        <v>4.7999999999999974E-5</v>
      </c>
      <c r="I19" s="370">
        <f t="shared" si="4"/>
        <v>286389.59999999998</v>
      </c>
      <c r="J19" s="370">
        <f t="shared" si="5"/>
        <v>286636.79999999999</v>
      </c>
      <c r="K19" s="370">
        <f>+J19-I19</f>
        <v>247.20000000001164</v>
      </c>
      <c r="L19" s="454">
        <f>IF(I19&gt;0,+K19/I19,0)</f>
        <v>8.6315983541305856E-4</v>
      </c>
    </row>
    <row r="20" spans="1:12">
      <c r="A20" s="448">
        <f t="shared" si="0"/>
        <v>12</v>
      </c>
      <c r="B20" s="458" t="s">
        <v>115</v>
      </c>
      <c r="C20" s="450">
        <v>43</v>
      </c>
      <c r="D20" s="354">
        <v>123766000</v>
      </c>
      <c r="E20" s="370">
        <v>11676000</v>
      </c>
      <c r="F20" s="453">
        <v>7.6999999999999996E-4</v>
      </c>
      <c r="G20" s="453">
        <v>7.7899999999999996E-4</v>
      </c>
      <c r="H20" s="453">
        <f t="shared" si="1"/>
        <v>9.0000000000000019E-6</v>
      </c>
      <c r="I20" s="370">
        <f t="shared" si="4"/>
        <v>11771299.82</v>
      </c>
      <c r="J20" s="370">
        <f t="shared" si="5"/>
        <v>11772413.714</v>
      </c>
      <c r="K20" s="370">
        <f>+J20-I20</f>
        <v>1113.8939999993891</v>
      </c>
      <c r="L20" s="454">
        <f>IF(I20&gt;0,+K20/I20,0)</f>
        <v>9.4627952480390485E-5</v>
      </c>
    </row>
    <row r="21" spans="1:12">
      <c r="A21" s="448">
        <f t="shared" si="0"/>
        <v>13</v>
      </c>
      <c r="B21" s="460"/>
      <c r="C21" s="450"/>
      <c r="D21" s="354"/>
      <c r="E21" s="370"/>
      <c r="F21" s="455"/>
      <c r="G21" s="455"/>
      <c r="H21" s="453" t="s">
        <v>24</v>
      </c>
      <c r="I21" s="370"/>
      <c r="J21" s="370"/>
      <c r="K21" s="370"/>
      <c r="L21" s="454"/>
    </row>
    <row r="22" spans="1:12">
      <c r="A22" s="448">
        <f t="shared" si="0"/>
        <v>14</v>
      </c>
      <c r="B22" s="460" t="s">
        <v>116</v>
      </c>
      <c r="C22" s="450"/>
      <c r="D22" s="354">
        <f>SUM(D18:D21)</f>
        <v>1538462000</v>
      </c>
      <c r="E22" s="370">
        <f>SUM(E18:E21)</f>
        <v>132121000</v>
      </c>
      <c r="F22" s="453">
        <f>($I22-$E22)/$D22</f>
        <v>7.0117652304703632E-4</v>
      </c>
      <c r="G22" s="453">
        <f>($J22-$E22)/$D22</f>
        <v>7.0939087088274001E-4</v>
      </c>
      <c r="H22" s="453">
        <f t="shared" si="1"/>
        <v>8.2143478357036941E-6</v>
      </c>
      <c r="I22" s="370">
        <f>SUM(I18:I20)</f>
        <v>133199733.43599999</v>
      </c>
      <c r="J22" s="370">
        <f>SUM(J18:J20)</f>
        <v>133212370.898</v>
      </c>
      <c r="K22" s="370">
        <f>SUM(K18:K20)</f>
        <v>12637.462000000116</v>
      </c>
      <c r="L22" s="454">
        <f>IF(I22&gt;0,+K22/I22,0)</f>
        <v>9.4876030709717475E-5</v>
      </c>
    </row>
    <row r="23" spans="1:12">
      <c r="A23" s="448">
        <f t="shared" si="0"/>
        <v>15</v>
      </c>
      <c r="B23" s="460"/>
      <c r="C23" s="450"/>
      <c r="D23" s="354"/>
      <c r="E23" s="370"/>
      <c r="F23" s="455"/>
      <c r="G23" s="455"/>
      <c r="H23" s="453" t="s">
        <v>24</v>
      </c>
      <c r="I23" s="370"/>
      <c r="J23" s="370"/>
      <c r="K23" s="370"/>
      <c r="L23" s="454"/>
    </row>
    <row r="24" spans="1:12">
      <c r="A24" s="448">
        <f t="shared" si="0"/>
        <v>16</v>
      </c>
      <c r="B24" s="452" t="s">
        <v>148</v>
      </c>
      <c r="C24" s="450">
        <v>40</v>
      </c>
      <c r="D24" s="354">
        <v>586365000</v>
      </c>
      <c r="E24" s="370">
        <v>45990000</v>
      </c>
      <c r="F24" s="453">
        <v>6.7000000000000002E-4</v>
      </c>
      <c r="G24" s="453">
        <v>6.4800000000000003E-4</v>
      </c>
      <c r="H24" s="453">
        <f t="shared" si="1"/>
        <v>-2.1999999999999993E-5</v>
      </c>
      <c r="I24" s="370">
        <f t="shared" ref="I24" si="6">+F24*D24+E24</f>
        <v>46382864.549999997</v>
      </c>
      <c r="J24" s="370">
        <f>+G24*D24+E24</f>
        <v>46369964.520000003</v>
      </c>
      <c r="K24" s="370">
        <f>+J24-I24</f>
        <v>-12900.029999993742</v>
      </c>
      <c r="L24" s="454">
        <f>IF(I24&gt;0,+K24/I24,0)</f>
        <v>-2.7812059744795865E-4</v>
      </c>
    </row>
    <row r="25" spans="1:12">
      <c r="A25" s="448">
        <f t="shared" si="0"/>
        <v>17</v>
      </c>
      <c r="B25" s="460"/>
      <c r="C25" s="450"/>
      <c r="D25" s="354"/>
      <c r="E25" s="370"/>
      <c r="F25" s="455"/>
      <c r="G25" s="455"/>
      <c r="H25" s="453" t="s">
        <v>24</v>
      </c>
      <c r="I25" s="370"/>
      <c r="J25" s="370"/>
      <c r="K25" s="370"/>
      <c r="L25" s="454"/>
    </row>
    <row r="26" spans="1:12">
      <c r="A26" s="448">
        <f t="shared" si="0"/>
        <v>18</v>
      </c>
      <c r="B26" s="458" t="s">
        <v>118</v>
      </c>
      <c r="C26" s="450">
        <v>46</v>
      </c>
      <c r="D26" s="354">
        <v>79268000</v>
      </c>
      <c r="E26" s="370">
        <v>5619000</v>
      </c>
      <c r="F26" s="453">
        <v>5.9800000000000001E-4</v>
      </c>
      <c r="G26" s="453">
        <v>5.8799999999999998E-4</v>
      </c>
      <c r="H26" s="453">
        <f t="shared" si="1"/>
        <v>-1.0000000000000026E-5</v>
      </c>
      <c r="I26" s="370">
        <f t="shared" ref="I26:I27" si="7">+F26*D26+E26</f>
        <v>5666402.2640000004</v>
      </c>
      <c r="J26" s="370">
        <f t="shared" ref="J26:J27" si="8">+G26*D26+E26</f>
        <v>5665609.5839999998</v>
      </c>
      <c r="K26" s="370">
        <f>+J26-I26</f>
        <v>-792.6800000006333</v>
      </c>
      <c r="L26" s="454">
        <f>IF(I26&gt;0,+K26/I26,0)</f>
        <v>-1.3989123310865478E-4</v>
      </c>
    </row>
    <row r="27" spans="1:12">
      <c r="A27" s="448">
        <f t="shared" si="0"/>
        <v>19</v>
      </c>
      <c r="B27" s="456" t="s">
        <v>119</v>
      </c>
      <c r="C27" s="450">
        <v>49</v>
      </c>
      <c r="D27" s="354">
        <v>597895000</v>
      </c>
      <c r="E27" s="370">
        <v>41597000</v>
      </c>
      <c r="F27" s="453">
        <v>5.7600000000000001E-4</v>
      </c>
      <c r="G27" s="453">
        <v>5.7300000000000005E-4</v>
      </c>
      <c r="H27" s="453">
        <f t="shared" si="1"/>
        <v>-2.9999999999999645E-6</v>
      </c>
      <c r="I27" s="370">
        <f t="shared" si="7"/>
        <v>41941387.520000003</v>
      </c>
      <c r="J27" s="370">
        <f t="shared" si="8"/>
        <v>41939593.835000001</v>
      </c>
      <c r="K27" s="370">
        <f>+J27-I27</f>
        <v>-1793.6850000023842</v>
      </c>
      <c r="L27" s="454">
        <f>IF(I27&gt;0,+K27/I27,0)</f>
        <v>-4.2766467827204205E-5</v>
      </c>
    </row>
    <row r="28" spans="1:12">
      <c r="A28" s="448">
        <f t="shared" si="0"/>
        <v>20</v>
      </c>
      <c r="B28" s="452"/>
      <c r="C28" s="450"/>
      <c r="D28" s="354"/>
      <c r="E28" s="370"/>
      <c r="F28" s="455"/>
      <c r="G28" s="455"/>
      <c r="H28" s="453" t="s">
        <v>24</v>
      </c>
      <c r="I28" s="370"/>
      <c r="J28" s="370"/>
      <c r="K28" s="370"/>
      <c r="L28" s="454"/>
    </row>
    <row r="29" spans="1:12">
      <c r="A29" s="448">
        <f t="shared" si="0"/>
        <v>21</v>
      </c>
      <c r="B29" s="452" t="s">
        <v>120</v>
      </c>
      <c r="C29" s="450"/>
      <c r="D29" s="354">
        <f>SUM(D26:D28)</f>
        <v>677163000</v>
      </c>
      <c r="E29" s="370">
        <f>SUM(E26:E28)</f>
        <v>47216000</v>
      </c>
      <c r="F29" s="453">
        <f>($I29-$E29)/$D29</f>
        <v>5.7857529723272217E-4</v>
      </c>
      <c r="G29" s="453">
        <f>($J29-$E29)/$D29</f>
        <v>5.7475588447685377E-4</v>
      </c>
      <c r="H29" s="453">
        <f t="shared" si="1"/>
        <v>-3.819412755868396E-6</v>
      </c>
      <c r="I29" s="354">
        <f>SUM(I26:I28)</f>
        <v>47607789.784000002</v>
      </c>
      <c r="J29" s="354">
        <f>SUM(J26:J28)</f>
        <v>47605203.419</v>
      </c>
      <c r="K29" s="370">
        <f>SUM(K26:K28)</f>
        <v>-2586.3650000030175</v>
      </c>
      <c r="L29" s="454">
        <f>IF(I29&gt;0,+K29/I29,0)</f>
        <v>-5.4326508576380948E-5</v>
      </c>
    </row>
    <row r="30" spans="1:12">
      <c r="A30" s="448">
        <f t="shared" si="0"/>
        <v>22</v>
      </c>
      <c r="B30" s="452"/>
      <c r="C30" s="450"/>
      <c r="D30" s="354"/>
      <c r="E30" s="370"/>
      <c r="F30" s="455"/>
      <c r="G30" s="455"/>
      <c r="H30" s="453"/>
      <c r="I30" s="354"/>
      <c r="J30" s="354"/>
      <c r="K30" s="370"/>
      <c r="L30" s="454"/>
    </row>
    <row r="31" spans="1:12">
      <c r="A31" s="448">
        <f t="shared" si="0"/>
        <v>23</v>
      </c>
      <c r="B31" s="452" t="s">
        <v>121</v>
      </c>
      <c r="C31" s="459" t="s">
        <v>149</v>
      </c>
      <c r="D31" s="354">
        <v>70960000</v>
      </c>
      <c r="E31" s="370">
        <v>16623000</v>
      </c>
      <c r="F31" s="453">
        <v>2.1689999999999999E-3</v>
      </c>
      <c r="G31" s="453">
        <v>1.951E-3</v>
      </c>
      <c r="H31" s="453">
        <f>G31-F31</f>
        <v>-2.1799999999999988E-4</v>
      </c>
      <c r="I31" s="370">
        <f t="shared" ref="I31" si="9">+F31*D31+E31</f>
        <v>16776912.24</v>
      </c>
      <c r="J31" s="370">
        <f>+G31*D31+E31</f>
        <v>16761442.960000001</v>
      </c>
      <c r="K31" s="370">
        <f>+J31-I31</f>
        <v>-15469.279999999329</v>
      </c>
      <c r="L31" s="454">
        <f>IF(I31&gt;0,+K31/I31,0)</f>
        <v>-9.2205763365186015E-4</v>
      </c>
    </row>
    <row r="32" spans="1:12">
      <c r="A32" s="448">
        <f t="shared" si="0"/>
        <v>24</v>
      </c>
      <c r="B32" s="452"/>
      <c r="C32" s="450"/>
      <c r="D32" s="354"/>
      <c r="E32" s="370"/>
      <c r="F32" s="449"/>
      <c r="G32" s="449"/>
      <c r="H32" s="453" t="s">
        <v>24</v>
      </c>
      <c r="I32" s="370"/>
      <c r="J32" s="370"/>
      <c r="K32" s="370"/>
      <c r="L32" s="454"/>
    </row>
    <row r="33" spans="1:12">
      <c r="A33" s="448">
        <f t="shared" si="0"/>
        <v>25</v>
      </c>
      <c r="B33" s="452" t="s">
        <v>150</v>
      </c>
      <c r="C33" s="459" t="s">
        <v>124</v>
      </c>
      <c r="D33" s="354">
        <v>2030932000</v>
      </c>
      <c r="E33" s="370">
        <v>9848000</v>
      </c>
      <c r="F33" s="453">
        <v>3.3000000000000003E-5</v>
      </c>
      <c r="G33" s="453">
        <v>3.3000000000000003E-5</v>
      </c>
      <c r="H33" s="453">
        <f>G33-F33</f>
        <v>0</v>
      </c>
      <c r="I33" s="370">
        <f t="shared" ref="I33" si="10">+F33*D33+E33</f>
        <v>9915020.7559999991</v>
      </c>
      <c r="J33" s="370">
        <f>+G33*D33+E33</f>
        <v>9915020.7559999991</v>
      </c>
      <c r="K33" s="370">
        <f>+J33-I33</f>
        <v>0</v>
      </c>
      <c r="L33" s="454">
        <f>IF(I33&gt;0,+K33/I33,0)</f>
        <v>0</v>
      </c>
    </row>
    <row r="34" spans="1:12">
      <c r="A34" s="448">
        <f t="shared" si="0"/>
        <v>26</v>
      </c>
      <c r="B34" s="452"/>
      <c r="C34" s="450"/>
      <c r="D34" s="354"/>
      <c r="E34" s="370"/>
      <c r="F34" s="455"/>
      <c r="G34" s="455"/>
      <c r="H34" s="453" t="s">
        <v>24</v>
      </c>
      <c r="I34" s="370"/>
      <c r="J34" s="370"/>
      <c r="K34" s="370"/>
      <c r="L34" s="454"/>
    </row>
    <row r="35" spans="1:12">
      <c r="A35" s="448">
        <f t="shared" si="0"/>
        <v>27</v>
      </c>
      <c r="B35" s="452" t="s">
        <v>22</v>
      </c>
      <c r="C35" s="450"/>
      <c r="D35" s="354">
        <f>SUM(D9,D16,D22,D24,D29,D31,D33)</f>
        <v>23908883000</v>
      </c>
      <c r="E35" s="370">
        <f>SUM(E9,E16,E22,E24,E29,E31,E33)</f>
        <v>2136710000</v>
      </c>
      <c r="F35" s="453">
        <f>($I35-$E35)/$D35</f>
        <v>7.8370725600188649E-4</v>
      </c>
      <c r="G35" s="453">
        <f>($J35-$E35)/$D35</f>
        <v>7.6527942652109297E-4</v>
      </c>
      <c r="H35" s="453">
        <f t="shared" si="1"/>
        <v>-1.8427829480793518E-5</v>
      </c>
      <c r="I35" s="370">
        <f>SUM(I9,I16,I22,I24,I29,I31,I33)</f>
        <v>2155447565.0900002</v>
      </c>
      <c r="J35" s="370">
        <f>SUM(J9,J16,J22,J24,J29,J31,J33)</f>
        <v>2155006976.2709999</v>
      </c>
      <c r="K35" s="370">
        <f>SUM(K9,K16,K22,K24,K29,K31,K33)</f>
        <v>-440588.81900012138</v>
      </c>
      <c r="L35" s="454">
        <f>IF(I35&gt;0,+K35/I35,0)</f>
        <v>-2.0440711531840243E-4</v>
      </c>
    </row>
    <row r="36" spans="1:12" ht="13.5" thickBot="1">
      <c r="A36" s="461">
        <f t="shared" si="0"/>
        <v>28</v>
      </c>
      <c r="B36" s="462"/>
      <c r="C36" s="463"/>
      <c r="D36" s="378"/>
      <c r="E36" s="378"/>
      <c r="F36" s="464"/>
      <c r="G36" s="464"/>
      <c r="H36" s="464"/>
      <c r="I36" s="378"/>
      <c r="J36" s="378"/>
      <c r="K36" s="465"/>
      <c r="L36" s="466"/>
    </row>
    <row r="37" spans="1:12">
      <c r="B37" s="127"/>
      <c r="C37" s="124"/>
      <c r="D37" s="189"/>
      <c r="E37" s="189"/>
      <c r="F37" s="121"/>
      <c r="G37" s="121"/>
      <c r="H37" s="121"/>
      <c r="I37" s="189"/>
      <c r="J37" s="189"/>
      <c r="K37" s="121"/>
      <c r="L37" s="121"/>
    </row>
  </sheetData>
  <printOptions horizontalCentered="1"/>
  <pageMargins left="0.7" right="0.7" top="0.75" bottom="0.75" header="0.3" footer="0.3"/>
  <pageSetup scale="7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21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0" sqref="D10:K21"/>
    </sheetView>
  </sheetViews>
  <sheetFormatPr defaultRowHeight="12.75"/>
  <cols>
    <col min="1" max="1" width="7.7109375" bestFit="1" customWidth="1"/>
    <col min="2" max="2" width="60.5703125" bestFit="1" customWidth="1"/>
    <col min="3" max="3" width="13.8554687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9.85546875" bestFit="1" customWidth="1"/>
    <col min="11" max="11" width="8" bestFit="1" customWidth="1"/>
  </cols>
  <sheetData>
    <row r="1" spans="1:11">
      <c r="A1" s="555" t="s">
        <v>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</row>
    <row r="2" spans="1:11">
      <c r="A2" s="556" t="s">
        <v>210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</row>
    <row r="3" spans="1:11">
      <c r="A3" s="556" t="s">
        <v>211</v>
      </c>
      <c r="B3" s="555"/>
      <c r="C3" s="555"/>
      <c r="D3" s="555"/>
      <c r="E3" s="555"/>
      <c r="F3" s="555"/>
      <c r="G3" s="555"/>
      <c r="H3" s="555"/>
      <c r="I3" s="555"/>
      <c r="J3" s="555"/>
      <c r="K3" s="555"/>
    </row>
    <row r="4" spans="1:11">
      <c r="A4" s="555" t="s">
        <v>212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</row>
    <row r="5" spans="1:11">
      <c r="A5" s="146"/>
    </row>
    <row r="7" spans="1:11" ht="76.5">
      <c r="A7" s="195" t="s">
        <v>3</v>
      </c>
      <c r="B7" s="195" t="s">
        <v>41</v>
      </c>
      <c r="C7" s="195" t="s">
        <v>213</v>
      </c>
      <c r="D7" s="196" t="s">
        <v>533</v>
      </c>
      <c r="E7" s="196" t="s">
        <v>534</v>
      </c>
      <c r="F7" s="196" t="s">
        <v>535</v>
      </c>
      <c r="G7" s="197" t="s">
        <v>536</v>
      </c>
      <c r="H7" s="195" t="s">
        <v>214</v>
      </c>
      <c r="I7" s="196" t="s">
        <v>215</v>
      </c>
      <c r="J7" s="196" t="s">
        <v>216</v>
      </c>
      <c r="K7" s="195" t="s">
        <v>217</v>
      </c>
    </row>
    <row r="8" spans="1:11">
      <c r="A8" s="198" t="s">
        <v>96</v>
      </c>
      <c r="B8" s="198" t="s">
        <v>97</v>
      </c>
      <c r="C8" s="198" t="s">
        <v>98</v>
      </c>
      <c r="D8" s="199" t="s">
        <v>99</v>
      </c>
      <c r="E8" s="198" t="s">
        <v>218</v>
      </c>
      <c r="F8" s="198" t="s">
        <v>219</v>
      </c>
      <c r="G8" s="200" t="s">
        <v>220</v>
      </c>
      <c r="H8" s="201" t="s">
        <v>221</v>
      </c>
      <c r="I8" s="201" t="s">
        <v>222</v>
      </c>
      <c r="J8" s="199" t="s">
        <v>223</v>
      </c>
      <c r="K8" s="202" t="s">
        <v>224</v>
      </c>
    </row>
    <row r="9" spans="1:11">
      <c r="A9" s="198"/>
      <c r="B9" s="198"/>
      <c r="C9" s="198"/>
      <c r="D9" s="202"/>
      <c r="E9" s="198"/>
      <c r="F9" s="198"/>
      <c r="G9" s="200"/>
      <c r="H9" s="198"/>
      <c r="I9" s="198"/>
      <c r="J9" s="202"/>
      <c r="K9" s="202"/>
    </row>
    <row r="10" spans="1:11">
      <c r="A10" s="203">
        <v>1</v>
      </c>
      <c r="B10" t="s">
        <v>15</v>
      </c>
      <c r="C10" s="203">
        <v>7</v>
      </c>
      <c r="D10" s="204">
        <v>10808199000</v>
      </c>
      <c r="E10" s="205">
        <v>1108302000</v>
      </c>
      <c r="F10" s="206">
        <v>-3.4600000000000001E-4</v>
      </c>
      <c r="G10" s="207">
        <v>0</v>
      </c>
      <c r="H10" s="208">
        <v>1104562363</v>
      </c>
      <c r="I10" s="208">
        <v>1108302000</v>
      </c>
      <c r="J10" s="205">
        <v>3739637</v>
      </c>
      <c r="K10" s="398">
        <v>3.3856277610646779E-3</v>
      </c>
    </row>
    <row r="11" spans="1:11">
      <c r="A11" s="203">
        <v>2</v>
      </c>
      <c r="B11" s="146" t="s">
        <v>225</v>
      </c>
      <c r="C11" s="203" t="s">
        <v>105</v>
      </c>
      <c r="D11" s="204">
        <v>3088796000</v>
      </c>
      <c r="E11" s="205">
        <v>320317000</v>
      </c>
      <c r="F11" s="206">
        <v>-2.63E-4</v>
      </c>
      <c r="G11" s="207">
        <v>0</v>
      </c>
      <c r="H11" s="208">
        <v>319504647</v>
      </c>
      <c r="I11" s="208">
        <v>320317000</v>
      </c>
      <c r="J11" s="205">
        <v>812353</v>
      </c>
      <c r="K11" s="398">
        <v>2.5425389196295479E-3</v>
      </c>
    </row>
    <row r="12" spans="1:11">
      <c r="A12" s="203">
        <v>3</v>
      </c>
      <c r="B12" s="146" t="s">
        <v>226</v>
      </c>
      <c r="C12" s="209" t="s">
        <v>227</v>
      </c>
      <c r="D12" s="204">
        <v>3267696000</v>
      </c>
      <c r="E12" s="205">
        <v>316155000</v>
      </c>
      <c r="F12" s="206">
        <v>-2.4499999999999999E-4</v>
      </c>
      <c r="G12" s="207">
        <v>0</v>
      </c>
      <c r="H12" s="208">
        <v>315354414</v>
      </c>
      <c r="I12" s="208">
        <v>316155000</v>
      </c>
      <c r="J12" s="205">
        <v>800586</v>
      </c>
      <c r="K12" s="398">
        <v>2.5386865204937324E-3</v>
      </c>
    </row>
    <row r="13" spans="1:11">
      <c r="A13" s="203">
        <v>4</v>
      </c>
      <c r="B13" s="146" t="s">
        <v>228</v>
      </c>
      <c r="C13" s="203" t="s">
        <v>178</v>
      </c>
      <c r="D13" s="204">
        <v>1936207000</v>
      </c>
      <c r="E13" s="205">
        <v>169765000</v>
      </c>
      <c r="F13" s="206">
        <v>-2.02E-4</v>
      </c>
      <c r="G13" s="207">
        <v>0</v>
      </c>
      <c r="H13" s="208">
        <v>169373886</v>
      </c>
      <c r="I13" s="208">
        <v>169765000</v>
      </c>
      <c r="J13" s="205">
        <v>391114</v>
      </c>
      <c r="K13" s="398">
        <v>2.3091753353288477E-3</v>
      </c>
    </row>
    <row r="14" spans="1:11">
      <c r="A14" s="203">
        <v>5</v>
      </c>
      <c r="B14" s="210" t="s">
        <v>170</v>
      </c>
      <c r="C14" s="209" t="s">
        <v>229</v>
      </c>
      <c r="D14" s="204">
        <v>1547912000</v>
      </c>
      <c r="E14" s="205">
        <v>134222000</v>
      </c>
      <c r="F14" s="206">
        <v>-2.3800000000000001E-4</v>
      </c>
      <c r="G14" s="207">
        <v>0</v>
      </c>
      <c r="H14" s="208">
        <v>133853597</v>
      </c>
      <c r="I14" s="208">
        <v>134222000</v>
      </c>
      <c r="J14" s="205">
        <v>368403</v>
      </c>
      <c r="K14" s="398">
        <v>2.7522831530631185E-3</v>
      </c>
    </row>
    <row r="15" spans="1:11">
      <c r="A15" s="203">
        <v>6</v>
      </c>
      <c r="B15" s="210" t="s">
        <v>230</v>
      </c>
      <c r="C15" s="203">
        <v>40</v>
      </c>
      <c r="D15" s="204">
        <v>586557000</v>
      </c>
      <c r="E15" s="205">
        <v>46400000</v>
      </c>
      <c r="F15" s="206">
        <v>-1.3100000000000001E-4</v>
      </c>
      <c r="G15" s="207">
        <v>0</v>
      </c>
      <c r="H15" s="208">
        <v>46323161</v>
      </c>
      <c r="I15" s="208">
        <v>46400000</v>
      </c>
      <c r="J15" s="205">
        <v>76839</v>
      </c>
      <c r="K15" s="398">
        <v>1.6587598588101533E-3</v>
      </c>
    </row>
    <row r="16" spans="1:11">
      <c r="A16" s="203">
        <v>7</v>
      </c>
      <c r="B16" s="210" t="s">
        <v>173</v>
      </c>
      <c r="C16" s="203" t="s">
        <v>231</v>
      </c>
      <c r="D16" s="204">
        <v>679620000</v>
      </c>
      <c r="E16" s="205">
        <v>47789000</v>
      </c>
      <c r="F16" s="206">
        <v>-1.1E-4</v>
      </c>
      <c r="G16" s="207">
        <v>0</v>
      </c>
      <c r="H16" s="208">
        <v>47714242</v>
      </c>
      <c r="I16" s="208">
        <v>47789000</v>
      </c>
      <c r="J16" s="205">
        <v>74758</v>
      </c>
      <c r="K16" s="398">
        <v>1.566785866576273E-3</v>
      </c>
    </row>
    <row r="17" spans="1:11">
      <c r="A17" s="203">
        <v>8</v>
      </c>
      <c r="B17" s="210" t="s">
        <v>150</v>
      </c>
      <c r="C17" s="203">
        <v>449</v>
      </c>
      <c r="D17" s="204">
        <v>2028599000</v>
      </c>
      <c r="E17" s="205">
        <v>9963000</v>
      </c>
      <c r="F17" s="206">
        <v>-2.8E-5</v>
      </c>
      <c r="G17" s="207">
        <v>0</v>
      </c>
      <c r="H17" s="208">
        <v>9906199</v>
      </c>
      <c r="I17" s="208">
        <v>9963000</v>
      </c>
      <c r="J17" s="205">
        <v>56801</v>
      </c>
      <c r="K17" s="398">
        <v>5.7338844091462324E-3</v>
      </c>
    </row>
    <row r="18" spans="1:11">
      <c r="A18" s="203">
        <v>9</v>
      </c>
      <c r="B18" t="s">
        <v>175</v>
      </c>
      <c r="C18" s="203" t="s">
        <v>20</v>
      </c>
      <c r="D18" s="204">
        <v>71132000</v>
      </c>
      <c r="E18" s="205">
        <v>16911000</v>
      </c>
      <c r="F18" s="206">
        <v>-1.395E-3</v>
      </c>
      <c r="G18" s="207">
        <v>0</v>
      </c>
      <c r="H18" s="208">
        <v>16811771</v>
      </c>
      <c r="I18" s="208">
        <v>16911000</v>
      </c>
      <c r="J18" s="205">
        <v>99229</v>
      </c>
      <c r="K18" s="398">
        <v>5.9023525837938193E-3</v>
      </c>
    </row>
    <row r="19" spans="1:11">
      <c r="A19" s="203">
        <v>10</v>
      </c>
      <c r="B19" t="s">
        <v>90</v>
      </c>
      <c r="C19" s="203"/>
      <c r="D19" s="204">
        <v>7036000</v>
      </c>
      <c r="E19" s="205">
        <v>321000</v>
      </c>
      <c r="F19" s="206">
        <v>0</v>
      </c>
      <c r="G19" s="207">
        <v>0</v>
      </c>
      <c r="H19" s="208">
        <v>321000</v>
      </c>
      <c r="I19" s="208">
        <v>321000</v>
      </c>
      <c r="J19" s="205">
        <v>0</v>
      </c>
      <c r="K19" s="398">
        <v>0</v>
      </c>
    </row>
    <row r="20" spans="1:11">
      <c r="A20" s="203">
        <v>11</v>
      </c>
      <c r="C20" s="203"/>
      <c r="D20" s="204"/>
      <c r="E20" s="203"/>
      <c r="F20" s="203"/>
      <c r="G20" s="211"/>
      <c r="H20" s="203"/>
      <c r="I20" s="203"/>
      <c r="K20" s="399"/>
    </row>
    <row r="21" spans="1:11">
      <c r="A21" s="203">
        <v>12</v>
      </c>
      <c r="B21" s="146" t="s">
        <v>22</v>
      </c>
      <c r="C21" s="203"/>
      <c r="D21" s="204">
        <v>24021754000</v>
      </c>
      <c r="E21" s="212">
        <v>2170145000</v>
      </c>
      <c r="F21" s="212"/>
      <c r="G21" s="213"/>
      <c r="H21" s="212">
        <v>2163725280</v>
      </c>
      <c r="I21" s="212">
        <v>2170145000</v>
      </c>
      <c r="J21" s="147">
        <v>6419720</v>
      </c>
      <c r="K21" s="398">
        <v>2.9581986457126136E-3</v>
      </c>
    </row>
  </sheetData>
  <mergeCells count="4">
    <mergeCell ref="A1:K1"/>
    <mergeCell ref="A2:K2"/>
    <mergeCell ref="A3:K3"/>
    <mergeCell ref="A4:K4"/>
  </mergeCells>
  <printOptions horizontalCentered="1"/>
  <pageMargins left="0.7" right="0.7" top="0.75" bottom="0.75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K44"/>
  <sheetViews>
    <sheetView workbookViewId="0">
      <pane xSplit="3" ySplit="7" topLeftCell="G9" activePane="bottomRight" state="frozen"/>
      <selection pane="topRight" activeCell="D1" sqref="D1"/>
      <selection pane="bottomLeft" activeCell="A8" sqref="A8"/>
      <selection pane="bottomRight" activeCell="G9" sqref="G9"/>
    </sheetView>
  </sheetViews>
  <sheetFormatPr defaultRowHeight="12.75"/>
  <cols>
    <col min="1" max="1" width="7.7109375" bestFit="1" customWidth="1"/>
    <col min="2" max="2" width="22.5703125" bestFit="1" customWidth="1"/>
    <col min="3" max="3" width="10.5703125" bestFit="1" customWidth="1"/>
    <col min="4" max="5" width="15.140625" bestFit="1" customWidth="1"/>
    <col min="6" max="7" width="11.5703125" bestFit="1" customWidth="1"/>
    <col min="8" max="9" width="15.140625" bestFit="1" customWidth="1"/>
    <col min="10" max="10" width="11.42578125" bestFit="1" customWidth="1"/>
  </cols>
  <sheetData>
    <row r="1" spans="1:11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>
      <c r="A2" s="151" t="s">
        <v>234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>
      <c r="A3" s="154"/>
      <c r="B3" s="139"/>
      <c r="C3" s="155"/>
      <c r="D3" s="128"/>
      <c r="E3" s="128"/>
      <c r="F3" s="128"/>
      <c r="G3" s="139"/>
      <c r="H3" s="139"/>
      <c r="I3" s="128"/>
      <c r="J3" s="139"/>
      <c r="K3" s="156"/>
    </row>
    <row r="4" spans="1:11">
      <c r="A4" s="164"/>
      <c r="B4" s="165"/>
      <c r="C4" s="165"/>
      <c r="D4" s="166"/>
      <c r="E4" s="166"/>
      <c r="F4" s="167"/>
      <c r="G4" s="165"/>
      <c r="H4" s="166"/>
      <c r="I4" s="166"/>
      <c r="J4" s="165"/>
      <c r="K4" s="168"/>
    </row>
    <row r="5" spans="1:11">
      <c r="A5" s="157"/>
      <c r="B5" s="87"/>
      <c r="C5" s="87"/>
      <c r="D5" s="158"/>
      <c r="E5" s="158"/>
      <c r="F5" s="158"/>
      <c r="G5" s="159"/>
      <c r="H5" s="158"/>
      <c r="I5" s="158"/>
      <c r="J5" s="159"/>
      <c r="K5" s="160"/>
    </row>
    <row r="6" spans="1:11" ht="64.5" thickBot="1">
      <c r="A6" s="161" t="s">
        <v>3</v>
      </c>
      <c r="B6" s="162" t="s">
        <v>93</v>
      </c>
      <c r="C6" s="162" t="s">
        <v>127</v>
      </c>
      <c r="D6" s="85" t="s">
        <v>537</v>
      </c>
      <c r="E6" s="84" t="s">
        <v>538</v>
      </c>
      <c r="F6" s="84" t="s">
        <v>539</v>
      </c>
      <c r="G6" s="84" t="s">
        <v>540</v>
      </c>
      <c r="H6" s="84" t="s">
        <v>541</v>
      </c>
      <c r="I6" s="84" t="s">
        <v>235</v>
      </c>
      <c r="J6" s="162" t="s">
        <v>195</v>
      </c>
      <c r="K6" s="163" t="s">
        <v>196</v>
      </c>
    </row>
    <row r="7" spans="1:11" ht="25.5">
      <c r="A7" s="164"/>
      <c r="B7" s="165"/>
      <c r="C7" s="165"/>
      <c r="D7" s="166" t="s">
        <v>96</v>
      </c>
      <c r="E7" s="166" t="s">
        <v>97</v>
      </c>
      <c r="F7" s="167" t="s">
        <v>98</v>
      </c>
      <c r="G7" s="165" t="s">
        <v>99</v>
      </c>
      <c r="H7" s="166" t="s">
        <v>236</v>
      </c>
      <c r="I7" s="166" t="s">
        <v>237</v>
      </c>
      <c r="J7" s="165" t="s">
        <v>102</v>
      </c>
      <c r="K7" s="168" t="s">
        <v>103</v>
      </c>
    </row>
    <row r="8" spans="1:11">
      <c r="A8" s="154"/>
      <c r="B8" s="139"/>
      <c r="C8" s="155"/>
      <c r="D8" s="128"/>
      <c r="E8" s="128"/>
      <c r="F8" s="128"/>
      <c r="G8" s="139"/>
      <c r="H8" s="139"/>
      <c r="I8" s="128"/>
      <c r="J8" s="139"/>
      <c r="K8" s="156"/>
    </row>
    <row r="9" spans="1:11">
      <c r="A9" s="154">
        <v>1</v>
      </c>
      <c r="B9" s="139" t="s">
        <v>15</v>
      </c>
      <c r="C9" s="155">
        <v>7</v>
      </c>
      <c r="D9" s="128">
        <v>10808199000</v>
      </c>
      <c r="E9" s="214">
        <v>1104940000</v>
      </c>
      <c r="F9" s="88">
        <v>-3.4999999999999997E-5</v>
      </c>
      <c r="G9" s="88">
        <v>-7.2999999999999999E-5</v>
      </c>
      <c r="H9" s="130">
        <v>1104561713.0350001</v>
      </c>
      <c r="I9" s="130">
        <v>1104151001.473</v>
      </c>
      <c r="J9" s="130">
        <v>-410711.56200003624</v>
      </c>
      <c r="K9" s="215">
        <v>-3.7183215492009552E-4</v>
      </c>
    </row>
    <row r="10" spans="1:11">
      <c r="A10" s="154">
        <v>2</v>
      </c>
      <c r="B10" s="139"/>
      <c r="C10" s="155"/>
      <c r="D10" s="128"/>
      <c r="E10" s="214"/>
      <c r="F10" s="88"/>
      <c r="G10" s="88"/>
      <c r="H10" s="170"/>
      <c r="I10" s="130"/>
      <c r="J10" s="130"/>
      <c r="K10" s="215"/>
    </row>
    <row r="11" spans="1:11">
      <c r="A11" s="154">
        <v>3</v>
      </c>
      <c r="B11" s="171" t="s">
        <v>104</v>
      </c>
      <c r="C11" s="119" t="s">
        <v>144</v>
      </c>
      <c r="D11" s="128">
        <v>3088796000</v>
      </c>
      <c r="E11" s="214">
        <v>319592000</v>
      </c>
      <c r="F11" s="88">
        <v>-2.8E-5</v>
      </c>
      <c r="G11" s="88">
        <v>-6.3E-5</v>
      </c>
      <c r="H11" s="130">
        <v>319505513.71200001</v>
      </c>
      <c r="I11" s="130">
        <v>319397405.852</v>
      </c>
      <c r="J11" s="130">
        <v>-108107.86000001431</v>
      </c>
      <c r="K11" s="215">
        <v>-3.3835991981491113E-4</v>
      </c>
    </row>
    <row r="12" spans="1:11">
      <c r="A12" s="154">
        <v>4</v>
      </c>
      <c r="B12" s="172" t="s">
        <v>106</v>
      </c>
      <c r="C12" s="119" t="s">
        <v>145</v>
      </c>
      <c r="D12" s="128">
        <v>3251471000</v>
      </c>
      <c r="E12" s="214">
        <v>314167000</v>
      </c>
      <c r="F12" s="88">
        <v>-2.9E-5</v>
      </c>
      <c r="G12" s="88">
        <v>-6.0000000000000002E-5</v>
      </c>
      <c r="H12" s="130">
        <v>314072707.34100002</v>
      </c>
      <c r="I12" s="130">
        <v>313971911.74000001</v>
      </c>
      <c r="J12" s="130">
        <v>-100795.60100001097</v>
      </c>
      <c r="K12" s="215">
        <v>-3.2093078654737598E-4</v>
      </c>
    </row>
    <row r="13" spans="1:11">
      <c r="A13" s="154">
        <v>5</v>
      </c>
      <c r="B13" s="172" t="s">
        <v>108</v>
      </c>
      <c r="C13" s="119" t="s">
        <v>238</v>
      </c>
      <c r="D13" s="128">
        <v>1936207000</v>
      </c>
      <c r="E13" s="214">
        <v>169432000</v>
      </c>
      <c r="F13" s="88">
        <v>-3.0000000000000001E-5</v>
      </c>
      <c r="G13" s="88">
        <v>-6.4999999999999994E-5</v>
      </c>
      <c r="H13" s="130">
        <v>169373913.78999999</v>
      </c>
      <c r="I13" s="130">
        <v>169306146.54499999</v>
      </c>
      <c r="J13" s="130">
        <v>-67767.245000004768</v>
      </c>
      <c r="K13" s="215">
        <v>-4.0010438138677419E-4</v>
      </c>
    </row>
    <row r="14" spans="1:11">
      <c r="A14" s="154">
        <v>6</v>
      </c>
      <c r="B14" s="172" t="s">
        <v>110</v>
      </c>
      <c r="C14" s="155">
        <v>29</v>
      </c>
      <c r="D14" s="128">
        <v>16225000</v>
      </c>
      <c r="E14" s="214">
        <v>1282000</v>
      </c>
      <c r="F14" s="88">
        <v>-2.5999999999999998E-5</v>
      </c>
      <c r="G14" s="88">
        <v>-4.8999999999999998E-5</v>
      </c>
      <c r="H14" s="130">
        <v>1281578.1499999999</v>
      </c>
      <c r="I14" s="130">
        <v>1281204.9750000001</v>
      </c>
      <c r="J14" s="130">
        <v>-373.17499999981374</v>
      </c>
      <c r="K14" s="215">
        <v>-2.9118395940178423E-4</v>
      </c>
    </row>
    <row r="15" spans="1:11">
      <c r="A15" s="154">
        <v>7</v>
      </c>
      <c r="B15" s="139"/>
      <c r="C15" s="155"/>
      <c r="D15" s="128"/>
      <c r="E15" s="214"/>
      <c r="F15" s="88"/>
      <c r="G15" s="88"/>
      <c r="H15" s="170"/>
      <c r="I15" s="130"/>
      <c r="J15" s="130"/>
      <c r="K15" s="215"/>
    </row>
    <row r="16" spans="1:11">
      <c r="A16" s="154">
        <v>8</v>
      </c>
      <c r="B16" s="139" t="s">
        <v>111</v>
      </c>
      <c r="C16" s="155"/>
      <c r="D16" s="128">
        <v>8292699000</v>
      </c>
      <c r="E16" s="214">
        <v>804473000</v>
      </c>
      <c r="F16" s="88">
        <v>-2.8855141974886584E-5</v>
      </c>
      <c r="G16" s="88">
        <v>-6.226330993081987E-5</v>
      </c>
      <c r="H16" s="130">
        <v>804233712.99299991</v>
      </c>
      <c r="I16" s="130">
        <v>803956669.11199999</v>
      </c>
      <c r="J16" s="130">
        <v>-277043.88100002985</v>
      </c>
      <c r="K16" s="215">
        <v>-3.4448180488355287E-4</v>
      </c>
    </row>
    <row r="17" spans="1:11">
      <c r="A17" s="154">
        <v>9</v>
      </c>
      <c r="B17" s="139"/>
      <c r="C17" s="155"/>
      <c r="D17" s="128"/>
      <c r="E17" s="214"/>
      <c r="F17" s="88"/>
      <c r="G17" s="88"/>
      <c r="H17" s="170"/>
      <c r="I17" s="130"/>
      <c r="J17" s="130"/>
      <c r="K17" s="215"/>
    </row>
    <row r="18" spans="1:11">
      <c r="A18" s="154">
        <v>10</v>
      </c>
      <c r="B18" s="172" t="s">
        <v>112</v>
      </c>
      <c r="C18" s="119" t="s">
        <v>147</v>
      </c>
      <c r="D18" s="128">
        <v>1417061000</v>
      </c>
      <c r="E18" s="214">
        <v>121661000</v>
      </c>
      <c r="F18" s="88">
        <v>-2.8E-5</v>
      </c>
      <c r="G18" s="88">
        <v>-5.8999999999999998E-5</v>
      </c>
      <c r="H18" s="130">
        <v>121621322.292</v>
      </c>
      <c r="I18" s="130">
        <v>121577393.40099999</v>
      </c>
      <c r="J18" s="130">
        <v>-43928.891000002623</v>
      </c>
      <c r="K18" s="215">
        <v>-3.6119399273208013E-4</v>
      </c>
    </row>
    <row r="19" spans="1:11">
      <c r="A19" s="154">
        <v>11</v>
      </c>
      <c r="B19" s="172" t="s">
        <v>114</v>
      </c>
      <c r="C19" s="155">
        <v>35</v>
      </c>
      <c r="D19" s="128">
        <v>5167000</v>
      </c>
      <c r="E19" s="214">
        <v>288000</v>
      </c>
      <c r="F19" s="88">
        <v>-1.9000000000000001E-5</v>
      </c>
      <c r="G19" s="88">
        <v>-4.3999999999999999E-5</v>
      </c>
      <c r="H19" s="130">
        <v>287901.82699999999</v>
      </c>
      <c r="I19" s="130">
        <v>287772.652</v>
      </c>
      <c r="J19" s="130">
        <v>-129.17499999998836</v>
      </c>
      <c r="K19" s="215">
        <v>-4.4867724997100611E-4</v>
      </c>
    </row>
    <row r="20" spans="1:11">
      <c r="A20" s="154">
        <v>12</v>
      </c>
      <c r="B20" s="172" t="s">
        <v>115</v>
      </c>
      <c r="C20" s="155">
        <v>43</v>
      </c>
      <c r="D20" s="128">
        <v>125684000</v>
      </c>
      <c r="E20" s="214">
        <v>11947000</v>
      </c>
      <c r="F20" s="88">
        <v>-2.5000000000000001E-5</v>
      </c>
      <c r="G20" s="88">
        <v>-5.0000000000000002E-5</v>
      </c>
      <c r="H20" s="130">
        <v>11943857.9</v>
      </c>
      <c r="I20" s="130">
        <v>11940715.800000001</v>
      </c>
      <c r="J20" s="130">
        <v>-3142.0999999996275</v>
      </c>
      <c r="K20" s="215">
        <v>-2.6307245333181896E-4</v>
      </c>
    </row>
    <row r="21" spans="1:11">
      <c r="A21" s="154">
        <v>13</v>
      </c>
      <c r="B21" s="173"/>
      <c r="C21" s="155"/>
      <c r="D21" s="128"/>
      <c r="E21" s="214"/>
      <c r="F21" s="88"/>
      <c r="G21" s="88"/>
      <c r="H21" s="170"/>
      <c r="I21" s="130"/>
      <c r="J21" s="130"/>
      <c r="K21" s="215"/>
    </row>
    <row r="22" spans="1:11">
      <c r="A22" s="154">
        <v>14</v>
      </c>
      <c r="B22" s="173" t="s">
        <v>116</v>
      </c>
      <c r="C22" s="155"/>
      <c r="D22" s="128">
        <v>1547912000</v>
      </c>
      <c r="E22" s="214">
        <v>133896000</v>
      </c>
      <c r="F22" s="88">
        <v>-2.7726370103726825E-5</v>
      </c>
      <c r="G22" s="88">
        <v>-5.8219166851862377E-5</v>
      </c>
      <c r="H22" s="130">
        <v>133853082.01900001</v>
      </c>
      <c r="I22" s="130">
        <v>133805881.85299999</v>
      </c>
      <c r="J22" s="130">
        <v>-47200.166000002238</v>
      </c>
      <c r="K22" s="215">
        <v>-3.5262666565497779E-4</v>
      </c>
    </row>
    <row r="23" spans="1:11">
      <c r="A23" s="154">
        <v>15</v>
      </c>
      <c r="B23" s="173"/>
      <c r="C23" s="155"/>
      <c r="D23" s="128"/>
      <c r="E23" s="214"/>
      <c r="F23" s="88"/>
      <c r="G23" s="88"/>
      <c r="H23" s="170"/>
      <c r="I23" s="130"/>
      <c r="J23" s="130"/>
      <c r="K23" s="215"/>
    </row>
    <row r="24" spans="1:11">
      <c r="A24" s="154">
        <v>16</v>
      </c>
      <c r="B24" s="174" t="s">
        <v>74</v>
      </c>
      <c r="C24" s="155">
        <v>40</v>
      </c>
      <c r="D24" s="128">
        <v>586557000</v>
      </c>
      <c r="E24" s="214">
        <v>46341000</v>
      </c>
      <c r="F24" s="88">
        <v>-3.0000000000000001E-5</v>
      </c>
      <c r="G24" s="88">
        <v>-6.7000000000000002E-5</v>
      </c>
      <c r="H24" s="130">
        <v>46323403.289999999</v>
      </c>
      <c r="I24" s="130">
        <v>46301700.681000002</v>
      </c>
      <c r="J24" s="130">
        <v>-21702.608999997377</v>
      </c>
      <c r="K24" s="215">
        <v>-4.6850204127127246E-4</v>
      </c>
    </row>
    <row r="25" spans="1:11">
      <c r="A25" s="154">
        <v>17</v>
      </c>
      <c r="B25" s="173"/>
      <c r="C25" s="155"/>
      <c r="D25" s="128"/>
      <c r="E25" s="214"/>
      <c r="F25" s="88"/>
      <c r="G25" s="88"/>
      <c r="H25" s="170"/>
      <c r="I25" s="130"/>
      <c r="J25" s="130"/>
      <c r="K25" s="215"/>
    </row>
    <row r="26" spans="1:11">
      <c r="A26" s="154">
        <v>16</v>
      </c>
      <c r="B26" s="172" t="s">
        <v>118</v>
      </c>
      <c r="C26" s="155">
        <v>46</v>
      </c>
      <c r="D26" s="128">
        <v>76343000</v>
      </c>
      <c r="E26" s="214">
        <v>5454000</v>
      </c>
      <c r="F26" s="88">
        <v>-1.4E-5</v>
      </c>
      <c r="G26" s="88">
        <v>-3.8000000000000002E-5</v>
      </c>
      <c r="H26" s="130">
        <v>5452931.1979999999</v>
      </c>
      <c r="I26" s="130">
        <v>5451098.966</v>
      </c>
      <c r="J26" s="130">
        <v>-1832.2319999998435</v>
      </c>
      <c r="K26" s="215">
        <v>-3.3600864076037873E-4</v>
      </c>
    </row>
    <row r="27" spans="1:11">
      <c r="A27" s="154">
        <v>17</v>
      </c>
      <c r="B27" s="171" t="s">
        <v>119</v>
      </c>
      <c r="C27" s="155">
        <v>49</v>
      </c>
      <c r="D27" s="128">
        <v>603277000</v>
      </c>
      <c r="E27" s="214">
        <v>42279000</v>
      </c>
      <c r="F27" s="88">
        <v>-2.8E-5</v>
      </c>
      <c r="G27" s="88">
        <v>-5.8E-5</v>
      </c>
      <c r="H27" s="130">
        <v>42262108.244000003</v>
      </c>
      <c r="I27" s="130">
        <v>42244009.934</v>
      </c>
      <c r="J27" s="130">
        <v>-18098.310000002384</v>
      </c>
      <c r="K27" s="215">
        <v>-4.2823963952559846E-4</v>
      </c>
    </row>
    <row r="28" spans="1:11">
      <c r="A28" s="154">
        <v>18</v>
      </c>
      <c r="B28" s="139"/>
      <c r="C28" s="155"/>
      <c r="D28" s="128"/>
      <c r="E28" s="214"/>
      <c r="F28" s="88"/>
      <c r="G28" s="88"/>
      <c r="H28" s="170"/>
      <c r="I28" s="130"/>
      <c r="J28" s="130"/>
      <c r="K28" s="215"/>
    </row>
    <row r="29" spans="1:11">
      <c r="A29" s="154">
        <v>19</v>
      </c>
      <c r="B29" s="174" t="s">
        <v>120</v>
      </c>
      <c r="C29" s="155"/>
      <c r="D29" s="128">
        <v>679620000</v>
      </c>
      <c r="E29" s="214">
        <v>47733000</v>
      </c>
      <c r="F29" s="88">
        <v>-2.6427353521085313E-5</v>
      </c>
      <c r="G29" s="88">
        <v>-5.5753362172979019E-5</v>
      </c>
      <c r="H29" s="128">
        <v>47715039.442000002</v>
      </c>
      <c r="I29" s="128">
        <v>47695108.899999999</v>
      </c>
      <c r="J29" s="130">
        <v>-19930.542000002228</v>
      </c>
      <c r="K29" s="215">
        <v>-4.1769937179301277E-4</v>
      </c>
    </row>
    <row r="30" spans="1:11">
      <c r="A30" s="154">
        <v>20</v>
      </c>
      <c r="B30" s="139"/>
      <c r="C30" s="155"/>
      <c r="D30" s="128"/>
      <c r="E30" s="214"/>
      <c r="F30" s="88"/>
      <c r="G30" s="88"/>
      <c r="H30" s="170"/>
      <c r="I30" s="130"/>
      <c r="J30" s="130"/>
      <c r="K30" s="215"/>
    </row>
    <row r="31" spans="1:11">
      <c r="A31" s="154">
        <v>21</v>
      </c>
      <c r="B31" s="139" t="s">
        <v>121</v>
      </c>
      <c r="C31" s="155" t="s">
        <v>20</v>
      </c>
      <c r="D31" s="128">
        <v>71132000</v>
      </c>
      <c r="E31" s="214">
        <v>16814000</v>
      </c>
      <c r="F31" s="88">
        <v>-3.4999999999999997E-5</v>
      </c>
      <c r="G31" s="88">
        <v>-7.4999999999999993E-5</v>
      </c>
      <c r="H31" s="130">
        <v>16811510.379999999</v>
      </c>
      <c r="I31" s="130">
        <v>16808665.100000001</v>
      </c>
      <c r="J31" s="130">
        <v>-2845.2799999974668</v>
      </c>
      <c r="K31" s="215">
        <v>-1.6924594731133652E-4</v>
      </c>
    </row>
    <row r="32" spans="1:11">
      <c r="A32" s="154">
        <v>22</v>
      </c>
      <c r="B32" s="139"/>
      <c r="C32" s="155"/>
      <c r="D32" s="128"/>
      <c r="E32" s="214"/>
      <c r="F32" s="88"/>
      <c r="G32" s="88"/>
      <c r="H32" s="139"/>
      <c r="I32" s="130"/>
      <c r="J32" s="130"/>
      <c r="K32" s="215"/>
    </row>
    <row r="33" spans="1:11">
      <c r="A33" s="154">
        <v>23</v>
      </c>
      <c r="B33" s="175" t="s">
        <v>199</v>
      </c>
      <c r="C33" s="119" t="s">
        <v>200</v>
      </c>
      <c r="D33" s="128">
        <v>7036000</v>
      </c>
      <c r="E33" s="214">
        <v>321000</v>
      </c>
      <c r="F33" s="88">
        <v>-3.4E-5</v>
      </c>
      <c r="G33" s="88">
        <v>-7.2000000000000002E-5</v>
      </c>
      <c r="H33" s="130">
        <v>320760.77600000001</v>
      </c>
      <c r="I33" s="130">
        <v>320493.408</v>
      </c>
      <c r="J33" s="130">
        <v>-267.36800000001676</v>
      </c>
      <c r="K33" s="215">
        <v>-8.3354331328845753E-4</v>
      </c>
    </row>
    <row r="34" spans="1:11">
      <c r="A34" s="154">
        <v>24</v>
      </c>
      <c r="B34" s="175"/>
      <c r="C34" s="119"/>
      <c r="D34" s="128"/>
      <c r="E34" s="214"/>
      <c r="F34" s="88"/>
      <c r="G34" s="88"/>
      <c r="H34" s="170"/>
      <c r="I34" s="130"/>
      <c r="J34" s="130"/>
      <c r="K34" s="215"/>
    </row>
    <row r="35" spans="1:11">
      <c r="A35" s="154">
        <v>25</v>
      </c>
      <c r="B35" s="172" t="s">
        <v>122</v>
      </c>
      <c r="C35" s="155"/>
      <c r="D35" s="128">
        <v>21993155000</v>
      </c>
      <c r="E35" s="214">
        <v>2154518000</v>
      </c>
      <c r="F35" s="88">
        <v>-3.1772524906044628E-5</v>
      </c>
      <c r="G35" s="88">
        <v>-6.7224528404405821E-5</v>
      </c>
      <c r="H35" s="130">
        <v>2153819221.9349999</v>
      </c>
      <c r="I35" s="130">
        <v>2153039520.527</v>
      </c>
      <c r="J35" s="130">
        <v>-779701.40800006548</v>
      </c>
      <c r="K35" s="215">
        <v>-3.6200875173710196E-4</v>
      </c>
    </row>
    <row r="36" spans="1:11">
      <c r="A36" s="154">
        <v>26</v>
      </c>
      <c r="B36" s="174"/>
      <c r="C36" s="155"/>
      <c r="D36" s="128"/>
      <c r="E36" s="214"/>
      <c r="F36" s="170"/>
      <c r="G36" s="170"/>
      <c r="H36" s="170"/>
      <c r="I36" s="130"/>
      <c r="J36" s="130"/>
      <c r="K36" s="215"/>
    </row>
    <row r="37" spans="1:11">
      <c r="A37" s="154">
        <v>27</v>
      </c>
      <c r="B37" s="174" t="s">
        <v>201</v>
      </c>
      <c r="C37" s="155"/>
      <c r="D37" s="128"/>
      <c r="E37" s="214"/>
      <c r="F37" s="130"/>
      <c r="G37" s="170"/>
      <c r="H37" s="170"/>
      <c r="I37" s="130"/>
      <c r="J37" s="130"/>
      <c r="K37" s="215"/>
    </row>
    <row r="38" spans="1:11">
      <c r="A38" s="154">
        <v>28</v>
      </c>
      <c r="B38" s="172" t="s">
        <v>123</v>
      </c>
      <c r="C38" s="119" t="s">
        <v>124</v>
      </c>
      <c r="D38" s="128">
        <v>2028599000</v>
      </c>
      <c r="E38" s="214">
        <v>9906000</v>
      </c>
      <c r="F38" s="130"/>
      <c r="G38" s="170"/>
      <c r="H38" s="130">
        <v>9906000</v>
      </c>
      <c r="I38" s="130">
        <v>9906000</v>
      </c>
      <c r="J38" s="130">
        <v>0</v>
      </c>
      <c r="K38" s="215"/>
    </row>
    <row r="39" spans="1:11">
      <c r="A39" s="154">
        <v>29</v>
      </c>
      <c r="B39" s="171"/>
      <c r="C39" s="155"/>
      <c r="D39" s="128"/>
      <c r="E39" s="214"/>
      <c r="F39" s="130"/>
      <c r="G39" s="170"/>
      <c r="H39" s="170"/>
      <c r="I39" s="130"/>
      <c r="J39" s="130"/>
      <c r="K39" s="215"/>
    </row>
    <row r="40" spans="1:11">
      <c r="A40" s="154">
        <v>30</v>
      </c>
      <c r="B40" s="174"/>
      <c r="C40" s="155"/>
      <c r="D40" s="128"/>
      <c r="E40" s="214"/>
      <c r="F40" s="130"/>
      <c r="G40" s="170"/>
      <c r="H40" s="170"/>
      <c r="I40" s="130"/>
      <c r="J40" s="130"/>
      <c r="K40" s="215"/>
    </row>
    <row r="41" spans="1:11">
      <c r="A41" s="154">
        <v>31</v>
      </c>
      <c r="B41" s="174" t="s">
        <v>22</v>
      </c>
      <c r="C41" s="155"/>
      <c r="D41" s="128">
        <v>24021754000</v>
      </c>
      <c r="E41" s="214">
        <v>2164424000</v>
      </c>
      <c r="F41" s="130"/>
      <c r="G41" s="170"/>
      <c r="H41" s="130">
        <v>2163725221.9349999</v>
      </c>
      <c r="I41" s="130">
        <v>2162945520.527</v>
      </c>
      <c r="J41" s="130">
        <v>-779701.40800006548</v>
      </c>
      <c r="K41" s="215"/>
    </row>
    <row r="42" spans="1:11" ht="13.5" thickBot="1">
      <c r="A42" s="176"/>
      <c r="B42" s="177"/>
      <c r="C42" s="178"/>
      <c r="D42" s="179"/>
      <c r="E42" s="180"/>
      <c r="F42" s="180"/>
      <c r="G42" s="177"/>
      <c r="H42" s="177"/>
      <c r="I42" s="179"/>
      <c r="J42" s="177"/>
      <c r="K42" s="181"/>
    </row>
    <row r="43" spans="1:11">
      <c r="A43" s="155"/>
      <c r="B43" s="139"/>
      <c r="C43" s="155"/>
      <c r="D43" s="128"/>
      <c r="E43" s="128"/>
      <c r="F43" s="128"/>
      <c r="G43" s="139"/>
      <c r="H43" s="139"/>
      <c r="I43" s="128"/>
      <c r="J43" s="130"/>
      <c r="K43" s="139"/>
    </row>
    <row r="44" spans="1:11">
      <c r="A44" s="557"/>
      <c r="B44" s="557"/>
      <c r="C44" s="557"/>
      <c r="D44" s="557"/>
      <c r="E44" s="557"/>
      <c r="F44" s="557"/>
      <c r="G44" s="557"/>
      <c r="H44" s="557"/>
      <c r="I44" s="557"/>
      <c r="J44" s="557"/>
      <c r="K44" s="557"/>
    </row>
  </sheetData>
  <mergeCells count="1">
    <mergeCell ref="A44:K44"/>
  </mergeCells>
  <printOptions horizontalCentered="1"/>
  <pageMargins left="0.7" right="0.7" top="0.75" bottom="0.75" header="0.3" footer="0.3"/>
  <pageSetup scale="8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6"/>
  <sheetViews>
    <sheetView zoomScale="90" zoomScaleNormal="90" zoomScaleSheetLayoutView="75" workbookViewId="0">
      <pane xSplit="1" ySplit="8" topLeftCell="B11" activePane="bottomRight" state="frozen"/>
      <selection pane="topRight" activeCell="B1" sqref="B1"/>
      <selection pane="bottomLeft" activeCell="A9" sqref="A9"/>
      <selection pane="bottomRight" activeCell="O28" sqref="O28"/>
    </sheetView>
  </sheetViews>
  <sheetFormatPr defaultColWidth="9.42578125" defaultRowHeight="15"/>
  <cols>
    <col min="1" max="1" width="8.5703125" style="231" bestFit="1" customWidth="1"/>
    <col min="2" max="2" width="6.7109375" style="231" bestFit="1" customWidth="1"/>
    <col min="3" max="3" width="2.28515625" style="231" bestFit="1" customWidth="1"/>
    <col min="4" max="4" width="10.28515625" style="231" bestFit="1" customWidth="1"/>
    <col min="5" max="5" width="1.28515625" style="231" customWidth="1"/>
    <col min="6" max="6" width="9" style="231" bestFit="1" customWidth="1"/>
    <col min="7" max="7" width="1.28515625" style="231" bestFit="1" customWidth="1"/>
    <col min="8" max="8" width="10.28515625" style="231" bestFit="1" customWidth="1"/>
    <col min="9" max="9" width="1.28515625" style="231" bestFit="1" customWidth="1"/>
    <col min="10" max="10" width="8.7109375" style="231" bestFit="1" customWidth="1"/>
    <col min="11" max="11" width="2" style="231" customWidth="1"/>
    <col min="12" max="12" width="10" style="231" customWidth="1"/>
    <col min="13" max="13" width="9.42578125" style="231"/>
    <col min="14" max="14" width="38.5703125" style="231" customWidth="1"/>
    <col min="15" max="15" width="14.42578125" style="231" bestFit="1" customWidth="1"/>
    <col min="16" max="16" width="1.5703125" style="231" bestFit="1" customWidth="1"/>
    <col min="17" max="17" width="15.7109375" style="231" bestFit="1" customWidth="1"/>
    <col min="18" max="18" width="1.5703125" style="231" bestFit="1" customWidth="1"/>
    <col min="19" max="19" width="8.5703125" style="231" bestFit="1" customWidth="1"/>
    <col min="20" max="20" width="5.140625" style="231" customWidth="1"/>
    <col min="21" max="16384" width="9.42578125" style="231"/>
  </cols>
  <sheetData>
    <row r="1" spans="1:20" ht="18.75">
      <c r="B1" s="527" t="s">
        <v>0</v>
      </c>
      <c r="C1" s="527"/>
      <c r="D1" s="527"/>
      <c r="E1" s="527"/>
      <c r="F1" s="527"/>
      <c r="G1" s="527"/>
      <c r="H1" s="527"/>
      <c r="I1" s="527"/>
      <c r="J1" s="527"/>
      <c r="K1" s="527"/>
      <c r="L1" s="527"/>
    </row>
    <row r="2" spans="1:20" ht="18.75">
      <c r="A2" s="277"/>
      <c r="B2" s="527" t="s">
        <v>286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T2" s="277"/>
    </row>
    <row r="3" spans="1:20" ht="18.75">
      <c r="A3" s="277"/>
      <c r="B3" s="528" t="s">
        <v>285</v>
      </c>
      <c r="C3" s="527"/>
      <c r="D3" s="527"/>
      <c r="E3" s="527"/>
      <c r="F3" s="527"/>
      <c r="G3" s="527"/>
      <c r="H3" s="527"/>
      <c r="I3" s="527"/>
      <c r="J3" s="527"/>
      <c r="K3" s="527"/>
      <c r="L3" s="527"/>
      <c r="T3" s="277"/>
    </row>
    <row r="4" spans="1:20" ht="18.75">
      <c r="A4" s="277"/>
      <c r="B4" s="528" t="s">
        <v>57</v>
      </c>
      <c r="C4" s="527"/>
      <c r="D4" s="527"/>
      <c r="E4" s="527"/>
      <c r="F4" s="527"/>
      <c r="G4" s="527"/>
      <c r="H4" s="527"/>
      <c r="I4" s="527"/>
      <c r="J4" s="527"/>
      <c r="K4" s="527"/>
      <c r="L4" s="527"/>
      <c r="T4" s="277"/>
    </row>
    <row r="6" spans="1:20">
      <c r="F6" s="529" t="s">
        <v>284</v>
      </c>
      <c r="G6" s="530"/>
      <c r="H6" s="530"/>
      <c r="I6" s="530"/>
      <c r="J6" s="530"/>
      <c r="K6" s="530"/>
      <c r="L6" s="530"/>
      <c r="M6" s="277"/>
      <c r="N6" s="276"/>
    </row>
    <row r="7" spans="1:20">
      <c r="D7" s="275" t="s">
        <v>45</v>
      </c>
      <c r="F7" s="274" t="s">
        <v>24</v>
      </c>
      <c r="G7" s="273"/>
      <c r="H7" s="273" t="s">
        <v>24</v>
      </c>
      <c r="J7" s="530" t="s">
        <v>283</v>
      </c>
      <c r="K7" s="530"/>
      <c r="L7" s="530"/>
      <c r="M7" s="273"/>
    </row>
    <row r="8" spans="1:20" ht="18">
      <c r="A8" s="496" t="s">
        <v>3</v>
      </c>
      <c r="B8" s="270" t="s">
        <v>282</v>
      </c>
      <c r="D8" s="272" t="s">
        <v>281</v>
      </c>
      <c r="F8" s="272" t="s">
        <v>390</v>
      </c>
      <c r="G8" s="272"/>
      <c r="H8" s="272" t="s">
        <v>391</v>
      </c>
      <c r="I8" s="271" t="s">
        <v>24</v>
      </c>
      <c r="J8" s="270" t="s">
        <v>280</v>
      </c>
      <c r="L8" s="269" t="s">
        <v>45</v>
      </c>
    </row>
    <row r="9" spans="1:20" s="276" customFormat="1" ht="18">
      <c r="B9" s="503" t="s">
        <v>96</v>
      </c>
      <c r="C9" s="327"/>
      <c r="D9" s="503" t="s">
        <v>97</v>
      </c>
      <c r="E9" s="327"/>
      <c r="F9" s="503" t="s">
        <v>98</v>
      </c>
      <c r="G9" s="503"/>
      <c r="H9" s="503" t="s">
        <v>99</v>
      </c>
      <c r="I9" s="504"/>
      <c r="J9" s="505" t="s">
        <v>479</v>
      </c>
      <c r="K9" s="327"/>
      <c r="L9" s="503" t="s">
        <v>480</v>
      </c>
      <c r="M9" s="327"/>
      <c r="N9" s="327" t="s">
        <v>220</v>
      </c>
      <c r="O9" s="327" t="s">
        <v>250</v>
      </c>
      <c r="P9" s="327"/>
      <c r="Q9" s="327" t="s">
        <v>251</v>
      </c>
    </row>
    <row r="10" spans="1:20" s="276" customFormat="1" ht="18">
      <c r="B10" s="274"/>
      <c r="D10" s="273"/>
      <c r="F10" s="273"/>
      <c r="G10" s="273"/>
      <c r="H10" s="273"/>
      <c r="I10" s="271"/>
      <c r="J10" s="497"/>
      <c r="L10" s="274"/>
      <c r="N10" s="275"/>
      <c r="O10" s="275"/>
      <c r="P10" s="275"/>
      <c r="Q10" s="275"/>
    </row>
    <row r="11" spans="1:20" ht="15.75" thickBot="1">
      <c r="A11" s="275">
        <v>1</v>
      </c>
      <c r="B11" s="242">
        <v>0</v>
      </c>
      <c r="D11" s="241">
        <v>5.7419848979944474E-3</v>
      </c>
      <c r="F11" s="240">
        <f>ROUND((($B11*O$15+$O$13)),2)</f>
        <v>7.49</v>
      </c>
      <c r="H11" s="240">
        <f>ROUND((($B11*Q$15+$Q$13)),2)</f>
        <v>7.49</v>
      </c>
      <c r="J11" s="239">
        <f>H11-F11</f>
        <v>0</v>
      </c>
      <c r="L11" s="238">
        <f>(H11-F11)/F11</f>
        <v>0</v>
      </c>
    </row>
    <row r="12" spans="1:20">
      <c r="A12" s="275">
        <f>+A11+1</f>
        <v>2</v>
      </c>
      <c r="B12" s="242">
        <v>50</v>
      </c>
      <c r="D12" s="241">
        <v>8.1833144872857384E-3</v>
      </c>
      <c r="F12" s="240">
        <f>ROUND((($B12*O$15+$O$13)),2)</f>
        <v>11.79</v>
      </c>
      <c r="H12" s="240">
        <f>ROUND((($B12*Q$15+$Q$13)),2)</f>
        <v>11.79</v>
      </c>
      <c r="J12" s="239">
        <f>H12-F12</f>
        <v>0</v>
      </c>
      <c r="L12" s="238">
        <f>(H12-F12)/F12</f>
        <v>0</v>
      </c>
      <c r="N12" s="268"/>
      <c r="O12" s="267" t="s">
        <v>279</v>
      </c>
      <c r="P12" s="266"/>
      <c r="Q12" s="265" t="s">
        <v>278</v>
      </c>
      <c r="S12" s="256"/>
    </row>
    <row r="13" spans="1:20">
      <c r="A13" s="275">
        <f t="shared" ref="A13:A46" si="0">+A12+1</f>
        <v>3</v>
      </c>
      <c r="B13" s="242">
        <v>100</v>
      </c>
      <c r="D13" s="241">
        <v>1.1031546417228269E-2</v>
      </c>
      <c r="F13" s="240">
        <f>ROUND((($B13*O$15+$O$13)),2)</f>
        <v>16.079999999999998</v>
      </c>
      <c r="H13" s="240">
        <f>ROUND((($B13*Q$15+$Q$13)),2)</f>
        <v>16.079999999999998</v>
      </c>
      <c r="J13" s="239">
        <f>H13-F13</f>
        <v>0</v>
      </c>
      <c r="L13" s="238">
        <f>(H13-F13)/F13</f>
        <v>0</v>
      </c>
      <c r="N13" s="261" t="s">
        <v>277</v>
      </c>
      <c r="O13" s="264">
        <f>SUM(O21,O34)</f>
        <v>7.49</v>
      </c>
      <c r="P13" s="259"/>
      <c r="Q13" s="263">
        <f>SUM(Q21,Q34,Q37)</f>
        <v>7.49</v>
      </c>
      <c r="R13" s="262"/>
      <c r="S13" s="256">
        <f>(Q13-O13)/O13</f>
        <v>0</v>
      </c>
    </row>
    <row r="14" spans="1:20">
      <c r="A14" s="275">
        <f t="shared" si="0"/>
        <v>4</v>
      </c>
      <c r="D14" s="241"/>
      <c r="N14" s="261"/>
      <c r="O14" s="260"/>
      <c r="P14" s="259"/>
      <c r="Q14" s="258"/>
      <c r="S14" s="256"/>
    </row>
    <row r="15" spans="1:20">
      <c r="A15" s="275">
        <f t="shared" si="0"/>
        <v>5</v>
      </c>
      <c r="B15" s="242">
        <v>150</v>
      </c>
      <c r="D15" s="241">
        <v>1.4908688935828765E-2</v>
      </c>
      <c r="F15" s="240">
        <f>ROUND((($B15*O$15+$O$13)),2)</f>
        <v>20.38</v>
      </c>
      <c r="H15" s="240">
        <f>ROUND((($B15*Q$15+$Q$13)),2)</f>
        <v>20.38</v>
      </c>
      <c r="J15" s="239">
        <f>H15-F15</f>
        <v>0</v>
      </c>
      <c r="L15" s="238">
        <f>(H15-F15)/F15</f>
        <v>0</v>
      </c>
      <c r="N15" s="261" t="s">
        <v>276</v>
      </c>
      <c r="O15" s="260">
        <f>SUM(O22,O27:O33,O35,O40:O42)</f>
        <v>8.5934162000000008E-2</v>
      </c>
      <c r="P15" s="259"/>
      <c r="Q15" s="258">
        <f>SUM(Q22,Q27:Q33,Q35,Q40:Q42,Q38)</f>
        <v>8.5934162000000008E-2</v>
      </c>
      <c r="S15" s="256">
        <f>(Q15-O15)/O15</f>
        <v>0</v>
      </c>
    </row>
    <row r="16" spans="1:20">
      <c r="A16" s="275">
        <f t="shared" si="0"/>
        <v>6</v>
      </c>
      <c r="B16" s="242">
        <v>200</v>
      </c>
      <c r="D16" s="241">
        <v>2.0516728812595968E-2</v>
      </c>
      <c r="F16" s="240">
        <f>ROUND((($B16*O$15+$O$13)),2)</f>
        <v>24.68</v>
      </c>
      <c r="H16" s="240">
        <f>ROUND((($B16*Q$15+$Q$13)),2)</f>
        <v>24.68</v>
      </c>
      <c r="J16" s="239">
        <f>H16-F16</f>
        <v>0</v>
      </c>
      <c r="L16" s="238">
        <f>(H16-F16)/F16</f>
        <v>0</v>
      </c>
      <c r="N16" s="261" t="s">
        <v>275</v>
      </c>
      <c r="O16" s="260">
        <f>SUM(O23,O27:O33,O36,O40:O42)</f>
        <v>0.10489516200000001</v>
      </c>
      <c r="P16" s="259"/>
      <c r="Q16" s="258">
        <f>SUM(Q23,Q27:Q33,Q36,Q40:Q42,Q39)</f>
        <v>0.10489516200000001</v>
      </c>
      <c r="S16" s="256">
        <f>(Q16-O16)/O16</f>
        <v>0</v>
      </c>
    </row>
    <row r="17" spans="1:19" ht="15.75" thickBot="1">
      <c r="A17" s="275">
        <f t="shared" si="0"/>
        <v>7</v>
      </c>
      <c r="B17" s="242">
        <v>300</v>
      </c>
      <c r="D17" s="241">
        <v>6.3392310525435244E-2</v>
      </c>
      <c r="F17" s="240">
        <f>ROUND((($B17*O$15+$O$13)),2)</f>
        <v>33.270000000000003</v>
      </c>
      <c r="H17" s="240">
        <f>ROUND((($B17*Q$15+$Q$13)),2)</f>
        <v>33.270000000000003</v>
      </c>
      <c r="J17" s="239">
        <f>H17-F17</f>
        <v>0</v>
      </c>
      <c r="L17" s="238">
        <f>(H17-F17)/F17</f>
        <v>0</v>
      </c>
      <c r="N17" s="255"/>
      <c r="O17" s="254"/>
      <c r="P17" s="253"/>
      <c r="Q17" s="252"/>
      <c r="S17" s="256"/>
    </row>
    <row r="18" spans="1:19">
      <c r="A18" s="275">
        <f t="shared" si="0"/>
        <v>8</v>
      </c>
      <c r="D18" s="241"/>
      <c r="F18" s="245"/>
      <c r="H18" s="245"/>
      <c r="R18" s="257"/>
      <c r="S18" s="256"/>
    </row>
    <row r="19" spans="1:19">
      <c r="A19" s="275">
        <f t="shared" si="0"/>
        <v>9</v>
      </c>
      <c r="B19" s="242">
        <v>400</v>
      </c>
      <c r="D19" s="241">
        <v>8.9366412179571794E-2</v>
      </c>
      <c r="F19" s="240">
        <f>ROUND((($B19*O$15+$O$13)),2)</f>
        <v>41.86</v>
      </c>
      <c r="H19" s="240">
        <f>ROUND((($B19*Q$15+$Q$13)),2)</f>
        <v>41.86</v>
      </c>
      <c r="J19" s="239">
        <f>H19-F19</f>
        <v>0</v>
      </c>
      <c r="L19" s="238">
        <f>(H19-F19)/F19</f>
        <v>0</v>
      </c>
    </row>
    <row r="20" spans="1:19">
      <c r="A20" s="275">
        <f t="shared" si="0"/>
        <v>10</v>
      </c>
      <c r="B20" s="242">
        <v>500</v>
      </c>
      <c r="D20" s="241">
        <v>0.10259225843382799</v>
      </c>
      <c r="F20" s="240">
        <f>ROUND((($B20*O$15+$O$13)),2)</f>
        <v>50.46</v>
      </c>
      <c r="H20" s="240">
        <f>ROUND((($B20*Q$15+$Q$13)),2)</f>
        <v>50.46</v>
      </c>
      <c r="J20" s="239">
        <f>H20-F20</f>
        <v>0</v>
      </c>
      <c r="L20" s="238">
        <f>(H20-F20)/F20</f>
        <v>0</v>
      </c>
      <c r="S20" s="231" t="s">
        <v>24</v>
      </c>
    </row>
    <row r="21" spans="1:19">
      <c r="A21" s="275">
        <f t="shared" si="0"/>
        <v>11</v>
      </c>
      <c r="B21" s="242">
        <v>600</v>
      </c>
      <c r="D21" s="241">
        <v>0.10260180180545389</v>
      </c>
      <c r="F21" s="240">
        <f>ROUND((($B21*O$15+$O$13)),2)</f>
        <v>59.05</v>
      </c>
      <c r="H21" s="240">
        <f>ROUND((($B21*Q$15+$Q$13)),2)</f>
        <v>59.05</v>
      </c>
      <c r="J21" s="239">
        <f>H21-F21</f>
        <v>0</v>
      </c>
      <c r="L21" s="238">
        <f>(H21-F21)/F21</f>
        <v>0</v>
      </c>
      <c r="N21" s="231" t="str">
        <f>+N13</f>
        <v>Basic 1 Phase</v>
      </c>
      <c r="O21" s="248">
        <f>+'[1](JAP4)-Tariff Summary'!$D$8</f>
        <v>7.49</v>
      </c>
      <c r="P21" s="248"/>
      <c r="Q21" s="248">
        <f>+O21</f>
        <v>7.49</v>
      </c>
    </row>
    <row r="22" spans="1:19">
      <c r="A22" s="275">
        <f t="shared" si="0"/>
        <v>12</v>
      </c>
      <c r="B22" s="242">
        <v>700</v>
      </c>
      <c r="D22" s="241">
        <v>9.354041267396912E-2</v>
      </c>
      <c r="F22" s="240">
        <f>ROUND((((600*O$15)+(($B22-600)*O$16)+$O$13)),2)</f>
        <v>69.540000000000006</v>
      </c>
      <c r="H22" s="240">
        <f>ROUND((((600*Q$15)+(($B22-600)*Q$16)+$Q$13)),2)</f>
        <v>69.540000000000006</v>
      </c>
      <c r="J22" s="239">
        <f>H22-F22</f>
        <v>0</v>
      </c>
      <c r="L22" s="238">
        <f>(H22-F22)/F22</f>
        <v>0</v>
      </c>
      <c r="N22" s="231" t="str">
        <f>+N15</f>
        <v>Energy - First 600</v>
      </c>
      <c r="O22" s="248">
        <f>+'[1](JAP4)-Tariff Summary'!$D$11</f>
        <v>8.7335999999999997E-2</v>
      </c>
      <c r="P22" s="248"/>
      <c r="Q22" s="248">
        <f t="shared" ref="Q22:Q23" si="1">+O22</f>
        <v>8.7335999999999997E-2</v>
      </c>
      <c r="R22" s="231" t="s">
        <v>24</v>
      </c>
    </row>
    <row r="23" spans="1:19">
      <c r="A23" s="275">
        <f t="shared" si="0"/>
        <v>13</v>
      </c>
      <c r="D23" s="241"/>
      <c r="F23" s="245"/>
      <c r="H23" s="245"/>
      <c r="N23" s="231" t="str">
        <f>+N16</f>
        <v>Energy - Over 600</v>
      </c>
      <c r="O23" s="248">
        <f>+'[1](JAP4)-Tariff Summary'!$D$12</f>
        <v>0.106297</v>
      </c>
      <c r="P23" s="248"/>
      <c r="Q23" s="248">
        <f t="shared" si="1"/>
        <v>0.106297</v>
      </c>
    </row>
    <row r="24" spans="1:19">
      <c r="A24" s="275">
        <f t="shared" si="0"/>
        <v>14</v>
      </c>
      <c r="B24" s="242">
        <v>800</v>
      </c>
      <c r="D24" s="241">
        <v>8.0786329905573828E-2</v>
      </c>
      <c r="F24" s="240">
        <f>ROUND((((600*O$15)+(($B24-600)*O$16)+$O$13)),2)</f>
        <v>80.03</v>
      </c>
      <c r="H24" s="240">
        <f>ROUND((((600*Q$15)+(($B24-600)*Q$16)+$Q$13)),2)</f>
        <v>80.03</v>
      </c>
      <c r="J24" s="239">
        <f>H24-F24</f>
        <v>0</v>
      </c>
      <c r="L24" s="238">
        <f>(H24-F24)/F24</f>
        <v>0</v>
      </c>
      <c r="N24" s="250"/>
      <c r="O24" s="250"/>
      <c r="P24" s="250"/>
      <c r="Q24" s="251"/>
    </row>
    <row r="25" spans="1:19">
      <c r="A25" s="275">
        <f t="shared" si="0"/>
        <v>15</v>
      </c>
      <c r="B25" s="242">
        <v>900</v>
      </c>
      <c r="C25" s="231" t="s">
        <v>271</v>
      </c>
      <c r="D25" s="241">
        <v>6.7617321607992248E-2</v>
      </c>
      <c r="F25" s="240">
        <f>ROUND((((600*O$15)+(($B25-600)*O$16)+$O$13)),2)</f>
        <v>90.52</v>
      </c>
      <c r="H25" s="240">
        <f>ROUND((((600*Q$15)+(($B25-600)*Q$16)+$Q$13)),2)</f>
        <v>90.52</v>
      </c>
      <c r="J25" s="239">
        <f>H25-F25</f>
        <v>0</v>
      </c>
      <c r="L25" s="238">
        <f>(H25-F25)/F25</f>
        <v>0</v>
      </c>
    </row>
    <row r="26" spans="1:19">
      <c r="A26" s="275">
        <f t="shared" si="0"/>
        <v>16</v>
      </c>
      <c r="B26" s="242">
        <v>1000</v>
      </c>
      <c r="D26" s="241">
        <v>5.6054386745895232E-2</v>
      </c>
      <c r="F26" s="240">
        <f>ROUND((((600*O$15)+(($B26-600)*O$16)+$O$13)),2)</f>
        <v>101.01</v>
      </c>
      <c r="H26" s="240">
        <f>ROUND((((600*Q$15)+(($B26-600)*Q$16)+$Q$13)),2)</f>
        <v>101.01</v>
      </c>
      <c r="J26" s="239">
        <f>H26-F26</f>
        <v>0</v>
      </c>
      <c r="L26" s="238">
        <f>(H26-F26)/F26</f>
        <v>0</v>
      </c>
    </row>
    <row r="27" spans="1:19">
      <c r="A27" s="275">
        <f t="shared" si="0"/>
        <v>17</v>
      </c>
      <c r="B27" s="242">
        <v>1100</v>
      </c>
      <c r="D27" s="241">
        <v>4.6059014014314552E-2</v>
      </c>
      <c r="F27" s="240">
        <f>ROUND((((600*O$15)+(($B27-600)*O$16)+$O$13)),2)</f>
        <v>111.5</v>
      </c>
      <c r="H27" s="240">
        <f>ROUND((((600*Q$15)+(($B27-600)*Q$16)+$Q$13)),2)</f>
        <v>111.5</v>
      </c>
      <c r="J27" s="239">
        <f>H27-F27</f>
        <v>0</v>
      </c>
      <c r="L27" s="238">
        <f>(H27-F27)/F27</f>
        <v>0</v>
      </c>
      <c r="N27" s="247" t="s">
        <v>274</v>
      </c>
      <c r="O27" s="248">
        <v>0</v>
      </c>
      <c r="P27" s="250"/>
      <c r="Q27" s="248">
        <v>0</v>
      </c>
    </row>
    <row r="28" spans="1:19">
      <c r="A28" s="275">
        <f t="shared" si="0"/>
        <v>18</v>
      </c>
      <c r="B28" s="242">
        <v>1200</v>
      </c>
      <c r="D28" s="241">
        <v>3.7802646284051784E-2</v>
      </c>
      <c r="F28" s="240">
        <f>ROUND((((600*O$15)+(($B28-600)*O$16)+$O$13)),2)</f>
        <v>121.99</v>
      </c>
      <c r="H28" s="240">
        <f>ROUND((((600*Q$15)+(($B28-600)*Q$16)+$Q$13)),2)</f>
        <v>121.99</v>
      </c>
      <c r="J28" s="239">
        <f>H28-F28</f>
        <v>0</v>
      </c>
      <c r="L28" s="238">
        <f>(H28-F28)/F28</f>
        <v>0</v>
      </c>
      <c r="N28" s="247" t="s">
        <v>273</v>
      </c>
      <c r="O28" s="248">
        <f>+'Sch 95a'!$H$7</f>
        <v>-1.913E-3</v>
      </c>
      <c r="P28" s="250"/>
      <c r="Q28" s="248">
        <f t="shared" ref="Q28:Q33" si="2">+O28</f>
        <v>-1.913E-3</v>
      </c>
    </row>
    <row r="29" spans="1:19">
      <c r="A29" s="275">
        <f t="shared" si="0"/>
        <v>19</v>
      </c>
      <c r="B29" s="242"/>
      <c r="D29" s="241"/>
      <c r="F29" s="245"/>
      <c r="H29" s="245"/>
      <c r="L29" s="249"/>
      <c r="N29" s="247" t="s">
        <v>272</v>
      </c>
      <c r="O29" s="248">
        <f>+'Sch 120'!$H$7</f>
        <v>4.8599999999999997E-3</v>
      </c>
      <c r="P29" s="250"/>
      <c r="Q29" s="248">
        <f t="shared" si="2"/>
        <v>4.8599999999999997E-3</v>
      </c>
    </row>
    <row r="30" spans="1:19">
      <c r="A30" s="275">
        <f t="shared" si="0"/>
        <v>20</v>
      </c>
      <c r="B30" s="242">
        <v>1300</v>
      </c>
      <c r="D30" s="241">
        <v>3.093167207725165E-2</v>
      </c>
      <c r="F30" s="240">
        <f>ROUND((((600*O$15)+(($B30-600)*O$16)+$O$13)),2)</f>
        <v>132.47999999999999</v>
      </c>
      <c r="H30" s="240">
        <f>ROUND((((600*Q$15)+(($B30-600)*Q$16)+$Q$13)),2)</f>
        <v>132.47999999999999</v>
      </c>
      <c r="J30" s="239">
        <f>H30-F30</f>
        <v>0</v>
      </c>
      <c r="L30" s="238">
        <f>(H30-F30)/F30</f>
        <v>0</v>
      </c>
      <c r="N30" s="247" t="s">
        <v>207</v>
      </c>
      <c r="O30" s="248">
        <f>+'Sch 129'!$G$7</f>
        <v>8.9499999999999996E-4</v>
      </c>
      <c r="P30" s="231" t="s">
        <v>24</v>
      </c>
      <c r="Q30" s="248">
        <f t="shared" si="2"/>
        <v>8.9499999999999996E-4</v>
      </c>
    </row>
    <row r="31" spans="1:19">
      <c r="A31" s="275">
        <f t="shared" si="0"/>
        <v>21</v>
      </c>
      <c r="B31" s="242">
        <v>1400</v>
      </c>
      <c r="D31" s="241">
        <v>2.5532488466244209E-2</v>
      </c>
      <c r="F31" s="240">
        <f>ROUND((((600*O$15)+(($B31-600)*O$16)+$O$13)),2)</f>
        <v>142.97</v>
      </c>
      <c r="H31" s="240">
        <f>ROUND((((600*Q$15)+(($B31-600)*Q$16)+$Q$13)),2)</f>
        <v>142.97</v>
      </c>
      <c r="J31" s="239">
        <f>H31-F31</f>
        <v>0</v>
      </c>
      <c r="L31" s="238">
        <f>(H31-F31)/F31</f>
        <v>0</v>
      </c>
      <c r="N31" s="250" t="s">
        <v>208</v>
      </c>
      <c r="O31" s="246">
        <f>+'Sch 132'!$E$7</f>
        <v>0</v>
      </c>
      <c r="Q31" s="246">
        <f t="shared" si="2"/>
        <v>0</v>
      </c>
    </row>
    <row r="32" spans="1:19">
      <c r="A32" s="275">
        <f t="shared" si="0"/>
        <v>22</v>
      </c>
      <c r="B32" s="242">
        <v>1600</v>
      </c>
      <c r="C32" s="231" t="s">
        <v>24</v>
      </c>
      <c r="D32" s="241">
        <v>3.8812385674841791E-2</v>
      </c>
      <c r="F32" s="240">
        <f>ROUND((((600*O$15)+(($B32-600)*O$16)+$O$13)),2)</f>
        <v>163.95</v>
      </c>
      <c r="H32" s="240">
        <f>ROUND((((600*Q$15)+(($B32-600)*Q$16)+$Q$13)),2)</f>
        <v>163.95</v>
      </c>
      <c r="J32" s="239">
        <f>H32-F32</f>
        <v>0</v>
      </c>
      <c r="L32" s="238">
        <f>(H32-F32)/F32</f>
        <v>0</v>
      </c>
      <c r="N32" s="250" t="s">
        <v>270</v>
      </c>
      <c r="O32" s="246">
        <f>+'Sch 137'!$E$7</f>
        <v>-7.2999999999999999E-5</v>
      </c>
      <c r="Q32" s="246">
        <f t="shared" si="2"/>
        <v>-7.2999999999999999E-5</v>
      </c>
    </row>
    <row r="33" spans="1:17">
      <c r="A33" s="275">
        <f t="shared" si="0"/>
        <v>23</v>
      </c>
      <c r="B33" s="242">
        <v>2000</v>
      </c>
      <c r="D33" s="241">
        <v>4.6644706777373153E-2</v>
      </c>
      <c r="F33" s="240">
        <f>ROUND((((600*O$15)+(($B33-600)*O$16)+$O$13)),2)</f>
        <v>205.9</v>
      </c>
      <c r="H33" s="240">
        <f>ROUND((((600*Q$15)+(($B33-600)*Q$16)+$Q$13)),2)</f>
        <v>205.9</v>
      </c>
      <c r="J33" s="239">
        <f>H33-F33</f>
        <v>0</v>
      </c>
      <c r="L33" s="238">
        <f>(H33-F33)/F33</f>
        <v>0</v>
      </c>
      <c r="N33" s="250" t="s">
        <v>239</v>
      </c>
      <c r="O33" s="385">
        <f>+'Sch 140'!$H$7</f>
        <v>3.4720000000000003E-3</v>
      </c>
      <c r="Q33" s="385">
        <f t="shared" si="2"/>
        <v>3.4720000000000003E-3</v>
      </c>
    </row>
    <row r="34" spans="1:17">
      <c r="A34" s="275">
        <f t="shared" si="0"/>
        <v>24</v>
      </c>
      <c r="B34" s="242">
        <v>2500</v>
      </c>
      <c r="D34" s="241">
        <v>2.8462894737708876E-2</v>
      </c>
      <c r="F34" s="240">
        <f>ROUND((((600*O$15)+(($B34-600)*O$16)+$O$13)),2)</f>
        <v>258.35000000000002</v>
      </c>
      <c r="H34" s="240">
        <f>ROUND((((600*Q$15)+(($B34-600)*Q$16)+$Q$13)),2)</f>
        <v>258.35000000000002</v>
      </c>
      <c r="J34" s="239">
        <f>H34-F34</f>
        <v>0</v>
      </c>
      <c r="L34" s="238">
        <f>(H34-F34)/F34</f>
        <v>0</v>
      </c>
      <c r="N34" s="384" t="s">
        <v>269</v>
      </c>
      <c r="O34" s="386">
        <v>0</v>
      </c>
      <c r="P34" s="383"/>
      <c r="Q34" s="386">
        <f>+'[1](JAP4)-Tariff Summary'!$F$8</f>
        <v>0</v>
      </c>
    </row>
    <row r="35" spans="1:17">
      <c r="A35" s="275">
        <f t="shared" si="0"/>
        <v>25</v>
      </c>
      <c r="D35" s="241"/>
      <c r="F35" s="245"/>
      <c r="H35" s="245"/>
      <c r="N35" s="384" t="s">
        <v>268</v>
      </c>
      <c r="O35" s="386">
        <v>0</v>
      </c>
      <c r="P35" s="383"/>
      <c r="Q35" s="386">
        <f>+'[1](JAP4)-Tariff Summary'!$F$11</f>
        <v>1.4250000000000096E-3</v>
      </c>
    </row>
    <row r="36" spans="1:17">
      <c r="A36" s="275">
        <f t="shared" si="0"/>
        <v>26</v>
      </c>
      <c r="B36" s="242">
        <v>3000</v>
      </c>
      <c r="D36" s="241">
        <v>1.3600909204615715E-2</v>
      </c>
      <c r="F36" s="240">
        <f>ROUND((((600*O$15)+(($B36-600)*O$16)+$O$13)),2)</f>
        <v>310.8</v>
      </c>
      <c r="H36" s="240">
        <f>ROUND((((600*Q$15)+(($B36-600)*Q$16)+$Q$13)),2)</f>
        <v>310.8</v>
      </c>
      <c r="J36" s="239">
        <f>H36-F36</f>
        <v>0</v>
      </c>
      <c r="L36" s="238">
        <f>(H36-F36)/F36</f>
        <v>0</v>
      </c>
      <c r="N36" s="384" t="s">
        <v>267</v>
      </c>
      <c r="O36" s="386">
        <v>0</v>
      </c>
      <c r="P36" s="383"/>
      <c r="Q36" s="386">
        <f>+'[1](JAP4)-Tariff Summary'!$F$12</f>
        <v>1.7339999999999994E-3</v>
      </c>
    </row>
    <row r="37" spans="1:17">
      <c r="A37" s="275">
        <f t="shared" si="0"/>
        <v>27</v>
      </c>
      <c r="B37" s="242">
        <v>4000</v>
      </c>
      <c r="D37" s="241">
        <v>1.0247638670045864E-2</v>
      </c>
      <c r="F37" s="240">
        <f>ROUND((((600*O$15)+(($B37-600)*O$16)+$O$13)),2)</f>
        <v>415.69</v>
      </c>
      <c r="H37" s="240">
        <f>ROUND((((600*Q$15)+(($B37-600)*Q$16)+$Q$13)),2)</f>
        <v>415.69</v>
      </c>
      <c r="J37" s="239">
        <f>H37-F37</f>
        <v>0</v>
      </c>
      <c r="L37" s="238">
        <f>(H37-F37)/F37</f>
        <v>0</v>
      </c>
      <c r="N37" s="381" t="s">
        <v>501</v>
      </c>
      <c r="O37" s="386">
        <v>0</v>
      </c>
      <c r="P37" s="383"/>
      <c r="Q37" s="386">
        <f>+'[1](JAP4)-Tariff Summary'!$G$8</f>
        <v>0</v>
      </c>
    </row>
    <row r="38" spans="1:17">
      <c r="A38" s="275">
        <f t="shared" si="0"/>
        <v>28</v>
      </c>
      <c r="B38" s="242">
        <v>5000</v>
      </c>
      <c r="D38" s="241">
        <v>2.9912135950987272E-3</v>
      </c>
      <c r="F38" s="240">
        <f>ROUND((((600*O$15)+(($B38-600)*O$16)+$O$13)),2)</f>
        <v>520.59</v>
      </c>
      <c r="H38" s="240">
        <f>ROUND((((600*Q$15)+(($B38-600)*Q$16)+$Q$13)),2)</f>
        <v>520.59</v>
      </c>
      <c r="J38" s="239">
        <f>H38-F38</f>
        <v>0</v>
      </c>
      <c r="L38" s="238">
        <f>(H38-F38)/F38</f>
        <v>0</v>
      </c>
      <c r="N38" s="381" t="s">
        <v>502</v>
      </c>
      <c r="O38" s="386">
        <v>0</v>
      </c>
      <c r="P38" s="383"/>
      <c r="Q38" s="386">
        <f>+'[1](JAP4)-Tariff Summary'!$G$11</f>
        <v>-1.4250000000000096E-3</v>
      </c>
    </row>
    <row r="39" spans="1:17">
      <c r="A39" s="275">
        <f t="shared" si="0"/>
        <v>29</v>
      </c>
      <c r="B39" s="242" t="s">
        <v>265</v>
      </c>
      <c r="D39" s="241">
        <v>2.5809330698011489E-3</v>
      </c>
      <c r="F39" s="240"/>
      <c r="H39" s="240"/>
      <c r="J39" s="239"/>
      <c r="L39" s="238"/>
      <c r="N39" s="381" t="s">
        <v>503</v>
      </c>
      <c r="O39" s="386">
        <v>0</v>
      </c>
      <c r="P39" s="383"/>
      <c r="Q39" s="386">
        <f>+'[1](JAP4)-Tariff Summary'!$G$12</f>
        <v>-1.7339999999999994E-3</v>
      </c>
    </row>
    <row r="40" spans="1:17">
      <c r="A40" s="275">
        <f t="shared" si="0"/>
        <v>30</v>
      </c>
      <c r="B40" s="237"/>
      <c r="C40" s="235"/>
      <c r="D40" s="236"/>
      <c r="E40" s="235"/>
      <c r="F40" s="236"/>
      <c r="G40" s="235"/>
      <c r="H40" s="236"/>
      <c r="I40" s="235"/>
      <c r="J40" s="235"/>
      <c r="K40" s="235"/>
      <c r="L40" s="234"/>
      <c r="N40" s="250" t="s">
        <v>248</v>
      </c>
      <c r="O40" s="385">
        <f>+'Sch 142'!$G$7</f>
        <v>-1.237E-3</v>
      </c>
      <c r="Q40" s="385">
        <f t="shared" ref="Q40" si="3">+O40</f>
        <v>-1.237E-3</v>
      </c>
    </row>
    <row r="41" spans="1:17">
      <c r="A41" s="275">
        <f t="shared" si="0"/>
        <v>31</v>
      </c>
      <c r="B41" s="233"/>
      <c r="N41" s="247"/>
      <c r="O41" s="246"/>
      <c r="Q41" s="248"/>
    </row>
    <row r="42" spans="1:17">
      <c r="A42" s="275">
        <f t="shared" si="0"/>
        <v>32</v>
      </c>
      <c r="B42" s="532" t="s">
        <v>264</v>
      </c>
      <c r="C42" s="532"/>
      <c r="D42" s="532"/>
      <c r="E42" s="532"/>
      <c r="F42" s="532"/>
      <c r="G42" s="532"/>
      <c r="H42" s="532"/>
      <c r="I42" s="532"/>
      <c r="J42" s="532"/>
      <c r="K42" s="532"/>
      <c r="L42" s="532"/>
      <c r="N42" s="247" t="s">
        <v>266</v>
      </c>
      <c r="O42" s="246">
        <f>+'Sch 194'!$E$7</f>
        <v>-7.4058380000000005E-3</v>
      </c>
      <c r="Q42" s="246">
        <f>+O42</f>
        <v>-7.4058380000000005E-3</v>
      </c>
    </row>
    <row r="43" spans="1:17">
      <c r="A43" s="275">
        <f t="shared" si="0"/>
        <v>33</v>
      </c>
      <c r="B43" s="533" t="s">
        <v>263</v>
      </c>
      <c r="C43" s="532"/>
      <c r="D43" s="532"/>
      <c r="E43" s="532"/>
      <c r="F43" s="532"/>
      <c r="G43" s="532"/>
      <c r="H43" s="532"/>
      <c r="I43" s="532"/>
      <c r="J43" s="532"/>
      <c r="K43" s="532"/>
      <c r="L43" s="532"/>
    </row>
    <row r="44" spans="1:17" ht="16.5">
      <c r="A44" s="275">
        <f t="shared" si="0"/>
        <v>34</v>
      </c>
      <c r="B44" s="531" t="s">
        <v>382</v>
      </c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N44" s="333" t="s">
        <v>381</v>
      </c>
      <c r="O44" s="243">
        <f>+'JAP-4 (ERF Impacts)'!W9</f>
        <v>0</v>
      </c>
    </row>
    <row r="45" spans="1:17">
      <c r="A45" s="275">
        <f t="shared" si="0"/>
        <v>35</v>
      </c>
      <c r="B45" s="531" t="s">
        <v>457</v>
      </c>
      <c r="C45" s="531"/>
      <c r="D45" s="531"/>
      <c r="E45" s="531"/>
      <c r="F45" s="531"/>
      <c r="G45" s="531"/>
      <c r="H45" s="531"/>
      <c r="I45" s="531"/>
      <c r="J45" s="531"/>
      <c r="K45" s="531"/>
      <c r="L45" s="531"/>
    </row>
    <row r="46" spans="1:17">
      <c r="A46" s="275">
        <f t="shared" si="0"/>
        <v>36</v>
      </c>
      <c r="B46" s="531" t="s">
        <v>487</v>
      </c>
      <c r="C46" s="531"/>
      <c r="D46" s="531"/>
      <c r="E46" s="531"/>
      <c r="F46" s="531"/>
      <c r="G46" s="531"/>
      <c r="H46" s="531"/>
      <c r="I46" s="531"/>
      <c r="J46" s="531"/>
      <c r="K46" s="531"/>
      <c r="L46" s="531"/>
    </row>
  </sheetData>
  <mergeCells count="11">
    <mergeCell ref="B45:L45"/>
    <mergeCell ref="B46:L46"/>
    <mergeCell ref="B44:L44"/>
    <mergeCell ref="J7:L7"/>
    <mergeCell ref="B42:L42"/>
    <mergeCell ref="B43:L43"/>
    <mergeCell ref="B1:L1"/>
    <mergeCell ref="B2:L2"/>
    <mergeCell ref="B3:L3"/>
    <mergeCell ref="B4:L4"/>
    <mergeCell ref="F6:L6"/>
  </mergeCells>
  <printOptions horizontalCentered="1"/>
  <pageMargins left="0.7" right="0.7" top="0.75" bottom="0.75" header="0.3" footer="0.3"/>
  <pageSetup scale="81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3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5546875" defaultRowHeight="12.75"/>
  <cols>
    <col min="1" max="1" width="7.7109375" style="1" bestFit="1" customWidth="1"/>
    <col min="2" max="2" width="33.7109375" style="1" bestFit="1" customWidth="1"/>
    <col min="3" max="3" width="10.140625" style="1" bestFit="1" customWidth="1"/>
    <col min="4" max="4" width="14.7109375" style="1" bestFit="1" customWidth="1"/>
    <col min="5" max="5" width="13.7109375" style="1" bestFit="1" customWidth="1"/>
    <col min="6" max="7" width="10.7109375" style="1" bestFit="1" customWidth="1"/>
    <col min="8" max="8" width="11.85546875" style="1" bestFit="1" customWidth="1"/>
    <col min="9" max="9" width="8.42578125" style="1" bestFit="1" customWidth="1"/>
    <col min="10" max="16384" width="8.85546875" style="1"/>
  </cols>
  <sheetData>
    <row r="1" spans="1:9">
      <c r="A1" s="558" t="s">
        <v>0</v>
      </c>
      <c r="B1" s="558">
        <v>0</v>
      </c>
      <c r="C1" s="558">
        <v>0</v>
      </c>
      <c r="D1" s="558">
        <v>0</v>
      </c>
      <c r="E1" s="558">
        <v>0</v>
      </c>
      <c r="F1" s="558">
        <v>0</v>
      </c>
      <c r="G1" s="558">
        <v>0</v>
      </c>
      <c r="H1" s="558">
        <v>0</v>
      </c>
      <c r="I1" s="558">
        <v>0</v>
      </c>
    </row>
    <row r="2" spans="1:9">
      <c r="A2" s="558" t="s">
        <v>151</v>
      </c>
      <c r="B2" s="558">
        <v>0</v>
      </c>
      <c r="C2" s="558">
        <v>0</v>
      </c>
      <c r="D2" s="558">
        <v>0</v>
      </c>
      <c r="E2" s="558">
        <v>0</v>
      </c>
      <c r="F2" s="558">
        <v>0</v>
      </c>
      <c r="G2" s="558">
        <v>0</v>
      </c>
      <c r="H2" s="558">
        <v>0</v>
      </c>
      <c r="I2" s="558">
        <v>0</v>
      </c>
    </row>
    <row r="3" spans="1:9">
      <c r="A3" s="559" t="s">
        <v>435</v>
      </c>
      <c r="B3" s="558">
        <v>0</v>
      </c>
      <c r="C3" s="558">
        <v>0</v>
      </c>
      <c r="D3" s="558">
        <v>0</v>
      </c>
      <c r="E3" s="558">
        <v>0</v>
      </c>
      <c r="F3" s="558">
        <v>0</v>
      </c>
      <c r="G3" s="558">
        <v>0</v>
      </c>
      <c r="H3" s="558">
        <v>0</v>
      </c>
      <c r="I3" s="558">
        <v>0</v>
      </c>
    </row>
    <row r="4" spans="1:9">
      <c r="A4" s="233"/>
      <c r="B4" s="89"/>
      <c r="C4" s="89"/>
      <c r="D4" s="89"/>
      <c r="E4" s="89"/>
      <c r="F4" s="233"/>
      <c r="G4" s="233"/>
      <c r="H4" s="233"/>
      <c r="I4" s="233"/>
    </row>
    <row r="5" spans="1:9" ht="76.5">
      <c r="A5" s="90" t="s">
        <v>3</v>
      </c>
      <c r="B5" s="90" t="s">
        <v>152</v>
      </c>
      <c r="C5" s="90" t="s">
        <v>131</v>
      </c>
      <c r="D5" s="91" t="s">
        <v>436</v>
      </c>
      <c r="E5" s="91" t="s">
        <v>437</v>
      </c>
      <c r="F5" s="91" t="s">
        <v>438</v>
      </c>
      <c r="G5" s="91" t="s">
        <v>439</v>
      </c>
      <c r="H5" s="91" t="s">
        <v>153</v>
      </c>
      <c r="I5" s="91" t="s">
        <v>154</v>
      </c>
    </row>
    <row r="6" spans="1:9" ht="38.25">
      <c r="A6" s="92"/>
      <c r="B6" s="93" t="s">
        <v>155</v>
      </c>
      <c r="C6" s="94" t="s">
        <v>156</v>
      </c>
      <c r="D6" s="94" t="s">
        <v>157</v>
      </c>
      <c r="E6" s="94" t="s">
        <v>158</v>
      </c>
      <c r="F6" s="95" t="s">
        <v>159</v>
      </c>
      <c r="G6" s="95" t="s">
        <v>160</v>
      </c>
      <c r="H6" s="94" t="s">
        <v>161</v>
      </c>
      <c r="I6" s="94" t="s">
        <v>162</v>
      </c>
    </row>
    <row r="7" spans="1:9">
      <c r="A7" s="96">
        <v>1</v>
      </c>
      <c r="B7" s="97" t="s">
        <v>15</v>
      </c>
      <c r="C7" s="92"/>
      <c r="D7" s="92"/>
      <c r="E7" s="98"/>
      <c r="F7" s="96"/>
      <c r="G7" s="96"/>
      <c r="H7" s="98"/>
      <c r="I7" s="98"/>
    </row>
    <row r="8" spans="1:9">
      <c r="A8" s="96">
        <v>2</v>
      </c>
      <c r="B8" s="99" t="s">
        <v>15</v>
      </c>
      <c r="C8" s="405">
        <v>7</v>
      </c>
      <c r="D8" s="100">
        <v>10637302000</v>
      </c>
      <c r="E8" s="100">
        <v>1137477000</v>
      </c>
      <c r="F8" s="102">
        <v>3.6039999999999996E-3</v>
      </c>
      <c r="G8" s="102">
        <v>3.4720000000000003E-3</v>
      </c>
      <c r="H8" s="101">
        <v>-1404123.8639999926</v>
      </c>
      <c r="I8" s="103">
        <v>-1.1941719178007449E-3</v>
      </c>
    </row>
    <row r="9" spans="1:9">
      <c r="A9" s="96">
        <v>3</v>
      </c>
      <c r="B9" s="104" t="s">
        <v>163</v>
      </c>
      <c r="C9" s="233"/>
      <c r="D9" s="105">
        <v>10637302000</v>
      </c>
      <c r="E9" s="105">
        <v>1137477000</v>
      </c>
      <c r="F9" s="107">
        <v>3.6039999999999996E-3</v>
      </c>
      <c r="G9" s="107">
        <v>3.4720000000000003E-3</v>
      </c>
      <c r="H9" s="106">
        <v>-1404123.8639999926</v>
      </c>
      <c r="I9" s="108">
        <v>-1.1941719178007449E-3</v>
      </c>
    </row>
    <row r="10" spans="1:9">
      <c r="A10" s="96">
        <v>4</v>
      </c>
      <c r="B10" s="233"/>
      <c r="C10" s="233"/>
      <c r="D10" s="109"/>
      <c r="E10" s="109"/>
      <c r="F10" s="111"/>
      <c r="G10" s="111"/>
      <c r="H10" s="110"/>
      <c r="I10" s="112"/>
    </row>
    <row r="11" spans="1:9">
      <c r="A11" s="96">
        <v>5</v>
      </c>
      <c r="B11" s="233" t="s">
        <v>164</v>
      </c>
      <c r="C11" s="233"/>
      <c r="D11" s="109"/>
      <c r="E11" s="109"/>
      <c r="F11" s="111"/>
      <c r="G11" s="111"/>
      <c r="H11" s="110"/>
      <c r="I11" s="112"/>
    </row>
    <row r="12" spans="1:9">
      <c r="A12" s="96">
        <v>6</v>
      </c>
      <c r="B12" s="113" t="s">
        <v>165</v>
      </c>
      <c r="C12" s="406" t="s">
        <v>144</v>
      </c>
      <c r="D12" s="109">
        <v>3012037000</v>
      </c>
      <c r="E12" s="109">
        <v>313848000</v>
      </c>
      <c r="F12" s="102">
        <v>2.5469999999999998E-3</v>
      </c>
      <c r="G12" s="102">
        <v>2.6289999999999998E-3</v>
      </c>
      <c r="H12" s="110">
        <v>246987.03400000013</v>
      </c>
      <c r="I12" s="112">
        <v>7.6818641619855036E-4</v>
      </c>
    </row>
    <row r="13" spans="1:9">
      <c r="A13" s="96">
        <v>7</v>
      </c>
      <c r="B13" s="113" t="s">
        <v>166</v>
      </c>
      <c r="C13" s="406" t="s">
        <v>167</v>
      </c>
      <c r="D13" s="109">
        <v>2993580000</v>
      </c>
      <c r="E13" s="109">
        <v>288969000</v>
      </c>
      <c r="F13" s="102">
        <v>2.3180000000000002E-3</v>
      </c>
      <c r="G13" s="102">
        <v>2.467E-3</v>
      </c>
      <c r="H13" s="110">
        <v>446043.41999999946</v>
      </c>
      <c r="I13" s="112">
        <v>1.5073713501052245E-3</v>
      </c>
    </row>
    <row r="14" spans="1:9">
      <c r="A14" s="96">
        <v>8</v>
      </c>
      <c r="B14" s="113" t="s">
        <v>168</v>
      </c>
      <c r="C14" s="406" t="s">
        <v>238</v>
      </c>
      <c r="D14" s="109">
        <v>1913788000</v>
      </c>
      <c r="E14" s="109">
        <v>167599000</v>
      </c>
      <c r="F14" s="102">
        <v>2.2060000000000001E-3</v>
      </c>
      <c r="G14" s="102">
        <v>2.2649999999999997E-3</v>
      </c>
      <c r="H14" s="110">
        <v>112913.49199999921</v>
      </c>
      <c r="I14" s="112">
        <v>6.5715839566523335E-4</v>
      </c>
    </row>
    <row r="15" spans="1:9">
      <c r="A15" s="96">
        <v>9</v>
      </c>
      <c r="B15" s="99" t="s">
        <v>169</v>
      </c>
      <c r="C15" s="405">
        <v>29</v>
      </c>
      <c r="D15" s="109">
        <v>16193000</v>
      </c>
      <c r="E15" s="109">
        <v>1272000</v>
      </c>
      <c r="F15" s="102">
        <v>2.3180000000000002E-3</v>
      </c>
      <c r="G15" s="102">
        <v>2.467E-3</v>
      </c>
      <c r="H15" s="110">
        <v>2412.7569999999973</v>
      </c>
      <c r="I15" s="112">
        <v>1.8424527110177914E-3</v>
      </c>
    </row>
    <row r="16" spans="1:9">
      <c r="A16" s="96">
        <v>10</v>
      </c>
      <c r="B16" s="114" t="s">
        <v>17</v>
      </c>
      <c r="C16" s="233"/>
      <c r="D16" s="105">
        <v>7935598000</v>
      </c>
      <c r="E16" s="105">
        <v>771688000</v>
      </c>
      <c r="F16" s="107">
        <v>2.3779088080066557E-3</v>
      </c>
      <c r="G16" s="107">
        <v>2.479773431567476E-3</v>
      </c>
      <c r="H16" s="106">
        <v>808356.70299999882</v>
      </c>
      <c r="I16" s="108">
        <v>1.0225139353831562E-3</v>
      </c>
    </row>
    <row r="17" spans="1:9">
      <c r="A17" s="96">
        <v>11</v>
      </c>
      <c r="B17" s="233"/>
      <c r="C17" s="233"/>
      <c r="D17" s="109"/>
      <c r="E17" s="109"/>
      <c r="F17" s="111"/>
      <c r="G17" s="111"/>
      <c r="H17" s="110"/>
      <c r="I17" s="112"/>
    </row>
    <row r="18" spans="1:9">
      <c r="A18" s="96">
        <v>12</v>
      </c>
      <c r="B18" s="233" t="s">
        <v>170</v>
      </c>
      <c r="C18" s="233"/>
      <c r="D18" s="109"/>
      <c r="E18" s="109"/>
      <c r="F18" s="111"/>
      <c r="G18" s="111"/>
      <c r="H18" s="110"/>
      <c r="I18" s="112"/>
    </row>
    <row r="19" spans="1:9">
      <c r="A19" s="96">
        <v>13</v>
      </c>
      <c r="B19" s="113" t="s">
        <v>171</v>
      </c>
      <c r="C19" s="406" t="s">
        <v>147</v>
      </c>
      <c r="D19" s="109">
        <v>1316672000</v>
      </c>
      <c r="E19" s="109">
        <v>113411000</v>
      </c>
      <c r="F19" s="102">
        <v>2.1980000000000003E-3</v>
      </c>
      <c r="G19" s="111">
        <v>2.2539999999999999E-3</v>
      </c>
      <c r="H19" s="110">
        <v>73733.631999999503</v>
      </c>
      <c r="I19" s="112">
        <v>6.339676147711161E-4</v>
      </c>
    </row>
    <row r="20" spans="1:9">
      <c r="A20" s="96">
        <v>14</v>
      </c>
      <c r="B20" s="99" t="s">
        <v>169</v>
      </c>
      <c r="C20" s="405">
        <v>35</v>
      </c>
      <c r="D20" s="109">
        <v>5161000</v>
      </c>
      <c r="E20" s="109">
        <v>285000</v>
      </c>
      <c r="F20" s="102">
        <v>2.1980000000000003E-3</v>
      </c>
      <c r="G20" s="111">
        <v>2.2539999999999999E-3</v>
      </c>
      <c r="H20" s="110">
        <v>289.01599999999809</v>
      </c>
      <c r="I20" s="112">
        <v>9.7527238271477991E-4</v>
      </c>
    </row>
    <row r="21" spans="1:9">
      <c r="A21" s="96">
        <v>15</v>
      </c>
      <c r="B21" s="99" t="s">
        <v>172</v>
      </c>
      <c r="C21" s="405">
        <v>43</v>
      </c>
      <c r="D21" s="109">
        <v>123190000</v>
      </c>
      <c r="E21" s="109">
        <v>11739000</v>
      </c>
      <c r="F21" s="102">
        <v>3.7650000000000001E-3</v>
      </c>
      <c r="G21" s="111">
        <v>3.2960000000000003E-3</v>
      </c>
      <c r="H21" s="110">
        <v>-57776.109999999979</v>
      </c>
      <c r="I21" s="112">
        <v>-4.7346560622406114E-3</v>
      </c>
    </row>
    <row r="22" spans="1:9">
      <c r="A22" s="96">
        <v>16</v>
      </c>
      <c r="B22" s="104" t="s">
        <v>18</v>
      </c>
      <c r="C22" s="233"/>
      <c r="D22" s="105">
        <v>1445023000</v>
      </c>
      <c r="E22" s="105">
        <v>125435000</v>
      </c>
      <c r="F22" s="107">
        <v>2.3315886902838226E-3</v>
      </c>
      <c r="G22" s="107">
        <v>2.3428317902206403E-3</v>
      </c>
      <c r="H22" s="106">
        <v>16246.537999999528</v>
      </c>
      <c r="I22" s="108">
        <v>1.261336050401399E-4</v>
      </c>
    </row>
    <row r="23" spans="1:9">
      <c r="A23" s="96">
        <v>17</v>
      </c>
      <c r="B23" s="233"/>
      <c r="C23" s="233"/>
      <c r="D23" s="109"/>
      <c r="E23" s="109"/>
      <c r="F23" s="111"/>
      <c r="G23" s="111"/>
      <c r="H23" s="110"/>
      <c r="I23" s="112"/>
    </row>
    <row r="24" spans="1:9">
      <c r="A24" s="96">
        <v>18</v>
      </c>
      <c r="B24" s="233" t="s">
        <v>74</v>
      </c>
      <c r="C24" s="405">
        <v>40</v>
      </c>
      <c r="D24" s="105">
        <v>679072000</v>
      </c>
      <c r="E24" s="105">
        <v>54431000</v>
      </c>
      <c r="F24" s="107">
        <v>2.3499999999999997E-3</v>
      </c>
      <c r="G24" s="107">
        <v>2.104E-3</v>
      </c>
      <c r="H24" s="106">
        <v>-167051.7119999998</v>
      </c>
      <c r="I24" s="108">
        <v>-2.9816383365200891E-3</v>
      </c>
    </row>
    <row r="25" spans="1:9">
      <c r="A25" s="96">
        <v>19</v>
      </c>
      <c r="B25" s="233"/>
      <c r="C25" s="233"/>
      <c r="D25" s="109"/>
      <c r="E25" s="109"/>
      <c r="F25" s="111"/>
      <c r="G25" s="111"/>
      <c r="H25" s="110"/>
      <c r="I25" s="112"/>
    </row>
    <row r="26" spans="1:9">
      <c r="A26" s="96">
        <v>20</v>
      </c>
      <c r="B26" s="233" t="s">
        <v>173</v>
      </c>
      <c r="C26" s="233"/>
      <c r="D26" s="109"/>
      <c r="E26" s="109"/>
      <c r="F26" s="111"/>
      <c r="G26" s="111"/>
      <c r="H26" s="110"/>
      <c r="I26" s="112"/>
    </row>
    <row r="27" spans="1:9">
      <c r="A27" s="96">
        <v>21</v>
      </c>
      <c r="B27" s="113" t="s">
        <v>174</v>
      </c>
      <c r="C27" s="405">
        <v>46</v>
      </c>
      <c r="D27" s="109">
        <v>72776000</v>
      </c>
      <c r="E27" s="109">
        <v>5262000</v>
      </c>
      <c r="F27" s="111">
        <v>1.4659999999999999E-3</v>
      </c>
      <c r="G27" s="111">
        <v>1.6520000000000003E-3</v>
      </c>
      <c r="H27" s="110">
        <v>13536.336000000028</v>
      </c>
      <c r="I27" s="112">
        <v>2.5213482186898003E-3</v>
      </c>
    </row>
    <row r="28" spans="1:9">
      <c r="A28" s="96">
        <v>22</v>
      </c>
      <c r="B28" s="113" t="s">
        <v>171</v>
      </c>
      <c r="C28" s="405">
        <v>49</v>
      </c>
      <c r="D28" s="109">
        <v>584007000</v>
      </c>
      <c r="E28" s="109">
        <v>41754000</v>
      </c>
      <c r="F28" s="111">
        <v>1.4659999999999999E-3</v>
      </c>
      <c r="G28" s="111">
        <v>1.6520000000000003E-3</v>
      </c>
      <c r="H28" s="110">
        <v>108625.30200000023</v>
      </c>
      <c r="I28" s="112">
        <v>2.549282063896984E-3</v>
      </c>
    </row>
    <row r="29" spans="1:9">
      <c r="A29" s="96">
        <v>23</v>
      </c>
      <c r="B29" s="114" t="s">
        <v>19</v>
      </c>
      <c r="C29" s="233"/>
      <c r="D29" s="105">
        <v>656783000</v>
      </c>
      <c r="E29" s="105">
        <v>47016000</v>
      </c>
      <c r="F29" s="107">
        <v>1.4659999999999999E-3</v>
      </c>
      <c r="G29" s="107">
        <v>1.652E-3</v>
      </c>
      <c r="H29" s="106">
        <v>122161.63800000025</v>
      </c>
      <c r="I29" s="108">
        <v>2.546156349882697E-3</v>
      </c>
    </row>
    <row r="30" spans="1:9">
      <c r="A30" s="96">
        <v>24</v>
      </c>
      <c r="B30" s="233"/>
      <c r="C30" s="233"/>
      <c r="D30" s="109"/>
      <c r="E30" s="109"/>
      <c r="F30" s="111"/>
      <c r="G30" s="111"/>
      <c r="H30" s="110"/>
      <c r="I30" s="112"/>
    </row>
    <row r="31" spans="1:9">
      <c r="A31" s="96">
        <v>25</v>
      </c>
      <c r="B31" s="233" t="s">
        <v>175</v>
      </c>
      <c r="C31" s="405" t="s">
        <v>20</v>
      </c>
      <c r="D31" s="105">
        <v>76506000</v>
      </c>
      <c r="E31" s="105">
        <v>19237000</v>
      </c>
      <c r="F31" s="107">
        <v>1.0231000000000001E-2</v>
      </c>
      <c r="G31" s="107">
        <v>9.2829999999999996E-3</v>
      </c>
      <c r="H31" s="106">
        <v>-72527.688000000067</v>
      </c>
      <c r="I31" s="108">
        <v>-3.6228099751880009E-3</v>
      </c>
    </row>
    <row r="32" spans="1:9">
      <c r="A32" s="96">
        <v>26</v>
      </c>
      <c r="B32" s="233"/>
      <c r="C32" s="233"/>
      <c r="D32" s="109"/>
      <c r="E32" s="109"/>
      <c r="F32" s="111"/>
      <c r="G32" s="111"/>
      <c r="H32" s="110"/>
      <c r="I32" s="112"/>
    </row>
    <row r="33" spans="1:9">
      <c r="A33" s="96">
        <v>27</v>
      </c>
      <c r="B33" s="104" t="s">
        <v>176</v>
      </c>
      <c r="C33" s="405" t="s">
        <v>21</v>
      </c>
      <c r="D33" s="105">
        <v>2088697000</v>
      </c>
      <c r="E33" s="105">
        <v>10776000</v>
      </c>
      <c r="F33" s="107">
        <v>2.99E-4</v>
      </c>
      <c r="G33" s="107">
        <v>2.9999999999999997E-5</v>
      </c>
      <c r="H33" s="106">
        <v>-561859.49300000002</v>
      </c>
      <c r="I33" s="108">
        <v>-4.9283670669292338E-2</v>
      </c>
    </row>
    <row r="34" spans="1:9">
      <c r="A34" s="96">
        <v>28</v>
      </c>
      <c r="B34" s="233"/>
      <c r="C34" s="233"/>
      <c r="D34" s="109"/>
      <c r="E34" s="109"/>
      <c r="F34" s="111"/>
      <c r="G34" s="111"/>
      <c r="H34" s="110"/>
      <c r="I34" s="112"/>
    </row>
    <row r="35" spans="1:9" ht="13.5" thickBot="1">
      <c r="A35" s="96">
        <v>29</v>
      </c>
      <c r="B35" s="114" t="s">
        <v>177</v>
      </c>
      <c r="C35" s="233"/>
      <c r="D35" s="115">
        <v>23518981000</v>
      </c>
      <c r="E35" s="115">
        <v>2166060000</v>
      </c>
      <c r="F35" s="117">
        <v>2.7442549675090085E-3</v>
      </c>
      <c r="G35" s="117">
        <v>2.6907323307076947E-3</v>
      </c>
      <c r="H35" s="116">
        <v>-1258797.877999994</v>
      </c>
      <c r="I35" s="118">
        <v>-5.6433098894612718E-4</v>
      </c>
    </row>
    <row r="36" spans="1:9" ht="13.5" thickTop="1"/>
  </sheetData>
  <mergeCells count="3">
    <mergeCell ref="A1:I1"/>
    <mergeCell ref="A2:I2"/>
    <mergeCell ref="A3:I3"/>
  </mergeCells>
  <printOptions horizontalCentered="1"/>
  <pageMargins left="0.7" right="0.7" top="0.75" bottom="0.75" header="0.3" footer="0.3"/>
  <pageSetup scale="9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M43"/>
  <sheetViews>
    <sheetView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8.85546875" defaultRowHeight="12.75"/>
  <cols>
    <col min="1" max="2" width="7.7109375" style="1" bestFit="1" customWidth="1"/>
    <col min="3" max="3" width="21" style="1" bestFit="1" customWidth="1"/>
    <col min="4" max="4" width="15.140625" style="1" bestFit="1" customWidth="1"/>
    <col min="5" max="5" width="10.42578125" style="1" bestFit="1" customWidth="1"/>
    <col min="6" max="6" width="15.140625" style="1" bestFit="1" customWidth="1"/>
    <col min="7" max="7" width="2" style="1" bestFit="1" customWidth="1"/>
    <col min="8" max="8" width="10.85546875" style="1" bestFit="1" customWidth="1"/>
    <col min="9" max="9" width="11.5703125" style="1" bestFit="1" customWidth="1"/>
    <col min="10" max="10" width="2" style="1" bestFit="1" customWidth="1"/>
    <col min="11" max="11" width="12.42578125" style="1" bestFit="1" customWidth="1"/>
    <col min="12" max="13" width="13.28515625" style="1" bestFit="1" customWidth="1"/>
    <col min="14" max="16384" width="8.85546875" style="1"/>
  </cols>
  <sheetData>
    <row r="1" spans="1:12">
      <c r="A1" s="560" t="s">
        <v>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</row>
    <row r="2" spans="1:12">
      <c r="A2" s="561" t="s">
        <v>422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</row>
    <row r="3" spans="1:12">
      <c r="A3" s="560" t="s">
        <v>423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</row>
    <row r="4" spans="1:12">
      <c r="A4" s="560" t="s">
        <v>424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</row>
    <row r="5" spans="1:12">
      <c r="A5" s="560"/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</row>
    <row r="6" spans="1:12">
      <c r="A6" s="409"/>
      <c r="B6" s="410"/>
      <c r="C6" s="410"/>
      <c r="D6" s="560" t="s">
        <v>425</v>
      </c>
      <c r="E6" s="560"/>
      <c r="F6" s="560"/>
      <c r="G6" s="411"/>
      <c r="H6" s="411"/>
      <c r="I6" s="411"/>
      <c r="J6" s="411"/>
      <c r="K6" s="411"/>
      <c r="L6" s="411"/>
    </row>
    <row r="7" spans="1:12" ht="51">
      <c r="A7" s="412" t="s">
        <v>3</v>
      </c>
      <c r="B7" s="412" t="s">
        <v>4</v>
      </c>
      <c r="C7" s="412" t="s">
        <v>41</v>
      </c>
      <c r="D7" s="413" t="s">
        <v>426</v>
      </c>
      <c r="E7" s="414" t="s">
        <v>427</v>
      </c>
      <c r="F7" s="415" t="s">
        <v>5</v>
      </c>
      <c r="G7" s="416"/>
      <c r="H7" s="413" t="s">
        <v>430</v>
      </c>
      <c r="I7" s="413" t="s">
        <v>409</v>
      </c>
      <c r="J7" s="416"/>
      <c r="K7" s="414" t="s">
        <v>431</v>
      </c>
      <c r="L7" s="414" t="s">
        <v>432</v>
      </c>
    </row>
    <row r="8" spans="1:12" ht="38.25">
      <c r="A8" s="412"/>
      <c r="B8" s="412"/>
      <c r="C8" s="412"/>
      <c r="D8" s="417" t="s">
        <v>155</v>
      </c>
      <c r="E8" s="418" t="s">
        <v>156</v>
      </c>
      <c r="F8" s="417" t="s">
        <v>157</v>
      </c>
      <c r="G8" s="417"/>
      <c r="H8" s="417" t="s">
        <v>158</v>
      </c>
      <c r="I8" s="416" t="s">
        <v>159</v>
      </c>
      <c r="J8" s="417"/>
      <c r="K8" s="417" t="s">
        <v>433</v>
      </c>
      <c r="L8" s="417" t="s">
        <v>434</v>
      </c>
    </row>
    <row r="9" spans="1:12">
      <c r="A9" s="410">
        <v>1</v>
      </c>
      <c r="B9" s="410">
        <v>7</v>
      </c>
      <c r="C9" s="411"/>
      <c r="D9" s="419">
        <v>10637302000</v>
      </c>
      <c r="E9" s="420"/>
      <c r="F9" s="421">
        <v>1159444000</v>
      </c>
      <c r="G9" s="416"/>
      <c r="H9" s="422">
        <v>1.201E-3</v>
      </c>
      <c r="I9" s="423">
        <v>-1.237E-3</v>
      </c>
      <c r="J9" s="416"/>
      <c r="K9" s="424">
        <v>12775000</v>
      </c>
      <c r="L9" s="424">
        <v>-13158000</v>
      </c>
    </row>
    <row r="10" spans="1:12">
      <c r="A10" s="410">
        <v>2</v>
      </c>
      <c r="B10" s="409" t="s">
        <v>241</v>
      </c>
      <c r="C10" s="411"/>
      <c r="D10" s="419">
        <v>2067000</v>
      </c>
      <c r="E10" s="420"/>
      <c r="F10" s="421">
        <v>176000</v>
      </c>
      <c r="G10" s="416"/>
      <c r="H10" s="422">
        <v>1.335E-3</v>
      </c>
      <c r="I10" s="423">
        <v>1.408E-3</v>
      </c>
      <c r="J10" s="416"/>
      <c r="K10" s="424">
        <v>3000</v>
      </c>
      <c r="L10" s="424">
        <v>3000</v>
      </c>
    </row>
    <row r="11" spans="1:12">
      <c r="A11" s="410">
        <v>3</v>
      </c>
      <c r="B11" s="410"/>
      <c r="C11" s="411" t="s">
        <v>15</v>
      </c>
      <c r="D11" s="425">
        <v>10639369000</v>
      </c>
      <c r="E11" s="420"/>
      <c r="F11" s="426">
        <v>1159620000</v>
      </c>
      <c r="G11" s="416"/>
      <c r="H11" s="427"/>
      <c r="I11" s="427"/>
      <c r="J11" s="416"/>
      <c r="K11" s="426">
        <v>12778000</v>
      </c>
      <c r="L11" s="426">
        <v>-13155000</v>
      </c>
    </row>
    <row r="12" spans="1:12">
      <c r="A12" s="410">
        <v>4</v>
      </c>
      <c r="B12" s="410"/>
      <c r="C12" s="411"/>
      <c r="D12" s="420"/>
      <c r="E12" s="420"/>
      <c r="F12" s="424"/>
      <c r="G12" s="428"/>
      <c r="H12" s="427"/>
      <c r="I12" s="427"/>
      <c r="J12" s="428"/>
      <c r="K12" s="424"/>
      <c r="L12" s="424"/>
    </row>
    <row r="13" spans="1:12">
      <c r="A13" s="410">
        <v>5</v>
      </c>
      <c r="B13" s="409" t="s">
        <v>428</v>
      </c>
      <c r="C13" s="411"/>
      <c r="D13" s="419">
        <v>253017000</v>
      </c>
      <c r="E13" s="420"/>
      <c r="F13" s="421">
        <v>25376000</v>
      </c>
      <c r="G13" s="428"/>
      <c r="H13" s="422">
        <v>1.335E-3</v>
      </c>
      <c r="I13" s="423">
        <v>1.2509999999999999E-3</v>
      </c>
      <c r="J13" s="428"/>
      <c r="K13" s="424">
        <v>338000</v>
      </c>
      <c r="L13" s="424">
        <v>317000</v>
      </c>
    </row>
    <row r="14" spans="1:12">
      <c r="A14" s="410">
        <v>6</v>
      </c>
      <c r="B14" s="410">
        <v>24</v>
      </c>
      <c r="C14" s="411"/>
      <c r="D14" s="419">
        <v>2759020000</v>
      </c>
      <c r="E14" s="420"/>
      <c r="F14" s="421">
        <v>276708000</v>
      </c>
      <c r="G14" s="428"/>
      <c r="H14" s="422">
        <v>1.335E-3</v>
      </c>
      <c r="I14" s="423">
        <v>1.2509999999999999E-3</v>
      </c>
      <c r="J14" s="428"/>
      <c r="K14" s="424">
        <v>3683000</v>
      </c>
      <c r="L14" s="424">
        <v>3452000</v>
      </c>
    </row>
    <row r="15" spans="1:12">
      <c r="A15" s="410">
        <v>7</v>
      </c>
      <c r="B15" s="409">
        <v>11</v>
      </c>
      <c r="C15" s="411"/>
      <c r="D15" s="419">
        <v>151312000</v>
      </c>
      <c r="E15" s="420"/>
      <c r="F15" s="421">
        <v>14014000</v>
      </c>
      <c r="G15" s="428"/>
      <c r="H15" s="422">
        <v>1.335E-3</v>
      </c>
      <c r="I15" s="423">
        <v>1.408E-3</v>
      </c>
      <c r="J15" s="428"/>
      <c r="K15" s="424">
        <v>202000</v>
      </c>
      <c r="L15" s="424">
        <v>213000</v>
      </c>
    </row>
    <row r="16" spans="1:12">
      <c r="A16" s="410">
        <v>8</v>
      </c>
      <c r="B16" s="409">
        <v>25</v>
      </c>
      <c r="C16" s="411"/>
      <c r="D16" s="419">
        <v>2840201000</v>
      </c>
      <c r="E16" s="420"/>
      <c r="F16" s="421">
        <v>263057000</v>
      </c>
      <c r="G16" s="428"/>
      <c r="H16" s="422">
        <v>1.335E-3</v>
      </c>
      <c r="I16" s="423">
        <v>1.408E-3</v>
      </c>
      <c r="J16" s="428"/>
      <c r="K16" s="424">
        <v>3792000</v>
      </c>
      <c r="L16" s="424">
        <v>3999000</v>
      </c>
    </row>
    <row r="17" spans="1:12">
      <c r="A17" s="410">
        <v>9</v>
      </c>
      <c r="B17" s="410">
        <v>12</v>
      </c>
      <c r="C17" s="411"/>
      <c r="D17" s="419">
        <v>20054000</v>
      </c>
      <c r="E17" s="420"/>
      <c r="F17" s="421"/>
      <c r="G17" s="428"/>
      <c r="H17" s="422">
        <v>0</v>
      </c>
      <c r="I17" s="423">
        <v>8.5000000000000006E-5</v>
      </c>
      <c r="J17" s="428"/>
      <c r="K17" s="424">
        <v>0</v>
      </c>
      <c r="L17" s="424">
        <v>2000</v>
      </c>
    </row>
    <row r="18" spans="1:12">
      <c r="A18" s="410">
        <v>10</v>
      </c>
      <c r="B18" s="409" t="s">
        <v>429</v>
      </c>
      <c r="C18" s="411"/>
      <c r="D18" s="419">
        <v>1893734000</v>
      </c>
      <c r="E18" s="420"/>
      <c r="F18" s="421"/>
      <c r="G18" s="428"/>
      <c r="H18" s="422">
        <v>0</v>
      </c>
      <c r="I18" s="423">
        <v>8.5000000000000006E-5</v>
      </c>
      <c r="J18" s="428"/>
      <c r="K18" s="424">
        <v>0</v>
      </c>
      <c r="L18" s="424">
        <v>161000</v>
      </c>
    </row>
    <row r="19" spans="1:12">
      <c r="A19" s="410">
        <v>11</v>
      </c>
      <c r="B19" s="410">
        <v>12</v>
      </c>
      <c r="C19" s="411"/>
      <c r="D19" s="419"/>
      <c r="E19" s="420">
        <v>47459</v>
      </c>
      <c r="F19" s="421">
        <v>1701000</v>
      </c>
      <c r="G19" s="428"/>
      <c r="H19" s="429">
        <v>-0.17</v>
      </c>
      <c r="I19" s="430">
        <v>-0.06</v>
      </c>
      <c r="J19" s="428"/>
      <c r="K19" s="424">
        <v>-8000</v>
      </c>
      <c r="L19" s="424">
        <v>-3000</v>
      </c>
    </row>
    <row r="20" spans="1:12">
      <c r="A20" s="410">
        <v>12</v>
      </c>
      <c r="B20" s="409" t="s">
        <v>429</v>
      </c>
      <c r="C20" s="411"/>
      <c r="D20" s="419"/>
      <c r="E20" s="420">
        <v>4359242</v>
      </c>
      <c r="F20" s="421">
        <v>160642000</v>
      </c>
      <c r="G20" s="428"/>
      <c r="H20" s="429">
        <v>-0.17</v>
      </c>
      <c r="I20" s="430">
        <v>-0.06</v>
      </c>
      <c r="J20" s="428"/>
      <c r="K20" s="424">
        <v>-741000</v>
      </c>
      <c r="L20" s="424">
        <v>-262000</v>
      </c>
    </row>
    <row r="21" spans="1:12">
      <c r="A21" s="410">
        <v>13</v>
      </c>
      <c r="B21" s="410">
        <v>29</v>
      </c>
      <c r="C21" s="411"/>
      <c r="D21" s="419">
        <v>16193000</v>
      </c>
      <c r="E21" s="420"/>
      <c r="F21" s="421">
        <v>1323000</v>
      </c>
      <c r="G21" s="428"/>
      <c r="H21" s="422">
        <v>1.335E-3</v>
      </c>
      <c r="I21" s="423">
        <v>1.408E-3</v>
      </c>
      <c r="J21" s="428"/>
      <c r="K21" s="424">
        <v>22000</v>
      </c>
      <c r="L21" s="424">
        <v>23000</v>
      </c>
    </row>
    <row r="22" spans="1:12">
      <c r="A22" s="410">
        <v>14</v>
      </c>
      <c r="B22" s="410"/>
      <c r="C22" s="431" t="s">
        <v>17</v>
      </c>
      <c r="D22" s="425">
        <v>7933531000</v>
      </c>
      <c r="E22" s="425">
        <v>4406701</v>
      </c>
      <c r="F22" s="426">
        <v>742821000</v>
      </c>
      <c r="G22" s="428"/>
      <c r="H22" s="427"/>
      <c r="I22" s="427"/>
      <c r="J22" s="428"/>
      <c r="K22" s="426">
        <v>7288000</v>
      </c>
      <c r="L22" s="426">
        <v>7902000</v>
      </c>
    </row>
    <row r="23" spans="1:12">
      <c r="A23" s="410">
        <v>15</v>
      </c>
      <c r="B23" s="410"/>
      <c r="C23" s="411"/>
      <c r="D23" s="420"/>
      <c r="E23" s="420"/>
      <c r="F23" s="424"/>
      <c r="G23" s="428"/>
      <c r="H23" s="427"/>
      <c r="I23" s="427"/>
      <c r="J23" s="428"/>
      <c r="K23" s="424"/>
      <c r="L23" s="424"/>
    </row>
    <row r="24" spans="1:12">
      <c r="A24" s="410">
        <v>16</v>
      </c>
      <c r="B24" s="410">
        <v>10</v>
      </c>
      <c r="C24" s="411"/>
      <c r="D24" s="419">
        <v>30336000</v>
      </c>
      <c r="E24" s="420"/>
      <c r="F24" s="424"/>
      <c r="G24" s="428"/>
      <c r="H24" s="422">
        <v>0</v>
      </c>
      <c r="I24" s="423">
        <v>-5.5999999999999999E-5</v>
      </c>
      <c r="J24" s="428"/>
      <c r="K24" s="424">
        <v>0</v>
      </c>
      <c r="L24" s="424">
        <v>-2000</v>
      </c>
    </row>
    <row r="25" spans="1:12">
      <c r="A25" s="410">
        <v>17</v>
      </c>
      <c r="B25" s="410">
        <v>31</v>
      </c>
      <c r="C25" s="411"/>
      <c r="D25" s="419">
        <v>1286336000</v>
      </c>
      <c r="E25" s="420"/>
      <c r="F25" s="424"/>
      <c r="G25" s="428"/>
      <c r="H25" s="422">
        <v>0</v>
      </c>
      <c r="I25" s="423">
        <v>-5.5999999999999999E-5</v>
      </c>
      <c r="J25" s="428"/>
      <c r="K25" s="424">
        <v>0</v>
      </c>
      <c r="L25" s="424">
        <v>-72000</v>
      </c>
    </row>
    <row r="26" spans="1:12">
      <c r="A26" s="410">
        <v>18</v>
      </c>
      <c r="B26" s="410">
        <v>10</v>
      </c>
      <c r="C26" s="411"/>
      <c r="D26" s="432"/>
      <c r="E26" s="420">
        <v>65163</v>
      </c>
      <c r="F26" s="421">
        <v>2531000</v>
      </c>
      <c r="G26" s="428"/>
      <c r="H26" s="429">
        <v>-0.04</v>
      </c>
      <c r="I26" s="430">
        <v>-0.08</v>
      </c>
      <c r="J26" s="428"/>
      <c r="K26" s="424">
        <v>-3000</v>
      </c>
      <c r="L26" s="424">
        <v>-5000</v>
      </c>
    </row>
    <row r="27" spans="1:12">
      <c r="A27" s="410">
        <v>19</v>
      </c>
      <c r="B27" s="410">
        <v>31</v>
      </c>
      <c r="C27" s="411"/>
      <c r="D27" s="432"/>
      <c r="E27" s="420">
        <v>3173045</v>
      </c>
      <c r="F27" s="421">
        <v>107316000</v>
      </c>
      <c r="G27" s="428"/>
      <c r="H27" s="429">
        <v>-0.04</v>
      </c>
      <c r="I27" s="430">
        <v>-0.08</v>
      </c>
      <c r="J27" s="428"/>
      <c r="K27" s="424">
        <v>-127000</v>
      </c>
      <c r="L27" s="424">
        <v>-254000</v>
      </c>
    </row>
    <row r="28" spans="1:12">
      <c r="A28" s="410">
        <v>20</v>
      </c>
      <c r="B28" s="410">
        <v>35</v>
      </c>
      <c r="C28" s="411"/>
      <c r="D28" s="419">
        <v>5161000</v>
      </c>
      <c r="E28" s="420"/>
      <c r="F28" s="421">
        <v>306000</v>
      </c>
      <c r="G28" s="428"/>
      <c r="H28" s="422">
        <v>1.335E-3</v>
      </c>
      <c r="I28" s="423">
        <v>1.408E-3</v>
      </c>
      <c r="J28" s="428"/>
      <c r="K28" s="424">
        <v>7000</v>
      </c>
      <c r="L28" s="424">
        <v>7000</v>
      </c>
    </row>
    <row r="29" spans="1:12">
      <c r="A29" s="410">
        <v>21</v>
      </c>
      <c r="B29" s="410">
        <v>43</v>
      </c>
      <c r="C29" s="411"/>
      <c r="D29" s="419">
        <v>123190000</v>
      </c>
      <c r="E29" s="420"/>
      <c r="F29" s="421">
        <v>11211000</v>
      </c>
      <c r="G29" s="428"/>
      <c r="H29" s="422">
        <v>1.335E-3</v>
      </c>
      <c r="I29" s="423">
        <v>1.408E-3</v>
      </c>
      <c r="J29" s="428"/>
      <c r="K29" s="424">
        <v>164000</v>
      </c>
      <c r="L29" s="424">
        <v>173000</v>
      </c>
    </row>
    <row r="30" spans="1:12">
      <c r="A30" s="410">
        <v>22</v>
      </c>
      <c r="B30" s="410"/>
      <c r="C30" s="411" t="s">
        <v>18</v>
      </c>
      <c r="D30" s="425">
        <v>1445023000</v>
      </c>
      <c r="E30" s="425">
        <v>3238208</v>
      </c>
      <c r="F30" s="426">
        <v>121364000</v>
      </c>
      <c r="G30" s="428"/>
      <c r="H30" s="427"/>
      <c r="I30" s="427"/>
      <c r="J30" s="428"/>
      <c r="K30" s="426">
        <v>41000</v>
      </c>
      <c r="L30" s="426">
        <v>-153000</v>
      </c>
    </row>
    <row r="31" spans="1:12">
      <c r="A31" s="410">
        <v>23</v>
      </c>
      <c r="B31" s="410"/>
      <c r="C31" s="411"/>
      <c r="D31" s="420"/>
      <c r="E31" s="420"/>
      <c r="F31" s="424"/>
      <c r="G31" s="428"/>
      <c r="H31" s="427"/>
      <c r="I31" s="427"/>
      <c r="J31" s="428"/>
      <c r="K31" s="424"/>
      <c r="L31" s="424"/>
    </row>
    <row r="32" spans="1:12">
      <c r="A32" s="410">
        <v>24</v>
      </c>
      <c r="B32" s="410">
        <v>40</v>
      </c>
      <c r="C32" s="411"/>
      <c r="D32" s="433">
        <v>679072000</v>
      </c>
      <c r="E32" s="420"/>
      <c r="F32" s="421">
        <v>51132000</v>
      </c>
      <c r="G32" s="428"/>
      <c r="H32" s="422">
        <v>1.335E-3</v>
      </c>
      <c r="I32" s="423">
        <v>1.7980000000000001E-3</v>
      </c>
      <c r="J32" s="428"/>
      <c r="K32" s="424">
        <v>907000</v>
      </c>
      <c r="L32" s="424">
        <v>1221000</v>
      </c>
    </row>
    <row r="33" spans="1:13">
      <c r="A33" s="410">
        <v>25</v>
      </c>
      <c r="B33" s="410">
        <v>0</v>
      </c>
      <c r="C33" s="411"/>
      <c r="D33" s="420"/>
      <c r="E33" s="420"/>
      <c r="F33" s="421"/>
      <c r="G33" s="428"/>
      <c r="H33" s="427"/>
      <c r="I33" s="427"/>
      <c r="J33" s="428"/>
      <c r="K33" s="424"/>
      <c r="L33" s="424"/>
    </row>
    <row r="34" spans="1:13">
      <c r="A34" s="410">
        <v>26</v>
      </c>
      <c r="B34" s="410">
        <v>46</v>
      </c>
      <c r="C34" s="411"/>
      <c r="D34" s="419">
        <v>72776000</v>
      </c>
      <c r="E34" s="420"/>
      <c r="F34" s="421">
        <v>4993000</v>
      </c>
      <c r="G34" s="428"/>
      <c r="H34" s="422">
        <v>1.335E-3</v>
      </c>
      <c r="I34" s="423">
        <v>1.323E-3</v>
      </c>
      <c r="J34" s="428"/>
      <c r="K34" s="424">
        <v>97000</v>
      </c>
      <c r="L34" s="424">
        <v>96000</v>
      </c>
    </row>
    <row r="35" spans="1:13">
      <c r="A35" s="410">
        <v>27</v>
      </c>
      <c r="B35" s="410">
        <v>49</v>
      </c>
      <c r="C35" s="411"/>
      <c r="D35" s="419">
        <v>584007000</v>
      </c>
      <c r="E35" s="420"/>
      <c r="F35" s="421">
        <v>39323000</v>
      </c>
      <c r="G35" s="428"/>
      <c r="H35" s="422">
        <v>1.335E-3</v>
      </c>
      <c r="I35" s="423">
        <v>1.323E-3</v>
      </c>
      <c r="J35" s="428"/>
      <c r="K35" s="424">
        <v>780000</v>
      </c>
      <c r="L35" s="424">
        <v>773000</v>
      </c>
    </row>
    <row r="36" spans="1:13">
      <c r="A36" s="410">
        <v>28</v>
      </c>
      <c r="B36" s="410"/>
      <c r="C36" s="411" t="s">
        <v>19</v>
      </c>
      <c r="D36" s="425">
        <v>656783000</v>
      </c>
      <c r="E36" s="420"/>
      <c r="F36" s="426">
        <v>44316000</v>
      </c>
      <c r="G36" s="428"/>
      <c r="H36" s="427"/>
      <c r="I36" s="427"/>
      <c r="J36" s="428"/>
      <c r="K36" s="426">
        <v>877000</v>
      </c>
      <c r="L36" s="426">
        <v>869000</v>
      </c>
    </row>
    <row r="37" spans="1:13">
      <c r="A37" s="410">
        <v>29</v>
      </c>
      <c r="B37" s="410"/>
      <c r="C37" s="411"/>
      <c r="D37" s="420"/>
      <c r="E37" s="420"/>
      <c r="F37" s="424"/>
      <c r="G37" s="428"/>
      <c r="H37" s="434"/>
      <c r="I37" s="434"/>
      <c r="J37" s="428"/>
      <c r="K37" s="424"/>
      <c r="L37" s="424"/>
    </row>
    <row r="38" spans="1:13">
      <c r="A38" s="410">
        <v>30</v>
      </c>
      <c r="B38" s="410" t="s">
        <v>20</v>
      </c>
      <c r="C38" s="411"/>
      <c r="D38" s="433">
        <v>76506000</v>
      </c>
      <c r="E38" s="420"/>
      <c r="F38" s="421">
        <v>18910000</v>
      </c>
      <c r="G38" s="428"/>
      <c r="H38" s="434"/>
      <c r="I38" s="434"/>
      <c r="J38" s="428"/>
      <c r="K38" s="424">
        <v>0</v>
      </c>
      <c r="L38" s="424">
        <v>0</v>
      </c>
    </row>
    <row r="39" spans="1:13">
      <c r="A39" s="410">
        <v>31</v>
      </c>
      <c r="B39" s="410"/>
      <c r="C39" s="411"/>
      <c r="D39" s="420"/>
      <c r="E39" s="420"/>
      <c r="F39" s="421"/>
      <c r="G39" s="428"/>
      <c r="H39" s="434"/>
      <c r="I39" s="434"/>
      <c r="J39" s="428"/>
      <c r="K39" s="424"/>
      <c r="L39" s="424"/>
    </row>
    <row r="40" spans="1:13">
      <c r="A40" s="410">
        <v>32</v>
      </c>
      <c r="B40" s="410" t="s">
        <v>21</v>
      </c>
      <c r="C40" s="411"/>
      <c r="D40" s="433">
        <v>2088697000</v>
      </c>
      <c r="E40" s="420"/>
      <c r="F40" s="421">
        <v>8505000</v>
      </c>
      <c r="G40" s="428"/>
      <c r="H40" s="434"/>
      <c r="I40" s="434"/>
      <c r="J40" s="428"/>
      <c r="K40" s="424">
        <v>0</v>
      </c>
      <c r="L40" s="424">
        <v>0</v>
      </c>
    </row>
    <row r="41" spans="1:13">
      <c r="A41" s="410">
        <v>33</v>
      </c>
      <c r="B41" s="410"/>
      <c r="C41" s="411"/>
      <c r="D41" s="420"/>
      <c r="E41" s="420"/>
      <c r="F41" s="424"/>
      <c r="G41" s="428"/>
      <c r="H41" s="434"/>
      <c r="I41" s="434"/>
      <c r="J41" s="428"/>
      <c r="K41" s="424"/>
      <c r="L41" s="424"/>
    </row>
    <row r="42" spans="1:13" ht="13.5" thickBot="1">
      <c r="A42" s="410">
        <v>34</v>
      </c>
      <c r="B42" s="410"/>
      <c r="C42" s="431" t="s">
        <v>89</v>
      </c>
      <c r="D42" s="435">
        <v>23518981000</v>
      </c>
      <c r="E42" s="435">
        <v>7644909</v>
      </c>
      <c r="F42" s="436">
        <v>2146668000</v>
      </c>
      <c r="G42" s="428"/>
      <c r="H42" s="434"/>
      <c r="I42" s="434"/>
      <c r="J42" s="428"/>
      <c r="K42" s="436">
        <v>21891000</v>
      </c>
      <c r="L42" s="436">
        <v>-3316000</v>
      </c>
      <c r="M42" s="408"/>
    </row>
    <row r="43" spans="1:13" ht="13.5" thickTop="1"/>
  </sheetData>
  <mergeCells count="6">
    <mergeCell ref="D6:F6"/>
    <mergeCell ref="A1:L1"/>
    <mergeCell ref="A2:L2"/>
    <mergeCell ref="A3:L3"/>
    <mergeCell ref="A4:L4"/>
    <mergeCell ref="A5:L5"/>
  </mergeCells>
  <printOptions horizontalCentered="1"/>
  <pageMargins left="0.7" right="0.7" top="0.75" bottom="0.75" header="0.3" footer="0.3"/>
  <pageSetup scale="86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D28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.85546875" defaultRowHeight="12.75"/>
  <cols>
    <col min="1" max="1" width="7.7109375" style="1" bestFit="1" customWidth="1"/>
    <col min="2" max="2" width="8.42578125" style="1" bestFit="1" customWidth="1"/>
    <col min="3" max="3" width="78.42578125" style="1" bestFit="1" customWidth="1"/>
    <col min="4" max="4" width="12.42578125" style="1" bestFit="1" customWidth="1"/>
    <col min="5" max="16384" width="8.85546875" style="1"/>
  </cols>
  <sheetData>
    <row r="1" spans="1:4">
      <c r="A1" s="562" t="s">
        <v>0</v>
      </c>
      <c r="B1" s="562"/>
      <c r="C1" s="562"/>
      <c r="D1" s="562"/>
    </row>
    <row r="2" spans="1:4">
      <c r="A2" s="562" t="s">
        <v>179</v>
      </c>
      <c r="B2" s="562"/>
      <c r="C2" s="562"/>
      <c r="D2" s="562"/>
    </row>
    <row r="3" spans="1:4">
      <c r="A3" s="562" t="s">
        <v>180</v>
      </c>
      <c r="B3" s="562"/>
      <c r="C3" s="562"/>
      <c r="D3" s="562"/>
    </row>
    <row r="4" spans="1:4">
      <c r="A4" s="563" t="s">
        <v>378</v>
      </c>
      <c r="B4" s="562"/>
      <c r="C4" s="562"/>
      <c r="D4" s="562"/>
    </row>
    <row r="5" spans="1:4">
      <c r="A5" s="563" t="s">
        <v>379</v>
      </c>
      <c r="B5" s="562"/>
      <c r="C5" s="562"/>
      <c r="D5" s="562"/>
    </row>
    <row r="6" spans="1:4">
      <c r="A6" s="120"/>
      <c r="B6" s="120"/>
      <c r="C6" s="121"/>
      <c r="D6" s="121"/>
    </row>
    <row r="7" spans="1:4">
      <c r="A7" s="122" t="s">
        <v>3</v>
      </c>
      <c r="B7" s="122"/>
      <c r="C7" s="122" t="s">
        <v>41</v>
      </c>
      <c r="D7" s="123" t="s">
        <v>181</v>
      </c>
    </row>
    <row r="8" spans="1:4">
      <c r="A8" s="124">
        <v>1</v>
      </c>
      <c r="B8" s="120"/>
      <c r="C8" s="125" t="s">
        <v>371</v>
      </c>
      <c r="D8" s="126">
        <v>10907855</v>
      </c>
    </row>
    <row r="9" spans="1:4">
      <c r="A9" s="124">
        <v>2</v>
      </c>
      <c r="B9" s="127"/>
      <c r="C9" s="120"/>
      <c r="D9" s="128"/>
    </row>
    <row r="10" spans="1:4">
      <c r="A10" s="124">
        <v>3</v>
      </c>
      <c r="B10" s="125"/>
      <c r="C10" s="125" t="s">
        <v>372</v>
      </c>
      <c r="D10" s="129">
        <v>75268651.353983968</v>
      </c>
    </row>
    <row r="11" spans="1:4">
      <c r="A11" s="124">
        <v>4</v>
      </c>
      <c r="B11" s="127"/>
      <c r="C11" s="120"/>
      <c r="D11" s="130"/>
    </row>
    <row r="12" spans="1:4">
      <c r="A12" s="124">
        <v>5</v>
      </c>
      <c r="B12" s="127"/>
      <c r="C12" s="131" t="s">
        <v>373</v>
      </c>
      <c r="D12" s="132">
        <v>1827804.9350000001</v>
      </c>
    </row>
    <row r="13" spans="1:4">
      <c r="A13" s="124">
        <v>6</v>
      </c>
      <c r="B13" s="120" t="s">
        <v>182</v>
      </c>
      <c r="C13" s="133" t="s">
        <v>183</v>
      </c>
      <c r="D13" s="134">
        <v>77096456.288983971</v>
      </c>
    </row>
    <row r="14" spans="1:4">
      <c r="A14" s="124">
        <v>7</v>
      </c>
      <c r="B14" s="120"/>
      <c r="C14" s="133"/>
      <c r="D14" s="130"/>
    </row>
    <row r="15" spans="1:4">
      <c r="A15" s="124">
        <v>8</v>
      </c>
      <c r="B15" s="127"/>
      <c r="C15" s="135" t="s">
        <v>184</v>
      </c>
      <c r="D15" s="136">
        <v>0.95437899999999998</v>
      </c>
    </row>
    <row r="16" spans="1:4" ht="13.5" thickBot="1">
      <c r="A16" s="124">
        <v>9</v>
      </c>
      <c r="B16" s="120" t="s">
        <v>185</v>
      </c>
      <c r="C16" s="137" t="s">
        <v>186</v>
      </c>
      <c r="D16" s="138">
        <v>80781802.919997171</v>
      </c>
    </row>
    <row r="17" spans="1:4" ht="13.5" thickTop="1">
      <c r="A17" s="124">
        <v>10</v>
      </c>
      <c r="B17" s="127"/>
      <c r="C17" s="121"/>
      <c r="D17" s="139"/>
    </row>
    <row r="18" spans="1:4" ht="13.5" thickBot="1">
      <c r="A18" s="124">
        <v>11</v>
      </c>
      <c r="B18" s="120" t="s">
        <v>187</v>
      </c>
      <c r="C18" s="125" t="s">
        <v>374</v>
      </c>
      <c r="D18" s="140">
        <v>7.4058380000000005E-3</v>
      </c>
    </row>
    <row r="19" spans="1:4" ht="13.5" thickTop="1">
      <c r="A19" s="124">
        <v>12</v>
      </c>
      <c r="B19" s="127"/>
      <c r="C19" s="121"/>
      <c r="D19" s="139"/>
    </row>
    <row r="20" spans="1:4">
      <c r="A20" s="124">
        <v>13</v>
      </c>
      <c r="B20" s="127"/>
      <c r="C20" s="141" t="s">
        <v>188</v>
      </c>
      <c r="D20" s="139"/>
    </row>
    <row r="21" spans="1:4">
      <c r="A21" s="124">
        <v>14</v>
      </c>
      <c r="B21" s="127"/>
      <c r="C21" s="121" t="s">
        <v>375</v>
      </c>
      <c r="D21" s="139"/>
    </row>
    <row r="22" spans="1:4">
      <c r="A22" s="124">
        <v>15</v>
      </c>
      <c r="B22" s="127"/>
      <c r="C22" s="120" t="s">
        <v>189</v>
      </c>
      <c r="D22" s="139"/>
    </row>
    <row r="23" spans="1:4">
      <c r="A23" s="124">
        <v>16</v>
      </c>
      <c r="B23" s="127"/>
      <c r="C23" s="131" t="s">
        <v>376</v>
      </c>
      <c r="D23" s="142">
        <v>97.419999999999987</v>
      </c>
    </row>
    <row r="24" spans="1:4">
      <c r="A24" s="124">
        <v>17</v>
      </c>
      <c r="B24" s="127"/>
      <c r="C24" s="131" t="s">
        <v>377</v>
      </c>
      <c r="D24" s="142">
        <v>96.859999999999985</v>
      </c>
    </row>
    <row r="25" spans="1:4">
      <c r="A25" s="124">
        <v>18</v>
      </c>
      <c r="B25" s="120" t="s">
        <v>190</v>
      </c>
      <c r="C25" s="131" t="s">
        <v>191</v>
      </c>
      <c r="D25" s="143">
        <v>-0.56000000000000227</v>
      </c>
    </row>
    <row r="26" spans="1:4" ht="13.5" thickBot="1">
      <c r="A26" s="124">
        <v>19</v>
      </c>
      <c r="B26" s="120" t="s">
        <v>192</v>
      </c>
      <c r="C26" s="144" t="s">
        <v>193</v>
      </c>
      <c r="D26" s="394">
        <v>-5.7483063026072916E-3</v>
      </c>
    </row>
    <row r="27" spans="1:4" ht="13.5" thickTop="1">
      <c r="A27" s="121"/>
      <c r="B27" s="127"/>
      <c r="C27" s="121"/>
      <c r="D27" s="121"/>
    </row>
    <row r="28" spans="1:4">
      <c r="A28" s="121"/>
      <c r="B28" s="121"/>
      <c r="C28" s="121"/>
      <c r="D28" s="121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" right="0.7" top="0.75" bottom="0.75" header="0.3" footer="0.3"/>
  <pageSetup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9"/>
  <sheetViews>
    <sheetView zoomScale="80" zoomScaleNormal="80" zoomScaleSheetLayoutView="75" workbookViewId="0">
      <pane xSplit="1" ySplit="8" topLeftCell="B12" activePane="bottomRight" state="frozen"/>
      <selection pane="topRight" activeCell="B1" sqref="B1"/>
      <selection pane="bottomLeft" activeCell="A9" sqref="A9"/>
      <selection pane="bottomRight" activeCell="X17" sqref="X17"/>
    </sheetView>
  </sheetViews>
  <sheetFormatPr defaultColWidth="9.42578125" defaultRowHeight="15"/>
  <cols>
    <col min="1" max="1" width="8.28515625" style="231" bestFit="1" customWidth="1"/>
    <col min="2" max="2" width="8.42578125" style="231" customWidth="1"/>
    <col min="3" max="3" width="3.7109375" style="231" customWidth="1"/>
    <col min="4" max="4" width="12.5703125" style="231" bestFit="1" customWidth="1"/>
    <col min="5" max="5" width="1.7109375" style="231" customWidth="1"/>
    <col min="6" max="6" width="12" style="231" bestFit="1" customWidth="1"/>
    <col min="7" max="7" width="1.7109375" style="231" customWidth="1"/>
    <col min="8" max="8" width="12.5703125" style="231" bestFit="1" customWidth="1"/>
    <col min="9" max="9" width="1.7109375" style="231" customWidth="1"/>
    <col min="10" max="10" width="12.7109375" style="231" customWidth="1"/>
    <col min="11" max="11" width="1.7109375" style="231" customWidth="1"/>
    <col min="12" max="12" width="10.42578125" style="231" customWidth="1"/>
    <col min="13" max="13" width="2.28515625" style="231" hidden="1" customWidth="1"/>
    <col min="14" max="14" width="8" style="231" customWidth="1"/>
    <col min="15" max="15" width="1.7109375" style="231" customWidth="1"/>
    <col min="16" max="16" width="9.7109375" style="231" customWidth="1"/>
    <col min="17" max="17" width="1.7109375" style="231" hidden="1" customWidth="1"/>
    <col min="18" max="18" width="12" style="231" bestFit="1" customWidth="1"/>
    <col min="19" max="19" width="3.42578125" style="231" customWidth="1"/>
    <col min="20" max="20" width="25" style="231" customWidth="1"/>
    <col min="21" max="21" width="11.85546875" style="231" bestFit="1" customWidth="1"/>
    <col min="22" max="22" width="11.7109375" style="231" bestFit="1" customWidth="1"/>
    <col min="23" max="23" width="12.28515625" style="231" bestFit="1" customWidth="1"/>
    <col min="24" max="24" width="11.85546875" style="231" bestFit="1" customWidth="1"/>
    <col min="25" max="25" width="11.7109375" style="231" bestFit="1" customWidth="1"/>
    <col min="26" max="26" width="2.85546875" style="278" customWidth="1"/>
    <col min="27" max="27" width="6.5703125" style="231" customWidth="1"/>
    <col min="28" max="28" width="8.7109375" style="231" customWidth="1"/>
    <col min="29" max="16384" width="9.42578125" style="231"/>
  </cols>
  <sheetData>
    <row r="1" spans="1:28" ht="20.25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8" ht="20.25">
      <c r="B2" s="310" t="s">
        <v>286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8" ht="20.25">
      <c r="B3" s="310" t="s">
        <v>306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28" ht="20.25">
      <c r="B4" s="310" t="s">
        <v>305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</row>
    <row r="5" spans="1:28">
      <c r="A5" s="279"/>
    </row>
    <row r="6" spans="1:28" ht="17.25">
      <c r="A6" s="279"/>
      <c r="B6" s="283"/>
      <c r="C6" s="283"/>
      <c r="D6" s="308" t="s">
        <v>304</v>
      </c>
      <c r="E6" s="308"/>
      <c r="F6" s="308"/>
      <c r="G6" s="308"/>
      <c r="H6" s="308"/>
      <c r="I6" s="308"/>
      <c r="J6" s="308"/>
      <c r="K6" s="283"/>
      <c r="L6" s="307" t="s">
        <v>303</v>
      </c>
      <c r="M6" s="307"/>
      <c r="N6" s="307"/>
      <c r="O6" s="280"/>
      <c r="P6" s="307" t="s">
        <v>302</v>
      </c>
      <c r="Q6" s="307"/>
      <c r="R6" s="307"/>
    </row>
    <row r="7" spans="1:28" ht="16.5">
      <c r="A7" s="279"/>
      <c r="B7" s="283"/>
      <c r="C7" s="283"/>
      <c r="D7" s="305" t="s">
        <v>392</v>
      </c>
      <c r="E7" s="305"/>
      <c r="F7" s="305"/>
      <c r="G7" s="306"/>
      <c r="H7" s="305" t="s">
        <v>393</v>
      </c>
      <c r="I7" s="305"/>
      <c r="J7" s="305"/>
      <c r="K7" s="283"/>
      <c r="L7" s="305" t="s">
        <v>33</v>
      </c>
      <c r="M7" s="305"/>
      <c r="N7" s="305"/>
      <c r="O7" s="280"/>
      <c r="P7" s="305" t="s">
        <v>33</v>
      </c>
      <c r="Q7" s="305"/>
      <c r="R7" s="305"/>
    </row>
    <row r="8" spans="1:28" ht="15.75">
      <c r="A8" s="496" t="s">
        <v>3</v>
      </c>
      <c r="B8" s="304" t="s">
        <v>282</v>
      </c>
      <c r="C8" s="283"/>
      <c r="D8" s="303" t="s">
        <v>301</v>
      </c>
      <c r="E8" s="302"/>
      <c r="F8" s="301" t="s">
        <v>300</v>
      </c>
      <c r="G8" s="283"/>
      <c r="H8" s="303" t="s">
        <v>301</v>
      </c>
      <c r="I8" s="302"/>
      <c r="J8" s="301" t="s">
        <v>300</v>
      </c>
      <c r="K8" s="283"/>
      <c r="L8" s="303" t="s">
        <v>301</v>
      </c>
      <c r="M8" s="302"/>
      <c r="N8" s="301" t="s">
        <v>300</v>
      </c>
      <c r="O8" s="280"/>
      <c r="P8" s="303" t="s">
        <v>301</v>
      </c>
      <c r="Q8" s="302"/>
      <c r="R8" s="301" t="s">
        <v>300</v>
      </c>
    </row>
    <row r="9" spans="1:28" ht="15.75">
      <c r="A9" s="276"/>
      <c r="B9" s="316" t="s">
        <v>96</v>
      </c>
      <c r="C9" s="316"/>
      <c r="D9" s="316" t="s">
        <v>97</v>
      </c>
      <c r="E9" s="316"/>
      <c r="F9" s="316" t="s">
        <v>98</v>
      </c>
      <c r="G9" s="316"/>
      <c r="H9" s="316" t="s">
        <v>99</v>
      </c>
      <c r="I9" s="316"/>
      <c r="J9" s="316" t="s">
        <v>218</v>
      </c>
      <c r="K9" s="498"/>
      <c r="L9" s="498" t="s">
        <v>481</v>
      </c>
      <c r="M9" s="498"/>
      <c r="N9" s="498" t="s">
        <v>482</v>
      </c>
      <c r="O9" s="498"/>
      <c r="P9" s="498" t="s">
        <v>483</v>
      </c>
      <c r="Q9" s="498"/>
      <c r="R9" s="499" t="s">
        <v>484</v>
      </c>
      <c r="S9" s="327"/>
      <c r="T9" s="327"/>
      <c r="U9" s="327" t="s">
        <v>252</v>
      </c>
      <c r="V9" s="327" t="s">
        <v>253</v>
      </c>
      <c r="W9" s="327"/>
      <c r="X9" s="327" t="s">
        <v>472</v>
      </c>
      <c r="Y9" s="327" t="s">
        <v>485</v>
      </c>
    </row>
    <row r="10" spans="1:28" s="276" customFormat="1" ht="16.5" thickBot="1">
      <c r="B10" s="500"/>
      <c r="C10" s="500"/>
      <c r="D10" s="500"/>
      <c r="E10" s="500"/>
      <c r="F10" s="500"/>
      <c r="G10" s="500"/>
      <c r="H10" s="500"/>
      <c r="I10" s="500"/>
      <c r="J10" s="500"/>
      <c r="K10" s="501"/>
      <c r="L10" s="501"/>
      <c r="M10" s="501"/>
      <c r="N10" s="501"/>
      <c r="O10" s="501"/>
      <c r="P10" s="501"/>
      <c r="Q10" s="501"/>
      <c r="R10" s="502"/>
      <c r="Z10" s="278"/>
    </row>
    <row r="11" spans="1:28" ht="15.75">
      <c r="A11" s="275">
        <v>1</v>
      </c>
      <c r="B11" s="286">
        <v>500</v>
      </c>
      <c r="C11" s="281"/>
      <c r="D11" s="284">
        <f>ROUND($U$13+$B11*$U$17,2)</f>
        <v>58.06</v>
      </c>
      <c r="E11" s="284"/>
      <c r="F11" s="284">
        <f>ROUND($V$13+$B11*$V$17,2)</f>
        <v>73.16</v>
      </c>
      <c r="G11" s="284"/>
      <c r="H11" s="284">
        <f>ROUND($X$13+$B11*$X$17,2)</f>
        <v>58.06</v>
      </c>
      <c r="I11" s="284"/>
      <c r="J11" s="284">
        <f>ROUND($Y$13+$B11*$Y$17,2)</f>
        <v>73.16</v>
      </c>
      <c r="K11" s="283"/>
      <c r="L11" s="284">
        <f>H11-D11</f>
        <v>0</v>
      </c>
      <c r="M11" s="284"/>
      <c r="N11" s="284">
        <f>J11-F11</f>
        <v>0</v>
      </c>
      <c r="O11" s="280"/>
      <c r="P11" s="282">
        <f>ROUND(H11/D11-1,4)</f>
        <v>0</v>
      </c>
      <c r="Q11" s="283"/>
      <c r="R11" s="282">
        <f>ROUND(J11/F11-1,4)</f>
        <v>0</v>
      </c>
      <c r="T11" s="534" t="s">
        <v>299</v>
      </c>
      <c r="U11" s="535"/>
      <c r="V11" s="536"/>
      <c r="W11" s="537" t="s">
        <v>298</v>
      </c>
      <c r="X11" s="535"/>
      <c r="Y11" s="536"/>
    </row>
    <row r="12" spans="1:28" ht="15.75">
      <c r="A12" s="275">
        <f>+A11+1</f>
        <v>2</v>
      </c>
      <c r="B12" s="286">
        <f>+B11+500</f>
        <v>1000</v>
      </c>
      <c r="C12" s="281"/>
      <c r="D12" s="284">
        <f>ROUND($U$13+$B12*$U$17,2)</f>
        <v>106.31</v>
      </c>
      <c r="E12" s="284"/>
      <c r="F12" s="284">
        <f>ROUND($V$13+$B12*$V$17,2)</f>
        <v>121.41</v>
      </c>
      <c r="G12" s="284"/>
      <c r="H12" s="284">
        <f>ROUND($X$13+$B12*$X$17,2)</f>
        <v>106.31</v>
      </c>
      <c r="I12" s="284"/>
      <c r="J12" s="284">
        <f>ROUND($Y$13+$B12*$Y$17,2)</f>
        <v>121.41</v>
      </c>
      <c r="K12" s="283"/>
      <c r="L12" s="284">
        <f>H12-D12</f>
        <v>0</v>
      </c>
      <c r="M12" s="284"/>
      <c r="N12" s="284">
        <f>J12-F12</f>
        <v>0</v>
      </c>
      <c r="O12" s="280"/>
      <c r="P12" s="282">
        <f>ROUND(H12/D12-1,4)</f>
        <v>0</v>
      </c>
      <c r="Q12" s="283"/>
      <c r="R12" s="282">
        <f>ROUND(J12/F12-1,4)</f>
        <v>0</v>
      </c>
      <c r="T12" s="293"/>
      <c r="U12" s="299" t="s">
        <v>297</v>
      </c>
      <c r="V12" s="298" t="s">
        <v>296</v>
      </c>
      <c r="W12" s="257"/>
      <c r="X12" s="299" t="s">
        <v>297</v>
      </c>
      <c r="Y12" s="298" t="s">
        <v>296</v>
      </c>
    </row>
    <row r="13" spans="1:28" ht="15.75">
      <c r="A13" s="275">
        <f t="shared" ref="A13:A47" si="0">+A12+1</f>
        <v>3</v>
      </c>
      <c r="B13" s="286">
        <f>+B12+500</f>
        <v>1500</v>
      </c>
      <c r="C13" s="281"/>
      <c r="D13" s="284">
        <f>ROUND($U$13+$B13*$U$17,2)</f>
        <v>154.57</v>
      </c>
      <c r="E13" s="284"/>
      <c r="F13" s="284">
        <f>ROUND($V$13+$B13*$V$17,2)</f>
        <v>169.67</v>
      </c>
      <c r="G13" s="284"/>
      <c r="H13" s="284">
        <f>ROUND($X$13+$B13*$X$17,2)</f>
        <v>154.57</v>
      </c>
      <c r="I13" s="284"/>
      <c r="J13" s="284">
        <f>ROUND($Y$13+$B13*$Y$17,2)</f>
        <v>169.67</v>
      </c>
      <c r="K13" s="283"/>
      <c r="L13" s="284">
        <f>H13-D13</f>
        <v>0</v>
      </c>
      <c r="M13" s="284"/>
      <c r="N13" s="284">
        <f>J13-F13</f>
        <v>0</v>
      </c>
      <c r="O13" s="280"/>
      <c r="P13" s="282">
        <f>ROUND(H13/D13-1,4)</f>
        <v>0</v>
      </c>
      <c r="Q13" s="283"/>
      <c r="R13" s="282">
        <f>ROUND(J13/F13-1,4)</f>
        <v>0</v>
      </c>
      <c r="T13" s="293" t="s">
        <v>295</v>
      </c>
      <c r="U13" s="264">
        <f>SUM(U20,V32)</f>
        <v>9.8000000000000007</v>
      </c>
      <c r="V13" s="263">
        <f>SUM(V20,V33)</f>
        <v>24.9</v>
      </c>
      <c r="W13" s="293" t="str">
        <f>+T13</f>
        <v>Basic Charge</v>
      </c>
      <c r="X13" s="264">
        <f>SUM(X20,Y32,Y36)</f>
        <v>9.8000000000000007</v>
      </c>
      <c r="Y13" s="263">
        <f>SUM(Y20,Y33,Y37)</f>
        <v>24.9</v>
      </c>
      <c r="Z13" s="290"/>
      <c r="AA13" s="256">
        <f>(X13-U13)/U13</f>
        <v>0</v>
      </c>
      <c r="AB13" s="256">
        <f>(Y13-V13)/V13</f>
        <v>0</v>
      </c>
    </row>
    <row r="14" spans="1:28" ht="15.75">
      <c r="A14" s="275">
        <f t="shared" si="0"/>
        <v>4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T14" s="293"/>
      <c r="U14" s="296"/>
      <c r="V14" s="295"/>
      <c r="W14" s="297"/>
      <c r="X14" s="296"/>
      <c r="Y14" s="295"/>
    </row>
    <row r="15" spans="1:28" ht="15.75">
      <c r="A15" s="275">
        <f t="shared" si="0"/>
        <v>5</v>
      </c>
      <c r="B15" s="286">
        <v>2500</v>
      </c>
      <c r="C15" s="281"/>
      <c r="D15" s="284">
        <f>ROUND($U$13+$B15*$U$17,2)</f>
        <v>251.08</v>
      </c>
      <c r="E15" s="284"/>
      <c r="F15" s="284">
        <f>ROUND($V$13+$B15*$V$17,2)</f>
        <v>266.18</v>
      </c>
      <c r="G15" s="284"/>
      <c r="H15" s="284">
        <f>ROUND($X$13+$B15*$X$17,2)</f>
        <v>251.08</v>
      </c>
      <c r="I15" s="284"/>
      <c r="J15" s="284">
        <f>ROUND($Y$13+$B15*$Y$17,2)</f>
        <v>266.18</v>
      </c>
      <c r="K15" s="283"/>
      <c r="L15" s="284">
        <f>H15-D15</f>
        <v>0</v>
      </c>
      <c r="M15" s="284"/>
      <c r="N15" s="284">
        <f>J15-F15</f>
        <v>0</v>
      </c>
      <c r="O15" s="280"/>
      <c r="P15" s="282">
        <f>ROUND(H15/D15-1,4)</f>
        <v>0</v>
      </c>
      <c r="Q15" s="283"/>
      <c r="R15" s="282">
        <f>ROUND(J15/F15-1,4)</f>
        <v>0</v>
      </c>
      <c r="T15" s="294" t="s">
        <v>294</v>
      </c>
      <c r="U15" s="260">
        <f>SUM(U21,V25:V31,V34,V40:V41)</f>
        <v>9.7956000000000001E-2</v>
      </c>
      <c r="V15" s="258">
        <f>U15</f>
        <v>9.7956000000000001E-2</v>
      </c>
      <c r="W15" s="293" t="str">
        <f>+T15</f>
        <v xml:space="preserve">Winter kWh </v>
      </c>
      <c r="X15" s="260">
        <f>SUM(X21,Y25:Y31,Y34,Y40:Y41,Y38)</f>
        <v>9.7956000000000001E-2</v>
      </c>
      <c r="Y15" s="258">
        <f>X15</f>
        <v>9.7956000000000001E-2</v>
      </c>
      <c r="AA15" s="256">
        <f t="shared" ref="AA15:AB17" si="1">(X15-U15)/U15</f>
        <v>0</v>
      </c>
      <c r="AB15" s="256">
        <f t="shared" si="1"/>
        <v>0</v>
      </c>
    </row>
    <row r="16" spans="1:28" ht="15.75">
      <c r="A16" s="275">
        <f t="shared" si="0"/>
        <v>6</v>
      </c>
      <c r="B16" s="286">
        <f>+B15+500</f>
        <v>3000</v>
      </c>
      <c r="C16" s="281"/>
      <c r="D16" s="284">
        <f>ROUND($U$13+$B16*$U$17,2)</f>
        <v>299.33</v>
      </c>
      <c r="E16" s="284"/>
      <c r="F16" s="284">
        <f>ROUND($V$13+$B16*$V$17,2)</f>
        <v>314.43</v>
      </c>
      <c r="G16" s="284"/>
      <c r="H16" s="284">
        <f>ROUND($X$13+$B16*$X$17,2)</f>
        <v>299.33</v>
      </c>
      <c r="I16" s="284"/>
      <c r="J16" s="284">
        <f>ROUND($Y$13+$B16*$Y$17,2)</f>
        <v>314.43</v>
      </c>
      <c r="K16" s="283"/>
      <c r="L16" s="284">
        <f>H16-D16</f>
        <v>0</v>
      </c>
      <c r="M16" s="284"/>
      <c r="N16" s="284">
        <f>J16-F16</f>
        <v>0</v>
      </c>
      <c r="O16" s="280"/>
      <c r="P16" s="282">
        <f>ROUND(H16/D16-1,4)</f>
        <v>0</v>
      </c>
      <c r="Q16" s="283"/>
      <c r="R16" s="282">
        <f>ROUND(J16/F16-1,4)</f>
        <v>0</v>
      </c>
      <c r="T16" s="293" t="s">
        <v>293</v>
      </c>
      <c r="U16" s="260">
        <f>SUM(U22,V25:V31,V35,V40:V41)</f>
        <v>9.4819000000000014E-2</v>
      </c>
      <c r="V16" s="258">
        <f>U16</f>
        <v>9.4819000000000014E-2</v>
      </c>
      <c r="W16" s="293" t="str">
        <f>+T16</f>
        <v>Summer kWh</v>
      </c>
      <c r="X16" s="260">
        <f>SUM(X22,Y25:Y31,Y35,Y40:Y41,Y39)</f>
        <v>9.4819000000000014E-2</v>
      </c>
      <c r="Y16" s="258">
        <f>X16</f>
        <v>9.4819000000000014E-2</v>
      </c>
      <c r="AA16" s="256">
        <f t="shared" si="1"/>
        <v>0</v>
      </c>
      <c r="AB16" s="256">
        <f t="shared" si="1"/>
        <v>0</v>
      </c>
    </row>
    <row r="17" spans="1:28" ht="15.75">
      <c r="A17" s="275">
        <f t="shared" si="0"/>
        <v>7</v>
      </c>
      <c r="B17" s="286">
        <f>+B16+500</f>
        <v>3500</v>
      </c>
      <c r="C17" s="281"/>
      <c r="D17" s="284">
        <f>ROUND($U$13+$B17*$U$17,2)</f>
        <v>347.59</v>
      </c>
      <c r="E17" s="284"/>
      <c r="F17" s="284">
        <f>ROUND($V$13+$B17*$V$17,2)</f>
        <v>362.69</v>
      </c>
      <c r="G17" s="284"/>
      <c r="H17" s="284">
        <f>ROUND($X$13+$B17*$X$17,2)</f>
        <v>347.59</v>
      </c>
      <c r="I17" s="284"/>
      <c r="J17" s="284">
        <f>ROUND($Y$13+$B17*$Y$17,2)</f>
        <v>362.69</v>
      </c>
      <c r="K17" s="283"/>
      <c r="L17" s="284">
        <f>H17-D17</f>
        <v>0</v>
      </c>
      <c r="M17" s="284"/>
      <c r="N17" s="284">
        <f>J17-F17</f>
        <v>0</v>
      </c>
      <c r="O17" s="280"/>
      <c r="P17" s="282">
        <f>ROUND(H17/D17-1,4)</f>
        <v>0</v>
      </c>
      <c r="Q17" s="283"/>
      <c r="R17" s="282">
        <f>ROUND(J17/F17-1,4)</f>
        <v>0</v>
      </c>
      <c r="T17" s="293" t="s">
        <v>292</v>
      </c>
      <c r="U17" s="260">
        <f>ROUND(SUM(U23,V25:V31,V40)+AVERAGE(V34:V35),6)</f>
        <v>9.6511E-2</v>
      </c>
      <c r="V17" s="258">
        <f>U17</f>
        <v>9.6511E-2</v>
      </c>
      <c r="W17" s="293" t="str">
        <f>+T17</f>
        <v>Average kWh</v>
      </c>
      <c r="X17" s="260">
        <f>ROUND(SUM(X23,Y25:Y31,Y40)+AVERAGE(Y34:Y35,Y38:Y39),6)</f>
        <v>9.6511E-2</v>
      </c>
      <c r="Y17" s="258">
        <f>X17</f>
        <v>9.6511E-2</v>
      </c>
      <c r="AA17" s="256">
        <f t="shared" si="1"/>
        <v>0</v>
      </c>
      <c r="AB17" s="256">
        <f t="shared" si="1"/>
        <v>0</v>
      </c>
    </row>
    <row r="18" spans="1:28" ht="16.5" thickBot="1">
      <c r="A18" s="275">
        <f t="shared" si="0"/>
        <v>8</v>
      </c>
      <c r="B18" s="280"/>
      <c r="C18" s="281"/>
      <c r="D18" s="289"/>
      <c r="E18" s="289"/>
      <c r="F18" s="289"/>
      <c r="G18" s="289"/>
      <c r="H18" s="289"/>
      <c r="I18" s="289"/>
      <c r="J18" s="289"/>
      <c r="K18" s="280"/>
      <c r="L18" s="284"/>
      <c r="M18" s="284"/>
      <c r="N18" s="284"/>
      <c r="O18" s="280"/>
      <c r="P18" s="282"/>
      <c r="Q18" s="280"/>
      <c r="R18" s="280"/>
      <c r="T18" s="292" t="s">
        <v>24</v>
      </c>
      <c r="U18" s="253" t="s">
        <v>24</v>
      </c>
      <c r="V18" s="291" t="s">
        <v>24</v>
      </c>
      <c r="W18" s="292" t="s">
        <v>24</v>
      </c>
      <c r="X18" s="253" t="s">
        <v>24</v>
      </c>
      <c r="Y18" s="291" t="s">
        <v>24</v>
      </c>
    </row>
    <row r="19" spans="1:28" ht="15.75">
      <c r="A19" s="275">
        <f t="shared" si="0"/>
        <v>9</v>
      </c>
      <c r="B19" s="286">
        <f>+B17+500</f>
        <v>4000</v>
      </c>
      <c r="C19" s="281"/>
      <c r="D19" s="284">
        <f>ROUND($U$13+$B19*$U$17,2)</f>
        <v>395.84</v>
      </c>
      <c r="E19" s="284"/>
      <c r="F19" s="284">
        <f>ROUND($V$13+$B19*$V$17,2)</f>
        <v>410.94</v>
      </c>
      <c r="G19" s="284"/>
      <c r="H19" s="284">
        <f>ROUND($X$13+$B19*$X$17,2)</f>
        <v>395.84</v>
      </c>
      <c r="I19" s="284"/>
      <c r="J19" s="284">
        <f>ROUND($Y$13+$B19*$Y$17,2)</f>
        <v>410.94</v>
      </c>
      <c r="K19" s="283"/>
      <c r="L19" s="284">
        <f>H19-D19</f>
        <v>0</v>
      </c>
      <c r="M19" s="284"/>
      <c r="N19" s="284">
        <f>J19-F19</f>
        <v>0</v>
      </c>
      <c r="O19" s="280"/>
      <c r="P19" s="282">
        <f>ROUND(H19/D19-1,4)</f>
        <v>0</v>
      </c>
      <c r="Q19" s="283"/>
      <c r="R19" s="282">
        <f>ROUND(J19/F19-1,4)</f>
        <v>0</v>
      </c>
      <c r="AA19" s="239"/>
    </row>
    <row r="20" spans="1:28" ht="15.75">
      <c r="A20" s="275">
        <f t="shared" si="0"/>
        <v>10</v>
      </c>
      <c r="B20" s="286">
        <f>+B19+500</f>
        <v>4500</v>
      </c>
      <c r="C20" s="281"/>
      <c r="D20" s="284">
        <f>ROUND($U$13+$B20*$U$17,2)</f>
        <v>444.1</v>
      </c>
      <c r="E20" s="284"/>
      <c r="F20" s="284">
        <f>ROUND($V$13+$B20*$V$17,2)</f>
        <v>459.2</v>
      </c>
      <c r="G20" s="284"/>
      <c r="H20" s="284">
        <f>ROUND($X$13+$B20*$X$17,2)</f>
        <v>444.1</v>
      </c>
      <c r="I20" s="284"/>
      <c r="J20" s="284">
        <f>ROUND($Y$13+$B20*$Y$17,2)</f>
        <v>459.2</v>
      </c>
      <c r="K20" s="283"/>
      <c r="L20" s="284">
        <f>H20-D20</f>
        <v>0</v>
      </c>
      <c r="M20" s="284"/>
      <c r="N20" s="284">
        <f>J20-F20</f>
        <v>0</v>
      </c>
      <c r="O20" s="280"/>
      <c r="P20" s="282">
        <f>ROUND(H20/D20-1,4)</f>
        <v>0</v>
      </c>
      <c r="Q20" s="283"/>
      <c r="R20" s="282">
        <f>ROUND(J20/F20-1,4)</f>
        <v>0</v>
      </c>
      <c r="T20" s="231" t="str">
        <f>+T13</f>
        <v>Basic Charge</v>
      </c>
      <c r="U20" s="248">
        <f>+'[1](JAP4)-Tariff Summary'!$D$15</f>
        <v>9.8000000000000007</v>
      </c>
      <c r="V20" s="248">
        <f>+'[1](JAP4)-Tariff Summary'!$D$16</f>
        <v>24.9</v>
      </c>
      <c r="X20" s="248">
        <f>+U20</f>
        <v>9.8000000000000007</v>
      </c>
      <c r="Y20" s="248">
        <f t="shared" ref="Y20:Y23" si="2">+V20</f>
        <v>24.9</v>
      </c>
      <c r="AA20" s="262"/>
    </row>
    <row r="21" spans="1:28" ht="15.75">
      <c r="A21" s="275">
        <f t="shared" si="0"/>
        <v>11</v>
      </c>
      <c r="B21" s="286">
        <f>+B20+500</f>
        <v>5000</v>
      </c>
      <c r="C21" s="281"/>
      <c r="D21" s="284">
        <f>ROUND($U$13+$B21*$U$17,2)</f>
        <v>492.36</v>
      </c>
      <c r="E21" s="284"/>
      <c r="F21" s="284">
        <f>ROUND($V$13+$B21*$V$17,2)</f>
        <v>507.46</v>
      </c>
      <c r="G21" s="284"/>
      <c r="H21" s="284">
        <f>ROUND($X$13+$B21*$X$17,2)</f>
        <v>492.36</v>
      </c>
      <c r="I21" s="284"/>
      <c r="J21" s="284">
        <f>ROUND($Y$13+$B21*$Y$17,2)</f>
        <v>507.46</v>
      </c>
      <c r="K21" s="283"/>
      <c r="L21" s="284">
        <f>H21-D21</f>
        <v>0</v>
      </c>
      <c r="M21" s="284"/>
      <c r="N21" s="284">
        <f>J21-F21</f>
        <v>0</v>
      </c>
      <c r="O21" s="280"/>
      <c r="P21" s="282">
        <f>ROUND(H21/D21-1,4)</f>
        <v>0</v>
      </c>
      <c r="Q21" s="283"/>
      <c r="R21" s="282">
        <f>ROUND(J21/F21-1,4)</f>
        <v>0</v>
      </c>
      <c r="T21" s="231" t="str">
        <f>+T15</f>
        <v xml:space="preserve">Winter kWh </v>
      </c>
      <c r="U21" s="248">
        <f>+'[1](JAP4)-Tariff Summary'!$D$18</f>
        <v>9.071499999999999E-2</v>
      </c>
      <c r="V21" s="248">
        <f>+U21</f>
        <v>9.071499999999999E-2</v>
      </c>
      <c r="X21" s="248">
        <f t="shared" ref="X21:X23" si="3">+U21</f>
        <v>9.071499999999999E-2</v>
      </c>
      <c r="Y21" s="248">
        <f t="shared" si="2"/>
        <v>9.071499999999999E-2</v>
      </c>
      <c r="AA21" s="262"/>
    </row>
    <row r="22" spans="1:28" ht="15.75">
      <c r="A22" s="275">
        <f t="shared" si="0"/>
        <v>12</v>
      </c>
      <c r="B22" s="280"/>
      <c r="C22" s="281"/>
      <c r="D22" s="289"/>
      <c r="E22" s="289"/>
      <c r="F22" s="289"/>
      <c r="G22" s="289"/>
      <c r="H22" s="289"/>
      <c r="I22" s="289"/>
      <c r="J22" s="289"/>
      <c r="K22" s="280"/>
      <c r="L22" s="284"/>
      <c r="M22" s="284"/>
      <c r="N22" s="284"/>
      <c r="O22" s="280"/>
      <c r="P22" s="282"/>
      <c r="Q22" s="280"/>
      <c r="R22" s="280"/>
      <c r="T22" s="231" t="str">
        <f>+T16</f>
        <v>Summer kWh</v>
      </c>
      <c r="U22" s="248">
        <f>+'[1](JAP4)-Tariff Summary'!$D$19</f>
        <v>8.7578000000000003E-2</v>
      </c>
      <c r="V22" s="248">
        <f>+U22</f>
        <v>8.7578000000000003E-2</v>
      </c>
      <c r="X22" s="248">
        <f t="shared" si="3"/>
        <v>8.7578000000000003E-2</v>
      </c>
      <c r="Y22" s="248">
        <f t="shared" si="2"/>
        <v>8.7578000000000003E-2</v>
      </c>
      <c r="Z22" s="290"/>
      <c r="AA22" s="239"/>
    </row>
    <row r="23" spans="1:28" ht="15.75">
      <c r="A23" s="275">
        <f t="shared" si="0"/>
        <v>13</v>
      </c>
      <c r="B23" s="286">
        <f>+B21+1000</f>
        <v>6000</v>
      </c>
      <c r="C23" s="285"/>
      <c r="D23" s="284">
        <f>ROUND($U$13+$B23*$U$17,2)</f>
        <v>588.87</v>
      </c>
      <c r="E23" s="284"/>
      <c r="F23" s="284">
        <f>ROUND($V$13+$B23*$V$17,2)</f>
        <v>603.97</v>
      </c>
      <c r="G23" s="284"/>
      <c r="H23" s="284">
        <f>ROUND($X$13+$B23*$X$17,2)</f>
        <v>588.87</v>
      </c>
      <c r="I23" s="284"/>
      <c r="J23" s="284">
        <f>ROUND($Y$13+$B23*$Y$17,2)</f>
        <v>603.97</v>
      </c>
      <c r="K23" s="283"/>
      <c r="L23" s="284">
        <f>H23-D23</f>
        <v>0</v>
      </c>
      <c r="M23" s="284"/>
      <c r="N23" s="284">
        <f>J23-F23</f>
        <v>0</v>
      </c>
      <c r="O23" s="280"/>
      <c r="P23" s="282">
        <f>ROUND(H23/D23-1,4)</f>
        <v>0</v>
      </c>
      <c r="Q23" s="283"/>
      <c r="R23" s="282">
        <f>ROUND(J23/F23-1,4)</f>
        <v>0</v>
      </c>
      <c r="T23" s="231" t="str">
        <f>+T17</f>
        <v>Average kWh</v>
      </c>
      <c r="U23" s="248">
        <f>+'[1](JAP4) SecVolt RD'!$D$27</f>
        <v>8.9270000000000002E-2</v>
      </c>
      <c r="V23" s="248">
        <f>+U23</f>
        <v>8.9270000000000002E-2</v>
      </c>
      <c r="X23" s="248">
        <f t="shared" si="3"/>
        <v>8.9270000000000002E-2</v>
      </c>
      <c r="Y23" s="248">
        <f t="shared" si="2"/>
        <v>8.9270000000000002E-2</v>
      </c>
    </row>
    <row r="24" spans="1:28" ht="15.75">
      <c r="A24" s="275">
        <f t="shared" si="0"/>
        <v>14</v>
      </c>
      <c r="B24" s="286">
        <f>+B23+1000</f>
        <v>7000</v>
      </c>
      <c r="C24" s="285"/>
      <c r="D24" s="284">
        <f>ROUND($U$13+$B24*$U$17,2)</f>
        <v>685.38</v>
      </c>
      <c r="E24" s="284"/>
      <c r="F24" s="284">
        <f>ROUND($V$13+$B24*$V$17,2)</f>
        <v>700.48</v>
      </c>
      <c r="G24" s="284"/>
      <c r="H24" s="284">
        <f>ROUND($X$13+$B24*$X$17,2)</f>
        <v>685.38</v>
      </c>
      <c r="I24" s="284"/>
      <c r="J24" s="284">
        <f>ROUND($Y$13+$B24*$Y$17,2)</f>
        <v>700.48</v>
      </c>
      <c r="K24" s="283"/>
      <c r="L24" s="284">
        <f>H24-D24</f>
        <v>0</v>
      </c>
      <c r="M24" s="284"/>
      <c r="N24" s="284">
        <f>J24-F24</f>
        <v>0</v>
      </c>
      <c r="O24" s="280"/>
      <c r="P24" s="282">
        <f>ROUND(H24/D24-1,4)</f>
        <v>0</v>
      </c>
      <c r="Q24" s="283"/>
      <c r="R24" s="282">
        <f>ROUND(J24/F24-1,4)</f>
        <v>0</v>
      </c>
    </row>
    <row r="25" spans="1:28" ht="15.75">
      <c r="A25" s="275">
        <f t="shared" si="0"/>
        <v>15</v>
      </c>
      <c r="B25" s="286">
        <f>+B24+1000</f>
        <v>8000</v>
      </c>
      <c r="C25" s="285"/>
      <c r="D25" s="284">
        <f>ROUND($U$13+$B25*$U$17,2)</f>
        <v>781.89</v>
      </c>
      <c r="E25" s="284"/>
      <c r="F25" s="284">
        <f>ROUND($V$13+$B25*$V$17,2)</f>
        <v>796.99</v>
      </c>
      <c r="G25" s="284"/>
      <c r="H25" s="284">
        <f>ROUND($X$13+$B25*$X$17,2)</f>
        <v>781.89</v>
      </c>
      <c r="I25" s="284"/>
      <c r="J25" s="284">
        <f>ROUND($Y$13+$B25*$Y$17,2)</f>
        <v>796.99</v>
      </c>
      <c r="K25" s="283"/>
      <c r="L25" s="284">
        <f>H25-D25</f>
        <v>0</v>
      </c>
      <c r="M25" s="284"/>
      <c r="N25" s="284">
        <f>J25-F25</f>
        <v>0</v>
      </c>
      <c r="O25" s="280"/>
      <c r="P25" s="282">
        <f>ROUND(H25/D25-1,4)</f>
        <v>0</v>
      </c>
      <c r="Q25" s="283"/>
      <c r="R25" s="282">
        <f>ROUND(J25/F25-1,4)</f>
        <v>0</v>
      </c>
      <c r="T25" s="247" t="s">
        <v>274</v>
      </c>
      <c r="V25" s="248">
        <v>0</v>
      </c>
      <c r="Y25" s="248">
        <f t="shared" ref="Y25:Y27" si="4">+V25</f>
        <v>0</v>
      </c>
    </row>
    <row r="26" spans="1:28" ht="15.75">
      <c r="A26" s="275">
        <f t="shared" si="0"/>
        <v>16</v>
      </c>
      <c r="B26" s="287"/>
      <c r="C26" s="288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T26" s="247" t="s">
        <v>273</v>
      </c>
      <c r="U26" s="276"/>
      <c r="V26" s="248">
        <f>+'Sch 95a'!$H$11</f>
        <v>-1.6410000000000001E-3</v>
      </c>
      <c r="W26" s="276"/>
      <c r="X26" s="276"/>
      <c r="Y26" s="248">
        <f t="shared" si="4"/>
        <v>-1.6410000000000001E-3</v>
      </c>
    </row>
    <row r="27" spans="1:28" ht="15.75">
      <c r="A27" s="275">
        <f t="shared" si="0"/>
        <v>17</v>
      </c>
      <c r="B27" s="286">
        <f>+B25+1000</f>
        <v>9000</v>
      </c>
      <c r="C27" s="285"/>
      <c r="D27" s="284">
        <f>ROUND($U$13+$B27*$U$17,2)</f>
        <v>878.4</v>
      </c>
      <c r="E27" s="284"/>
      <c r="F27" s="284">
        <f>ROUND($V$13+$B27*$V$17,2)</f>
        <v>893.5</v>
      </c>
      <c r="G27" s="284"/>
      <c r="H27" s="284">
        <f>ROUND($X$13+$B27*$X$17,2)</f>
        <v>878.4</v>
      </c>
      <c r="I27" s="284"/>
      <c r="J27" s="284">
        <f>ROUND($Y$13+$B27*$Y$17,2)</f>
        <v>893.5</v>
      </c>
      <c r="K27" s="283"/>
      <c r="L27" s="284">
        <f>H27-D27</f>
        <v>0</v>
      </c>
      <c r="M27" s="284"/>
      <c r="N27" s="284">
        <f>J27-F27</f>
        <v>0</v>
      </c>
      <c r="O27" s="280"/>
      <c r="P27" s="282">
        <f>ROUND(H27/D27-1,4)</f>
        <v>0</v>
      </c>
      <c r="Q27" s="283"/>
      <c r="R27" s="282">
        <f>ROUND(J27/F27-1,4)</f>
        <v>0</v>
      </c>
      <c r="T27" s="247" t="s">
        <v>272</v>
      </c>
      <c r="U27" s="276"/>
      <c r="V27" s="248">
        <f>+'Sch 120'!$H$11</f>
        <v>4.2079999999999999E-3</v>
      </c>
      <c r="Y27" s="248">
        <f t="shared" si="4"/>
        <v>4.2079999999999999E-3</v>
      </c>
    </row>
    <row r="28" spans="1:28" ht="15.75">
      <c r="A28" s="275">
        <f t="shared" si="0"/>
        <v>18</v>
      </c>
      <c r="B28" s="286">
        <f>+B27+1000</f>
        <v>10000</v>
      </c>
      <c r="C28" s="285"/>
      <c r="D28" s="284">
        <f>ROUND($U$13+$B28*$U$17,2)</f>
        <v>974.91</v>
      </c>
      <c r="E28" s="284"/>
      <c r="F28" s="284">
        <f>ROUND($V$13+$B28*$V$17,2)</f>
        <v>990.01</v>
      </c>
      <c r="G28" s="284"/>
      <c r="H28" s="284">
        <f>ROUND($X$13+$B28*$X$17,2)</f>
        <v>974.91</v>
      </c>
      <c r="I28" s="284"/>
      <c r="J28" s="284">
        <f>ROUND($Y$13+$B28*$Y$17,2)</f>
        <v>990.01</v>
      </c>
      <c r="K28" s="283"/>
      <c r="L28" s="284">
        <f>H28-D28</f>
        <v>0</v>
      </c>
      <c r="M28" s="284"/>
      <c r="N28" s="284">
        <f>J28-F28</f>
        <v>0</v>
      </c>
      <c r="O28" s="280"/>
      <c r="P28" s="282">
        <f>ROUND(H28/D28-1,4)</f>
        <v>0</v>
      </c>
      <c r="Q28" s="283"/>
      <c r="R28" s="282">
        <f>ROUND(J28/F28-1,4)</f>
        <v>0</v>
      </c>
      <c r="T28" s="247" t="s">
        <v>207</v>
      </c>
      <c r="U28" s="276"/>
      <c r="V28" s="248">
        <f>+'Sch 129'!G11</f>
        <v>8.5700000000000001E-4</v>
      </c>
      <c r="Y28" s="248">
        <f t="shared" ref="Y28:Y31" si="5">+V28</f>
        <v>8.5700000000000001E-4</v>
      </c>
    </row>
    <row r="29" spans="1:28" ht="15.75">
      <c r="A29" s="275">
        <f t="shared" si="0"/>
        <v>19</v>
      </c>
      <c r="B29" s="286">
        <f>+B28+1000</f>
        <v>11000</v>
      </c>
      <c r="C29" s="285"/>
      <c r="D29" s="284">
        <f>ROUND($U$13+$B29*$U$17,2)</f>
        <v>1071.42</v>
      </c>
      <c r="E29" s="284"/>
      <c r="F29" s="284">
        <f>ROUND($V$13+$B29*$V$17,2)</f>
        <v>1086.52</v>
      </c>
      <c r="G29" s="284"/>
      <c r="H29" s="284">
        <f>ROUND($X$13+$B29*$X$17,2)</f>
        <v>1071.42</v>
      </c>
      <c r="I29" s="284"/>
      <c r="J29" s="284">
        <f>ROUND($Y$13+$B29*$Y$17,2)</f>
        <v>1086.52</v>
      </c>
      <c r="K29" s="283"/>
      <c r="L29" s="284">
        <f>H29-D29</f>
        <v>0</v>
      </c>
      <c r="M29" s="284"/>
      <c r="N29" s="284">
        <f>J29-F29</f>
        <v>0</v>
      </c>
      <c r="O29" s="280"/>
      <c r="P29" s="282">
        <f>ROUND(H29/D29-1,4)</f>
        <v>0</v>
      </c>
      <c r="Q29" s="283"/>
      <c r="R29" s="282">
        <f>ROUND(J29/F29-1,4)</f>
        <v>0</v>
      </c>
      <c r="T29" s="247" t="s">
        <v>208</v>
      </c>
      <c r="U29" s="276"/>
      <c r="V29" s="248">
        <f>+'Sch 132'!E11</f>
        <v>0</v>
      </c>
      <c r="Y29" s="246">
        <f t="shared" si="5"/>
        <v>0</v>
      </c>
    </row>
    <row r="30" spans="1:28" ht="15.75">
      <c r="A30" s="275">
        <f t="shared" si="0"/>
        <v>20</v>
      </c>
      <c r="B30" s="280"/>
      <c r="C30" s="281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T30" s="247" t="s">
        <v>270</v>
      </c>
      <c r="U30" s="276"/>
      <c r="V30" s="248">
        <f>+'Sch 137'!E11</f>
        <v>-6.3E-5</v>
      </c>
      <c r="Y30" s="246">
        <f t="shared" si="5"/>
        <v>-6.3E-5</v>
      </c>
    </row>
    <row r="31" spans="1:28" ht="15.75">
      <c r="A31" s="275">
        <f t="shared" si="0"/>
        <v>21</v>
      </c>
      <c r="B31" s="286">
        <f>+B29+1000</f>
        <v>12000</v>
      </c>
      <c r="C31" s="285"/>
      <c r="D31" s="284">
        <f>ROUND($U$13+$B31*$U$17,2)</f>
        <v>1167.93</v>
      </c>
      <c r="E31" s="284"/>
      <c r="F31" s="284">
        <f>ROUND($V$13+$B31*$V$17,2)</f>
        <v>1183.03</v>
      </c>
      <c r="G31" s="284"/>
      <c r="H31" s="284">
        <f>ROUND($X$13+$B31*$X$17,2)</f>
        <v>1167.93</v>
      </c>
      <c r="I31" s="284"/>
      <c r="J31" s="284">
        <f>ROUND($Y$13+$B31*$Y$17,2)</f>
        <v>1183.03</v>
      </c>
      <c r="K31" s="283"/>
      <c r="L31" s="284">
        <f>H31-D31</f>
        <v>0</v>
      </c>
      <c r="M31" s="284"/>
      <c r="N31" s="284">
        <f>J31-F31</f>
        <v>0</v>
      </c>
      <c r="O31" s="280"/>
      <c r="P31" s="282">
        <f>ROUND(H31/D31-1,4)</f>
        <v>0</v>
      </c>
      <c r="Q31" s="283"/>
      <c r="R31" s="282">
        <f>ROUND(J31/F31-1,4)</f>
        <v>0</v>
      </c>
      <c r="T31" s="247" t="s">
        <v>239</v>
      </c>
      <c r="U31" s="276"/>
      <c r="V31" s="248">
        <f>+'Sch 140'!$H$11</f>
        <v>2.6289999999999998E-3</v>
      </c>
      <c r="Y31" s="385">
        <f t="shared" si="5"/>
        <v>2.6289999999999998E-3</v>
      </c>
    </row>
    <row r="32" spans="1:28" ht="15.75">
      <c r="A32" s="275">
        <f t="shared" si="0"/>
        <v>22</v>
      </c>
      <c r="B32" s="286">
        <f>+B31+1000</f>
        <v>13000</v>
      </c>
      <c r="C32" s="285"/>
      <c r="D32" s="284">
        <f>ROUND($U$13+$B32*$U$17,2)</f>
        <v>1264.44</v>
      </c>
      <c r="E32" s="284"/>
      <c r="F32" s="284">
        <f>ROUND($V$13+$B32*$V$17,2)</f>
        <v>1279.54</v>
      </c>
      <c r="G32" s="284"/>
      <c r="H32" s="284">
        <f>ROUND($X$13+$B32*$X$17,2)</f>
        <v>1264.44</v>
      </c>
      <c r="I32" s="284"/>
      <c r="J32" s="284">
        <f>ROUND($Y$13+$B32*$Y$17,2)</f>
        <v>1279.54</v>
      </c>
      <c r="K32" s="283"/>
      <c r="L32" s="284">
        <f>H32-D32</f>
        <v>0</v>
      </c>
      <c r="M32" s="284"/>
      <c r="N32" s="284">
        <f>J32-F32</f>
        <v>0</v>
      </c>
      <c r="O32" s="280"/>
      <c r="P32" s="282">
        <f>ROUND(H32/D32-1,4)</f>
        <v>0</v>
      </c>
      <c r="Q32" s="283"/>
      <c r="R32" s="282">
        <f>ROUND(J32/F32-1,4)</f>
        <v>0</v>
      </c>
      <c r="T32" s="381" t="s">
        <v>291</v>
      </c>
      <c r="U32" s="383"/>
      <c r="V32" s="382">
        <v>0</v>
      </c>
      <c r="W32" s="383"/>
      <c r="X32" s="383"/>
      <c r="Y32" s="386">
        <f>+'[1](JAP4)-Tariff Summary'!$F$15</f>
        <v>0.10999999999999943</v>
      </c>
    </row>
    <row r="33" spans="1:25" ht="15.75">
      <c r="A33" s="275">
        <f t="shared" si="0"/>
        <v>23</v>
      </c>
      <c r="B33" s="286">
        <f>+B32+1000</f>
        <v>14000</v>
      </c>
      <c r="C33" s="285"/>
      <c r="D33" s="284">
        <f>ROUND($U$13+$B33*$U$17,2)</f>
        <v>1360.95</v>
      </c>
      <c r="E33" s="284"/>
      <c r="F33" s="284">
        <f>ROUND($V$13+$B33*$V$17,2)</f>
        <v>1376.05</v>
      </c>
      <c r="G33" s="284"/>
      <c r="H33" s="284">
        <f>ROUND($X$13+$B33*$X$17,2)</f>
        <v>1360.95</v>
      </c>
      <c r="I33" s="284"/>
      <c r="J33" s="284">
        <f>ROUND($Y$13+$B33*$Y$17,2)</f>
        <v>1376.05</v>
      </c>
      <c r="K33" s="283"/>
      <c r="L33" s="284">
        <f>H33-D33</f>
        <v>0</v>
      </c>
      <c r="M33" s="284"/>
      <c r="N33" s="284">
        <f>J33-F33</f>
        <v>0</v>
      </c>
      <c r="O33" s="280"/>
      <c r="P33" s="282">
        <f>ROUND(H33/D33-1,4)</f>
        <v>0</v>
      </c>
      <c r="Q33" s="283"/>
      <c r="R33" s="282">
        <f>ROUND(J33/F33-1,4)</f>
        <v>0</v>
      </c>
      <c r="T33" s="381" t="s">
        <v>290</v>
      </c>
      <c r="U33" s="383"/>
      <c r="V33" s="382">
        <v>0</v>
      </c>
      <c r="W33" s="383"/>
      <c r="X33" s="383"/>
      <c r="Y33" s="386">
        <f>+'[1](JAP4)-Tariff Summary'!$F$16</f>
        <v>0.28000000000000114</v>
      </c>
    </row>
    <row r="34" spans="1:25" ht="15.75">
      <c r="A34" s="275">
        <f t="shared" si="0"/>
        <v>24</v>
      </c>
      <c r="B34" s="280"/>
      <c r="C34" s="281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T34" s="381" t="s">
        <v>289</v>
      </c>
      <c r="U34" s="383"/>
      <c r="V34" s="382">
        <v>0</v>
      </c>
      <c r="W34" s="383"/>
      <c r="X34" s="383"/>
      <c r="Y34" s="386">
        <f>+'[1](JAP4)-Tariff Summary'!$F$18</f>
        <v>1.0070000000000079E-3</v>
      </c>
    </row>
    <row r="35" spans="1:25" ht="15.75">
      <c r="A35" s="275">
        <f t="shared" si="0"/>
        <v>25</v>
      </c>
      <c r="B35" s="286">
        <f>+B33+1000</f>
        <v>15000</v>
      </c>
      <c r="C35" s="285"/>
      <c r="D35" s="284">
        <f>ROUND($U$13+$B35*$U$17,2)</f>
        <v>1457.47</v>
      </c>
      <c r="E35" s="284"/>
      <c r="F35" s="284">
        <f>ROUND($V$13+$B35*$V$17,2)</f>
        <v>1472.57</v>
      </c>
      <c r="G35" s="284"/>
      <c r="H35" s="284">
        <f>ROUND($X$13+$B35*$X$17,2)</f>
        <v>1457.47</v>
      </c>
      <c r="I35" s="284"/>
      <c r="J35" s="284">
        <f>ROUND($Y$13+$B35*$Y$17,2)</f>
        <v>1472.57</v>
      </c>
      <c r="K35" s="283"/>
      <c r="L35" s="284">
        <f>H35-D35</f>
        <v>0</v>
      </c>
      <c r="M35" s="284"/>
      <c r="N35" s="284">
        <f>J35-F35</f>
        <v>0</v>
      </c>
      <c r="O35" s="280"/>
      <c r="P35" s="282">
        <f>ROUND(H35/D35-1,4)</f>
        <v>0</v>
      </c>
      <c r="Q35" s="283"/>
      <c r="R35" s="282">
        <f>ROUND(J35/F35-1,4)</f>
        <v>0</v>
      </c>
      <c r="T35" s="381" t="s">
        <v>288</v>
      </c>
      <c r="U35" s="383"/>
      <c r="V35" s="382">
        <v>0</v>
      </c>
      <c r="W35" s="383"/>
      <c r="X35" s="383"/>
      <c r="Y35" s="386">
        <f>+'[1](JAP4)-Tariff Summary'!$F$19</f>
        <v>9.8199999999999676E-4</v>
      </c>
    </row>
    <row r="36" spans="1:25" ht="15.75">
      <c r="A36" s="275">
        <f t="shared" si="0"/>
        <v>26</v>
      </c>
      <c r="B36" s="286">
        <f>+B35+1000</f>
        <v>16000</v>
      </c>
      <c r="C36" s="285"/>
      <c r="D36" s="284">
        <f>ROUND($U$13+$B36*$U$17,2)</f>
        <v>1553.98</v>
      </c>
      <c r="E36" s="284"/>
      <c r="F36" s="284">
        <f>ROUND($V$13+$B36*$V$17,2)</f>
        <v>1569.08</v>
      </c>
      <c r="G36" s="284"/>
      <c r="H36" s="284">
        <f>ROUND($X$13+$B36*$X$17,2)</f>
        <v>1553.98</v>
      </c>
      <c r="I36" s="284"/>
      <c r="J36" s="284">
        <f>ROUND($Y$13+$B36*$Y$17,2)</f>
        <v>1569.08</v>
      </c>
      <c r="K36" s="283"/>
      <c r="L36" s="284">
        <f>H36-D36</f>
        <v>0</v>
      </c>
      <c r="M36" s="284"/>
      <c r="N36" s="284">
        <f>J36-F36</f>
        <v>0</v>
      </c>
      <c r="O36" s="280"/>
      <c r="P36" s="282">
        <f>ROUND(H36/D36-1,4)</f>
        <v>0</v>
      </c>
      <c r="Q36" s="283"/>
      <c r="R36" s="282">
        <f>ROUND(J36/F36-1,4)</f>
        <v>0</v>
      </c>
      <c r="T36" s="381" t="s">
        <v>497</v>
      </c>
      <c r="U36" s="383"/>
      <c r="V36" s="382">
        <v>0</v>
      </c>
      <c r="W36" s="383"/>
      <c r="X36" s="383"/>
      <c r="Y36" s="386">
        <f>+'[1](JAP4)-Tariff Summary'!$G$15</f>
        <v>-0.10999999999999943</v>
      </c>
    </row>
    <row r="37" spans="1:25" ht="15.75">
      <c r="A37" s="275">
        <f t="shared" si="0"/>
        <v>27</v>
      </c>
      <c r="B37" s="286">
        <f>+B36+1000</f>
        <v>17000</v>
      </c>
      <c r="C37" s="285"/>
      <c r="D37" s="284">
        <f>ROUND($U$13+$B37*$U$17,2)</f>
        <v>1650.49</v>
      </c>
      <c r="E37" s="284"/>
      <c r="F37" s="284">
        <f>ROUND($V$13+$B37*$V$17,2)</f>
        <v>1665.59</v>
      </c>
      <c r="G37" s="284"/>
      <c r="H37" s="284">
        <f>ROUND($X$13+$B37*$X$17,2)</f>
        <v>1650.49</v>
      </c>
      <c r="I37" s="284"/>
      <c r="J37" s="284">
        <f>ROUND($Y$13+$B37*$Y$17,2)</f>
        <v>1665.59</v>
      </c>
      <c r="K37" s="283"/>
      <c r="L37" s="284">
        <f>H37-D37</f>
        <v>0</v>
      </c>
      <c r="M37" s="284"/>
      <c r="N37" s="284">
        <f>J37-F37</f>
        <v>0</v>
      </c>
      <c r="O37" s="280"/>
      <c r="P37" s="282">
        <f>ROUND(H37/D37-1,4)</f>
        <v>0</v>
      </c>
      <c r="Q37" s="283"/>
      <c r="R37" s="282">
        <f>ROUND(J37/F37-1,4)</f>
        <v>0</v>
      </c>
      <c r="T37" s="381" t="s">
        <v>498</v>
      </c>
      <c r="U37" s="383"/>
      <c r="V37" s="382">
        <v>0</v>
      </c>
      <c r="W37" s="383"/>
      <c r="X37" s="383"/>
      <c r="Y37" s="386">
        <f>+'[1](JAP4)-Tariff Summary'!$G$16</f>
        <v>-0.28000000000000114</v>
      </c>
    </row>
    <row r="38" spans="1:25" ht="15.75">
      <c r="A38" s="275">
        <f t="shared" si="0"/>
        <v>28</v>
      </c>
      <c r="B38" s="280"/>
      <c r="C38" s="281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T38" s="381" t="s">
        <v>499</v>
      </c>
      <c r="U38" s="383"/>
      <c r="V38" s="382">
        <v>0</v>
      </c>
      <c r="W38" s="383"/>
      <c r="X38" s="383"/>
      <c r="Y38" s="386">
        <f>+'[1](JAP4)-Tariff Summary'!$G$18</f>
        <v>-1.0070000000000079E-3</v>
      </c>
    </row>
    <row r="39" spans="1:25" ht="15.75">
      <c r="A39" s="275">
        <f t="shared" si="0"/>
        <v>29</v>
      </c>
      <c r="B39" s="286">
        <f>+B37+1000</f>
        <v>18000</v>
      </c>
      <c r="C39" s="285"/>
      <c r="D39" s="284">
        <f>ROUND($U$13+$B39*$U$17,2)</f>
        <v>1747</v>
      </c>
      <c r="E39" s="284"/>
      <c r="F39" s="284">
        <f>ROUND($V$13+$B39*$V$17,2)</f>
        <v>1762.1</v>
      </c>
      <c r="G39" s="284"/>
      <c r="H39" s="284">
        <f>ROUND($X$13+$B39*$X$17,2)</f>
        <v>1747</v>
      </c>
      <c r="I39" s="284"/>
      <c r="J39" s="284">
        <f>ROUND($Y$13+$B39*$Y$17,2)</f>
        <v>1762.1</v>
      </c>
      <c r="K39" s="283"/>
      <c r="L39" s="284">
        <f>H39-D39</f>
        <v>0</v>
      </c>
      <c r="M39" s="284"/>
      <c r="N39" s="284">
        <f>J39-F39</f>
        <v>0</v>
      </c>
      <c r="O39" s="280"/>
      <c r="P39" s="282">
        <f>ROUND(H39/D39-1,4)</f>
        <v>0</v>
      </c>
      <c r="Q39" s="283"/>
      <c r="R39" s="282">
        <f>ROUND(J39/F39-1,4)</f>
        <v>0</v>
      </c>
      <c r="T39" s="381" t="s">
        <v>500</v>
      </c>
      <c r="U39" s="383"/>
      <c r="V39" s="382">
        <v>0</v>
      </c>
      <c r="W39" s="383"/>
      <c r="X39" s="383"/>
      <c r="Y39" s="386">
        <f>+'[1](JAP4)-Tariff Summary'!$G$19</f>
        <v>-9.8199999999999676E-4</v>
      </c>
    </row>
    <row r="40" spans="1:25" ht="15.75">
      <c r="A40" s="275">
        <f t="shared" si="0"/>
        <v>30</v>
      </c>
      <c r="B40" s="286">
        <f>+B39+1000</f>
        <v>19000</v>
      </c>
      <c r="C40" s="285"/>
      <c r="D40" s="284">
        <f>ROUND($U$13+$B40*$U$17,2)</f>
        <v>1843.51</v>
      </c>
      <c r="E40" s="284"/>
      <c r="F40" s="284">
        <f>ROUND($V$13+$B40*$V$17,2)</f>
        <v>1858.61</v>
      </c>
      <c r="G40" s="284"/>
      <c r="H40" s="284">
        <f>ROUND($X$13+$B40*$X$17,2)</f>
        <v>1843.51</v>
      </c>
      <c r="I40" s="284"/>
      <c r="J40" s="284">
        <f>ROUND($Y$13+$B40*$Y$17,2)</f>
        <v>1858.61</v>
      </c>
      <c r="K40" s="283"/>
      <c r="L40" s="284">
        <f>H40-D40</f>
        <v>0</v>
      </c>
      <c r="M40" s="284"/>
      <c r="N40" s="284">
        <f>J40-F40</f>
        <v>0</v>
      </c>
      <c r="O40" s="280"/>
      <c r="P40" s="282">
        <f>ROUND(H40/D40-1,4)</f>
        <v>0</v>
      </c>
      <c r="Q40" s="283"/>
      <c r="R40" s="282">
        <f>ROUND(J40/F40-1,4)</f>
        <v>0</v>
      </c>
      <c r="T40" s="247" t="s">
        <v>248</v>
      </c>
      <c r="U40" s="276"/>
      <c r="V40" s="248">
        <f>+'Sch 142'!$G$12</f>
        <v>1.2509999999999999E-3</v>
      </c>
      <c r="Y40" s="385">
        <f t="shared" ref="Y40" si="6">+V40</f>
        <v>1.2509999999999999E-3</v>
      </c>
    </row>
    <row r="41" spans="1:25" ht="15.75">
      <c r="A41" s="275">
        <f t="shared" si="0"/>
        <v>31</v>
      </c>
      <c r="B41" s="286">
        <f>+B40+1000</f>
        <v>20000</v>
      </c>
      <c r="C41" s="285"/>
      <c r="D41" s="284">
        <f>ROUND($U$13+$B41*$U$17,2)</f>
        <v>1940.02</v>
      </c>
      <c r="E41" s="284"/>
      <c r="F41" s="284">
        <f>ROUND($V$13+$B41*$V$17,2)</f>
        <v>1955.12</v>
      </c>
      <c r="G41" s="284"/>
      <c r="H41" s="284">
        <f>ROUND($X$13+$B41*$X$17,2)</f>
        <v>1940.02</v>
      </c>
      <c r="I41" s="284"/>
      <c r="J41" s="284">
        <f>ROUND($Y$13+$B41*$Y$17,2)</f>
        <v>1955.12</v>
      </c>
      <c r="K41" s="283"/>
      <c r="L41" s="284">
        <f>H41-D41</f>
        <v>0</v>
      </c>
      <c r="M41" s="284"/>
      <c r="N41" s="284">
        <f>J41-F41</f>
        <v>0</v>
      </c>
      <c r="O41" s="280"/>
      <c r="P41" s="282">
        <f>ROUND(H41/D41-1,4)</f>
        <v>0</v>
      </c>
      <c r="Q41" s="283"/>
      <c r="R41" s="282">
        <f>ROUND(J41/F41-1,4)</f>
        <v>0</v>
      </c>
      <c r="T41" s="247"/>
      <c r="V41" s="246"/>
      <c r="Y41" s="248"/>
    </row>
    <row r="42" spans="1:25" ht="15.75">
      <c r="A42" s="275">
        <f t="shared" si="0"/>
        <v>32</v>
      </c>
      <c r="B42" s="280"/>
      <c r="C42" s="281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U42" s="232" t="s">
        <v>24</v>
      </c>
    </row>
    <row r="43" spans="1:25">
      <c r="A43" s="275">
        <f t="shared" si="0"/>
        <v>33</v>
      </c>
      <c r="B43" s="531" t="s">
        <v>264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T43" s="244" t="s">
        <v>383</v>
      </c>
      <c r="U43" s="243">
        <f>+'JAP-4 (ERF Impacts)'!W12</f>
        <v>0</v>
      </c>
    </row>
    <row r="44" spans="1:25" ht="15.6" customHeight="1">
      <c r="A44" s="275">
        <f t="shared" si="0"/>
        <v>34</v>
      </c>
      <c r="B44" s="531" t="s">
        <v>384</v>
      </c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  <c r="N44" s="531"/>
      <c r="O44" s="531"/>
      <c r="P44" s="531"/>
      <c r="Q44" s="531"/>
      <c r="R44" s="531"/>
      <c r="V44" s="385"/>
    </row>
    <row r="45" spans="1:25">
      <c r="A45" s="275">
        <f t="shared" si="0"/>
        <v>35</v>
      </c>
      <c r="B45" s="403" t="s">
        <v>287</v>
      </c>
      <c r="C45" s="403"/>
      <c r="D45" s="403"/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</row>
    <row r="46" spans="1:25">
      <c r="A46" s="275">
        <f t="shared" si="0"/>
        <v>36</v>
      </c>
      <c r="B46" s="437" t="s">
        <v>458</v>
      </c>
      <c r="C46" s="403"/>
      <c r="D46" s="403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</row>
    <row r="47" spans="1:25">
      <c r="A47" s="275">
        <f t="shared" si="0"/>
        <v>37</v>
      </c>
      <c r="B47" s="510" t="s">
        <v>488</v>
      </c>
      <c r="C47" s="478"/>
      <c r="D47" s="478"/>
      <c r="E47" s="478"/>
      <c r="F47" s="478"/>
      <c r="G47" s="478"/>
      <c r="H47" s="478"/>
      <c r="I47" s="478"/>
      <c r="J47" s="478"/>
      <c r="K47" s="478"/>
      <c r="L47" s="478"/>
      <c r="M47" s="403"/>
      <c r="N47" s="403"/>
      <c r="O47" s="403"/>
      <c r="P47" s="403"/>
      <c r="Q47" s="403"/>
      <c r="R47" s="403"/>
    </row>
    <row r="48" spans="1:25">
      <c r="A48" s="279"/>
    </row>
    <row r="49" spans="13:13">
      <c r="M49" s="232"/>
    </row>
  </sheetData>
  <mergeCells count="4">
    <mergeCell ref="T11:V11"/>
    <mergeCell ref="W11:Y11"/>
    <mergeCell ref="B43:R43"/>
    <mergeCell ref="B44:R44"/>
  </mergeCells>
  <printOptions horizontalCentered="1"/>
  <pageMargins left="0.7" right="0.7" top="0.75" bottom="0.75" header="0.3" footer="0.3"/>
  <pageSetup scale="60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68"/>
  <sheetViews>
    <sheetView zoomScale="80" zoomScaleNormal="8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27" sqref="Q27"/>
    </sheetView>
  </sheetViews>
  <sheetFormatPr defaultColWidth="9.42578125" defaultRowHeight="15"/>
  <cols>
    <col min="1" max="1" width="8.28515625" style="231" bestFit="1" customWidth="1"/>
    <col min="2" max="2" width="14.28515625" style="231" customWidth="1"/>
    <col min="3" max="3" width="2.7109375" style="231" customWidth="1"/>
    <col min="4" max="4" width="14.28515625" style="231" customWidth="1"/>
    <col min="5" max="5" width="9" style="231" bestFit="1" customWidth="1"/>
    <col min="6" max="6" width="3.85546875" style="231" customWidth="1"/>
    <col min="7" max="7" width="13.140625" style="231" bestFit="1" customWidth="1"/>
    <col min="8" max="8" width="4" style="231" customWidth="1"/>
    <col min="9" max="9" width="13.140625" style="231" bestFit="1" customWidth="1"/>
    <col min="10" max="10" width="5" style="231" customWidth="1"/>
    <col min="11" max="11" width="12.42578125" style="231" bestFit="1" customWidth="1"/>
    <col min="12" max="12" width="2.7109375" style="231" customWidth="1"/>
    <col min="13" max="13" width="3.28515625" style="231" customWidth="1"/>
    <col min="14" max="14" width="55" style="231" bestFit="1" customWidth="1"/>
    <col min="15" max="15" width="11.85546875" style="231" bestFit="1" customWidth="1"/>
    <col min="16" max="16" width="24.140625" style="231" bestFit="1" customWidth="1"/>
    <col min="17" max="17" width="11.85546875" style="231" bestFit="1" customWidth="1"/>
    <col min="18" max="18" width="2.42578125" style="231" customWidth="1"/>
    <col min="19" max="19" width="5.28515625" style="231" bestFit="1" customWidth="1"/>
    <col min="20" max="16384" width="9.42578125" style="231"/>
  </cols>
  <sheetData>
    <row r="1" spans="1:25" ht="20.25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21"/>
      <c r="M1" s="321"/>
    </row>
    <row r="2" spans="1:25" ht="20.25">
      <c r="B2" s="310" t="s">
        <v>286</v>
      </c>
      <c r="C2" s="310"/>
      <c r="D2" s="310"/>
      <c r="E2" s="310"/>
      <c r="F2" s="310"/>
      <c r="G2" s="310"/>
      <c r="H2" s="310"/>
      <c r="I2" s="310"/>
      <c r="J2" s="310"/>
      <c r="K2" s="310"/>
      <c r="L2" s="321"/>
      <c r="M2" s="321"/>
    </row>
    <row r="3" spans="1:25" ht="20.25">
      <c r="B3" s="310" t="s">
        <v>320</v>
      </c>
      <c r="C3" s="310"/>
      <c r="D3" s="310"/>
      <c r="E3" s="310"/>
      <c r="F3" s="310"/>
      <c r="G3" s="310"/>
      <c r="H3" s="310"/>
      <c r="I3" s="310"/>
      <c r="J3" s="310"/>
      <c r="K3" s="310"/>
      <c r="L3" s="321"/>
      <c r="M3" s="321"/>
    </row>
    <row r="4" spans="1:25" ht="20.25">
      <c r="B4" s="322" t="s">
        <v>328</v>
      </c>
      <c r="C4" s="310"/>
      <c r="D4" s="310"/>
      <c r="E4" s="310"/>
      <c r="F4" s="310"/>
      <c r="G4" s="310"/>
      <c r="H4" s="310"/>
      <c r="I4" s="310"/>
      <c r="J4" s="310"/>
      <c r="K4" s="310"/>
      <c r="L4" s="321"/>
      <c r="M4" s="321"/>
    </row>
    <row r="5" spans="1:25">
      <c r="A5" s="279"/>
      <c r="B5" s="320"/>
    </row>
    <row r="6" spans="1:25" ht="15.75">
      <c r="A6" s="279"/>
      <c r="B6" s="318" t="s">
        <v>327</v>
      </c>
      <c r="C6" s="283"/>
      <c r="D6" s="283"/>
      <c r="E6" s="283"/>
      <c r="F6" s="283"/>
      <c r="G6" s="538" t="s">
        <v>326</v>
      </c>
      <c r="H6" s="539"/>
      <c r="I6" s="539"/>
      <c r="J6" s="283"/>
      <c r="K6" s="280"/>
      <c r="L6" s="279"/>
      <c r="M6" s="279"/>
    </row>
    <row r="7" spans="1:25" ht="15.75">
      <c r="A7" s="279"/>
      <c r="B7" s="319" t="s">
        <v>325</v>
      </c>
      <c r="C7" s="307"/>
      <c r="D7" s="318" t="s">
        <v>324</v>
      </c>
      <c r="E7" s="283"/>
      <c r="F7" s="283"/>
      <c r="G7" s="317" t="s">
        <v>323</v>
      </c>
      <c r="H7" s="280"/>
      <c r="I7" s="317" t="s">
        <v>29</v>
      </c>
      <c r="J7" s="283"/>
      <c r="K7" s="307" t="s">
        <v>302</v>
      </c>
      <c r="L7" s="279"/>
      <c r="M7" s="279"/>
    </row>
    <row r="8" spans="1:25" ht="16.5">
      <c r="A8" s="496" t="s">
        <v>3</v>
      </c>
      <c r="B8" s="304" t="s">
        <v>322</v>
      </c>
      <c r="C8" s="300"/>
      <c r="D8" s="316" t="s">
        <v>321</v>
      </c>
      <c r="E8" s="304" t="s">
        <v>282</v>
      </c>
      <c r="F8" s="283"/>
      <c r="G8" s="315" t="s">
        <v>394</v>
      </c>
      <c r="H8" s="315"/>
      <c r="I8" s="315" t="s">
        <v>395</v>
      </c>
      <c r="J8" s="283"/>
      <c r="K8" s="305" t="s">
        <v>33</v>
      </c>
      <c r="L8" s="279"/>
      <c r="M8" s="279"/>
    </row>
    <row r="9" spans="1:25" ht="15.75">
      <c r="A9" s="276"/>
      <c r="B9" s="316" t="s">
        <v>96</v>
      </c>
      <c r="C9" s="316"/>
      <c r="D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/>
      <c r="O9" s="498" t="s">
        <v>220</v>
      </c>
      <c r="P9" s="498"/>
      <c r="Q9" s="498" t="s">
        <v>250</v>
      </c>
      <c r="R9" s="499"/>
      <c r="S9" s="327"/>
      <c r="T9" s="327"/>
      <c r="U9" s="327"/>
      <c r="V9" s="327"/>
      <c r="W9" s="327"/>
      <c r="X9" s="327"/>
      <c r="Y9" s="327"/>
    </row>
    <row r="10" spans="1:25" s="276" customFormat="1" ht="16.5" thickBot="1">
      <c r="B10" s="283"/>
      <c r="C10" s="283"/>
      <c r="D10" s="283"/>
      <c r="E10" s="283"/>
      <c r="F10" s="283"/>
      <c r="G10" s="300"/>
      <c r="H10" s="300"/>
      <c r="I10" s="300"/>
      <c r="J10" s="280"/>
      <c r="K10" s="280"/>
    </row>
    <row r="11" spans="1:25" ht="15.75">
      <c r="A11" s="275">
        <v>1</v>
      </c>
      <c r="B11" s="283">
        <v>50</v>
      </c>
      <c r="C11" s="283"/>
      <c r="D11" s="283">
        <v>300</v>
      </c>
      <c r="E11" s="286">
        <f>ROUND((B$11*D11),0)</f>
        <v>15000</v>
      </c>
      <c r="F11" s="283"/>
      <c r="G11" s="284">
        <f>+O$13+IF($E11&lt;20000,$E11*O$17,20000*O$17+($E11-20000)*O$19)+IF($B11&gt;50,($B11-50)*O$25,0)</f>
        <v>1459.885</v>
      </c>
      <c r="H11" s="284"/>
      <c r="I11" s="284">
        <f>+Q$13+IF($E11&lt;20000,$E11*Q$17,20000*Q$17+($E11-20000)*Q$19)+IF($B11&gt;50,($B11-50)*Q$25,0)</f>
        <v>1459.885</v>
      </c>
      <c r="J11" s="283"/>
      <c r="K11" s="281">
        <f>ROUND((+I11-G11)/G11,3)</f>
        <v>0</v>
      </c>
      <c r="L11" s="279"/>
      <c r="M11" s="279"/>
      <c r="N11" s="534" t="s">
        <v>299</v>
      </c>
      <c r="O11" s="536"/>
      <c r="P11" s="537" t="s">
        <v>298</v>
      </c>
      <c r="Q11" s="536"/>
      <c r="R11" s="278"/>
    </row>
    <row r="12" spans="1:25" ht="15.75">
      <c r="A12" s="275">
        <f>+A11+1</f>
        <v>2</v>
      </c>
      <c r="B12" s="283">
        <f>+B11</f>
        <v>50</v>
      </c>
      <c r="C12" s="283"/>
      <c r="D12" s="283">
        <v>500</v>
      </c>
      <c r="E12" s="286">
        <f>ROUND((B$11*D12),0)</f>
        <v>25000</v>
      </c>
      <c r="F12" s="283"/>
      <c r="G12" s="284">
        <f>+O$13+IF($E12&lt;20000,$E12*O$17,20000*O$17+($E12-20000)*O$19)+IF($B12&gt;50,($B12-50)*O$25,0)</f>
        <v>2285.9400000000005</v>
      </c>
      <c r="H12" s="284"/>
      <c r="I12" s="284">
        <f>+Q$13+IF($E12&lt;20000,$E12*Q$17,20000*Q$17+($E12-20000)*Q$19)+IF($B12&gt;50,($B12-50)*Q$25,0)</f>
        <v>2285.9400000000005</v>
      </c>
      <c r="J12" s="283"/>
      <c r="K12" s="281">
        <f>ROUND((+I12-G12)/G12,3)</f>
        <v>0</v>
      </c>
      <c r="L12" s="279"/>
      <c r="M12" s="279"/>
      <c r="N12" s="293"/>
      <c r="O12" s="298"/>
      <c r="P12" s="257"/>
      <c r="Q12" s="298"/>
      <c r="R12" s="278"/>
    </row>
    <row r="13" spans="1:25" ht="15.75">
      <c r="A13" s="275">
        <f t="shared" ref="A13:A67" si="0">+A12+1</f>
        <v>3</v>
      </c>
      <c r="B13" s="283">
        <f>+B12</f>
        <v>50</v>
      </c>
      <c r="C13" s="283"/>
      <c r="D13" s="283">
        <v>700</v>
      </c>
      <c r="E13" s="286">
        <f>ROUND((B$11*D13),0)</f>
        <v>35000</v>
      </c>
      <c r="F13" s="283"/>
      <c r="G13" s="284">
        <f>+O$13+IF($E13&lt;20000,$E13*O$17,20000*O$17+($E13-20000)*O$19)+IF($B13&gt;50,($B13-50)*O$25,0)</f>
        <v>2999.6600000000008</v>
      </c>
      <c r="H13" s="284"/>
      <c r="I13" s="284">
        <f>+Q$13+IF($E13&lt;20000,$E13*Q$17,20000*Q$17+($E13-20000)*Q$19)+IF($B13&gt;50,($B13-50)*Q$25,0)</f>
        <v>2999.6600000000008</v>
      </c>
      <c r="J13" s="283"/>
      <c r="K13" s="281">
        <f>ROUND((+I13-G13)/G13,3)</f>
        <v>0</v>
      </c>
      <c r="N13" s="293" t="s">
        <v>295</v>
      </c>
      <c r="O13" s="263">
        <f>SUM(O30,O49)</f>
        <v>52.3</v>
      </c>
      <c r="P13" s="293" t="str">
        <f>+N13</f>
        <v>Basic Charge</v>
      </c>
      <c r="Q13" s="263">
        <f>SUM(Q30,Q49,Q58)</f>
        <v>52.3</v>
      </c>
      <c r="R13" s="290"/>
      <c r="S13" s="256">
        <f>(Q13-O13)/O13</f>
        <v>0</v>
      </c>
    </row>
    <row r="14" spans="1:25">
      <c r="A14" s="275">
        <f t="shared" si="0"/>
        <v>4</v>
      </c>
      <c r="L14" s="279"/>
      <c r="M14" s="279"/>
      <c r="N14" s="293"/>
      <c r="O14" s="295"/>
      <c r="P14" s="297"/>
      <c r="Q14" s="295"/>
      <c r="R14" s="278"/>
    </row>
    <row r="15" spans="1:25" ht="15.75">
      <c r="A15" s="275">
        <f t="shared" si="0"/>
        <v>5</v>
      </c>
      <c r="B15" s="283">
        <v>100</v>
      </c>
      <c r="C15" s="283"/>
      <c r="D15" s="283">
        <v>300</v>
      </c>
      <c r="E15" s="286">
        <f>ROUND((B$15*D15),0)</f>
        <v>30000</v>
      </c>
      <c r="F15" s="283"/>
      <c r="G15" s="284">
        <f>+O$13+IF($E15&lt;20000,$E15*O$17,20000*O$17+($E15-20000)*O$19)+IF($B15&gt;50,($B15-50)*O$25,0)</f>
        <v>3037.3</v>
      </c>
      <c r="H15" s="284"/>
      <c r="I15" s="284">
        <f>+Q$13+IF($E15&lt;20000,$E15*Q$17,20000*Q$17+($E15-20000)*Q$19)+IF($B15&gt;50,($B15-50)*Q$25,0)</f>
        <v>3037.3</v>
      </c>
      <c r="J15" s="283"/>
      <c r="K15" s="281">
        <f>ROUND((+I15-G15)/G15,3)</f>
        <v>0</v>
      </c>
      <c r="L15" s="279"/>
      <c r="M15" s="279"/>
      <c r="N15" s="294" t="s">
        <v>319</v>
      </c>
      <c r="O15" s="258">
        <f>SUM(O31,O42:O48,O53,O67:O67)</f>
        <v>9.8053000000000001E-2</v>
      </c>
      <c r="P15" s="293" t="str">
        <f>+N15</f>
        <v>Winter kWh - First 20,000</v>
      </c>
      <c r="Q15" s="258">
        <f>SUM(Q31,Q42:Q48,Q53,Q67:Q67,Q62)</f>
        <v>9.8053000000000001E-2</v>
      </c>
      <c r="R15" s="278"/>
      <c r="S15" s="256">
        <f>(Q15-O15)/O15</f>
        <v>0</v>
      </c>
    </row>
    <row r="16" spans="1:25" ht="15.75">
      <c r="A16" s="275">
        <f t="shared" si="0"/>
        <v>6</v>
      </c>
      <c r="B16" s="283">
        <f>+B15</f>
        <v>100</v>
      </c>
      <c r="C16" s="283"/>
      <c r="D16" s="283">
        <v>500</v>
      </c>
      <c r="E16" s="286">
        <f>ROUND((B$15*D16),0)</f>
        <v>50000</v>
      </c>
      <c r="F16" s="283"/>
      <c r="G16" s="284">
        <f>+O$13+IF($E16&lt;20000,$E16*O$17,20000*O$17+($E16-20000)*O$19)+IF($B16&gt;50,($B16-50)*O$25,0)</f>
        <v>4464.7400000000007</v>
      </c>
      <c r="H16" s="284"/>
      <c r="I16" s="284">
        <f>+Q$13+IF($E16&lt;20000,$E16*Q$17,20000*Q$17+($E16-20000)*Q$19)+IF($B16&gt;50,($B16-50)*Q$25,0)</f>
        <v>4464.7400000000007</v>
      </c>
      <c r="J16" s="283"/>
      <c r="K16" s="281">
        <f>ROUND((+I16-G16)/G16,3)</f>
        <v>0</v>
      </c>
      <c r="L16" s="279"/>
      <c r="M16" s="279"/>
      <c r="N16" s="294" t="s">
        <v>318</v>
      </c>
      <c r="O16" s="258">
        <f>SUM(O32,O42:O48,O54,O67:O67)</f>
        <v>8.9525999999999994E-2</v>
      </c>
      <c r="P16" s="293" t="str">
        <f>+N16</f>
        <v>Summer kWh - First 20,000</v>
      </c>
      <c r="Q16" s="258">
        <f>SUM(Q32,Q42:Q48,Q54,Q67:Q67,Q63)</f>
        <v>8.9525999999999994E-2</v>
      </c>
      <c r="R16" s="278"/>
      <c r="S16" s="256">
        <f>(Q16-O16)/O16</f>
        <v>0</v>
      </c>
    </row>
    <row r="17" spans="1:19" ht="15.75">
      <c r="A17" s="275">
        <f t="shared" si="0"/>
        <v>7</v>
      </c>
      <c r="B17" s="283">
        <f>+B16</f>
        <v>100</v>
      </c>
      <c r="C17" s="283"/>
      <c r="D17" s="283">
        <v>700</v>
      </c>
      <c r="E17" s="286">
        <f>ROUND((B$15*D17),0)</f>
        <v>70000</v>
      </c>
      <c r="F17" s="283"/>
      <c r="G17" s="284">
        <f>+O$13+IF($E17&lt;20000,$E17*O$17,20000*O$17+($E17-20000)*O$19)+IF($B17&gt;50,($B17-50)*O$25,0)</f>
        <v>5892.1800000000012</v>
      </c>
      <c r="H17" s="284"/>
      <c r="I17" s="284">
        <f>+Q$13+IF($E17&lt;20000,$E17*Q$17,20000*Q$17+($E17-20000)*Q$19)+IF($B17&gt;50,($B17-50)*Q$25,0)</f>
        <v>5892.1800000000012</v>
      </c>
      <c r="J17" s="283"/>
      <c r="K17" s="281">
        <f>ROUND((+I17-G17)/G17,3)</f>
        <v>0</v>
      </c>
      <c r="N17" s="294" t="s">
        <v>369</v>
      </c>
      <c r="O17" s="258">
        <f>ROUND(SUM(O33,O42:O48,O67:O67)+O55,6)</f>
        <v>9.3839000000000006E-2</v>
      </c>
      <c r="P17" s="293" t="str">
        <f>+N17</f>
        <v>Average kWh - First 20,000</v>
      </c>
      <c r="Q17" s="258">
        <f>ROUND(SUM(Q33,Q42:Q48,Q67:Q67)+Q55+Q64,6)</f>
        <v>9.3839000000000006E-2</v>
      </c>
      <c r="R17" s="278"/>
      <c r="S17" s="256">
        <f>(Q17-O17)/O17</f>
        <v>0</v>
      </c>
    </row>
    <row r="18" spans="1:19" ht="15.75">
      <c r="A18" s="275">
        <f t="shared" si="0"/>
        <v>8</v>
      </c>
      <c r="B18" s="283"/>
      <c r="C18" s="283"/>
      <c r="D18" s="283"/>
      <c r="E18" s="283"/>
      <c r="F18" s="283"/>
      <c r="G18" s="284"/>
      <c r="H18" s="284"/>
      <c r="I18" s="284"/>
      <c r="J18" s="280"/>
      <c r="K18" s="282"/>
      <c r="L18" s="279"/>
      <c r="M18" s="279"/>
      <c r="N18" s="293"/>
      <c r="O18" s="258"/>
      <c r="P18" s="293"/>
      <c r="Q18" s="258"/>
      <c r="R18" s="278"/>
    </row>
    <row r="19" spans="1:19" ht="15.75">
      <c r="A19" s="275">
        <f t="shared" si="0"/>
        <v>9</v>
      </c>
      <c r="B19" s="283">
        <v>150</v>
      </c>
      <c r="C19" s="283"/>
      <c r="D19" s="283">
        <v>300</v>
      </c>
      <c r="E19" s="286">
        <f>ROUND((B$19*D19),0)</f>
        <v>45000</v>
      </c>
      <c r="F19" s="283"/>
      <c r="G19" s="284">
        <f>+O$13+IF($E19&lt;20000,$E19*O$17,20000*O$17+($E19-20000)*O$19)+IF($B19&gt;50,($B19-50)*O$25,0)</f>
        <v>4502.380000000001</v>
      </c>
      <c r="H19" s="284"/>
      <c r="I19" s="284">
        <f>+Q$13+IF($E19&lt;20000,$E19*Q$17,20000*Q$17+($E19-20000)*Q$19)+IF($B19&gt;50,($B19-50)*Q$25,0)</f>
        <v>4502.380000000001</v>
      </c>
      <c r="J19" s="283"/>
      <c r="K19" s="281">
        <f>ROUND((+I19-G19)/G19,3)</f>
        <v>0</v>
      </c>
      <c r="L19" s="279"/>
      <c r="M19" s="279"/>
      <c r="N19" s="294" t="s">
        <v>317</v>
      </c>
      <c r="O19" s="258">
        <f>SUM(O34,O42:O48,O56,O67)</f>
        <v>7.1372000000000005E-2</v>
      </c>
      <c r="P19" s="293" t="str">
        <f>+N19</f>
        <v>kWh - All Over 20,000</v>
      </c>
      <c r="Q19" s="258">
        <f>SUM(Q34,Q42:Q48,Q56,Q67,Q65)</f>
        <v>7.1372000000000005E-2</v>
      </c>
      <c r="R19" s="278"/>
      <c r="S19" s="256">
        <f>(Q19-O19)/O19</f>
        <v>0</v>
      </c>
    </row>
    <row r="20" spans="1:19" ht="15.75">
      <c r="A20" s="275">
        <f t="shared" si="0"/>
        <v>10</v>
      </c>
      <c r="B20" s="283">
        <f>+B19</f>
        <v>150</v>
      </c>
      <c r="C20" s="283"/>
      <c r="D20" s="283">
        <v>500</v>
      </c>
      <c r="E20" s="286">
        <f>ROUND((B$19*D20),0)</f>
        <v>75000</v>
      </c>
      <c r="F20" s="283"/>
      <c r="G20" s="284">
        <f>+O$13+IF($E20&lt;20000,$E20*O$17,20000*O$17+($E20-20000)*O$19)+IF($B20&gt;50,($B20-50)*O$25,0)</f>
        <v>6643.5400000000009</v>
      </c>
      <c r="H20" s="284"/>
      <c r="I20" s="284">
        <f>+Q$13+IF($E20&lt;20000,$E20*Q$17,20000*Q$17+($E20-20000)*Q$19)+IF($B20&gt;50,($B20-50)*Q$25,0)</f>
        <v>6643.5400000000009</v>
      </c>
      <c r="J20" s="283"/>
      <c r="K20" s="281">
        <f>ROUND((+I20-G20)/G20,3)</f>
        <v>0</v>
      </c>
      <c r="L20" s="279"/>
      <c r="M20" s="279"/>
      <c r="N20" s="294"/>
      <c r="O20" s="258"/>
      <c r="P20" s="294"/>
      <c r="Q20" s="258"/>
      <c r="R20" s="278"/>
      <c r="S20" s="262"/>
    </row>
    <row r="21" spans="1:19" ht="15.75">
      <c r="A21" s="275">
        <f t="shared" si="0"/>
        <v>11</v>
      </c>
      <c r="B21" s="283">
        <f>+B20</f>
        <v>150</v>
      </c>
      <c r="C21" s="283"/>
      <c r="D21" s="283">
        <v>700</v>
      </c>
      <c r="E21" s="286">
        <f>ROUND((B$19*D21),0)</f>
        <v>105000</v>
      </c>
      <c r="F21" s="283"/>
      <c r="G21" s="284">
        <f>+O$13+IF($E21&lt;20000,$E21*O$17,20000*O$17+($E21-20000)*O$19)+IF($B21&gt;50,($B21-50)*O$25,0)</f>
        <v>8784.7000000000007</v>
      </c>
      <c r="H21" s="284"/>
      <c r="I21" s="284">
        <f>+Q$13+IF($E21&lt;20000,$E21*Q$17,20000*Q$17+($E21-20000)*Q$19)+IF($B21&gt;50,($B21-50)*Q$25,0)</f>
        <v>8784.7000000000007</v>
      </c>
      <c r="J21" s="283"/>
      <c r="K21" s="281">
        <f>ROUND((+I21-G21)/G21,3)</f>
        <v>0</v>
      </c>
      <c r="N21" s="294" t="s">
        <v>316</v>
      </c>
      <c r="O21" s="258">
        <v>0</v>
      </c>
      <c r="P21" s="293" t="str">
        <f>+N21</f>
        <v>kW - First 50</v>
      </c>
      <c r="Q21" s="258">
        <v>0</v>
      </c>
      <c r="R21" s="278"/>
      <c r="S21" s="262"/>
    </row>
    <row r="22" spans="1:19" ht="15.75">
      <c r="A22" s="275">
        <f t="shared" si="0"/>
        <v>12</v>
      </c>
      <c r="B22" s="283"/>
      <c r="C22" s="283"/>
      <c r="D22" s="283"/>
      <c r="E22" s="283"/>
      <c r="F22" s="283"/>
      <c r="G22" s="284"/>
      <c r="H22" s="284"/>
      <c r="I22" s="284"/>
      <c r="J22" s="280"/>
      <c r="K22" s="282"/>
      <c r="L22" s="279"/>
      <c r="M22" s="279"/>
      <c r="N22" s="294"/>
      <c r="O22" s="258"/>
      <c r="P22" s="294"/>
      <c r="Q22" s="258"/>
      <c r="R22" s="290"/>
      <c r="S22" s="239"/>
    </row>
    <row r="23" spans="1:19" ht="15.75">
      <c r="A23" s="275">
        <f t="shared" si="0"/>
        <v>13</v>
      </c>
      <c r="B23" s="283">
        <v>200</v>
      </c>
      <c r="C23" s="283"/>
      <c r="D23" s="283">
        <v>300</v>
      </c>
      <c r="E23" s="286">
        <f>ROUND((B$23*D23),0)</f>
        <v>60000</v>
      </c>
      <c r="F23" s="283"/>
      <c r="G23" s="284">
        <f>+O$13+IF($E23&lt;20000,$E23*O$17,20000*O$17+($E23-20000)*O$19)+IF($B23&gt;50,($B23-50)*O$25,0)</f>
        <v>5967.46</v>
      </c>
      <c r="H23" s="284"/>
      <c r="I23" s="284">
        <f>+Q$13+IF($E23&lt;20000,$E23*Q$17,20000*Q$17+($E23-20000)*Q$19)+IF($B23&gt;50,($B23-50)*Q$25,0)</f>
        <v>5967.46</v>
      </c>
      <c r="J23" s="283"/>
      <c r="K23" s="281">
        <f>ROUND((+I23-G23)/G23,3)</f>
        <v>0</v>
      </c>
      <c r="L23" s="279"/>
      <c r="M23" s="279"/>
      <c r="N23" s="294" t="s">
        <v>315</v>
      </c>
      <c r="O23" s="314">
        <f>SUM(O36,O50)</f>
        <v>9.42</v>
      </c>
      <c r="P23" s="293" t="str">
        <f>+N23</f>
        <v>Winter kW - Over 50</v>
      </c>
      <c r="Q23" s="314">
        <f>SUM(Q36,Q50,Q59)</f>
        <v>9.42</v>
      </c>
      <c r="R23" s="278"/>
      <c r="S23" s="256">
        <f>(Q23-O23)/O23</f>
        <v>0</v>
      </c>
    </row>
    <row r="24" spans="1:19" ht="15.75">
      <c r="A24" s="275">
        <f t="shared" si="0"/>
        <v>14</v>
      </c>
      <c r="B24" s="283">
        <f>+B23</f>
        <v>200</v>
      </c>
      <c r="C24" s="283"/>
      <c r="D24" s="283">
        <v>500</v>
      </c>
      <c r="E24" s="286">
        <f>ROUND((B$23*D24),0)</f>
        <v>100000</v>
      </c>
      <c r="F24" s="283"/>
      <c r="G24" s="284">
        <f>+O$13+IF($E24&lt;20000,$E24*O$17,20000*O$17+($E24-20000)*O$19)+IF($B24&gt;50,($B24-50)*O$25,0)</f>
        <v>8822.34</v>
      </c>
      <c r="H24" s="284"/>
      <c r="I24" s="284">
        <f>+Q$13+IF($E24&lt;20000,$E24*Q$17,20000*Q$17+($E24-20000)*Q$19)+IF($B24&gt;50,($B24-50)*Q$25,0)</f>
        <v>8822.34</v>
      </c>
      <c r="J24" s="283"/>
      <c r="K24" s="281">
        <f>ROUND((+I24-G24)/G24,3)</f>
        <v>0</v>
      </c>
      <c r="L24" s="279"/>
      <c r="M24" s="279"/>
      <c r="N24" s="294" t="s">
        <v>314</v>
      </c>
      <c r="O24" s="314">
        <f>SUM(O37,O51)</f>
        <v>6.29</v>
      </c>
      <c r="P24" s="293" t="str">
        <f>+N24</f>
        <v>Summer kW - Over 50</v>
      </c>
      <c r="Q24" s="314">
        <f>SUM(Q37,Q51,Q60)</f>
        <v>6.29</v>
      </c>
      <c r="R24" s="278"/>
      <c r="S24" s="256">
        <f>(Q24-O24)/O24</f>
        <v>0</v>
      </c>
    </row>
    <row r="25" spans="1:19" ht="15.75">
      <c r="A25" s="275">
        <f t="shared" si="0"/>
        <v>15</v>
      </c>
      <c r="B25" s="283">
        <f>+B24</f>
        <v>200</v>
      </c>
      <c r="C25" s="283"/>
      <c r="D25" s="283">
        <v>700</v>
      </c>
      <c r="E25" s="286">
        <f>ROUND((B$23*D25),0)</f>
        <v>140000</v>
      </c>
      <c r="F25" s="283"/>
      <c r="G25" s="284">
        <f>+O$13+IF($E25&lt;20000,$E25*O$17,20000*O$17+($E25-20000)*O$19)+IF($B25&gt;50,($B25-50)*O$25,0)</f>
        <v>11677.220000000001</v>
      </c>
      <c r="H25" s="284"/>
      <c r="I25" s="284">
        <f>+Q$13+IF($E25&lt;20000,$E25*Q$17,20000*Q$17+($E25-20000)*Q$19)+IF($B25&gt;50,($B25-50)*Q$25,0)</f>
        <v>11677.220000000001</v>
      </c>
      <c r="J25" s="283"/>
      <c r="K25" s="281">
        <f>ROUND((+I25-G25)/G25,3)</f>
        <v>0</v>
      </c>
      <c r="N25" s="294" t="s">
        <v>313</v>
      </c>
      <c r="O25" s="314">
        <f>SUM(O38,O52)</f>
        <v>7.89</v>
      </c>
      <c r="P25" s="293" t="str">
        <f>+N25</f>
        <v>Average kW - Over 50</v>
      </c>
      <c r="Q25" s="314">
        <f>SUM(Q38,Q52,Q61)</f>
        <v>7.89</v>
      </c>
      <c r="R25" s="278"/>
      <c r="S25" s="256">
        <f>(Q25-O25)/O25</f>
        <v>0</v>
      </c>
    </row>
    <row r="26" spans="1:19" ht="15.75">
      <c r="A26" s="275">
        <f t="shared" si="0"/>
        <v>16</v>
      </c>
      <c r="B26" s="283"/>
      <c r="C26" s="283"/>
      <c r="D26" s="283"/>
      <c r="E26" s="283"/>
      <c r="F26" s="283"/>
      <c r="G26" s="284"/>
      <c r="H26" s="284"/>
      <c r="I26" s="284"/>
      <c r="J26" s="280"/>
      <c r="K26" s="282"/>
      <c r="L26" s="279"/>
      <c r="M26" s="279"/>
      <c r="N26" s="293"/>
      <c r="O26" s="258"/>
      <c r="P26" s="293"/>
      <c r="Q26" s="258"/>
      <c r="R26" s="278"/>
    </row>
    <row r="27" spans="1:19" ht="15.75">
      <c r="A27" s="275">
        <f t="shared" si="0"/>
        <v>17</v>
      </c>
      <c r="B27" s="283">
        <v>250</v>
      </c>
      <c r="C27" s="283"/>
      <c r="D27" s="283">
        <v>300</v>
      </c>
      <c r="E27" s="286">
        <f>ROUND((B$27*D27),0)</f>
        <v>75000</v>
      </c>
      <c r="F27" s="283"/>
      <c r="G27" s="284">
        <f>+O$13+IF($E27&lt;20000,$E27*O$17,20000*O$17+($E27-20000)*O$19)+IF($B27&gt;50,($B27-50)*O$25,0)</f>
        <v>7432.5400000000009</v>
      </c>
      <c r="H27" s="284"/>
      <c r="I27" s="284">
        <f>+Q$13+IF($E27&lt;20000,$E27*Q$17,20000*Q$17+($E27-20000)*Q$19)+IF($B27&gt;50,($B27-50)*Q$25,0)</f>
        <v>7432.5400000000009</v>
      </c>
      <c r="J27" s="283"/>
      <c r="K27" s="281">
        <f>ROUND((+I27-G27)/G27,3)</f>
        <v>0</v>
      </c>
      <c r="L27" s="279"/>
      <c r="M27" s="279"/>
      <c r="N27" s="293" t="s">
        <v>312</v>
      </c>
      <c r="O27" s="313">
        <f>+O39+O57</f>
        <v>2.96E-3</v>
      </c>
      <c r="P27" s="293" t="str">
        <f>+N27</f>
        <v>kVarh</v>
      </c>
      <c r="Q27" s="313">
        <f>+Q39+Q57+Q66</f>
        <v>2.96E-3</v>
      </c>
      <c r="R27" s="278"/>
      <c r="S27" s="256">
        <f>(Q27-O27)/O27</f>
        <v>0</v>
      </c>
    </row>
    <row r="28" spans="1:19" ht="16.5" thickBot="1">
      <c r="A28" s="275">
        <f t="shared" si="0"/>
        <v>18</v>
      </c>
      <c r="B28" s="283">
        <f>+B27</f>
        <v>250</v>
      </c>
      <c r="C28" s="283"/>
      <c r="D28" s="283">
        <v>500</v>
      </c>
      <c r="E28" s="286">
        <f>ROUND((B$27*D28),0)</f>
        <v>125000</v>
      </c>
      <c r="F28" s="283"/>
      <c r="G28" s="284">
        <f>+O$13+IF($E28&lt;20000,$E28*O$17,20000*O$17+($E28-20000)*O$19)+IF($B28&gt;50,($B28-50)*O$25,0)</f>
        <v>11001.14</v>
      </c>
      <c r="H28" s="284"/>
      <c r="I28" s="284">
        <f>+Q$13+IF($E28&lt;20000,$E28*Q$17,20000*Q$17+($E28-20000)*Q$19)+IF($B28&gt;50,($B28-50)*Q$25,0)</f>
        <v>11001.14</v>
      </c>
      <c r="J28" s="283"/>
      <c r="K28" s="281">
        <f>ROUND((+I28-G28)/G28,3)</f>
        <v>0</v>
      </c>
      <c r="L28" s="279"/>
      <c r="M28" s="279"/>
      <c r="N28" s="292" t="s">
        <v>24</v>
      </c>
      <c r="O28" s="291" t="s">
        <v>24</v>
      </c>
      <c r="P28" s="292" t="s">
        <v>24</v>
      </c>
      <c r="Q28" s="291" t="s">
        <v>24</v>
      </c>
      <c r="R28" s="278"/>
    </row>
    <row r="29" spans="1:19" ht="15.75">
      <c r="A29" s="275">
        <f t="shared" si="0"/>
        <v>19</v>
      </c>
      <c r="B29" s="283">
        <f>+B28</f>
        <v>250</v>
      </c>
      <c r="C29" s="283"/>
      <c r="D29" s="283">
        <v>700</v>
      </c>
      <c r="E29" s="286">
        <f>ROUND((B$27*D29),0)</f>
        <v>175000</v>
      </c>
      <c r="F29" s="283"/>
      <c r="G29" s="284">
        <f>+O$13+IF($E29&lt;20000,$E29*O$17,20000*O$17+($E29-20000)*O$19)+IF($B29&gt;50,($B29-50)*O$25,0)</f>
        <v>14569.74</v>
      </c>
      <c r="H29" s="284"/>
      <c r="I29" s="284">
        <f>+Q$13+IF($E29&lt;20000,$E29*Q$17,20000*Q$17+($E29-20000)*Q$19)+IF($B29&gt;50,($B29-50)*Q$25,0)</f>
        <v>14569.74</v>
      </c>
      <c r="J29" s="283"/>
      <c r="K29" s="281">
        <f>ROUND((+I29-G29)/G29,3)</f>
        <v>0</v>
      </c>
      <c r="R29" s="278"/>
    </row>
    <row r="30" spans="1:19" ht="15.75">
      <c r="A30" s="275">
        <f t="shared" si="0"/>
        <v>20</v>
      </c>
      <c r="B30" s="283"/>
      <c r="C30" s="283"/>
      <c r="D30" s="283"/>
      <c r="E30" s="283"/>
      <c r="F30" s="283"/>
      <c r="G30" s="284"/>
      <c r="H30" s="284"/>
      <c r="I30" s="284"/>
      <c r="J30" s="280"/>
      <c r="K30" s="282"/>
      <c r="L30" s="279"/>
      <c r="M30" s="279"/>
      <c r="N30" s="231" t="str">
        <f>+N13</f>
        <v>Basic Charge</v>
      </c>
      <c r="O30" s="248">
        <f>+'[1](JAP4)-Tariff Summary'!$D$22</f>
        <v>52.3</v>
      </c>
      <c r="Q30" s="248">
        <f>+O30</f>
        <v>52.3</v>
      </c>
      <c r="R30" s="278"/>
    </row>
    <row r="31" spans="1:19" ht="15.75">
      <c r="A31" s="275">
        <f t="shared" si="0"/>
        <v>21</v>
      </c>
      <c r="B31" s="283">
        <v>300</v>
      </c>
      <c r="C31" s="283"/>
      <c r="D31" s="283">
        <v>300</v>
      </c>
      <c r="E31" s="286">
        <f>ROUND((B$31*D31),0)</f>
        <v>90000</v>
      </c>
      <c r="F31" s="283"/>
      <c r="G31" s="284">
        <f>+O$13+IF($E31&lt;20000,$E31*O$17,20000*O$17+($E31-20000)*O$19)+IF($B31&gt;50,($B31-50)*O$25,0)</f>
        <v>8897.619999999999</v>
      </c>
      <c r="H31" s="284"/>
      <c r="I31" s="284">
        <f>+Q$13+IF($E31&lt;20000,$E31*Q$17,20000*Q$17+($E31-20000)*Q$19)+IF($B31&gt;50,($B31-50)*Q$25,0)</f>
        <v>8897.619999999999</v>
      </c>
      <c r="J31" s="283"/>
      <c r="K31" s="281">
        <f>ROUND((+I31-G31)/G31,3)</f>
        <v>0</v>
      </c>
      <c r="L31" s="279"/>
      <c r="M31" s="279"/>
      <c r="N31" s="231" t="str">
        <f>+N15</f>
        <v>Winter kWh - First 20,000</v>
      </c>
      <c r="O31" s="248">
        <f>+'[1](JAP4)-Tariff Summary'!$D$24</f>
        <v>9.0753E-2</v>
      </c>
      <c r="Q31" s="248">
        <f t="shared" ref="Q31:Q39" si="1">+O31</f>
        <v>9.0753E-2</v>
      </c>
      <c r="R31" s="278"/>
    </row>
    <row r="32" spans="1:19" ht="15.75">
      <c r="A32" s="275">
        <f t="shared" si="0"/>
        <v>22</v>
      </c>
      <c r="B32" s="283">
        <f>+B31</f>
        <v>300</v>
      </c>
      <c r="C32" s="283"/>
      <c r="D32" s="283">
        <v>500</v>
      </c>
      <c r="E32" s="286">
        <f>ROUND((B$31*D32),0)</f>
        <v>150000</v>
      </c>
      <c r="F32" s="283"/>
      <c r="G32" s="284">
        <f>+O$13+IF($E32&lt;20000,$E32*O$17,20000*O$17+($E32-20000)*O$19)+IF($B32&gt;50,($B32-50)*O$25,0)</f>
        <v>13179.94</v>
      </c>
      <c r="H32" s="284"/>
      <c r="I32" s="284">
        <f>+Q$13+IF($E32&lt;20000,$E32*Q$17,20000*Q$17+($E32-20000)*Q$19)+IF($B32&gt;50,($B32-50)*Q$25,0)</f>
        <v>13179.94</v>
      </c>
      <c r="J32" s="283"/>
      <c r="K32" s="281">
        <f>ROUND((+I32-G32)/G32,3)</f>
        <v>0</v>
      </c>
      <c r="L32" s="279"/>
      <c r="M32" s="279"/>
      <c r="N32" s="231" t="str">
        <f>+N16</f>
        <v>Summer kWh - First 20,000</v>
      </c>
      <c r="O32" s="248">
        <f>+'[1](JAP4)-Tariff Summary'!$D$25</f>
        <v>8.2225999999999994E-2</v>
      </c>
      <c r="Q32" s="248">
        <f t="shared" si="1"/>
        <v>8.2225999999999994E-2</v>
      </c>
      <c r="R32" s="278"/>
    </row>
    <row r="33" spans="1:18" ht="15.75">
      <c r="A33" s="275">
        <f t="shared" si="0"/>
        <v>23</v>
      </c>
      <c r="B33" s="283">
        <f>+B32</f>
        <v>300</v>
      </c>
      <c r="C33" s="283"/>
      <c r="D33" s="283">
        <v>700</v>
      </c>
      <c r="E33" s="286">
        <f>ROUND((B$31*D33),0)</f>
        <v>210000</v>
      </c>
      <c r="F33" s="283"/>
      <c r="G33" s="284">
        <f>+O$13+IF($E33&lt;20000,$E33*O$17,20000*O$17+($E33-20000)*O$19)+IF($B33&gt;50,($B33-50)*O$25,0)</f>
        <v>17462.260000000002</v>
      </c>
      <c r="H33" s="284"/>
      <c r="I33" s="284">
        <f>+Q$13+IF($E33&lt;20000,$E33*Q$17,20000*Q$17+($E33-20000)*Q$19)+IF($B33&gt;50,($B33-50)*Q$25,0)</f>
        <v>17462.260000000002</v>
      </c>
      <c r="J33" s="283"/>
      <c r="K33" s="281">
        <f>ROUND((+I33-G33)/G33,3)</f>
        <v>0</v>
      </c>
      <c r="N33" s="231" t="str">
        <f>+N17</f>
        <v>Average kWh - First 20,000</v>
      </c>
      <c r="O33" s="248">
        <f>+'[1](JAP4) SecVolt RD'!$D$59</f>
        <v>8.6539000000000005E-2</v>
      </c>
      <c r="Q33" s="248">
        <f t="shared" si="1"/>
        <v>8.6539000000000005E-2</v>
      </c>
      <c r="R33" s="278"/>
    </row>
    <row r="34" spans="1:18" ht="15.75">
      <c r="A34" s="275">
        <f t="shared" si="0"/>
        <v>24</v>
      </c>
      <c r="B34" s="283"/>
      <c r="C34" s="283"/>
      <c r="D34" s="283"/>
      <c r="E34" s="283"/>
      <c r="F34" s="283"/>
      <c r="G34" s="284"/>
      <c r="H34" s="284"/>
      <c r="I34" s="284"/>
      <c r="J34" s="280"/>
      <c r="K34" s="282"/>
      <c r="L34" s="279"/>
      <c r="M34" s="279"/>
      <c r="N34" s="231" t="str">
        <f>+N19</f>
        <v>kWh - All Over 20,000</v>
      </c>
      <c r="O34" s="248">
        <f>+'[1](JAP4)-Tariff Summary'!$D$26</f>
        <v>6.4072000000000004E-2</v>
      </c>
      <c r="Q34" s="248">
        <f t="shared" si="1"/>
        <v>6.4072000000000004E-2</v>
      </c>
      <c r="R34" s="278"/>
    </row>
    <row r="35" spans="1:18" ht="15.75">
      <c r="A35" s="275">
        <f t="shared" si="0"/>
        <v>25</v>
      </c>
      <c r="B35" s="283">
        <v>350</v>
      </c>
      <c r="C35" s="283"/>
      <c r="D35" s="283">
        <v>300</v>
      </c>
      <c r="E35" s="286">
        <f>ROUND((B$35*D35),0)</f>
        <v>105000</v>
      </c>
      <c r="F35" s="283"/>
      <c r="G35" s="284">
        <f>+O$13+IF($E35&lt;20000,$E35*O$17,20000*O$17+($E35-20000)*O$19)+IF($B35&gt;50,($B35-50)*O$25,0)</f>
        <v>10362.700000000001</v>
      </c>
      <c r="H35" s="284"/>
      <c r="I35" s="284">
        <f>+Q$13+IF($E35&lt;20000,$E35*Q$17,20000*Q$17+($E35-20000)*Q$19)+IF($B35&gt;50,($B35-50)*Q$25,0)</f>
        <v>10362.700000000001</v>
      </c>
      <c r="J35" s="283"/>
      <c r="K35" s="281">
        <f>ROUND((+I35-G35)/G35,3)</f>
        <v>0</v>
      </c>
      <c r="L35" s="279"/>
      <c r="M35" s="279"/>
      <c r="N35" s="231" t="str">
        <f>+N21</f>
        <v>kW - First 50</v>
      </c>
      <c r="O35" s="248">
        <f>+'[1](JAP4)-Tariff Summary'!$D$28</f>
        <v>0</v>
      </c>
      <c r="Q35" s="248">
        <f t="shared" si="1"/>
        <v>0</v>
      </c>
      <c r="R35" s="278"/>
    </row>
    <row r="36" spans="1:18" ht="15.75">
      <c r="A36" s="275">
        <f t="shared" si="0"/>
        <v>26</v>
      </c>
      <c r="B36" s="283">
        <f>+B35</f>
        <v>350</v>
      </c>
      <c r="C36" s="283"/>
      <c r="D36" s="283">
        <v>500</v>
      </c>
      <c r="E36" s="286">
        <f>ROUND((B$35*D36),0)</f>
        <v>175000</v>
      </c>
      <c r="F36" s="283"/>
      <c r="G36" s="284">
        <f>+O$13+IF($E36&lt;20000,$E36*O$17,20000*O$17+($E36-20000)*O$19)+IF($B36&gt;50,($B36-50)*O$25,0)</f>
        <v>15358.74</v>
      </c>
      <c r="H36" s="284"/>
      <c r="I36" s="284">
        <f>+Q$13+IF($E36&lt;20000,$E36*Q$17,20000*Q$17+($E36-20000)*Q$19)+IF($B36&gt;50,($B36-50)*Q$25,0)</f>
        <v>15358.74</v>
      </c>
      <c r="J36" s="283"/>
      <c r="K36" s="281">
        <f>ROUND((+I36-G36)/G36,3)</f>
        <v>0</v>
      </c>
      <c r="L36" s="279"/>
      <c r="M36" s="279"/>
      <c r="N36" s="231" t="str">
        <f>+N23</f>
        <v>Winter kW - Over 50</v>
      </c>
      <c r="O36" s="248">
        <f>+'[1](JAP4)-Tariff Summary'!$D$29</f>
        <v>9.42</v>
      </c>
      <c r="Q36" s="248">
        <f t="shared" si="1"/>
        <v>9.42</v>
      </c>
    </row>
    <row r="37" spans="1:18" ht="15.75">
      <c r="A37" s="275">
        <f t="shared" si="0"/>
        <v>27</v>
      </c>
      <c r="B37" s="283">
        <f>+B36</f>
        <v>350</v>
      </c>
      <c r="C37" s="283"/>
      <c r="D37" s="283">
        <v>700</v>
      </c>
      <c r="E37" s="286">
        <f>ROUND((B$35*D37),0)</f>
        <v>245000</v>
      </c>
      <c r="F37" s="283"/>
      <c r="G37" s="284">
        <f>+O$13+IF($E37&lt;20000,$E37*O$17,20000*O$17+($E37-20000)*O$19)+IF($B37&gt;50,($B37-50)*O$25,0)</f>
        <v>20354.78</v>
      </c>
      <c r="H37" s="284"/>
      <c r="I37" s="284">
        <f>+Q$13+IF($E37&lt;20000,$E37*Q$17,20000*Q$17+($E37-20000)*Q$19)+IF($B37&gt;50,($B37-50)*Q$25,0)</f>
        <v>20354.78</v>
      </c>
      <c r="J37" s="283"/>
      <c r="K37" s="281">
        <f>ROUND((+I37-G37)/G37,3)</f>
        <v>0</v>
      </c>
      <c r="N37" s="231" t="str">
        <f t="shared" ref="N37:N38" si="2">+N24</f>
        <v>Summer kW - Over 50</v>
      </c>
      <c r="O37" s="248">
        <f>+'[1](JAP4)-Tariff Summary'!$D$30</f>
        <v>6.29</v>
      </c>
      <c r="Q37" s="248">
        <f t="shared" si="1"/>
        <v>6.29</v>
      </c>
    </row>
    <row r="38" spans="1:18" ht="15.75">
      <c r="A38" s="275">
        <f t="shared" si="0"/>
        <v>28</v>
      </c>
      <c r="B38" s="312"/>
      <c r="C38" s="312"/>
      <c r="D38" s="312"/>
      <c r="E38" s="312"/>
      <c r="F38" s="312"/>
      <c r="G38" s="312"/>
      <c r="H38" s="312"/>
      <c r="I38" s="312"/>
      <c r="J38" s="311"/>
      <c r="K38" s="311"/>
      <c r="L38" s="279"/>
      <c r="M38" s="279"/>
      <c r="N38" s="231" t="str">
        <f t="shared" si="2"/>
        <v>Average kW - Over 50</v>
      </c>
      <c r="O38" s="248">
        <f>+'[1](JAP4) SecVolt RD'!$D$60</f>
        <v>7.89</v>
      </c>
      <c r="Q38" s="248">
        <f t="shared" si="1"/>
        <v>7.89</v>
      </c>
    </row>
    <row r="39" spans="1:18" ht="15.75">
      <c r="A39" s="275">
        <f t="shared" si="0"/>
        <v>29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N39" s="231" t="str">
        <f>+N27</f>
        <v>kVarh</v>
      </c>
      <c r="O39" s="248">
        <f>+'[1](JAP4)-Tariff Summary'!$D$32</f>
        <v>2.96E-3</v>
      </c>
      <c r="Q39" s="248">
        <f t="shared" si="1"/>
        <v>2.96E-3</v>
      </c>
    </row>
    <row r="40" spans="1:18" ht="15.75">
      <c r="A40" s="275">
        <f t="shared" si="0"/>
        <v>30</v>
      </c>
      <c r="B40" s="280" t="s">
        <v>264</v>
      </c>
      <c r="C40" s="280"/>
      <c r="D40" s="280"/>
      <c r="E40" s="280"/>
      <c r="F40" s="280"/>
      <c r="G40" s="280"/>
      <c r="H40" s="280"/>
      <c r="I40" s="280"/>
      <c r="J40" s="280"/>
      <c r="K40" s="280"/>
    </row>
    <row r="41" spans="1:18" ht="16.5">
      <c r="A41" s="275">
        <f t="shared" si="0"/>
        <v>31</v>
      </c>
      <c r="B41" s="403" t="s">
        <v>396</v>
      </c>
      <c r="C41" s="280"/>
      <c r="D41" s="280"/>
      <c r="E41" s="280"/>
      <c r="F41" s="280"/>
      <c r="G41" s="280"/>
      <c r="H41" s="280"/>
      <c r="I41" s="280"/>
      <c r="J41" s="280"/>
      <c r="K41" s="280"/>
    </row>
    <row r="42" spans="1:18" ht="16.5">
      <c r="A42" s="275">
        <f t="shared" si="0"/>
        <v>32</v>
      </c>
      <c r="B42" s="403" t="s">
        <v>307</v>
      </c>
      <c r="N42" s="247" t="s">
        <v>274</v>
      </c>
      <c r="O42" s="248">
        <v>0</v>
      </c>
      <c r="Q42" s="248">
        <v>0</v>
      </c>
    </row>
    <row r="43" spans="1:18" ht="16.5">
      <c r="A43" s="275">
        <f t="shared" si="0"/>
        <v>33</v>
      </c>
      <c r="B43" s="437" t="s">
        <v>406</v>
      </c>
      <c r="N43" s="247" t="s">
        <v>273</v>
      </c>
      <c r="O43" s="248">
        <f>+'Sch 95a'!$H$14</f>
        <v>-1.5679999999999999E-3</v>
      </c>
      <c r="P43" s="276"/>
      <c r="Q43" s="248">
        <f t="shared" ref="Q43:Q48" si="3">+O43</f>
        <v>-1.5679999999999999E-3</v>
      </c>
    </row>
    <row r="44" spans="1:18" ht="16.5">
      <c r="A44" s="275">
        <f t="shared" si="0"/>
        <v>34</v>
      </c>
      <c r="B44" s="510" t="s">
        <v>489</v>
      </c>
      <c r="N44" s="247" t="s">
        <v>272</v>
      </c>
      <c r="O44" s="248">
        <f>+'Sch 120'!$H$14</f>
        <v>4.2570000000000004E-3</v>
      </c>
      <c r="P44" s="276"/>
      <c r="Q44" s="248">
        <f t="shared" si="3"/>
        <v>4.2570000000000004E-3</v>
      </c>
    </row>
    <row r="45" spans="1:18">
      <c r="A45" s="275">
        <f t="shared" si="0"/>
        <v>35</v>
      </c>
      <c r="B45" s="437"/>
      <c r="N45" s="247" t="s">
        <v>207</v>
      </c>
      <c r="O45" s="248">
        <f>+'Sch 129'!G13</f>
        <v>7.9600000000000005E-4</v>
      </c>
      <c r="P45" s="276"/>
      <c r="Q45" s="248">
        <f t="shared" si="3"/>
        <v>7.9600000000000005E-4</v>
      </c>
    </row>
    <row r="46" spans="1:18">
      <c r="A46" s="275">
        <f t="shared" si="0"/>
        <v>36</v>
      </c>
      <c r="B46" s="403"/>
      <c r="N46" s="247" t="s">
        <v>208</v>
      </c>
      <c r="O46" s="248">
        <f>+'Sch 132'!E14</f>
        <v>0</v>
      </c>
      <c r="P46" s="276"/>
      <c r="Q46" s="248">
        <f t="shared" si="3"/>
        <v>0</v>
      </c>
    </row>
    <row r="47" spans="1:18">
      <c r="A47" s="275">
        <f t="shared" si="0"/>
        <v>37</v>
      </c>
      <c r="N47" s="247" t="s">
        <v>270</v>
      </c>
      <c r="O47" s="248">
        <f>+'Sch 137'!E14</f>
        <v>-6.0000000000000002E-5</v>
      </c>
      <c r="P47" s="276"/>
      <c r="Q47" s="248">
        <f t="shared" si="3"/>
        <v>-6.0000000000000002E-5</v>
      </c>
    </row>
    <row r="48" spans="1:18">
      <c r="A48" s="275">
        <f t="shared" si="0"/>
        <v>38</v>
      </c>
      <c r="N48" s="247" t="s">
        <v>239</v>
      </c>
      <c r="O48" s="248">
        <f>+'Sch 140'!$H$14</f>
        <v>2.467E-3</v>
      </c>
      <c r="P48" s="276"/>
      <c r="Q48" s="248">
        <f t="shared" si="3"/>
        <v>2.467E-3</v>
      </c>
    </row>
    <row r="49" spans="1:17">
      <c r="A49" s="275">
        <f t="shared" si="0"/>
        <v>39</v>
      </c>
      <c r="N49" s="381" t="s">
        <v>311</v>
      </c>
      <c r="O49" s="382">
        <v>0</v>
      </c>
      <c r="P49" s="383"/>
      <c r="Q49" s="382">
        <f>+'[1](JAP4)-Tariff Summary'!$F$22</f>
        <v>0.51000000000000512</v>
      </c>
    </row>
    <row r="50" spans="1:17">
      <c r="A50" s="275">
        <f t="shared" si="0"/>
        <v>40</v>
      </c>
      <c r="N50" s="381" t="s">
        <v>459</v>
      </c>
      <c r="O50" s="382">
        <v>0</v>
      </c>
      <c r="P50" s="383"/>
      <c r="Q50" s="382">
        <f>+'[1](JAP4)-Tariff Summary'!$F$29</f>
        <v>0.33000000000000007</v>
      </c>
    </row>
    <row r="51" spans="1:17">
      <c r="A51" s="275">
        <f t="shared" si="0"/>
        <v>41</v>
      </c>
      <c r="N51" s="381" t="s">
        <v>460</v>
      </c>
      <c r="O51" s="382">
        <v>0</v>
      </c>
      <c r="P51" s="383"/>
      <c r="Q51" s="382">
        <f>+'[1](JAP4)-Tariff Summary'!$F$30</f>
        <v>0.21999999999999975</v>
      </c>
    </row>
    <row r="52" spans="1:17">
      <c r="A52" s="275">
        <f t="shared" si="0"/>
        <v>42</v>
      </c>
      <c r="N52" s="381" t="s">
        <v>461</v>
      </c>
      <c r="O52" s="382">
        <v>0</v>
      </c>
      <c r="P52" s="383"/>
      <c r="Q52" s="382">
        <f>+'[1](JAP4) SecVolt RD'!$G$60-'[1](JAP4) SecVolt RD'!$D$60</f>
        <v>0.27000000000000046</v>
      </c>
    </row>
    <row r="53" spans="1:17">
      <c r="A53" s="275">
        <f t="shared" si="0"/>
        <v>43</v>
      </c>
      <c r="N53" s="381" t="s">
        <v>310</v>
      </c>
      <c r="O53" s="382">
        <v>0</v>
      </c>
      <c r="P53" s="383"/>
      <c r="Q53" s="382">
        <f>+'[1](JAP4)-Tariff Summary'!$F$24</f>
        <v>9.4099999999999739E-4</v>
      </c>
    </row>
    <row r="54" spans="1:17">
      <c r="A54" s="275">
        <f t="shared" si="0"/>
        <v>44</v>
      </c>
      <c r="N54" s="381" t="s">
        <v>309</v>
      </c>
      <c r="O54" s="382">
        <v>0</v>
      </c>
      <c r="P54" s="383"/>
      <c r="Q54" s="382">
        <f>+'[1](JAP4)-Tariff Summary'!$F$25</f>
        <v>6.4100000000001656E-4</v>
      </c>
    </row>
    <row r="55" spans="1:17">
      <c r="A55" s="275">
        <f t="shared" si="0"/>
        <v>45</v>
      </c>
      <c r="N55" s="381" t="s">
        <v>462</v>
      </c>
      <c r="O55" s="382">
        <v>0</v>
      </c>
      <c r="P55" s="383"/>
      <c r="Q55" s="382">
        <f>+'[1](JAP4) SecVolt RD'!$G$59-'[1](JAP4) SecVolt RD'!$D$59</f>
        <v>7.9300000000000204E-4</v>
      </c>
    </row>
    <row r="56" spans="1:17">
      <c r="A56" s="275">
        <f t="shared" si="0"/>
        <v>46</v>
      </c>
      <c r="N56" s="381" t="s">
        <v>308</v>
      </c>
      <c r="O56" s="382">
        <v>0</v>
      </c>
      <c r="P56" s="383"/>
      <c r="Q56" s="382">
        <f>+'[1](JAP4)-Tariff Summary'!$F$26</f>
        <v>0</v>
      </c>
    </row>
    <row r="57" spans="1:17">
      <c r="A57" s="275">
        <f t="shared" si="0"/>
        <v>47</v>
      </c>
      <c r="N57" s="381" t="s">
        <v>330</v>
      </c>
      <c r="O57" s="382">
        <v>0</v>
      </c>
      <c r="P57" s="383"/>
      <c r="Q57" s="382">
        <f>+'[1](JAP4)-Tariff Summary'!$F$32</f>
        <v>9.9999999999999829E-5</v>
      </c>
    </row>
    <row r="58" spans="1:17">
      <c r="A58" s="275">
        <f t="shared" si="0"/>
        <v>48</v>
      </c>
      <c r="N58" s="381" t="s">
        <v>512</v>
      </c>
      <c r="O58" s="382">
        <v>0</v>
      </c>
      <c r="P58" s="383"/>
      <c r="Q58" s="382">
        <f>+'[1](JAP4)-Tariff Summary'!$G$22</f>
        <v>-0.51000000000000512</v>
      </c>
    </row>
    <row r="59" spans="1:17">
      <c r="A59" s="275">
        <f t="shared" si="0"/>
        <v>49</v>
      </c>
      <c r="N59" s="381" t="s">
        <v>504</v>
      </c>
      <c r="O59" s="382">
        <v>0</v>
      </c>
      <c r="P59" s="383"/>
      <c r="Q59" s="382">
        <f>+'[1](JAP4)-Tariff Summary'!$G$29</f>
        <v>-0.33000000000000007</v>
      </c>
    </row>
    <row r="60" spans="1:17">
      <c r="A60" s="275">
        <f t="shared" si="0"/>
        <v>50</v>
      </c>
      <c r="N60" s="381" t="s">
        <v>505</v>
      </c>
      <c r="O60" s="382">
        <v>0</v>
      </c>
      <c r="P60" s="383"/>
      <c r="Q60" s="382">
        <f>+'[1](JAP4)-Tariff Summary'!$G$30</f>
        <v>-0.21999999999999975</v>
      </c>
    </row>
    <row r="61" spans="1:17">
      <c r="A61" s="275">
        <f t="shared" si="0"/>
        <v>51</v>
      </c>
      <c r="N61" s="381" t="s">
        <v>506</v>
      </c>
      <c r="O61" s="382">
        <v>0</v>
      </c>
      <c r="P61" s="383"/>
      <c r="Q61" s="382">
        <f>-Q52</f>
        <v>-0.27000000000000046</v>
      </c>
    </row>
    <row r="62" spans="1:17">
      <c r="A62" s="275">
        <f t="shared" si="0"/>
        <v>52</v>
      </c>
      <c r="N62" s="381" t="s">
        <v>507</v>
      </c>
      <c r="O62" s="382">
        <v>0</v>
      </c>
      <c r="P62" s="383"/>
      <c r="Q62" s="382">
        <f>+'[1](JAP4)-Tariff Summary'!$G$24</f>
        <v>-9.4099999999999739E-4</v>
      </c>
    </row>
    <row r="63" spans="1:17">
      <c r="A63" s="275">
        <f t="shared" si="0"/>
        <v>53</v>
      </c>
      <c r="N63" s="381" t="s">
        <v>508</v>
      </c>
      <c r="O63" s="382">
        <v>0</v>
      </c>
      <c r="P63" s="383"/>
      <c r="Q63" s="382">
        <f>+'[1](JAP4)-Tariff Summary'!$G$25</f>
        <v>-6.4100000000001656E-4</v>
      </c>
    </row>
    <row r="64" spans="1:17">
      <c r="A64" s="275">
        <f t="shared" si="0"/>
        <v>54</v>
      </c>
      <c r="N64" s="381" t="s">
        <v>509</v>
      </c>
      <c r="O64" s="382">
        <v>0</v>
      </c>
      <c r="P64" s="383"/>
      <c r="Q64" s="382">
        <f>-Q55</f>
        <v>-7.9300000000000204E-4</v>
      </c>
    </row>
    <row r="65" spans="1:17">
      <c r="A65" s="275">
        <f t="shared" si="0"/>
        <v>55</v>
      </c>
      <c r="N65" s="381" t="s">
        <v>510</v>
      </c>
      <c r="O65" s="382">
        <v>0</v>
      </c>
      <c r="P65" s="383"/>
      <c r="Q65" s="382">
        <f>+'[1](JAP4)-Tariff Summary'!$G$26</f>
        <v>0</v>
      </c>
    </row>
    <row r="66" spans="1:17">
      <c r="A66" s="275">
        <f t="shared" si="0"/>
        <v>56</v>
      </c>
      <c r="N66" s="381" t="s">
        <v>511</v>
      </c>
      <c r="O66" s="382">
        <v>0</v>
      </c>
      <c r="P66" s="383"/>
      <c r="Q66" s="382">
        <f>+'[1](JAP4)-Tariff Summary'!$G$32</f>
        <v>-9.9999999999999829E-5</v>
      </c>
    </row>
    <row r="67" spans="1:17">
      <c r="A67" s="275">
        <f t="shared" si="0"/>
        <v>57</v>
      </c>
      <c r="N67" s="247" t="s">
        <v>248</v>
      </c>
      <c r="O67" s="248">
        <f>+'Sch 142'!$G$14</f>
        <v>1.408E-3</v>
      </c>
      <c r="P67" s="276"/>
      <c r="Q67" s="248">
        <f t="shared" ref="Q67" si="4">+O67</f>
        <v>1.408E-3</v>
      </c>
    </row>
    <row r="68" spans="1:17">
      <c r="N68" s="244" t="s">
        <v>383</v>
      </c>
      <c r="O68" s="243">
        <f>+'JAP-4 (ERF Impacts)'!W13</f>
        <v>0</v>
      </c>
    </row>
  </sheetData>
  <mergeCells count="3">
    <mergeCell ref="N11:O11"/>
    <mergeCell ref="P11:Q11"/>
    <mergeCell ref="G6:I6"/>
  </mergeCells>
  <printOptions horizontalCentered="1"/>
  <pageMargins left="0.7" right="0.7" top="0.75" bottom="0.75" header="0.3" footer="0.3"/>
  <pageSetup scale="59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53"/>
  <sheetViews>
    <sheetView zoomScale="90" zoomScaleNormal="90" zoomScaleSheetLayoutView="75" workbookViewId="0">
      <pane xSplit="1" ySplit="8" topLeftCell="B18" activePane="bottomRight" state="frozen"/>
      <selection pane="topRight" activeCell="B1" sqref="B1"/>
      <selection pane="bottomLeft" activeCell="A9" sqref="A9"/>
      <selection pane="bottomRight" activeCell="Q21" sqref="Q21"/>
    </sheetView>
  </sheetViews>
  <sheetFormatPr defaultColWidth="9.42578125" defaultRowHeight="15"/>
  <cols>
    <col min="1" max="1" width="7.7109375" style="231" customWidth="1"/>
    <col min="2" max="2" width="11.5703125" style="231" customWidth="1"/>
    <col min="3" max="3" width="2.7109375" style="231" customWidth="1"/>
    <col min="4" max="4" width="13.7109375" style="231" bestFit="1" customWidth="1"/>
    <col min="5" max="5" width="9" style="231" bestFit="1" customWidth="1"/>
    <col min="6" max="6" width="3.85546875" style="231" customWidth="1"/>
    <col min="7" max="7" width="13" style="231" bestFit="1" customWidth="1"/>
    <col min="8" max="8" width="4" style="231" customWidth="1"/>
    <col min="9" max="9" width="14.28515625" style="231" bestFit="1" customWidth="1"/>
    <col min="10" max="10" width="5" style="231" customWidth="1"/>
    <col min="11" max="11" width="13.7109375" style="231" customWidth="1"/>
    <col min="12" max="12" width="2.7109375" style="231" customWidth="1"/>
    <col min="13" max="13" width="3.28515625" style="231" customWidth="1"/>
    <col min="14" max="14" width="41.140625" style="231" bestFit="1" customWidth="1"/>
    <col min="15" max="15" width="16.85546875" style="231" customWidth="1"/>
    <col min="16" max="17" width="14.28515625" style="231" bestFit="1" customWidth="1"/>
    <col min="18" max="18" width="2.42578125" style="231" customWidth="1"/>
    <col min="19" max="21" width="9.42578125" style="231"/>
    <col min="22" max="22" width="12.7109375" style="231" bestFit="1" customWidth="1"/>
    <col min="23" max="16384" width="9.42578125" style="231"/>
  </cols>
  <sheetData>
    <row r="1" spans="1:22" ht="20.25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21"/>
      <c r="M1" s="321"/>
    </row>
    <row r="2" spans="1:22" ht="20.25">
      <c r="B2" s="310" t="s">
        <v>286</v>
      </c>
      <c r="C2" s="310"/>
      <c r="D2" s="310"/>
      <c r="E2" s="310"/>
      <c r="F2" s="310"/>
      <c r="G2" s="310"/>
      <c r="H2" s="310"/>
      <c r="I2" s="310"/>
      <c r="J2" s="310"/>
      <c r="K2" s="310"/>
      <c r="L2" s="321"/>
      <c r="M2" s="321"/>
    </row>
    <row r="3" spans="1:22" ht="20.25">
      <c r="B3" s="310" t="s">
        <v>337</v>
      </c>
      <c r="C3" s="310"/>
      <c r="D3" s="310"/>
      <c r="E3" s="310"/>
      <c r="F3" s="310"/>
      <c r="G3" s="310"/>
      <c r="H3" s="310"/>
      <c r="I3" s="310"/>
      <c r="J3" s="310"/>
      <c r="K3" s="310"/>
      <c r="L3" s="321"/>
      <c r="M3" s="321"/>
    </row>
    <row r="4" spans="1:22" ht="20.25">
      <c r="B4" s="322" t="s">
        <v>338</v>
      </c>
      <c r="C4" s="310"/>
      <c r="D4" s="310"/>
      <c r="E4" s="310"/>
      <c r="F4" s="310"/>
      <c r="G4" s="310"/>
      <c r="H4" s="310"/>
      <c r="I4" s="310"/>
      <c r="J4" s="310"/>
      <c r="K4" s="310"/>
      <c r="L4" s="321"/>
      <c r="M4" s="321"/>
    </row>
    <row r="5" spans="1:22">
      <c r="A5" s="279"/>
      <c r="B5" s="320"/>
    </row>
    <row r="6" spans="1:22" ht="15.75">
      <c r="A6" s="279"/>
      <c r="B6" s="318" t="s">
        <v>327</v>
      </c>
      <c r="C6" s="283"/>
      <c r="D6" s="283"/>
      <c r="E6" s="283"/>
      <c r="F6" s="283"/>
      <c r="G6" s="538" t="s">
        <v>326</v>
      </c>
      <c r="H6" s="539"/>
      <c r="I6" s="539"/>
      <c r="J6" s="283"/>
      <c r="K6" s="280"/>
      <c r="L6" s="279"/>
      <c r="M6" s="279"/>
    </row>
    <row r="7" spans="1:22" ht="15.75">
      <c r="A7" s="279"/>
      <c r="B7" s="319" t="s">
        <v>325</v>
      </c>
      <c r="C7" s="307"/>
      <c r="D7" s="318" t="s">
        <v>324</v>
      </c>
      <c r="E7" s="283"/>
      <c r="F7" s="283"/>
      <c r="G7" s="317" t="s">
        <v>323</v>
      </c>
      <c r="H7" s="280"/>
      <c r="I7" s="317" t="s">
        <v>29</v>
      </c>
      <c r="J7" s="283"/>
      <c r="K7" s="307" t="s">
        <v>302</v>
      </c>
      <c r="L7" s="279"/>
      <c r="M7" s="279"/>
    </row>
    <row r="8" spans="1:22" ht="16.5">
      <c r="A8" s="496" t="s">
        <v>3</v>
      </c>
      <c r="B8" s="304" t="s">
        <v>322</v>
      </c>
      <c r="C8" s="300"/>
      <c r="D8" s="316" t="s">
        <v>321</v>
      </c>
      <c r="E8" s="304" t="s">
        <v>282</v>
      </c>
      <c r="F8" s="283"/>
      <c r="G8" s="315" t="s">
        <v>397</v>
      </c>
      <c r="H8" s="315"/>
      <c r="I8" s="315" t="s">
        <v>398</v>
      </c>
      <c r="J8" s="283"/>
      <c r="K8" s="305" t="s">
        <v>33</v>
      </c>
      <c r="L8" s="279"/>
      <c r="M8" s="279"/>
    </row>
    <row r="9" spans="1:22" ht="15.75">
      <c r="A9" s="276"/>
      <c r="B9" s="316" t="s">
        <v>96</v>
      </c>
      <c r="C9" s="316"/>
      <c r="D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/>
      <c r="O9" s="498" t="s">
        <v>220</v>
      </c>
      <c r="P9" s="498"/>
      <c r="Q9" s="498" t="s">
        <v>250</v>
      </c>
    </row>
    <row r="10" spans="1:22" s="276" customFormat="1" ht="16.5" thickBot="1">
      <c r="B10" s="283"/>
      <c r="C10" s="283"/>
      <c r="D10" s="283"/>
      <c r="E10" s="283"/>
      <c r="F10" s="283"/>
      <c r="G10" s="300"/>
      <c r="H10" s="300"/>
      <c r="I10" s="300"/>
      <c r="J10" s="280"/>
      <c r="K10" s="280"/>
    </row>
    <row r="11" spans="1:22" ht="15.75">
      <c r="A11" s="275">
        <v>1</v>
      </c>
      <c r="B11" s="283">
        <v>350</v>
      </c>
      <c r="C11" s="283"/>
      <c r="D11" s="283">
        <v>300</v>
      </c>
      <c r="E11" s="286">
        <f>ROUND((B$11*D11),0)</f>
        <v>105000</v>
      </c>
      <c r="F11" s="283"/>
      <c r="G11" s="284">
        <f>+O$13+$B11*O$19+$E11*O$15</f>
        <v>10136.529999999999</v>
      </c>
      <c r="H11" s="284"/>
      <c r="I11" s="284">
        <f>+Q$13+$B11*Q$19+$E11*Q$15</f>
        <v>10136.529999999999</v>
      </c>
      <c r="J11" s="283"/>
      <c r="K11" s="281">
        <f>ROUND((+I11-G11)/G11,3)</f>
        <v>0</v>
      </c>
      <c r="L11" s="279"/>
      <c r="M11" s="279"/>
      <c r="N11" s="534" t="s">
        <v>299</v>
      </c>
      <c r="O11" s="536"/>
      <c r="P11" s="537" t="s">
        <v>298</v>
      </c>
      <c r="Q11" s="536"/>
      <c r="R11" s="278"/>
      <c r="V11" s="278"/>
    </row>
    <row r="12" spans="1:22" ht="15.75">
      <c r="A12" s="275">
        <f>+A11+1</f>
        <v>2</v>
      </c>
      <c r="B12" s="283">
        <f>+B11</f>
        <v>350</v>
      </c>
      <c r="C12" s="283"/>
      <c r="D12" s="283">
        <v>500</v>
      </c>
      <c r="E12" s="286">
        <f>ROUND((B$11*D12),0)</f>
        <v>175000</v>
      </c>
      <c r="F12" s="283"/>
      <c r="G12" s="284">
        <f>+O$13+$B12*O$19+$E12*O$15</f>
        <v>14532.389999999998</v>
      </c>
      <c r="H12" s="284"/>
      <c r="I12" s="284">
        <f>+Q$13+$B12*Q$19+$E12*Q$15</f>
        <v>14532.389999999998</v>
      </c>
      <c r="J12" s="283"/>
      <c r="K12" s="281">
        <f>ROUND((+I12-G12)/G12,3)</f>
        <v>0</v>
      </c>
      <c r="L12" s="279"/>
      <c r="M12" s="279"/>
      <c r="N12" s="293"/>
      <c r="O12" s="298"/>
      <c r="P12" s="257"/>
      <c r="Q12" s="298"/>
      <c r="R12" s="278"/>
    </row>
    <row r="13" spans="1:22" ht="15.75">
      <c r="A13" s="275">
        <f t="shared" ref="A13:A53" si="0">+A12+1</f>
        <v>3</v>
      </c>
      <c r="B13" s="283">
        <f>+B12</f>
        <v>350</v>
      </c>
      <c r="C13" s="283"/>
      <c r="D13" s="283">
        <v>700</v>
      </c>
      <c r="E13" s="286">
        <f>ROUND((B$11*D13),0)</f>
        <v>245000</v>
      </c>
      <c r="F13" s="283"/>
      <c r="G13" s="284">
        <f>+O$13+$B13*O$19+$E13*O$15</f>
        <v>18928.25</v>
      </c>
      <c r="H13" s="284"/>
      <c r="I13" s="284">
        <f>+Q$13+$B13*Q$19+$E13*Q$15</f>
        <v>18928.25</v>
      </c>
      <c r="J13" s="283"/>
      <c r="K13" s="281">
        <f>ROUND((+I13-G13)/G13,3)</f>
        <v>0</v>
      </c>
      <c r="N13" s="293" t="s">
        <v>295</v>
      </c>
      <c r="O13" s="263">
        <f>SUM(O24,O38)</f>
        <v>105.74</v>
      </c>
      <c r="P13" s="293" t="str">
        <f>+N13</f>
        <v>Basic Charge</v>
      </c>
      <c r="Q13" s="263">
        <f>SUM(Q24,Q38,Q44)</f>
        <v>105.74</v>
      </c>
      <c r="R13" s="290"/>
      <c r="S13" s="256">
        <f>(Q13-O13)/O13</f>
        <v>0</v>
      </c>
      <c r="V13" s="484"/>
    </row>
    <row r="14" spans="1:22">
      <c r="A14" s="275">
        <f t="shared" si="0"/>
        <v>4</v>
      </c>
      <c r="L14" s="279"/>
      <c r="M14" s="279"/>
      <c r="N14" s="293"/>
      <c r="O14" s="295"/>
      <c r="P14" s="297"/>
      <c r="Q14" s="295"/>
      <c r="R14" s="278"/>
    </row>
    <row r="15" spans="1:22" ht="15.75">
      <c r="A15" s="275">
        <f t="shared" si="0"/>
        <v>5</v>
      </c>
      <c r="B15" s="283">
        <f>+B13+50</f>
        <v>400</v>
      </c>
      <c r="C15" s="283"/>
      <c r="D15" s="283">
        <v>300</v>
      </c>
      <c r="E15" s="286">
        <f>ROUND((B$15*D15),0)</f>
        <v>120000</v>
      </c>
      <c r="F15" s="283"/>
      <c r="G15" s="284">
        <f>+O$13+$B15*O$19+$E15*O$15</f>
        <v>11569.5</v>
      </c>
      <c r="H15" s="284"/>
      <c r="I15" s="284">
        <f>+Q$13+$B15*Q$19+$E15*Q$15</f>
        <v>11569.5</v>
      </c>
      <c r="J15" s="283"/>
      <c r="K15" s="281">
        <f>ROUND((+I15-G15)/G15,3)</f>
        <v>0</v>
      </c>
      <c r="L15" s="279"/>
      <c r="M15" s="279"/>
      <c r="N15" s="294" t="s">
        <v>336</v>
      </c>
      <c r="O15" s="258">
        <f>SUM(O25,O31:O37,O50,O39)</f>
        <v>6.2797999999999993E-2</v>
      </c>
      <c r="P15" s="293" t="str">
        <f>+N15</f>
        <v>kWh - All</v>
      </c>
      <c r="Q15" s="258">
        <f>SUM(Q25,Q31:Q37,Q50,Q39,Q45)</f>
        <v>6.2797999999999993E-2</v>
      </c>
      <c r="R15" s="278"/>
      <c r="S15" s="256">
        <f>(Q15-O15)/O15</f>
        <v>0</v>
      </c>
      <c r="V15" s="278"/>
    </row>
    <row r="16" spans="1:22" ht="15.75">
      <c r="A16" s="275">
        <f t="shared" si="0"/>
        <v>6</v>
      </c>
      <c r="B16" s="283">
        <f>+B15</f>
        <v>400</v>
      </c>
      <c r="C16" s="283"/>
      <c r="D16" s="283">
        <v>500</v>
      </c>
      <c r="E16" s="286">
        <f>ROUND((B$15*D16),0)</f>
        <v>200000</v>
      </c>
      <c r="F16" s="283"/>
      <c r="G16" s="284">
        <f>+O$13+$B16*O$19+$E16*O$15</f>
        <v>16593.339999999997</v>
      </c>
      <c r="H16" s="284"/>
      <c r="I16" s="284">
        <f>+Q$13+$B16*Q$19+$E16*Q$15</f>
        <v>16593.339999999997</v>
      </c>
      <c r="J16" s="283"/>
      <c r="K16" s="281">
        <f>ROUND((+I16-G16)/G16,3)</f>
        <v>0</v>
      </c>
      <c r="L16" s="279"/>
      <c r="M16" s="279"/>
      <c r="N16" s="294"/>
      <c r="O16" s="258"/>
      <c r="P16" s="294"/>
      <c r="Q16" s="258"/>
      <c r="R16" s="278"/>
      <c r="S16" s="262"/>
      <c r="U16" s="276"/>
      <c r="V16" s="278"/>
    </row>
    <row r="17" spans="1:22" ht="15.75">
      <c r="A17" s="275">
        <f t="shared" si="0"/>
        <v>7</v>
      </c>
      <c r="B17" s="283">
        <f>+B16</f>
        <v>400</v>
      </c>
      <c r="C17" s="283"/>
      <c r="D17" s="283">
        <v>700</v>
      </c>
      <c r="E17" s="286">
        <f>ROUND((B$15*D17),0)</f>
        <v>280000</v>
      </c>
      <c r="F17" s="283"/>
      <c r="G17" s="284">
        <f>+O$13+$B17*O$19+$E17*O$15</f>
        <v>21617.18</v>
      </c>
      <c r="H17" s="284"/>
      <c r="I17" s="284">
        <f>+Q$13+$B17*Q$19+$E17*Q$15</f>
        <v>21617.18</v>
      </c>
      <c r="J17" s="283"/>
      <c r="K17" s="281">
        <f>ROUND((+I17-G17)/G17,3)</f>
        <v>0</v>
      </c>
      <c r="N17" s="294" t="s">
        <v>335</v>
      </c>
      <c r="O17" s="314">
        <f>SUM(O26,O40,O51)</f>
        <v>11.85</v>
      </c>
      <c r="P17" s="293" t="str">
        <f>+N17</f>
        <v>Winter kW</v>
      </c>
      <c r="Q17" s="314">
        <f>SUM(Q26,Q40,Q51,Q46)</f>
        <v>11.85</v>
      </c>
      <c r="R17" s="278"/>
      <c r="S17" s="256">
        <f>(Q17-O17)/O17</f>
        <v>0</v>
      </c>
    </row>
    <row r="18" spans="1:22" ht="15.75">
      <c r="A18" s="275">
        <f t="shared" si="0"/>
        <v>8</v>
      </c>
      <c r="B18" s="283"/>
      <c r="C18" s="283"/>
      <c r="D18" s="283"/>
      <c r="E18" s="283"/>
      <c r="F18" s="283"/>
      <c r="G18" s="284"/>
      <c r="H18" s="284"/>
      <c r="I18" s="284"/>
      <c r="J18" s="280"/>
      <c r="K18" s="282"/>
      <c r="L18" s="279"/>
      <c r="M18" s="279"/>
      <c r="N18" s="294" t="s">
        <v>334</v>
      </c>
      <c r="O18" s="314">
        <f>SUM(O27,O41,O51)</f>
        <v>7.8800000000000008</v>
      </c>
      <c r="P18" s="293" t="str">
        <f>+N18</f>
        <v>Summer kW</v>
      </c>
      <c r="Q18" s="314">
        <f>SUM(Q27,Q41,Q51,Q47)</f>
        <v>7.8800000000000008</v>
      </c>
      <c r="R18" s="278"/>
      <c r="S18" s="256">
        <f>(Q18-O18)/O18</f>
        <v>0</v>
      </c>
    </row>
    <row r="19" spans="1:22" ht="15.75">
      <c r="A19" s="275">
        <f t="shared" si="0"/>
        <v>9</v>
      </c>
      <c r="B19" s="283">
        <f>+B17+100</f>
        <v>500</v>
      </c>
      <c r="C19" s="283"/>
      <c r="D19" s="283">
        <v>300</v>
      </c>
      <c r="E19" s="286">
        <f>ROUND((B$19*D19),0)</f>
        <v>150000</v>
      </c>
      <c r="F19" s="283"/>
      <c r="G19" s="284">
        <f>+O$13+$B19*O$19+$E19*O$15</f>
        <v>14435.439999999999</v>
      </c>
      <c r="H19" s="284"/>
      <c r="I19" s="284">
        <f>+Q$13+$B19*Q$19+$E19*Q$15</f>
        <v>14435.439999999999</v>
      </c>
      <c r="J19" s="283"/>
      <c r="K19" s="281">
        <f>ROUND((+I19-G19)/G19,3)</f>
        <v>0</v>
      </c>
      <c r="L19" s="279"/>
      <c r="M19" s="279"/>
      <c r="N19" s="294" t="s">
        <v>333</v>
      </c>
      <c r="O19" s="314">
        <f>SUM(O28,O42,O51)</f>
        <v>9.82</v>
      </c>
      <c r="P19" s="293" t="str">
        <f>+N19</f>
        <v>Average kW</v>
      </c>
      <c r="Q19" s="314">
        <f>SUM(Q28,Q42,Q51,Q48)</f>
        <v>9.82</v>
      </c>
      <c r="R19" s="278"/>
      <c r="S19" s="256">
        <f>(Q19-O19)/O19</f>
        <v>0</v>
      </c>
      <c r="U19" s="484"/>
      <c r="V19" s="484"/>
    </row>
    <row r="20" spans="1:22" ht="15.75">
      <c r="A20" s="275">
        <f t="shared" si="0"/>
        <v>10</v>
      </c>
      <c r="B20" s="283">
        <f>+B19</f>
        <v>500</v>
      </c>
      <c r="C20" s="283"/>
      <c r="D20" s="283">
        <v>500</v>
      </c>
      <c r="E20" s="286">
        <f>ROUND((B$19*D20),0)</f>
        <v>250000</v>
      </c>
      <c r="F20" s="283"/>
      <c r="G20" s="284">
        <f>+O$13+$B20*O$19+$E20*O$15</f>
        <v>20715.239999999998</v>
      </c>
      <c r="H20" s="284"/>
      <c r="I20" s="284">
        <f>+Q$13+$B20*Q$19+$E20*Q$15</f>
        <v>20715.239999999998</v>
      </c>
      <c r="J20" s="283"/>
      <c r="K20" s="281">
        <f>ROUND((+I20-G20)/G20,3)</f>
        <v>0</v>
      </c>
      <c r="L20" s="279"/>
      <c r="M20" s="279"/>
      <c r="N20" s="293"/>
      <c r="O20" s="258"/>
      <c r="P20" s="293"/>
      <c r="Q20" s="258"/>
      <c r="R20" s="278"/>
    </row>
    <row r="21" spans="1:22" ht="15.75">
      <c r="A21" s="275">
        <f t="shared" si="0"/>
        <v>11</v>
      </c>
      <c r="B21" s="283">
        <f>+B20</f>
        <v>500</v>
      </c>
      <c r="C21" s="283"/>
      <c r="D21" s="283">
        <v>700</v>
      </c>
      <c r="E21" s="286">
        <f>ROUND((B$19*D21),0)</f>
        <v>350000</v>
      </c>
      <c r="F21" s="283"/>
      <c r="G21" s="284">
        <f>+O$13+$B21*O$19+$E21*O$15</f>
        <v>26995.039999999994</v>
      </c>
      <c r="H21" s="284"/>
      <c r="I21" s="284">
        <f>+Q$13+$B21*Q$19+$E21*Q$15</f>
        <v>26995.039999999994</v>
      </c>
      <c r="J21" s="283"/>
      <c r="K21" s="281">
        <f>ROUND((+I21-G21)/G21,3)</f>
        <v>0</v>
      </c>
      <c r="N21" s="293" t="s">
        <v>312</v>
      </c>
      <c r="O21" s="313">
        <f>SUM(O29,O43)</f>
        <v>1.2600000000000001E-3</v>
      </c>
      <c r="P21" s="293" t="str">
        <f>+N21</f>
        <v>kVarh</v>
      </c>
      <c r="Q21" s="313">
        <f>SUM(Q29,Q43,Q49)</f>
        <v>1.2600000000000001E-3</v>
      </c>
      <c r="R21" s="278"/>
      <c r="S21" s="256">
        <f>(Q21-O21)/O21</f>
        <v>0</v>
      </c>
    </row>
    <row r="22" spans="1:22" ht="16.5" thickBot="1">
      <c r="A22" s="275">
        <f t="shared" si="0"/>
        <v>12</v>
      </c>
      <c r="B22" s="283"/>
      <c r="C22" s="283"/>
      <c r="D22" s="283"/>
      <c r="E22" s="283"/>
      <c r="F22" s="283"/>
      <c r="G22" s="284"/>
      <c r="H22" s="284"/>
      <c r="I22" s="284"/>
      <c r="J22" s="280"/>
      <c r="K22" s="282"/>
      <c r="L22" s="279"/>
      <c r="M22" s="279"/>
      <c r="N22" s="292" t="s">
        <v>24</v>
      </c>
      <c r="O22" s="291" t="s">
        <v>24</v>
      </c>
      <c r="P22" s="292" t="s">
        <v>24</v>
      </c>
      <c r="Q22" s="291" t="s">
        <v>24</v>
      </c>
      <c r="R22" s="278"/>
    </row>
    <row r="23" spans="1:22" ht="15.75">
      <c r="A23" s="275">
        <f t="shared" si="0"/>
        <v>13</v>
      </c>
      <c r="B23" s="283">
        <f>+B21+100</f>
        <v>600</v>
      </c>
      <c r="C23" s="283"/>
      <c r="D23" s="283">
        <v>300</v>
      </c>
      <c r="E23" s="286">
        <f>ROUND((B$23*D23),0)</f>
        <v>180000</v>
      </c>
      <c r="F23" s="283"/>
      <c r="G23" s="284">
        <f>+O$13+$B23*O$19+$E23*O$15</f>
        <v>17301.379999999997</v>
      </c>
      <c r="H23" s="284"/>
      <c r="I23" s="284">
        <f>+Q$13+$B23*Q$19+$E23*Q$15</f>
        <v>17301.379999999997</v>
      </c>
      <c r="J23" s="283"/>
      <c r="K23" s="281">
        <f>ROUND((+I23-G23)/G23,3)</f>
        <v>0</v>
      </c>
      <c r="L23" s="279"/>
      <c r="M23" s="279"/>
      <c r="R23" s="278"/>
    </row>
    <row r="24" spans="1:22" ht="15.75">
      <c r="A24" s="275">
        <f t="shared" si="0"/>
        <v>14</v>
      </c>
      <c r="B24" s="283">
        <f>+B23</f>
        <v>600</v>
      </c>
      <c r="C24" s="283"/>
      <c r="D24" s="283">
        <v>500</v>
      </c>
      <c r="E24" s="286">
        <f>ROUND((B$23*D24),0)</f>
        <v>300000</v>
      </c>
      <c r="F24" s="283"/>
      <c r="G24" s="284">
        <f>+O$13+$B24*O$19+$E24*O$15</f>
        <v>24837.14</v>
      </c>
      <c r="H24" s="284"/>
      <c r="I24" s="284">
        <f>+Q$13+$B24*Q$19+$E24*Q$15</f>
        <v>24837.14</v>
      </c>
      <c r="J24" s="283"/>
      <c r="K24" s="281">
        <f>ROUND((+I24-G24)/G24,3)</f>
        <v>0</v>
      </c>
      <c r="L24" s="279"/>
      <c r="M24" s="279"/>
      <c r="N24" s="231" t="str">
        <f>+N13</f>
        <v>Basic Charge</v>
      </c>
      <c r="O24" s="248">
        <f>+'[1](JAP4)-Tariff Summary'!$D$35</f>
        <v>105.74</v>
      </c>
      <c r="P24" s="248"/>
      <c r="Q24" s="248">
        <f>+O24</f>
        <v>105.74</v>
      </c>
      <c r="R24" s="278"/>
    </row>
    <row r="25" spans="1:22" ht="15.75">
      <c r="A25" s="275">
        <f t="shared" si="0"/>
        <v>15</v>
      </c>
      <c r="B25" s="283">
        <f>+B24</f>
        <v>600</v>
      </c>
      <c r="C25" s="283"/>
      <c r="D25" s="283">
        <v>700</v>
      </c>
      <c r="E25" s="286">
        <f>ROUND((B$23*D25),0)</f>
        <v>420000</v>
      </c>
      <c r="F25" s="283"/>
      <c r="G25" s="284">
        <f>+O$13+$B25*O$19+$E25*O$15</f>
        <v>32372.899999999994</v>
      </c>
      <c r="H25" s="284"/>
      <c r="I25" s="284">
        <f>+Q$13+$B25*Q$19+$E25*Q$15</f>
        <v>32372.899999999994</v>
      </c>
      <c r="J25" s="283"/>
      <c r="K25" s="281">
        <f>ROUND((+I25-G25)/G25,3)</f>
        <v>0</v>
      </c>
      <c r="N25" s="231" t="str">
        <f>+N15</f>
        <v>kWh - All</v>
      </c>
      <c r="O25" s="248">
        <f>+'[1](JAP4)-Tariff Summary'!$D$37</f>
        <v>5.7180999999999996E-2</v>
      </c>
      <c r="P25" s="248"/>
      <c r="Q25" s="248">
        <f t="shared" ref="Q25:Q37" si="1">+O25</f>
        <v>5.7180999999999996E-2</v>
      </c>
      <c r="R25" s="278"/>
    </row>
    <row r="26" spans="1:22" ht="15.75">
      <c r="A26" s="275">
        <f t="shared" si="0"/>
        <v>16</v>
      </c>
      <c r="B26" s="283"/>
      <c r="C26" s="283"/>
      <c r="D26" s="283"/>
      <c r="E26" s="283"/>
      <c r="F26" s="283"/>
      <c r="G26" s="284"/>
      <c r="H26" s="284"/>
      <c r="I26" s="284"/>
      <c r="J26" s="280"/>
      <c r="K26" s="282"/>
      <c r="L26" s="279"/>
      <c r="M26" s="279"/>
      <c r="N26" s="231" t="str">
        <f>+N17</f>
        <v>Winter kW</v>
      </c>
      <c r="O26" s="248">
        <f>+'[1](JAP4)-Tariff Summary'!$D$39</f>
        <v>11.91</v>
      </c>
      <c r="P26" s="248"/>
      <c r="Q26" s="248">
        <f t="shared" si="1"/>
        <v>11.91</v>
      </c>
      <c r="R26" s="278"/>
    </row>
    <row r="27" spans="1:22" ht="15.75">
      <c r="A27" s="275">
        <f t="shared" si="0"/>
        <v>17</v>
      </c>
      <c r="B27" s="283">
        <f>+B25+100</f>
        <v>700</v>
      </c>
      <c r="C27" s="283"/>
      <c r="D27" s="283">
        <v>300</v>
      </c>
      <c r="E27" s="286">
        <f>ROUND((B$27*D27),0)</f>
        <v>210000</v>
      </c>
      <c r="F27" s="283"/>
      <c r="G27" s="284">
        <f>+O$13+$B27*O$19+$E27*O$15</f>
        <v>20167.32</v>
      </c>
      <c r="H27" s="284"/>
      <c r="I27" s="284">
        <f>+Q$13+$B27*Q$19+$E27*Q$15</f>
        <v>20167.32</v>
      </c>
      <c r="J27" s="283"/>
      <c r="K27" s="281">
        <f>ROUND((+I27-G27)/G27,3)</f>
        <v>0</v>
      </c>
      <c r="L27" s="279"/>
      <c r="M27" s="279"/>
      <c r="N27" s="231" t="str">
        <f>+N18</f>
        <v>Summer kW</v>
      </c>
      <c r="O27" s="248">
        <f>+'[1](JAP4)-Tariff Summary'!$D$40</f>
        <v>7.94</v>
      </c>
      <c r="P27" s="248"/>
      <c r="Q27" s="248">
        <f t="shared" si="1"/>
        <v>7.94</v>
      </c>
      <c r="R27" s="278"/>
    </row>
    <row r="28" spans="1:22" ht="15.75">
      <c r="A28" s="275">
        <f t="shared" si="0"/>
        <v>18</v>
      </c>
      <c r="B28" s="283">
        <f>+B27</f>
        <v>700</v>
      </c>
      <c r="C28" s="283"/>
      <c r="D28" s="283">
        <v>500</v>
      </c>
      <c r="E28" s="286">
        <f>ROUND((B$27*D28),0)</f>
        <v>350000</v>
      </c>
      <c r="F28" s="283"/>
      <c r="G28" s="284">
        <f>+O$13+$B28*O$19+$E28*O$15</f>
        <v>28959.039999999994</v>
      </c>
      <c r="H28" s="284"/>
      <c r="I28" s="284">
        <f>+Q$13+$B28*Q$19+$E28*Q$15</f>
        <v>28959.039999999994</v>
      </c>
      <c r="J28" s="283"/>
      <c r="K28" s="281">
        <f>ROUND((+I28-G28)/G28,3)</f>
        <v>0</v>
      </c>
      <c r="L28" s="279"/>
      <c r="M28" s="279"/>
      <c r="N28" s="231" t="str">
        <f>+N19</f>
        <v>Average kW</v>
      </c>
      <c r="O28" s="248">
        <f>+'[1](JAP4) SecVolt RD'!$D$81</f>
        <v>9.8800000000000008</v>
      </c>
      <c r="P28" s="248"/>
      <c r="Q28" s="248">
        <f t="shared" si="1"/>
        <v>9.8800000000000008</v>
      </c>
      <c r="R28" s="278"/>
    </row>
    <row r="29" spans="1:22" ht="15.75">
      <c r="A29" s="275">
        <f t="shared" si="0"/>
        <v>19</v>
      </c>
      <c r="B29" s="283">
        <f>+B28</f>
        <v>700</v>
      </c>
      <c r="C29" s="283"/>
      <c r="D29" s="283">
        <v>700</v>
      </c>
      <c r="E29" s="286">
        <f>ROUND((B$27*D29),0)</f>
        <v>490000</v>
      </c>
      <c r="F29" s="283"/>
      <c r="G29" s="284">
        <f>+O$13+$B29*O$19+$E29*O$15</f>
        <v>37750.759999999995</v>
      </c>
      <c r="H29" s="284"/>
      <c r="I29" s="284">
        <f>+Q$13+$B29*Q$19+$E29*Q$15</f>
        <v>37750.759999999995</v>
      </c>
      <c r="J29" s="283"/>
      <c r="K29" s="281">
        <f>ROUND((+I29-G29)/G29,3)</f>
        <v>0</v>
      </c>
      <c r="N29" s="231" t="str">
        <f>+N21</f>
        <v>kVarh</v>
      </c>
      <c r="O29" s="248">
        <f>+'[1](JAP4)-Tariff Summary'!$D$42</f>
        <v>1.2600000000000001E-3</v>
      </c>
      <c r="P29" s="248"/>
      <c r="Q29" s="248">
        <f t="shared" si="1"/>
        <v>1.2600000000000001E-3</v>
      </c>
      <c r="R29" s="278"/>
    </row>
    <row r="30" spans="1:22" ht="15.75">
      <c r="A30" s="275">
        <f t="shared" si="0"/>
        <v>20</v>
      </c>
      <c r="B30" s="283"/>
      <c r="C30" s="283"/>
      <c r="D30" s="283"/>
      <c r="E30" s="283"/>
      <c r="F30" s="283"/>
      <c r="G30" s="284"/>
      <c r="H30" s="284"/>
      <c r="I30" s="284"/>
      <c r="J30" s="280"/>
      <c r="K30" s="282"/>
      <c r="L30" s="279"/>
      <c r="M30" s="279"/>
      <c r="Q30" s="248">
        <f t="shared" si="1"/>
        <v>0</v>
      </c>
    </row>
    <row r="31" spans="1:22" ht="15.75">
      <c r="A31" s="275">
        <f t="shared" si="0"/>
        <v>21</v>
      </c>
      <c r="B31" s="283">
        <f>+B29+100</f>
        <v>800</v>
      </c>
      <c r="C31" s="283"/>
      <c r="D31" s="283">
        <v>300</v>
      </c>
      <c r="E31" s="286">
        <f>ROUND((B$31*D31),0)</f>
        <v>240000</v>
      </c>
      <c r="F31" s="283"/>
      <c r="G31" s="284">
        <f>+O$13+$B31*O$19+$E31*O$15</f>
        <v>23033.26</v>
      </c>
      <c r="H31" s="284"/>
      <c r="I31" s="284">
        <f>+Q$13+$B31*Q$19+$E31*Q$15</f>
        <v>23033.26</v>
      </c>
      <c r="J31" s="283"/>
      <c r="K31" s="281">
        <f>ROUND((+I31-G31)/G31,3)</f>
        <v>0</v>
      </c>
      <c r="L31" s="279"/>
      <c r="M31" s="279"/>
      <c r="N31" s="247" t="s">
        <v>274</v>
      </c>
      <c r="O31" s="248">
        <v>0</v>
      </c>
      <c r="Q31" s="248">
        <f t="shared" si="1"/>
        <v>0</v>
      </c>
    </row>
    <row r="32" spans="1:22" ht="15.75">
      <c r="A32" s="275">
        <f t="shared" si="0"/>
        <v>22</v>
      </c>
      <c r="B32" s="283">
        <f>+B31</f>
        <v>800</v>
      </c>
      <c r="C32" s="283"/>
      <c r="D32" s="283">
        <v>500</v>
      </c>
      <c r="E32" s="286">
        <f>ROUND((B$31*D32),0)</f>
        <v>400000</v>
      </c>
      <c r="F32" s="283"/>
      <c r="G32" s="284">
        <f>+O$13+$B32*O$19+$E32*O$15</f>
        <v>33080.939999999995</v>
      </c>
      <c r="H32" s="284"/>
      <c r="I32" s="284">
        <f>+Q$13+$B32*Q$19+$E32*Q$15</f>
        <v>33080.939999999995</v>
      </c>
      <c r="J32" s="283"/>
      <c r="K32" s="281">
        <f>ROUND((+I32-G32)/G32,3)</f>
        <v>0</v>
      </c>
      <c r="L32" s="279"/>
      <c r="M32" s="279"/>
      <c r="N32" s="247" t="s">
        <v>273</v>
      </c>
      <c r="O32" s="248">
        <f>+'Sch 95a'!$H$16</f>
        <v>-1.7099999999999999E-3</v>
      </c>
      <c r="P32" s="276"/>
      <c r="Q32" s="248">
        <f t="shared" si="1"/>
        <v>-1.7099999999999999E-3</v>
      </c>
    </row>
    <row r="33" spans="1:17" ht="15.75">
      <c r="A33" s="275">
        <f t="shared" si="0"/>
        <v>23</v>
      </c>
      <c r="B33" s="283">
        <f>+B32</f>
        <v>800</v>
      </c>
      <c r="C33" s="283"/>
      <c r="D33" s="283">
        <v>700</v>
      </c>
      <c r="E33" s="286">
        <f>ROUND((B$31*D33),0)</f>
        <v>560000</v>
      </c>
      <c r="F33" s="283"/>
      <c r="G33" s="284">
        <f>+O$13+$B33*O$19+$E33*O$15</f>
        <v>43128.619999999995</v>
      </c>
      <c r="H33" s="284"/>
      <c r="I33" s="284">
        <f>+Q$13+$B33*Q$19+$E33*Q$15</f>
        <v>43128.619999999995</v>
      </c>
      <c r="J33" s="283"/>
      <c r="K33" s="281">
        <f>ROUND((+I33-G33)/G33,3)</f>
        <v>0</v>
      </c>
      <c r="N33" s="247" t="s">
        <v>272</v>
      </c>
      <c r="O33" s="248">
        <f>+'Sch 120'!$H$15</f>
        <v>4.3249999999999999E-3</v>
      </c>
      <c r="P33" s="276"/>
      <c r="Q33" s="248">
        <f t="shared" si="1"/>
        <v>4.3249999999999999E-3</v>
      </c>
    </row>
    <row r="34" spans="1:17" ht="15.75">
      <c r="A34" s="275">
        <f t="shared" si="0"/>
        <v>24</v>
      </c>
      <c r="B34" s="283"/>
      <c r="C34" s="283"/>
      <c r="D34" s="283"/>
      <c r="E34" s="283"/>
      <c r="F34" s="283"/>
      <c r="G34" s="284"/>
      <c r="H34" s="284"/>
      <c r="I34" s="284"/>
      <c r="J34" s="280"/>
      <c r="K34" s="282"/>
      <c r="L34" s="279"/>
      <c r="M34" s="279"/>
      <c r="N34" s="247" t="s">
        <v>207</v>
      </c>
      <c r="O34" s="248">
        <f>+'Sch 129'!G16</f>
        <v>7.1699999999999997E-4</v>
      </c>
      <c r="P34" s="276"/>
      <c r="Q34" s="248">
        <f t="shared" si="1"/>
        <v>7.1699999999999997E-4</v>
      </c>
    </row>
    <row r="35" spans="1:17" ht="15.75">
      <c r="A35" s="275">
        <f t="shared" si="0"/>
        <v>25</v>
      </c>
      <c r="B35" s="283">
        <f>+B33+200</f>
        <v>1000</v>
      </c>
      <c r="C35" s="283"/>
      <c r="D35" s="283">
        <v>300</v>
      </c>
      <c r="E35" s="286">
        <f>ROUND((B$35*D35),0)</f>
        <v>300000</v>
      </c>
      <c r="F35" s="283"/>
      <c r="G35" s="284">
        <f>+O$13+$B35*O$19+$E35*O$15</f>
        <v>28765.14</v>
      </c>
      <c r="H35" s="284"/>
      <c r="I35" s="284">
        <f>+Q$13+$B35*Q$19+$E35*Q$15</f>
        <v>28765.14</v>
      </c>
      <c r="J35" s="283"/>
      <c r="K35" s="281">
        <f>ROUND((+I35-G35)/G35,3)</f>
        <v>0</v>
      </c>
      <c r="L35" s="279"/>
      <c r="M35" s="279"/>
      <c r="N35" s="247" t="s">
        <v>208</v>
      </c>
      <c r="O35" s="248">
        <f>+'Sch 132'!E16</f>
        <v>0</v>
      </c>
      <c r="P35" s="276"/>
      <c r="Q35" s="248">
        <f t="shared" si="1"/>
        <v>0</v>
      </c>
    </row>
    <row r="36" spans="1:17" ht="15.75">
      <c r="A36" s="275">
        <f t="shared" si="0"/>
        <v>26</v>
      </c>
      <c r="B36" s="283">
        <f>+B35</f>
        <v>1000</v>
      </c>
      <c r="C36" s="283"/>
      <c r="D36" s="283">
        <v>500</v>
      </c>
      <c r="E36" s="286">
        <f>ROUND((B$35*D36),0)</f>
        <v>500000</v>
      </c>
      <c r="F36" s="283"/>
      <c r="G36" s="284">
        <f>+O$13+$B36*O$19+$E36*O$15</f>
        <v>41324.74</v>
      </c>
      <c r="H36" s="284"/>
      <c r="I36" s="284">
        <f>+Q$13+$B36*Q$19+$E36*Q$15</f>
        <v>41324.74</v>
      </c>
      <c r="J36" s="283"/>
      <c r="K36" s="281">
        <f>ROUND((+I36-G36)/G36,3)</f>
        <v>0</v>
      </c>
      <c r="L36" s="279"/>
      <c r="M36" s="279"/>
      <c r="N36" s="247" t="s">
        <v>270</v>
      </c>
      <c r="O36" s="248">
        <f>+'Sch 137'!E16</f>
        <v>-6.4999999999999994E-5</v>
      </c>
      <c r="P36" s="276"/>
      <c r="Q36" s="248">
        <f t="shared" si="1"/>
        <v>-6.4999999999999994E-5</v>
      </c>
    </row>
    <row r="37" spans="1:17" ht="15.75">
      <c r="A37" s="275">
        <f t="shared" si="0"/>
        <v>27</v>
      </c>
      <c r="B37" s="283">
        <f>+B36</f>
        <v>1000</v>
      </c>
      <c r="C37" s="283"/>
      <c r="D37" s="283">
        <v>700</v>
      </c>
      <c r="E37" s="286">
        <f>ROUND((B$35*D37),0)</f>
        <v>700000</v>
      </c>
      <c r="F37" s="283"/>
      <c r="G37" s="284">
        <f>+O$13+$B37*O$19+$E37*O$15</f>
        <v>53884.339999999989</v>
      </c>
      <c r="H37" s="284"/>
      <c r="I37" s="284">
        <f>+Q$13+$B37*Q$19+$E37*Q$15</f>
        <v>53884.339999999989</v>
      </c>
      <c r="J37" s="283"/>
      <c r="K37" s="281">
        <f>ROUND((+I37-G37)/G37,3)</f>
        <v>0</v>
      </c>
      <c r="N37" s="247" t="s">
        <v>239</v>
      </c>
      <c r="O37" s="248">
        <f>+'Sch 140'!$H$15</f>
        <v>2.2649999999999997E-3</v>
      </c>
      <c r="P37" s="276"/>
      <c r="Q37" s="248">
        <f t="shared" si="1"/>
        <v>2.2649999999999997E-3</v>
      </c>
    </row>
    <row r="38" spans="1:17" ht="15.75">
      <c r="A38" s="275">
        <f t="shared" si="0"/>
        <v>28</v>
      </c>
      <c r="B38" s="312"/>
      <c r="C38" s="312"/>
      <c r="D38" s="312"/>
      <c r="E38" s="312"/>
      <c r="F38" s="312"/>
      <c r="G38" s="312"/>
      <c r="H38" s="312"/>
      <c r="I38" s="312"/>
      <c r="J38" s="311"/>
      <c r="K38" s="311"/>
      <c r="L38" s="279"/>
      <c r="M38" s="279"/>
      <c r="N38" s="381" t="s">
        <v>311</v>
      </c>
      <c r="O38" s="390">
        <v>0</v>
      </c>
      <c r="P38" s="383"/>
      <c r="Q38" s="386">
        <f>+'[1](JAP4)-Tariff Summary'!$F$35</f>
        <v>1.0300000000000011</v>
      </c>
    </row>
    <row r="39" spans="1:17" ht="15.75">
      <c r="A39" s="275">
        <f t="shared" si="0"/>
        <v>29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N39" s="381" t="s">
        <v>353</v>
      </c>
      <c r="O39" s="390">
        <v>0</v>
      </c>
      <c r="P39" s="383"/>
      <c r="Q39" s="386">
        <f>+'[1](JAP4)-Tariff Summary'!$F$37</f>
        <v>5.2100000000000063E-4</v>
      </c>
    </row>
    <row r="40" spans="1:17" ht="15.75">
      <c r="A40" s="275">
        <f t="shared" si="0"/>
        <v>30</v>
      </c>
      <c r="B40" s="280" t="s">
        <v>264</v>
      </c>
      <c r="C40" s="280"/>
      <c r="D40" s="280"/>
      <c r="E40" s="280"/>
      <c r="F40" s="280"/>
      <c r="G40" s="280"/>
      <c r="H40" s="280"/>
      <c r="I40" s="280"/>
      <c r="J40" s="280"/>
      <c r="K40" s="280"/>
      <c r="N40" s="381" t="s">
        <v>332</v>
      </c>
      <c r="O40" s="390">
        <v>0</v>
      </c>
      <c r="P40" s="383"/>
      <c r="Q40" s="386">
        <f>+'[1](JAP4)-Tariff Summary'!$F$39</f>
        <v>0.11999999999999922</v>
      </c>
    </row>
    <row r="41" spans="1:17" ht="16.5">
      <c r="A41" s="275">
        <f t="shared" si="0"/>
        <v>31</v>
      </c>
      <c r="B41" s="403" t="s">
        <v>396</v>
      </c>
      <c r="C41" s="280"/>
      <c r="D41" s="280"/>
      <c r="E41" s="280"/>
      <c r="F41" s="280"/>
      <c r="G41" s="280"/>
      <c r="H41" s="280"/>
      <c r="I41" s="280"/>
      <c r="J41" s="280"/>
      <c r="K41" s="280"/>
      <c r="N41" s="381" t="s">
        <v>331</v>
      </c>
      <c r="O41" s="386">
        <v>0</v>
      </c>
      <c r="P41" s="383"/>
      <c r="Q41" s="386">
        <f>+'[1](JAP4)-Tariff Summary'!$F$40</f>
        <v>6.9999999999999396E-2</v>
      </c>
    </row>
    <row r="42" spans="1:17" ht="16.5">
      <c r="A42" s="275">
        <f t="shared" si="0"/>
        <v>32</v>
      </c>
      <c r="B42" s="403" t="s">
        <v>399</v>
      </c>
      <c r="N42" s="381" t="s">
        <v>463</v>
      </c>
      <c r="O42" s="386">
        <v>0</v>
      </c>
      <c r="P42" s="383"/>
      <c r="Q42" s="386">
        <f>+'[1](JAP4) SecVolt RD'!$G$81-'[1](JAP4) SecVolt RD'!$D$81</f>
        <v>8.9999999999999858E-2</v>
      </c>
    </row>
    <row r="43" spans="1:17" ht="16.5">
      <c r="A43" s="275">
        <f t="shared" si="0"/>
        <v>33</v>
      </c>
      <c r="B43" s="437" t="s">
        <v>406</v>
      </c>
      <c r="N43" s="381" t="s">
        <v>330</v>
      </c>
      <c r="O43" s="386">
        <v>0</v>
      </c>
      <c r="P43" s="383"/>
      <c r="Q43" s="386">
        <f>+'[1](JAP4)-Tariff Summary'!$F$42</f>
        <v>1.0000000000000026E-5</v>
      </c>
    </row>
    <row r="44" spans="1:17" ht="16.5">
      <c r="A44" s="275">
        <f t="shared" si="0"/>
        <v>34</v>
      </c>
      <c r="B44" s="510" t="s">
        <v>489</v>
      </c>
      <c r="N44" s="381" t="s">
        <v>512</v>
      </c>
      <c r="O44" s="390">
        <v>0</v>
      </c>
      <c r="P44" s="383"/>
      <c r="Q44" s="386">
        <f>+'[1](JAP4)-Tariff Summary'!$G$35</f>
        <v>-1.0300000000000011</v>
      </c>
    </row>
    <row r="45" spans="1:17">
      <c r="A45" s="275">
        <f t="shared" si="0"/>
        <v>35</v>
      </c>
      <c r="N45" s="381" t="s">
        <v>513</v>
      </c>
      <c r="O45" s="390">
        <v>0</v>
      </c>
      <c r="P45" s="383"/>
      <c r="Q45" s="386">
        <f>+'[1](JAP4)-Tariff Summary'!$G$37</f>
        <v>-5.2100000000000063E-4</v>
      </c>
    </row>
    <row r="46" spans="1:17">
      <c r="A46" s="275">
        <f t="shared" si="0"/>
        <v>36</v>
      </c>
      <c r="N46" s="381" t="s">
        <v>514</v>
      </c>
      <c r="O46" s="390">
        <v>0</v>
      </c>
      <c r="P46" s="383"/>
      <c r="Q46" s="386">
        <f>+'[1](JAP4)-Tariff Summary'!$G$39</f>
        <v>-0.11999999999999922</v>
      </c>
    </row>
    <row r="47" spans="1:17">
      <c r="A47" s="275">
        <f t="shared" si="0"/>
        <v>37</v>
      </c>
      <c r="N47" s="381" t="s">
        <v>515</v>
      </c>
      <c r="O47" s="386">
        <v>0</v>
      </c>
      <c r="P47" s="383"/>
      <c r="Q47" s="386">
        <f>+'[1](JAP4)-Tariff Summary'!$G$40</f>
        <v>-6.9999999999999396E-2</v>
      </c>
    </row>
    <row r="48" spans="1:17">
      <c r="A48" s="275">
        <f t="shared" si="0"/>
        <v>38</v>
      </c>
      <c r="N48" s="381" t="s">
        <v>516</v>
      </c>
      <c r="O48" s="386">
        <v>0</v>
      </c>
      <c r="P48" s="383"/>
      <c r="Q48" s="386">
        <f>-Q42</f>
        <v>-8.9999999999999858E-2</v>
      </c>
    </row>
    <row r="49" spans="1:17">
      <c r="A49" s="275">
        <f t="shared" si="0"/>
        <v>39</v>
      </c>
      <c r="N49" s="381" t="s">
        <v>511</v>
      </c>
      <c r="O49" s="386">
        <v>0</v>
      </c>
      <c r="P49" s="383"/>
      <c r="Q49" s="386">
        <f>+'[1](JAP4)-Tariff Summary'!$G$42</f>
        <v>-1.0000000000000026E-5</v>
      </c>
    </row>
    <row r="50" spans="1:17">
      <c r="A50" s="275">
        <f t="shared" si="0"/>
        <v>40</v>
      </c>
      <c r="N50" s="247" t="s">
        <v>414</v>
      </c>
      <c r="O50" s="248">
        <f>+'Sch 142'!$G$16</f>
        <v>8.5000000000000006E-5</v>
      </c>
      <c r="P50" s="276"/>
      <c r="Q50" s="248">
        <f t="shared" ref="Q50:Q51" si="2">+O50</f>
        <v>8.5000000000000006E-5</v>
      </c>
    </row>
    <row r="51" spans="1:17">
      <c r="A51" s="275">
        <f t="shared" si="0"/>
        <v>41</v>
      </c>
      <c r="N51" s="247" t="s">
        <v>385</v>
      </c>
      <c r="O51" s="248">
        <f>+'Sch 142'!$H$16</f>
        <v>-0.06</v>
      </c>
      <c r="P51" s="276"/>
      <c r="Q51" s="248">
        <f t="shared" si="2"/>
        <v>-0.06</v>
      </c>
    </row>
    <row r="52" spans="1:17">
      <c r="A52" s="275">
        <f t="shared" si="0"/>
        <v>42</v>
      </c>
    </row>
    <row r="53" spans="1:17">
      <c r="A53" s="275">
        <f t="shared" si="0"/>
        <v>43</v>
      </c>
      <c r="N53" s="244" t="s">
        <v>383</v>
      </c>
      <c r="O53" s="243">
        <f>+'JAP-4 (ERF Impacts)'!W14</f>
        <v>0</v>
      </c>
    </row>
  </sheetData>
  <mergeCells count="3">
    <mergeCell ref="G6:I6"/>
    <mergeCell ref="N11:O11"/>
    <mergeCell ref="P11:Q11"/>
  </mergeCells>
  <printOptions horizontalCentered="1"/>
  <pageMargins left="0.7" right="0.7" top="0.75" bottom="0.75" header="0.3" footer="0.3"/>
  <pageSetup scale="65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82"/>
  <sheetViews>
    <sheetView zoomScaleNormal="10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Q31" sqref="Q31"/>
    </sheetView>
  </sheetViews>
  <sheetFormatPr defaultColWidth="9.42578125" defaultRowHeight="15"/>
  <cols>
    <col min="1" max="1" width="8.140625" style="231" bestFit="1" customWidth="1"/>
    <col min="2" max="2" width="10.5703125" style="231" customWidth="1"/>
    <col min="3" max="3" width="1.85546875" style="231" customWidth="1"/>
    <col min="4" max="4" width="12.42578125" style="231" bestFit="1" customWidth="1"/>
    <col min="5" max="5" width="8.28515625" style="231" bestFit="1" customWidth="1"/>
    <col min="6" max="6" width="3.5703125" style="231" customWidth="1"/>
    <col min="7" max="7" width="13.140625" style="231" bestFit="1" customWidth="1"/>
    <col min="8" max="8" width="2.28515625" style="231" customWidth="1"/>
    <col min="9" max="9" width="13.140625" style="231" bestFit="1" customWidth="1"/>
    <col min="10" max="10" width="1.85546875" style="231" customWidth="1"/>
    <col min="11" max="11" width="12.42578125" style="231" bestFit="1" customWidth="1"/>
    <col min="12" max="12" width="3.28515625" style="231" customWidth="1"/>
    <col min="13" max="13" width="2.140625" style="231" customWidth="1"/>
    <col min="14" max="14" width="46.5703125" style="231" bestFit="1" customWidth="1"/>
    <col min="15" max="15" width="12.28515625" style="231" customWidth="1"/>
    <col min="16" max="16" width="25.7109375" style="231" customWidth="1"/>
    <col min="17" max="17" width="14.28515625" style="231" customWidth="1"/>
    <col min="18" max="18" width="2.42578125" style="231" customWidth="1"/>
    <col min="19" max="19" width="6.85546875" style="231" bestFit="1" customWidth="1"/>
    <col min="20" max="16384" width="9.42578125" style="231"/>
  </cols>
  <sheetData>
    <row r="1" spans="1:19" ht="20.25">
      <c r="B1" s="310" t="s">
        <v>0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9" ht="20.25">
      <c r="B2" s="310" t="s">
        <v>286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9" ht="20.25">
      <c r="B3" s="310" t="s">
        <v>348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9" ht="18.75">
      <c r="B4" s="331" t="s">
        <v>349</v>
      </c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9">
      <c r="G5" s="274"/>
      <c r="H5" s="274"/>
      <c r="I5" s="274"/>
      <c r="J5" s="274"/>
      <c r="K5" s="275"/>
      <c r="L5" s="275"/>
    </row>
    <row r="6" spans="1:19" ht="15.75">
      <c r="B6" s="330" t="s">
        <v>327</v>
      </c>
      <c r="G6" s="538" t="s">
        <v>326</v>
      </c>
      <c r="H6" s="539"/>
      <c r="I6" s="539"/>
      <c r="J6" s="274"/>
      <c r="K6" s="275"/>
      <c r="L6" s="275"/>
    </row>
    <row r="7" spans="1:19">
      <c r="B7" s="329" t="s">
        <v>325</v>
      </c>
      <c r="C7" s="275"/>
      <c r="D7" s="275" t="s">
        <v>324</v>
      </c>
      <c r="G7" s="275" t="s">
        <v>323</v>
      </c>
      <c r="H7" s="274"/>
      <c r="I7" s="275" t="s">
        <v>29</v>
      </c>
      <c r="J7" s="274"/>
      <c r="K7" s="274"/>
      <c r="L7" s="274"/>
    </row>
    <row r="8" spans="1:19" ht="16.5">
      <c r="A8" s="496" t="s">
        <v>3</v>
      </c>
      <c r="B8" s="328" t="s">
        <v>322</v>
      </c>
      <c r="C8" s="275"/>
      <c r="D8" s="327" t="s">
        <v>321</v>
      </c>
      <c r="E8" s="270" t="s">
        <v>282</v>
      </c>
      <c r="G8" s="315" t="s">
        <v>400</v>
      </c>
      <c r="H8" s="315"/>
      <c r="I8" s="315" t="s">
        <v>401</v>
      </c>
      <c r="J8" s="274"/>
      <c r="K8" s="270" t="s">
        <v>347</v>
      </c>
      <c r="L8" s="274"/>
      <c r="M8" s="274"/>
    </row>
    <row r="9" spans="1:19" ht="15.75">
      <c r="A9" s="276"/>
      <c r="B9" s="316" t="s">
        <v>96</v>
      </c>
      <c r="C9" s="316"/>
      <c r="D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/>
      <c r="O9" s="498" t="s">
        <v>220</v>
      </c>
      <c r="P9" s="498"/>
      <c r="Q9" s="498" t="s">
        <v>250</v>
      </c>
    </row>
    <row r="10" spans="1:19" s="276" customFormat="1">
      <c r="B10" s="274"/>
      <c r="C10" s="275"/>
      <c r="D10" s="327"/>
      <c r="E10" s="274"/>
      <c r="G10" s="274"/>
      <c r="H10" s="274"/>
      <c r="I10" s="274"/>
      <c r="J10" s="274"/>
      <c r="K10" s="274"/>
      <c r="L10" s="274"/>
      <c r="M10" s="274"/>
    </row>
    <row r="11" spans="1:19" ht="15.75" thickBot="1">
      <c r="A11" s="275">
        <v>1</v>
      </c>
      <c r="B11" s="326" t="s">
        <v>297</v>
      </c>
      <c r="C11" s="325"/>
      <c r="G11" s="325"/>
      <c r="H11" s="325"/>
    </row>
    <row r="12" spans="1:19">
      <c r="A12" s="275">
        <f>+A11+1</f>
        <v>2</v>
      </c>
      <c r="B12" s="231">
        <v>25</v>
      </c>
      <c r="D12" s="242">
        <v>200</v>
      </c>
      <c r="E12" s="242">
        <f>ROUND((B$12*D12),0)</f>
        <v>5000</v>
      </c>
      <c r="G12" s="324">
        <f>ROUND(+O$14+IF(E12&gt;20000,20000*O$19+(E12-20000)*O$23,E12*O$19)+IF(B12&gt;50,(B12-50)*O$29,0),0)</f>
        <v>336</v>
      </c>
      <c r="H12" s="324"/>
      <c r="I12" s="324">
        <f>ROUND(+Q$14+IF(E12&gt;20000,20000*Q$19+(E12-20000)*Q$23,E12*Q$19)+IF(B12&gt;50,(B12-50)*Q$29,0),0)</f>
        <v>336</v>
      </c>
      <c r="J12" s="324"/>
      <c r="K12" s="238">
        <f>ROUND((I12-G12)/G12,4)</f>
        <v>0</v>
      </c>
      <c r="L12" s="238"/>
      <c r="M12" s="238"/>
      <c r="N12" s="534" t="s">
        <v>299</v>
      </c>
      <c r="O12" s="536"/>
      <c r="P12" s="537" t="s">
        <v>298</v>
      </c>
      <c r="Q12" s="536"/>
      <c r="R12" s="278"/>
    </row>
    <row r="13" spans="1:19">
      <c r="A13" s="275">
        <f t="shared" ref="A13:A76" si="0">+A12+1</f>
        <v>3</v>
      </c>
      <c r="B13" s="231">
        <f>+B12</f>
        <v>25</v>
      </c>
      <c r="D13" s="242">
        <v>300</v>
      </c>
      <c r="E13" s="242">
        <f>ROUND((B$12*D13),0)</f>
        <v>7500</v>
      </c>
      <c r="G13" s="324">
        <f>ROUND(+O$14+IF(E13&gt;20000,20000*O$19+(E13-20000)*O$23,E13*O$19)+IF(B13&gt;50,(B13-50)*O$29,0),0)</f>
        <v>499</v>
      </c>
      <c r="H13" s="324"/>
      <c r="I13" s="324">
        <f>ROUND(+Q$14+IF(E13&gt;20000,20000*Q$19+(E13-20000)*Q$23,E13*Q$19)+IF(B13&gt;50,(B13-50)*Q$29,0),0)</f>
        <v>499</v>
      </c>
      <c r="J13" s="324"/>
      <c r="K13" s="238">
        <f>ROUND((I13-G13)/G13,4)</f>
        <v>0</v>
      </c>
      <c r="L13" s="238"/>
      <c r="M13" s="238"/>
      <c r="N13" s="293"/>
      <c r="O13" s="298"/>
      <c r="P13" s="257"/>
      <c r="Q13" s="298"/>
      <c r="R13" s="278"/>
    </row>
    <row r="14" spans="1:19">
      <c r="A14" s="275">
        <f t="shared" si="0"/>
        <v>4</v>
      </c>
      <c r="B14" s="231">
        <f>+B13</f>
        <v>25</v>
      </c>
      <c r="D14" s="242">
        <v>500</v>
      </c>
      <c r="E14" s="242">
        <f>ROUND((B$12*D14),0)</f>
        <v>12500</v>
      </c>
      <c r="G14" s="324">
        <f>ROUND(+O$14+IF(E14&gt;20000,20000*O$19+(E14-20000)*O$23,E14*O$19)+IF(B14&gt;50,(B14-50)*O$29,0),0)</f>
        <v>825</v>
      </c>
      <c r="H14" s="324"/>
      <c r="I14" s="324">
        <f>ROUND(+Q$14+IF(E14&gt;20000,20000*Q$19+(E14-20000)*Q$23,E14*Q$19)+IF(B14&gt;50,(B14-50)*Q$29,0),0)</f>
        <v>825</v>
      </c>
      <c r="J14" s="324"/>
      <c r="K14" s="238">
        <f>ROUND((I14-G14)/G14,4)</f>
        <v>0</v>
      </c>
      <c r="L14" s="238"/>
      <c r="M14" s="238"/>
      <c r="N14" s="294" t="s">
        <v>346</v>
      </c>
      <c r="O14" s="263">
        <f>SUM(O34,O55)</f>
        <v>9.68</v>
      </c>
      <c r="P14" s="293" t="str">
        <f>+N14</f>
        <v>Basic Charge (1 Phase)</v>
      </c>
      <c r="Q14" s="263">
        <f>SUM(Q34,Q55,Q67)</f>
        <v>9.68</v>
      </c>
      <c r="R14" s="290"/>
      <c r="S14" s="256">
        <f>(Q14-O14)/O14</f>
        <v>0</v>
      </c>
    </row>
    <row r="15" spans="1:19">
      <c r="A15" s="275">
        <f t="shared" si="0"/>
        <v>5</v>
      </c>
      <c r="G15" s="324"/>
      <c r="H15" s="324"/>
      <c r="I15" s="324"/>
      <c r="J15" s="324"/>
      <c r="N15" s="294" t="s">
        <v>345</v>
      </c>
      <c r="O15" s="263">
        <f>SUM(O35,O56)</f>
        <v>24.58</v>
      </c>
      <c r="P15" s="293" t="str">
        <f>+N15</f>
        <v>Basic Charge (3 Phase)</v>
      </c>
      <c r="Q15" s="263">
        <f>SUM(Q35,Q56,Q68)</f>
        <v>24.58</v>
      </c>
      <c r="R15" s="278"/>
      <c r="S15" s="256">
        <f>(Q15-O15)/O15</f>
        <v>0</v>
      </c>
    </row>
    <row r="16" spans="1:19">
      <c r="A16" s="275">
        <f t="shared" si="0"/>
        <v>6</v>
      </c>
      <c r="B16" s="231">
        <v>50</v>
      </c>
      <c r="D16" s="242">
        <v>200</v>
      </c>
      <c r="E16" s="242">
        <f>ROUND((B$16*D16),0)</f>
        <v>10000</v>
      </c>
      <c r="G16" s="324">
        <f>ROUND(+O$14+IF(E16&gt;20000,20000*O$19+(E16-20000)*O$23,E16*O$19)+IF(B16&gt;50,(B16-50)*O$29,0),0)</f>
        <v>662</v>
      </c>
      <c r="H16" s="324"/>
      <c r="I16" s="324">
        <f>ROUND(+Q$14+IF(E16&gt;20000,20000*Q$19+(E16-20000)*Q$23,E16*Q$19)+IF(B16&gt;50,(B16-50)*Q$29,0),0)</f>
        <v>662</v>
      </c>
      <c r="J16" s="324"/>
      <c r="K16" s="238">
        <f>ROUND((I16-G16)/G16,4)</f>
        <v>0</v>
      </c>
      <c r="L16" s="238"/>
      <c r="M16" s="238"/>
      <c r="N16" s="293"/>
      <c r="O16" s="258"/>
      <c r="P16" s="293"/>
      <c r="Q16" s="258"/>
    </row>
    <row r="17" spans="1:19">
      <c r="A17" s="275">
        <f t="shared" si="0"/>
        <v>7</v>
      </c>
      <c r="B17" s="231">
        <f>+B16</f>
        <v>50</v>
      </c>
      <c r="D17" s="242">
        <v>300</v>
      </c>
      <c r="E17" s="242">
        <f>ROUND((B$16*D17),0)</f>
        <v>15000</v>
      </c>
      <c r="G17" s="324">
        <f>ROUND(+O$14+IF(E17&gt;20000,20000*O$19+(E17-20000)*O$23,E17*O$19)+IF(B17&gt;50,(B17-50)*O$29,0),0)</f>
        <v>988</v>
      </c>
      <c r="H17" s="324"/>
      <c r="I17" s="324">
        <f>ROUND(+Q$14+IF(E17&gt;20000,20000*Q$19+(E17-20000)*Q$23,E17*Q$19)+IF(B17&gt;50,(B17-50)*Q$29,0),0)</f>
        <v>988</v>
      </c>
      <c r="J17" s="324"/>
      <c r="K17" s="238">
        <f>ROUND((I17-G17)/G17,4)</f>
        <v>0</v>
      </c>
      <c r="L17" s="238"/>
      <c r="M17" s="238"/>
      <c r="N17" s="294" t="s">
        <v>319</v>
      </c>
      <c r="O17" s="258">
        <f>SUM(O36,O48:O54,O57,O79:O81)</f>
        <v>8.9730162000000016E-2</v>
      </c>
      <c r="P17" s="293" t="str">
        <f>+N17</f>
        <v>Winter kWh - First 20,000</v>
      </c>
      <c r="Q17" s="258">
        <f>SUM(Q36,Q48:Q54,Q57,Q79:Q81,Q69)</f>
        <v>8.9730162000000016E-2</v>
      </c>
      <c r="R17" s="278"/>
      <c r="S17" s="256">
        <f>(Q17-O17)/O17</f>
        <v>0</v>
      </c>
    </row>
    <row r="18" spans="1:19">
      <c r="A18" s="275">
        <f t="shared" si="0"/>
        <v>8</v>
      </c>
      <c r="B18" s="231">
        <f>+B17</f>
        <v>50</v>
      </c>
      <c r="D18" s="242">
        <v>500</v>
      </c>
      <c r="E18" s="242">
        <f>ROUND((B$16*D18),0)</f>
        <v>25000</v>
      </c>
      <c r="G18" s="324">
        <f>ROUND(+O$14+IF(E18&gt;20000,20000*O$19+(E18-20000)*O$23,E18*O$19)+IF(B18&gt;50,(B18-50)*O$29,0),0)</f>
        <v>1581</v>
      </c>
      <c r="H18" s="324"/>
      <c r="I18" s="324">
        <f>ROUND(+Q$14+IF(E18&gt;20000,20000*Q$19+(E18-20000)*Q$23,E18*Q$19)+IF(B18&gt;50,(B18-50)*Q$29,0),0)</f>
        <v>1581</v>
      </c>
      <c r="J18" s="324"/>
      <c r="K18" s="238">
        <f>ROUND((I18-G18)/G18,4)</f>
        <v>0</v>
      </c>
      <c r="L18" s="238"/>
      <c r="M18" s="238"/>
      <c r="N18" s="294" t="s">
        <v>318</v>
      </c>
      <c r="O18" s="258">
        <f>SUM(O37,O48:O54,O58,O79:O81)</f>
        <v>6.1887162000000023E-2</v>
      </c>
      <c r="P18" s="293" t="str">
        <f>+N18</f>
        <v>Summer kWh - First 20,000</v>
      </c>
      <c r="Q18" s="258">
        <f>SUM(Q37,Q48:Q54,Q58,Q79:Q81,Q70)</f>
        <v>6.1887162000000023E-2</v>
      </c>
      <c r="R18" s="278"/>
      <c r="S18" s="256">
        <f>(Q18-O18)/O18</f>
        <v>0</v>
      </c>
    </row>
    <row r="19" spans="1:19">
      <c r="A19" s="275">
        <f t="shared" si="0"/>
        <v>9</v>
      </c>
      <c r="G19" s="324"/>
      <c r="H19" s="324"/>
      <c r="I19" s="324"/>
      <c r="J19" s="324"/>
      <c r="N19" s="293" t="s">
        <v>292</v>
      </c>
      <c r="O19" s="258">
        <f>SUM(O38,O48:O54,O79:O81,O59)</f>
        <v>6.5245162000000023E-2</v>
      </c>
      <c r="P19" s="293" t="str">
        <f>+N19</f>
        <v>Average kWh</v>
      </c>
      <c r="Q19" s="258">
        <f>SUM(Q38,Q48:Q54,Q79:Q81,Q59,Q71)</f>
        <v>6.5245162000000023E-2</v>
      </c>
      <c r="R19" s="278"/>
      <c r="S19" s="256">
        <f>(Q19-O19)/O19</f>
        <v>0</v>
      </c>
    </row>
    <row r="20" spans="1:19">
      <c r="A20" s="275">
        <f t="shared" si="0"/>
        <v>10</v>
      </c>
      <c r="B20" s="231">
        <v>75</v>
      </c>
      <c r="D20" s="242">
        <v>200</v>
      </c>
      <c r="E20" s="242">
        <f>ROUND((B$16*D20),0)</f>
        <v>10000</v>
      </c>
      <c r="G20" s="324">
        <f>ROUND(+O$14+IF(E20&gt;20000,20000*O$19+(E20-20000)*O$23,E20*O$19)+IF(B20&gt;50,(B20-50)*O$29,0),0)</f>
        <v>808</v>
      </c>
      <c r="H20" s="324"/>
      <c r="I20" s="324">
        <f>ROUND(+Q$14+IF(E20&gt;20000,20000*Q$19+(E20-20000)*Q$23,E20*Q$19)+IF(B20&gt;50,(B20-50)*Q$29,0),0)</f>
        <v>808</v>
      </c>
      <c r="J20" s="324"/>
      <c r="K20" s="238">
        <f>ROUND((I20-G20)/G20,4)</f>
        <v>0</v>
      </c>
      <c r="L20" s="238"/>
      <c r="M20" s="238"/>
      <c r="N20" s="293"/>
      <c r="O20" s="258"/>
      <c r="P20" s="293"/>
      <c r="Q20" s="258"/>
      <c r="R20" s="278"/>
    </row>
    <row r="21" spans="1:19">
      <c r="A21" s="275">
        <f t="shared" si="0"/>
        <v>11</v>
      </c>
      <c r="B21" s="231">
        <f>+B20</f>
        <v>75</v>
      </c>
      <c r="D21" s="242">
        <v>300</v>
      </c>
      <c r="E21" s="242">
        <f>ROUND((B$16*D21),0)</f>
        <v>15000</v>
      </c>
      <c r="G21" s="324">
        <f>ROUND(+O$14+IF(E21&gt;20000,20000*O$19+(E21-20000)*O$23,E21*O$19)+IF(B21&gt;50,(B21-50)*O$29,0),0)</f>
        <v>1135</v>
      </c>
      <c r="H21" s="324"/>
      <c r="I21" s="324">
        <f>ROUND(+Q$14+IF(E21&gt;20000,20000*Q$19+(E21-20000)*Q$23,E21*Q$19)+IF(B21&gt;50,(B21-50)*Q$29,0),0)</f>
        <v>1135</v>
      </c>
      <c r="J21" s="324"/>
      <c r="K21" s="238">
        <f>ROUND((I21-G21)/G21,4)</f>
        <v>0</v>
      </c>
      <c r="L21" s="238"/>
      <c r="M21" s="238"/>
      <c r="N21" s="294" t="s">
        <v>344</v>
      </c>
      <c r="O21" s="258">
        <f>SUM(O39,O48:O54,O60,O79:O81)</f>
        <v>6.792016200000002E-2</v>
      </c>
      <c r="P21" s="293" t="str">
        <f>+N21</f>
        <v>Winter kWh - Over 20,000</v>
      </c>
      <c r="Q21" s="258">
        <f>SUM(Q39,Q48:Q54,Q60,Q79:Q81,Q72)</f>
        <v>6.792016200000002E-2</v>
      </c>
      <c r="R21" s="278"/>
      <c r="S21" s="256">
        <f>(Q21-O21)/O21</f>
        <v>0</v>
      </c>
    </row>
    <row r="22" spans="1:19">
      <c r="A22" s="275">
        <f t="shared" si="0"/>
        <v>12</v>
      </c>
      <c r="B22" s="231">
        <f>+B21</f>
        <v>75</v>
      </c>
      <c r="D22" s="242">
        <v>500</v>
      </c>
      <c r="E22" s="242">
        <f>ROUND((B$16*D22),0)</f>
        <v>25000</v>
      </c>
      <c r="G22" s="324">
        <f>ROUND(+O$14+IF(E22&gt;20000,20000*O$19+(E22-20000)*O$23,E22*O$19)+IF(B22&gt;50,(B22-50)*O$29,0),0)</f>
        <v>1727</v>
      </c>
      <c r="H22" s="324"/>
      <c r="I22" s="324">
        <f>ROUND(+Q$14+IF(E22&gt;20000,20000*Q$19+(E22-20000)*Q$23,E22*Q$19)+IF(B22&gt;50,(B22-50)*Q$29,0),0)</f>
        <v>1727</v>
      </c>
      <c r="J22" s="324"/>
      <c r="K22" s="238">
        <f>ROUND((I22-G22)/G22,4)</f>
        <v>0</v>
      </c>
      <c r="L22" s="238"/>
      <c r="M22" s="238"/>
      <c r="N22" s="294" t="s">
        <v>343</v>
      </c>
      <c r="O22" s="258">
        <f>SUM(O40,O48:O54,O61,O79:O81)</f>
        <v>5.2891161999999992E-2</v>
      </c>
      <c r="P22" s="293" t="str">
        <f>+N22</f>
        <v>Summer kWh - Over 20,000</v>
      </c>
      <c r="Q22" s="258">
        <f>SUM(Q40,Q48:Q54,Q61,Q79:Q81,Q73)</f>
        <v>5.2891161999999992E-2</v>
      </c>
      <c r="R22" s="278"/>
      <c r="S22" s="256">
        <f>(Q22-O22)/O22</f>
        <v>0</v>
      </c>
    </row>
    <row r="23" spans="1:19">
      <c r="A23" s="275">
        <f t="shared" si="0"/>
        <v>13</v>
      </c>
      <c r="N23" s="294" t="s">
        <v>317</v>
      </c>
      <c r="O23" s="258">
        <f>SUM(O41,O48:O54,O79:O81,O62)</f>
        <v>5.3259161999999992E-2</v>
      </c>
      <c r="P23" s="293" t="str">
        <f>+N23</f>
        <v>kWh - All Over 20,000</v>
      </c>
      <c r="Q23" s="258">
        <f>SUM(Q41,Q48:Q54,Q79:Q81,Q62,Q74)</f>
        <v>5.3259161999999992E-2</v>
      </c>
      <c r="R23" s="278"/>
      <c r="S23" s="256">
        <f>(Q23-O23)/O23</f>
        <v>0</v>
      </c>
    </row>
    <row r="24" spans="1:19">
      <c r="A24" s="275">
        <f t="shared" si="0"/>
        <v>14</v>
      </c>
      <c r="B24" s="326" t="s">
        <v>296</v>
      </c>
      <c r="C24" s="325"/>
      <c r="G24" s="324"/>
      <c r="H24" s="324"/>
      <c r="I24" s="324"/>
      <c r="J24" s="324"/>
      <c r="N24" s="294"/>
      <c r="O24" s="258"/>
      <c r="P24" s="294"/>
      <c r="Q24" s="258"/>
      <c r="R24" s="278"/>
      <c r="S24" s="262"/>
    </row>
    <row r="25" spans="1:19">
      <c r="A25" s="275">
        <f t="shared" si="0"/>
        <v>15</v>
      </c>
      <c r="B25" s="231">
        <v>100</v>
      </c>
      <c r="D25" s="242">
        <v>200</v>
      </c>
      <c r="E25" s="242">
        <f>ROUND((B$25*D25),0)</f>
        <v>20000</v>
      </c>
      <c r="G25" s="324">
        <f>ROUND(+O$15+IF(E25&gt;20000,20000*O$19+(E25-20000)*O$23,E25*O$19)+IF(B25&gt;50,(B25-50)*O$29,0),0)</f>
        <v>1622</v>
      </c>
      <c r="H25" s="324"/>
      <c r="I25" s="324">
        <f>ROUND(+Q$15+IF(E25&gt;20000,20000*Q$19+(E25-20000)*Q$23,E25*Q$19)+IF(B25&gt;50,(B25-50)*Q$29,0),0)</f>
        <v>1622</v>
      </c>
      <c r="J25" s="324"/>
      <c r="K25" s="238">
        <f>ROUND((I25-G25)/G25,4)</f>
        <v>0</v>
      </c>
      <c r="L25" s="238"/>
      <c r="M25" s="238"/>
      <c r="N25" s="294" t="s">
        <v>316</v>
      </c>
      <c r="O25" s="258">
        <v>0</v>
      </c>
      <c r="P25" s="293" t="str">
        <f>+N25</f>
        <v>kW - First 50</v>
      </c>
      <c r="Q25" s="258">
        <v>0</v>
      </c>
      <c r="R25" s="278"/>
      <c r="S25" s="262"/>
    </row>
    <row r="26" spans="1:19">
      <c r="A26" s="275">
        <f t="shared" si="0"/>
        <v>16</v>
      </c>
      <c r="B26" s="231">
        <f>+B25</f>
        <v>100</v>
      </c>
      <c r="D26" s="242">
        <v>300</v>
      </c>
      <c r="E26" s="242">
        <f>ROUND((B$25*D26),0)</f>
        <v>30000</v>
      </c>
      <c r="G26" s="324">
        <f>ROUND(+O$15+IF(E26&gt;20000,20000*O$19+(E26-20000)*O$23,E26*O$19)+IF(B26&gt;50,(B26-50)*O$29,0),0)</f>
        <v>2155</v>
      </c>
      <c r="H26" s="324"/>
      <c r="I26" s="324">
        <f>ROUND(+Q$15+IF(E26&gt;20000,20000*Q$19+(E26-20000)*Q$23,E26*Q$19)+IF(B26&gt;50,(B26-50)*Q$29,0),0)</f>
        <v>2155</v>
      </c>
      <c r="J26" s="324"/>
      <c r="K26" s="238">
        <f>ROUND((I26-G26)/G26,4)</f>
        <v>0</v>
      </c>
      <c r="L26" s="238"/>
      <c r="M26" s="238"/>
      <c r="N26" s="294"/>
      <c r="O26" s="258"/>
      <c r="P26" s="294"/>
      <c r="Q26" s="258"/>
      <c r="R26" s="290"/>
      <c r="S26" s="239"/>
    </row>
    <row r="27" spans="1:19">
      <c r="A27" s="275">
        <f t="shared" si="0"/>
        <v>17</v>
      </c>
      <c r="B27" s="231">
        <f>+B26</f>
        <v>100</v>
      </c>
      <c r="D27" s="242">
        <v>500</v>
      </c>
      <c r="E27" s="242">
        <f>ROUND((B$25*D27),0)</f>
        <v>50000</v>
      </c>
      <c r="G27" s="324">
        <f>ROUND(+O$15+IF(E27&gt;20000,20000*O$19+(E27-20000)*O$23,E27*O$19)+IF(B27&gt;50,(B27-50)*O$29,0),0)</f>
        <v>3220</v>
      </c>
      <c r="H27" s="324"/>
      <c r="I27" s="324">
        <f>ROUND(+Q$15+IF(E27&gt;20000,20000*Q$19+(E27-20000)*Q$23,E27*Q$19)+IF(B27&gt;50,(B27-50)*Q$29,0),0)</f>
        <v>3220</v>
      </c>
      <c r="J27" s="324"/>
      <c r="K27" s="238">
        <f>ROUND((I27-G27)/G27,4)</f>
        <v>0</v>
      </c>
      <c r="L27" s="238"/>
      <c r="M27" s="238"/>
      <c r="N27" s="294" t="s">
        <v>315</v>
      </c>
      <c r="O27" s="314">
        <f>SUM(O43,O63)</f>
        <v>8.94</v>
      </c>
      <c r="P27" s="293" t="str">
        <f>+N27</f>
        <v>Winter kW - Over 50</v>
      </c>
      <c r="Q27" s="314">
        <f>SUM(Q43,Q63,Q75)</f>
        <v>8.94</v>
      </c>
      <c r="R27" s="278"/>
      <c r="S27" s="256">
        <f>(Q27-O27)/O27</f>
        <v>0</v>
      </c>
    </row>
    <row r="28" spans="1:19">
      <c r="A28" s="275">
        <f t="shared" si="0"/>
        <v>18</v>
      </c>
      <c r="N28" s="294" t="s">
        <v>314</v>
      </c>
      <c r="O28" s="314">
        <f>SUM(O44,O64)</f>
        <v>4.4000000000000004</v>
      </c>
      <c r="P28" s="293" t="str">
        <f>+N28</f>
        <v>Summer kW - Over 50</v>
      </c>
      <c r="Q28" s="314">
        <f>SUM(Q44,Q64,Q76)</f>
        <v>4.4000000000000004</v>
      </c>
      <c r="R28" s="278"/>
      <c r="S28" s="256">
        <f>(Q28-O28)/O28</f>
        <v>0</v>
      </c>
    </row>
    <row r="29" spans="1:19">
      <c r="A29" s="275">
        <f t="shared" si="0"/>
        <v>19</v>
      </c>
      <c r="B29" s="231">
        <v>150</v>
      </c>
      <c r="D29" s="242">
        <v>200</v>
      </c>
      <c r="E29" s="242">
        <f>ROUND((B$29*D29),0)</f>
        <v>30000</v>
      </c>
      <c r="G29" s="324">
        <f>ROUND(+O$15+IF(E29&gt;20000,20000*O$19+(E29-20000)*O$23,E29*O$19)+IF(B29&gt;50,(B29-50)*O$29,0),0)</f>
        <v>2447</v>
      </c>
      <c r="H29" s="324"/>
      <c r="I29" s="324">
        <f>ROUND(+Q$15+IF(E29&gt;20000,20000*Q$19+(E29-20000)*Q$23,E29*Q$19)+IF(B29&gt;50,(B29-50)*Q$29,0),0)</f>
        <v>2447</v>
      </c>
      <c r="J29" s="324"/>
      <c r="K29" s="238">
        <f>ROUND((I29-G29)/G29,4)</f>
        <v>0</v>
      </c>
      <c r="L29" s="238"/>
      <c r="M29" s="238"/>
      <c r="N29" s="294" t="s">
        <v>313</v>
      </c>
      <c r="O29" s="314">
        <f>SUM(O45,O66)</f>
        <v>5.85</v>
      </c>
      <c r="P29" s="293" t="str">
        <f>+N29</f>
        <v>Average kW - Over 50</v>
      </c>
      <c r="Q29" s="314">
        <f>SUM(Q45,Q65,Q77)</f>
        <v>5.85</v>
      </c>
      <c r="R29" s="278"/>
      <c r="S29" s="256">
        <f>(Q29-O29)/O29</f>
        <v>0</v>
      </c>
    </row>
    <row r="30" spans="1:19">
      <c r="A30" s="275">
        <f t="shared" si="0"/>
        <v>20</v>
      </c>
      <c r="B30" s="231">
        <f>+B29</f>
        <v>150</v>
      </c>
      <c r="D30" s="242">
        <v>300</v>
      </c>
      <c r="E30" s="242">
        <f>ROUND((B$29*D30),0)</f>
        <v>45000</v>
      </c>
      <c r="G30" s="324">
        <f>ROUND(+O$15+IF(E30&gt;20000,20000*O$19+(E30-20000)*O$23,E30*O$19)+IF(B30&gt;50,(B30-50)*O$29,0),0)</f>
        <v>3246</v>
      </c>
      <c r="H30" s="324"/>
      <c r="I30" s="324">
        <f>ROUND(+Q$15+IF(E30&gt;20000,20000*Q$19+(E30-20000)*Q$23,E30*Q$19)+IF(B30&gt;50,(B30-50)*Q$29,0),0)</f>
        <v>3246</v>
      </c>
      <c r="J30" s="324"/>
      <c r="K30" s="238">
        <f>ROUND((I30-G30)/G30,4)</f>
        <v>0</v>
      </c>
      <c r="L30" s="238"/>
      <c r="M30" s="238"/>
      <c r="N30" s="293"/>
      <c r="O30" s="258"/>
      <c r="P30" s="293"/>
      <c r="Q30" s="258"/>
      <c r="R30" s="278"/>
    </row>
    <row r="31" spans="1:19">
      <c r="A31" s="275">
        <f t="shared" si="0"/>
        <v>21</v>
      </c>
      <c r="B31" s="231">
        <f>+B30</f>
        <v>150</v>
      </c>
      <c r="D31" s="242">
        <v>500</v>
      </c>
      <c r="E31" s="242">
        <f>ROUND((B$29*D31),0)</f>
        <v>75000</v>
      </c>
      <c r="G31" s="324">
        <f>ROUND(+O$15+IF(E31&gt;20000,20000*O$19+(E31-20000)*O$23,E31*O$19)+IF(B31&gt;50,(B31-50)*O$29,0),0)</f>
        <v>4844</v>
      </c>
      <c r="H31" s="324"/>
      <c r="I31" s="324">
        <f>ROUND(+Q$15+IF(E31&gt;20000,20000*Q$19+(E31-20000)*Q$23,E31*Q$19)+IF(B31&gt;50,(B31-50)*Q$29,0),0)</f>
        <v>4844</v>
      </c>
      <c r="J31" s="324"/>
      <c r="K31" s="238">
        <f>ROUND((I31-G31)/G31,4)</f>
        <v>0</v>
      </c>
      <c r="L31" s="238"/>
      <c r="M31" s="238"/>
      <c r="N31" s="293" t="s">
        <v>312</v>
      </c>
      <c r="O31" s="313">
        <f>SUM(O46,O66)</f>
        <v>2.8400000000000001E-3</v>
      </c>
      <c r="P31" s="293" t="str">
        <f>+N31</f>
        <v>kVarh</v>
      </c>
      <c r="Q31" s="313">
        <f>SUM(Q46,Q66,Q78)</f>
        <v>2.8400000000000001E-3</v>
      </c>
      <c r="R31" s="278"/>
      <c r="S31" s="256">
        <f>(Q31-O31)/O31</f>
        <v>0</v>
      </c>
    </row>
    <row r="32" spans="1:19" ht="15.75" thickBot="1">
      <c r="A32" s="275">
        <f t="shared" si="0"/>
        <v>22</v>
      </c>
      <c r="N32" s="292" t="s">
        <v>24</v>
      </c>
      <c r="O32" s="291" t="s">
        <v>24</v>
      </c>
      <c r="P32" s="292" t="s">
        <v>24</v>
      </c>
      <c r="Q32" s="291" t="s">
        <v>24</v>
      </c>
      <c r="R32" s="278"/>
    </row>
    <row r="33" spans="1:18">
      <c r="A33" s="275">
        <f t="shared" si="0"/>
        <v>23</v>
      </c>
      <c r="B33" s="231">
        <v>200</v>
      </c>
      <c r="D33" s="242">
        <v>200</v>
      </c>
      <c r="E33" s="242">
        <f>ROUND((B$33*D33),0)</f>
        <v>40000</v>
      </c>
      <c r="G33" s="324">
        <f>ROUND(+O$15+IF(E33&gt;20000,20000*O$19+(E33-20000)*O$23,E33*O$19)+IF(B33&gt;50,(B33-50)*O$29,0),0)</f>
        <v>3272</v>
      </c>
      <c r="H33" s="324"/>
      <c r="I33" s="324">
        <f>ROUND(+Q$15+IF(E33&gt;20000,20000*Q$19+(E33-20000)*Q$23,E33*Q$19)+IF(B33&gt;50,(B33-50)*Q$29,0),0)</f>
        <v>3272</v>
      </c>
      <c r="J33" s="324"/>
      <c r="K33" s="238">
        <f>ROUND((I33-G33)/G33,4)</f>
        <v>0</v>
      </c>
      <c r="L33" s="238"/>
      <c r="M33" s="238"/>
      <c r="R33" s="278"/>
    </row>
    <row r="34" spans="1:18">
      <c r="A34" s="275">
        <f t="shared" si="0"/>
        <v>24</v>
      </c>
      <c r="B34" s="231">
        <f>+B33</f>
        <v>200</v>
      </c>
      <c r="D34" s="242">
        <v>300</v>
      </c>
      <c r="E34" s="242">
        <f>ROUND((B$33*D34),0)</f>
        <v>60000</v>
      </c>
      <c r="G34" s="324">
        <f>ROUND(+O$15+IF(E34&gt;20000,20000*O$19+(E34-20000)*O$23,E34*O$19)+IF(B34&gt;50,(B34-50)*O$29,0),0)</f>
        <v>4337</v>
      </c>
      <c r="H34" s="324"/>
      <c r="I34" s="324">
        <f>ROUND(+Q$15+IF(E34&gt;20000,20000*Q$19+(E34-20000)*Q$23,E34*Q$19)+IF(B34&gt;50,(B34-50)*Q$29,0),0)</f>
        <v>4337</v>
      </c>
      <c r="J34" s="324"/>
      <c r="K34" s="238">
        <f>ROUND((I34-G34)/G34,4)</f>
        <v>0</v>
      </c>
      <c r="L34" s="238"/>
      <c r="M34" s="238"/>
      <c r="N34" s="231" t="str">
        <f>+N14</f>
        <v>Basic Charge (1 Phase)</v>
      </c>
      <c r="O34" s="385">
        <f>+'[1](JAP4)-Tariff Summary'!$D$55</f>
        <v>9.68</v>
      </c>
      <c r="P34" s="385"/>
      <c r="Q34" s="385">
        <f>+O34</f>
        <v>9.68</v>
      </c>
      <c r="R34" s="278"/>
    </row>
    <row r="35" spans="1:18">
      <c r="A35" s="275">
        <f t="shared" si="0"/>
        <v>25</v>
      </c>
      <c r="B35" s="231">
        <f>+B34</f>
        <v>200</v>
      </c>
      <c r="D35" s="242">
        <v>500</v>
      </c>
      <c r="E35" s="242">
        <f>ROUND((B$33*D35),0)</f>
        <v>100000</v>
      </c>
      <c r="G35" s="324">
        <f>ROUND(+O$15+IF(E35&gt;20000,20000*O$19+(E35-20000)*O$23,E35*O$19)+IF(B35&gt;50,(B35-50)*O$29,0),0)</f>
        <v>6468</v>
      </c>
      <c r="H35" s="324"/>
      <c r="I35" s="324">
        <f>ROUND(+Q$15+IF(E35&gt;20000,20000*Q$19+(E35-20000)*Q$23,E35*Q$19)+IF(B35&gt;50,(B35-50)*Q$29,0),0)</f>
        <v>6468</v>
      </c>
      <c r="J35" s="324"/>
      <c r="K35" s="238">
        <f>ROUND((I35-G35)/G35,4)</f>
        <v>0</v>
      </c>
      <c r="L35" s="238"/>
      <c r="M35" s="238"/>
      <c r="N35" s="231" t="str">
        <f t="shared" ref="N35" si="1">+N15</f>
        <v>Basic Charge (3 Phase)</v>
      </c>
      <c r="O35" s="385">
        <f>+'[1](JAP4)-Tariff Summary'!$D$56</f>
        <v>24.58</v>
      </c>
      <c r="P35" s="385"/>
      <c r="Q35" s="385">
        <f t="shared" ref="Q35:Q46" si="2">+O35</f>
        <v>24.58</v>
      </c>
      <c r="R35" s="278"/>
    </row>
    <row r="36" spans="1:18">
      <c r="A36" s="275">
        <f t="shared" si="0"/>
        <v>26</v>
      </c>
      <c r="G36" s="324"/>
      <c r="H36" s="324"/>
      <c r="I36" s="324"/>
      <c r="J36" s="324"/>
      <c r="N36" s="231" t="str">
        <f>+N17</f>
        <v>Winter kWh - First 20,000</v>
      </c>
      <c r="O36" s="385">
        <f>+'[1](JAP4)-Tariff Summary'!$D$58</f>
        <v>9.0677999999999995E-2</v>
      </c>
      <c r="P36" s="385"/>
      <c r="Q36" s="385">
        <f t="shared" si="2"/>
        <v>9.0677999999999995E-2</v>
      </c>
      <c r="R36" s="278"/>
    </row>
    <row r="37" spans="1:18">
      <c r="A37" s="275">
        <f t="shared" si="0"/>
        <v>27</v>
      </c>
      <c r="B37" s="231">
        <v>300</v>
      </c>
      <c r="D37" s="242">
        <v>200</v>
      </c>
      <c r="E37" s="242">
        <f>ROUND((B$37*D37),0)</f>
        <v>60000</v>
      </c>
      <c r="G37" s="324">
        <f>ROUND(+O$15+IF(E37&gt;20000,20000*O$19+(E37-20000)*O$23,E37*O$19)+IF(B37&gt;50,(B37-50)*O$29,0),0)</f>
        <v>4922</v>
      </c>
      <c r="H37" s="324"/>
      <c r="I37" s="324">
        <f>ROUND(+Q$15+IF(E37&gt;20000,20000*Q$19+(E37-20000)*Q$23,E37*Q$19)+IF(B37&gt;50,(B37-50)*Q$29,0),0)</f>
        <v>4922</v>
      </c>
      <c r="J37" s="324"/>
      <c r="K37" s="238">
        <f>ROUND((I37-G37)/G37,4)</f>
        <v>0</v>
      </c>
      <c r="L37" s="238"/>
      <c r="M37" s="238"/>
      <c r="N37" s="231" t="str">
        <f>+N18</f>
        <v>Summer kWh - First 20,000</v>
      </c>
      <c r="O37" s="385">
        <f>+'[1](JAP4)-Tariff Summary'!$D$60</f>
        <v>6.2835000000000002E-2</v>
      </c>
      <c r="P37" s="385"/>
      <c r="Q37" s="385">
        <f t="shared" si="2"/>
        <v>6.2835000000000002E-2</v>
      </c>
      <c r="R37" s="278"/>
    </row>
    <row r="38" spans="1:18">
      <c r="A38" s="275">
        <f t="shared" si="0"/>
        <v>28</v>
      </c>
      <c r="B38" s="231">
        <f>+B37</f>
        <v>300</v>
      </c>
      <c r="D38" s="242">
        <v>300</v>
      </c>
      <c r="E38" s="242">
        <f>ROUND((B$37*D38),0)</f>
        <v>90000</v>
      </c>
      <c r="G38" s="324">
        <f>ROUND(+O$15+IF(E38&gt;20000,20000*O$19+(E38-20000)*O$23,E38*O$19)+IF(B38&gt;50,(B38-50)*O$29,0),0)</f>
        <v>6520</v>
      </c>
      <c r="H38" s="324"/>
      <c r="I38" s="324">
        <f>ROUND(+Q$15+IF(E38&gt;20000,20000*Q$19+(E38-20000)*Q$23,E38*Q$19)+IF(B38&gt;50,(B38-50)*Q$29,0),0)</f>
        <v>6520</v>
      </c>
      <c r="J38" s="324"/>
      <c r="K38" s="238">
        <f>ROUND((I38-G38)/G38,4)</f>
        <v>0</v>
      </c>
      <c r="L38" s="238"/>
      <c r="M38" s="238"/>
      <c r="N38" s="231" t="s">
        <v>386</v>
      </c>
      <c r="O38" s="385">
        <f>+'[1](JAP4) SecVolt RD'!$D$141</f>
        <v>6.6193000000000002E-2</v>
      </c>
      <c r="P38" s="385"/>
      <c r="Q38" s="385">
        <f t="shared" si="2"/>
        <v>6.6193000000000002E-2</v>
      </c>
      <c r="R38" s="278"/>
    </row>
    <row r="39" spans="1:18">
      <c r="A39" s="275">
        <f t="shared" si="0"/>
        <v>29</v>
      </c>
      <c r="B39" s="231">
        <f>+B38</f>
        <v>300</v>
      </c>
      <c r="D39" s="242">
        <v>500</v>
      </c>
      <c r="E39" s="242">
        <f>ROUND((B$37*D39),0)</f>
        <v>150000</v>
      </c>
      <c r="G39" s="324">
        <f>ROUND(+O$15+IF(E39&gt;20000,20000*O$19+(E39-20000)*O$23,E39*O$19)+IF(B39&gt;50,(B39-50)*O$29,0),0)</f>
        <v>9716</v>
      </c>
      <c r="H39" s="324"/>
      <c r="I39" s="324">
        <f>ROUND(+Q$15+IF(E39&gt;20000,20000*Q$19+(E39-20000)*Q$23,E39*Q$19)+IF(B39&gt;50,(B39-50)*Q$29,0),0)</f>
        <v>9716</v>
      </c>
      <c r="J39" s="324"/>
      <c r="K39" s="238">
        <f>ROUND((I39-G39)/G39,4)</f>
        <v>0</v>
      </c>
      <c r="L39" s="238"/>
      <c r="M39" s="238"/>
      <c r="N39" s="231" t="str">
        <f>+N21</f>
        <v>Winter kWh - Over 20,000</v>
      </c>
      <c r="O39" s="385">
        <f>+'[1](JAP4)-Tariff Summary'!$D$59</f>
        <v>6.8867999999999999E-2</v>
      </c>
      <c r="P39" s="385"/>
      <c r="Q39" s="385">
        <f t="shared" si="2"/>
        <v>6.8867999999999999E-2</v>
      </c>
      <c r="R39" s="278"/>
    </row>
    <row r="40" spans="1:18">
      <c r="A40" s="275">
        <f t="shared" si="0"/>
        <v>30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57"/>
      <c r="N40" s="231" t="str">
        <f>+N22</f>
        <v>Summer kWh - Over 20,000</v>
      </c>
      <c r="O40" s="385">
        <f>+'[1](JAP4)-Tariff Summary'!$D$61</f>
        <v>5.3838999999999998E-2</v>
      </c>
      <c r="P40" s="385"/>
      <c r="Q40" s="385">
        <f t="shared" si="2"/>
        <v>5.3838999999999998E-2</v>
      </c>
    </row>
    <row r="41" spans="1:18">
      <c r="A41" s="275">
        <f t="shared" si="0"/>
        <v>31</v>
      </c>
      <c r="N41" s="397" t="s">
        <v>387</v>
      </c>
      <c r="O41" s="385">
        <f>+'[1](JAP4) SecVolt RD'!$D$142</f>
        <v>5.4206999999999998E-2</v>
      </c>
      <c r="P41" s="385"/>
      <c r="Q41" s="385">
        <f t="shared" si="2"/>
        <v>5.4206999999999998E-2</v>
      </c>
    </row>
    <row r="42" spans="1:18">
      <c r="A42" s="275">
        <f t="shared" si="0"/>
        <v>32</v>
      </c>
      <c r="C42" s="233"/>
      <c r="N42" s="231" t="str">
        <f>+N25</f>
        <v>kW - First 50</v>
      </c>
      <c r="O42" s="385">
        <f>+'[1](JAP4)-Tariff Summary'!$E$63</f>
        <v>0</v>
      </c>
      <c r="P42" s="385"/>
      <c r="Q42" s="385">
        <f t="shared" si="2"/>
        <v>0</v>
      </c>
    </row>
    <row r="43" spans="1:18" ht="15.75">
      <c r="A43" s="275">
        <f t="shared" si="0"/>
        <v>33</v>
      </c>
      <c r="B43" s="280" t="s">
        <v>264</v>
      </c>
      <c r="C43" s="233"/>
      <c r="N43" s="231" t="str">
        <f>+N27</f>
        <v>Winter kW - Over 50</v>
      </c>
      <c r="O43" s="385">
        <f>+'[1](JAP4)-Tariff Summary'!$D$64</f>
        <v>8.94</v>
      </c>
      <c r="P43" s="385"/>
      <c r="Q43" s="385">
        <f t="shared" si="2"/>
        <v>8.94</v>
      </c>
    </row>
    <row r="44" spans="1:18" ht="16.5">
      <c r="A44" s="275">
        <f t="shared" si="0"/>
        <v>34</v>
      </c>
      <c r="B44" s="403" t="s">
        <v>396</v>
      </c>
      <c r="C44" s="233"/>
      <c r="N44" s="231" t="str">
        <f>+N28</f>
        <v>Summer kW - Over 50</v>
      </c>
      <c r="O44" s="385">
        <f>+'[1](JAP4)-Tariff Summary'!$D$65</f>
        <v>4.4000000000000004</v>
      </c>
      <c r="P44" s="385"/>
      <c r="Q44" s="385">
        <f t="shared" si="2"/>
        <v>4.4000000000000004</v>
      </c>
    </row>
    <row r="45" spans="1:18" ht="16.5">
      <c r="A45" s="275">
        <f t="shared" si="0"/>
        <v>35</v>
      </c>
      <c r="B45" s="403" t="s">
        <v>307</v>
      </c>
      <c r="C45" s="233"/>
      <c r="N45" s="231" t="str">
        <f t="shared" ref="N45" si="3">+N29</f>
        <v>Average kW - Over 50</v>
      </c>
      <c r="O45" s="385">
        <f>+'[1](JAP4) SecVolt RD'!$D$143</f>
        <v>5.85</v>
      </c>
      <c r="P45" s="385"/>
      <c r="Q45" s="385">
        <f t="shared" si="2"/>
        <v>5.85</v>
      </c>
    </row>
    <row r="46" spans="1:18" ht="16.5">
      <c r="A46" s="275">
        <f t="shared" si="0"/>
        <v>36</v>
      </c>
      <c r="B46" s="437" t="s">
        <v>406</v>
      </c>
      <c r="N46" s="231" t="str">
        <f>+N31</f>
        <v>kVarh</v>
      </c>
      <c r="O46" s="385">
        <f>+'[1](JAP4)-Tariff Summary'!$D$67</f>
        <v>2.8400000000000001E-3</v>
      </c>
      <c r="P46" s="385"/>
      <c r="Q46" s="385">
        <f t="shared" si="2"/>
        <v>2.8400000000000001E-3</v>
      </c>
    </row>
    <row r="47" spans="1:18" ht="16.5">
      <c r="A47" s="275">
        <f t="shared" si="0"/>
        <v>37</v>
      </c>
      <c r="B47" s="510" t="s">
        <v>489</v>
      </c>
    </row>
    <row r="48" spans="1:18">
      <c r="A48" s="275">
        <f t="shared" si="0"/>
        <v>38</v>
      </c>
      <c r="N48" s="247" t="s">
        <v>274</v>
      </c>
      <c r="O48" s="248">
        <v>0</v>
      </c>
      <c r="P48" s="276"/>
      <c r="Q48" s="248">
        <v>0</v>
      </c>
    </row>
    <row r="49" spans="1:17">
      <c r="A49" s="275">
        <f t="shared" si="0"/>
        <v>39</v>
      </c>
      <c r="N49" s="247" t="s">
        <v>273</v>
      </c>
      <c r="O49" s="248">
        <f>+'Sch 95a'!$H$17</f>
        <v>-1.276E-3</v>
      </c>
      <c r="P49" s="276"/>
      <c r="Q49" s="248">
        <f>+'Sch 95a'!$H$17</f>
        <v>-1.276E-3</v>
      </c>
    </row>
    <row r="50" spans="1:17">
      <c r="A50" s="275">
        <f t="shared" si="0"/>
        <v>40</v>
      </c>
      <c r="N50" s="247" t="s">
        <v>272</v>
      </c>
      <c r="O50" s="248">
        <f>+'Sch 120'!$H$17</f>
        <v>3.1960000000000001E-3</v>
      </c>
      <c r="P50" s="276"/>
      <c r="Q50" s="248">
        <f>+'Sch 120'!$H$17</f>
        <v>3.1960000000000001E-3</v>
      </c>
    </row>
    <row r="51" spans="1:17">
      <c r="A51" s="275">
        <f t="shared" si="0"/>
        <v>41</v>
      </c>
      <c r="N51" s="247" t="s">
        <v>207</v>
      </c>
      <c r="O51" s="248">
        <f>+'Sch 129'!G17</f>
        <v>7.1199999999999996E-4</v>
      </c>
      <c r="Q51" s="248">
        <f t="shared" ref="Q51:Q53" si="4">+O51</f>
        <v>7.1199999999999996E-4</v>
      </c>
    </row>
    <row r="52" spans="1:17">
      <c r="A52" s="275">
        <f t="shared" si="0"/>
        <v>42</v>
      </c>
      <c r="N52" s="247" t="s">
        <v>208</v>
      </c>
      <c r="O52" s="248">
        <f>+'Sch 132'!E17</f>
        <v>0</v>
      </c>
      <c r="P52" s="276"/>
      <c r="Q52" s="248">
        <f t="shared" si="4"/>
        <v>0</v>
      </c>
    </row>
    <row r="53" spans="1:17">
      <c r="A53" s="275">
        <f t="shared" si="0"/>
        <v>43</v>
      </c>
      <c r="N53" s="247" t="s">
        <v>270</v>
      </c>
      <c r="O53" s="248">
        <f>+'Sch 137'!E17</f>
        <v>-4.8999999999999998E-5</v>
      </c>
      <c r="P53" s="276"/>
      <c r="Q53" s="248">
        <f t="shared" si="4"/>
        <v>-4.8999999999999998E-5</v>
      </c>
    </row>
    <row r="54" spans="1:17">
      <c r="A54" s="275">
        <f t="shared" si="0"/>
        <v>44</v>
      </c>
      <c r="N54" s="247" t="s">
        <v>239</v>
      </c>
      <c r="O54" s="248">
        <f>+'Sch 140'!$H$17</f>
        <v>2.467E-3</v>
      </c>
      <c r="P54" s="276"/>
      <c r="Q54" s="248">
        <f>+'Sch 140'!$H$17</f>
        <v>2.467E-3</v>
      </c>
    </row>
    <row r="55" spans="1:17">
      <c r="A55" s="275">
        <f t="shared" si="0"/>
        <v>45</v>
      </c>
      <c r="N55" s="384" t="s">
        <v>291</v>
      </c>
      <c r="O55" s="386">
        <v>0</v>
      </c>
      <c r="P55" s="383"/>
      <c r="Q55" s="386">
        <f>+'[1](JAP4)-Tariff Summary'!$F$55</f>
        <v>8.9999999999999858E-2</v>
      </c>
    </row>
    <row r="56" spans="1:17">
      <c r="A56" s="275">
        <f t="shared" si="0"/>
        <v>46</v>
      </c>
      <c r="N56" s="384" t="s">
        <v>342</v>
      </c>
      <c r="O56" s="386">
        <v>0</v>
      </c>
      <c r="P56" s="383"/>
      <c r="Q56" s="386">
        <f>+'[1](JAP4)-Tariff Summary'!$F$56</f>
        <v>0.24000000000000199</v>
      </c>
    </row>
    <row r="57" spans="1:17">
      <c r="A57" s="275">
        <f t="shared" si="0"/>
        <v>47</v>
      </c>
      <c r="N57" s="384" t="s">
        <v>310</v>
      </c>
      <c r="O57" s="386">
        <v>0</v>
      </c>
      <c r="P57" s="383"/>
      <c r="Q57" s="386">
        <f>+'[1](JAP4)-Tariff Summary'!$F$58</f>
        <v>8.8200000000000778E-4</v>
      </c>
    </row>
    <row r="58" spans="1:17">
      <c r="A58" s="275">
        <f t="shared" si="0"/>
        <v>48</v>
      </c>
      <c r="N58" s="384" t="s">
        <v>309</v>
      </c>
      <c r="O58" s="386">
        <v>0</v>
      </c>
      <c r="P58" s="383"/>
      <c r="Q58" s="386">
        <f>+'[1](JAP4)-Tariff Summary'!$F$60</f>
        <v>6.1100000000000043E-4</v>
      </c>
    </row>
    <row r="59" spans="1:17">
      <c r="A59" s="275">
        <f t="shared" si="0"/>
        <v>49</v>
      </c>
      <c r="N59" s="381" t="s">
        <v>468</v>
      </c>
      <c r="O59" s="386">
        <v>0</v>
      </c>
      <c r="P59" s="383"/>
      <c r="Q59" s="386">
        <f>+'[1](JAP4) SecVolt RD'!$G$141-'[1](JAP4) SecVolt RD'!$D$141</f>
        <v>6.4300000000000468E-4</v>
      </c>
    </row>
    <row r="60" spans="1:17">
      <c r="A60" s="275">
        <f t="shared" si="0"/>
        <v>50</v>
      </c>
      <c r="N60" s="384" t="s">
        <v>341</v>
      </c>
      <c r="O60" s="386">
        <v>0</v>
      </c>
      <c r="P60" s="383"/>
      <c r="Q60" s="386">
        <f>+'[1](JAP4)-Tariff Summary'!$F$59</f>
        <v>6.7000000000000393E-4</v>
      </c>
    </row>
    <row r="61" spans="1:17">
      <c r="A61" s="275">
        <f t="shared" si="0"/>
        <v>51</v>
      </c>
      <c r="N61" s="384" t="s">
        <v>340</v>
      </c>
      <c r="O61" s="386">
        <v>0</v>
      </c>
      <c r="P61" s="383"/>
      <c r="Q61" s="386">
        <f>+'[1](JAP4)-Tariff Summary'!$F$61</f>
        <v>5.2300000000000263E-4</v>
      </c>
    </row>
    <row r="62" spans="1:17">
      <c r="A62" s="275">
        <f t="shared" si="0"/>
        <v>52</v>
      </c>
      <c r="N62" s="381" t="s">
        <v>467</v>
      </c>
      <c r="O62" s="386">
        <v>0</v>
      </c>
      <c r="P62" s="383"/>
      <c r="Q62" s="386">
        <f>+'[1](JAP4) SecVolt RD'!$G$142-'[1](JAP4) SecVolt RD'!$D$142</f>
        <v>5.2500000000000463E-4</v>
      </c>
    </row>
    <row r="63" spans="1:17">
      <c r="A63" s="275">
        <f t="shared" si="0"/>
        <v>53</v>
      </c>
      <c r="N63" s="381" t="s">
        <v>464</v>
      </c>
      <c r="O63" s="386">
        <v>0</v>
      </c>
      <c r="P63" s="383"/>
      <c r="Q63" s="386">
        <f>+'[1](JAP4)-Tariff Summary'!$F$64</f>
        <v>8.9999999999999858E-2</v>
      </c>
    </row>
    <row r="64" spans="1:17">
      <c r="A64" s="275">
        <f t="shared" si="0"/>
        <v>54</v>
      </c>
      <c r="N64" s="381" t="s">
        <v>465</v>
      </c>
      <c r="O64" s="386">
        <v>0</v>
      </c>
      <c r="P64" s="383"/>
      <c r="Q64" s="386">
        <f>+'[1](JAP4)-Tariff Summary'!$F$65</f>
        <v>4.0000000000000036E-2</v>
      </c>
    </row>
    <row r="65" spans="1:17">
      <c r="A65" s="275">
        <f t="shared" si="0"/>
        <v>55</v>
      </c>
      <c r="N65" s="381" t="s">
        <v>466</v>
      </c>
      <c r="O65" s="386">
        <v>0</v>
      </c>
      <c r="P65" s="383"/>
      <c r="Q65" s="386">
        <f>+'[1](JAP4) SecVolt RD'!$G$143-'[1](JAP4) SecVolt RD'!$D$143</f>
        <v>6.0000000000000497E-2</v>
      </c>
    </row>
    <row r="66" spans="1:17">
      <c r="A66" s="275">
        <f t="shared" si="0"/>
        <v>56</v>
      </c>
      <c r="N66" s="381" t="s">
        <v>330</v>
      </c>
      <c r="O66" s="386">
        <v>0</v>
      </c>
      <c r="P66" s="383"/>
      <c r="Q66" s="386">
        <f>+'[1](JAP4)-Tariff Summary'!$F$67</f>
        <v>3.0000000000000079E-5</v>
      </c>
    </row>
    <row r="67" spans="1:17">
      <c r="A67" s="275">
        <f t="shared" si="0"/>
        <v>57</v>
      </c>
      <c r="N67" s="384" t="s">
        <v>497</v>
      </c>
      <c r="O67" s="386">
        <v>0</v>
      </c>
      <c r="P67" s="383"/>
      <c r="Q67" s="386">
        <f>+'[1](JAP4)-Tariff Summary'!$G$55</f>
        <v>-8.9999999999999858E-2</v>
      </c>
    </row>
    <row r="68" spans="1:17">
      <c r="A68" s="275">
        <f t="shared" si="0"/>
        <v>58</v>
      </c>
      <c r="N68" s="384" t="s">
        <v>524</v>
      </c>
      <c r="O68" s="386">
        <v>0</v>
      </c>
      <c r="P68" s="383"/>
      <c r="Q68" s="386">
        <f>+'[1](JAP4)-Tariff Summary'!$G$56</f>
        <v>-0.24000000000000199</v>
      </c>
    </row>
    <row r="69" spans="1:17">
      <c r="A69" s="275">
        <f t="shared" si="0"/>
        <v>59</v>
      </c>
      <c r="N69" s="384" t="s">
        <v>507</v>
      </c>
      <c r="O69" s="386">
        <v>0</v>
      </c>
      <c r="P69" s="383"/>
      <c r="Q69" s="386">
        <f>+'[1](JAP4)-Tariff Summary'!$G$58</f>
        <v>-8.8200000000000778E-4</v>
      </c>
    </row>
    <row r="70" spans="1:17">
      <c r="A70" s="275">
        <f t="shared" si="0"/>
        <v>60</v>
      </c>
      <c r="N70" s="384" t="s">
        <v>508</v>
      </c>
      <c r="O70" s="386">
        <v>0</v>
      </c>
      <c r="P70" s="383"/>
      <c r="Q70" s="386">
        <f>+'[1](JAP4)-Tariff Summary'!$G$60</f>
        <v>-6.1100000000000043E-4</v>
      </c>
    </row>
    <row r="71" spans="1:17">
      <c r="A71" s="275">
        <f t="shared" si="0"/>
        <v>61</v>
      </c>
      <c r="N71" s="381" t="s">
        <v>517</v>
      </c>
      <c r="O71" s="386">
        <v>0</v>
      </c>
      <c r="P71" s="383"/>
      <c r="Q71" s="386">
        <f>-Q59</f>
        <v>-6.4300000000000468E-4</v>
      </c>
    </row>
    <row r="72" spans="1:17">
      <c r="A72" s="275">
        <f t="shared" si="0"/>
        <v>62</v>
      </c>
      <c r="N72" s="384" t="s">
        <v>518</v>
      </c>
      <c r="O72" s="386">
        <v>0</v>
      </c>
      <c r="P72" s="383"/>
      <c r="Q72" s="386">
        <f>+'[1](JAP4)-Tariff Summary'!$G$59</f>
        <v>-6.7000000000000393E-4</v>
      </c>
    </row>
    <row r="73" spans="1:17">
      <c r="A73" s="275">
        <f t="shared" si="0"/>
        <v>63</v>
      </c>
      <c r="N73" s="384" t="s">
        <v>519</v>
      </c>
      <c r="O73" s="386">
        <v>0</v>
      </c>
      <c r="P73" s="383"/>
      <c r="Q73" s="386">
        <f>+'[1](JAP4)-Tariff Summary'!$G$61</f>
        <v>-5.2300000000000263E-4</v>
      </c>
    </row>
    <row r="74" spans="1:17">
      <c r="A74" s="275">
        <f t="shared" si="0"/>
        <v>64</v>
      </c>
      <c r="N74" s="381" t="s">
        <v>520</v>
      </c>
      <c r="O74" s="386">
        <v>0</v>
      </c>
      <c r="P74" s="383"/>
      <c r="Q74" s="386">
        <f>-Q62</f>
        <v>-5.2500000000000463E-4</v>
      </c>
    </row>
    <row r="75" spans="1:17">
      <c r="A75" s="275">
        <f t="shared" si="0"/>
        <v>65</v>
      </c>
      <c r="N75" s="381" t="s">
        <v>521</v>
      </c>
      <c r="O75" s="386">
        <v>0</v>
      </c>
      <c r="P75" s="383"/>
      <c r="Q75" s="386">
        <f>+'[1](JAP4)-Tariff Summary'!$G$64</f>
        <v>-8.9999999999999858E-2</v>
      </c>
    </row>
    <row r="76" spans="1:17">
      <c r="A76" s="275">
        <f t="shared" si="0"/>
        <v>66</v>
      </c>
      <c r="N76" s="381" t="s">
        <v>522</v>
      </c>
      <c r="O76" s="386">
        <v>0</v>
      </c>
      <c r="P76" s="383"/>
      <c r="Q76" s="386">
        <f>+'[1](JAP4)-Tariff Summary'!$G$65</f>
        <v>-4.0000000000000036E-2</v>
      </c>
    </row>
    <row r="77" spans="1:17">
      <c r="A77" s="275">
        <f t="shared" ref="A77:A82" si="5">+A76+1</f>
        <v>67</v>
      </c>
      <c r="N77" s="381" t="s">
        <v>523</v>
      </c>
      <c r="O77" s="386">
        <v>0</v>
      </c>
      <c r="P77" s="383"/>
      <c r="Q77" s="386">
        <f>-Q65</f>
        <v>-6.0000000000000497E-2</v>
      </c>
    </row>
    <row r="78" spans="1:17">
      <c r="A78" s="275">
        <f t="shared" si="5"/>
        <v>68</v>
      </c>
      <c r="N78" s="381" t="s">
        <v>511</v>
      </c>
      <c r="O78" s="386">
        <v>0</v>
      </c>
      <c r="P78" s="383"/>
      <c r="Q78" s="386">
        <f>+'[1](JAP4)-Tariff Summary'!$G$67</f>
        <v>-3.0000000000000079E-5</v>
      </c>
    </row>
    <row r="79" spans="1:17">
      <c r="A79" s="275">
        <f t="shared" si="5"/>
        <v>69</v>
      </c>
      <c r="N79" s="247" t="s">
        <v>248</v>
      </c>
      <c r="O79" s="248">
        <f>+'Sch 142'!$G$17</f>
        <v>1.408E-3</v>
      </c>
      <c r="P79" s="276"/>
      <c r="Q79" s="248">
        <f>+'Sch 142'!$G$17</f>
        <v>1.408E-3</v>
      </c>
    </row>
    <row r="80" spans="1:17">
      <c r="A80" s="275">
        <f t="shared" si="5"/>
        <v>70</v>
      </c>
      <c r="N80" s="247"/>
      <c r="O80" s="246"/>
      <c r="P80" s="246"/>
      <c r="Q80" s="246"/>
    </row>
    <row r="81" spans="1:17">
      <c r="A81" s="275">
        <f t="shared" si="5"/>
        <v>71</v>
      </c>
      <c r="N81" s="247" t="s">
        <v>339</v>
      </c>
      <c r="O81" s="246">
        <f>+'Sch 194'!E17</f>
        <v>-7.4058380000000005E-3</v>
      </c>
      <c r="Q81" s="246">
        <f>+O81</f>
        <v>-7.4058380000000005E-3</v>
      </c>
    </row>
    <row r="82" spans="1:17">
      <c r="A82" s="275">
        <f t="shared" si="5"/>
        <v>72</v>
      </c>
      <c r="N82" s="244" t="s">
        <v>383</v>
      </c>
      <c r="O82" s="243">
        <f>+'JAP-4 (ERF Impacts)'!W15</f>
        <v>0</v>
      </c>
    </row>
  </sheetData>
  <mergeCells count="3">
    <mergeCell ref="N12:O12"/>
    <mergeCell ref="P12:Q12"/>
    <mergeCell ref="G6:I6"/>
  </mergeCells>
  <printOptions horizontalCentered="1"/>
  <pageMargins left="0.7" right="0.7" top="0.75" bottom="0.75" header="0.3" footer="0.3"/>
  <pageSetup scale="53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53"/>
  <sheetViews>
    <sheetView zoomScale="90" zoomScaleNormal="90" zoomScaleSheetLayoutView="75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N38" sqref="N38:Q38"/>
    </sheetView>
  </sheetViews>
  <sheetFormatPr defaultColWidth="9.42578125" defaultRowHeight="15"/>
  <cols>
    <col min="1" max="1" width="8.5703125" style="231" bestFit="1" customWidth="1"/>
    <col min="2" max="2" width="11.5703125" style="231" customWidth="1"/>
    <col min="3" max="3" width="2.7109375" style="231" customWidth="1"/>
    <col min="4" max="4" width="13.7109375" style="231" bestFit="1" customWidth="1"/>
    <col min="5" max="5" width="9" style="231" bestFit="1" customWidth="1"/>
    <col min="6" max="6" width="3.85546875" style="231" customWidth="1"/>
    <col min="7" max="7" width="13" style="231" bestFit="1" customWidth="1"/>
    <col min="8" max="8" width="4" style="231" customWidth="1"/>
    <col min="9" max="9" width="14.28515625" style="231" bestFit="1" customWidth="1"/>
    <col min="10" max="10" width="5" style="231" customWidth="1"/>
    <col min="11" max="11" width="13.7109375" style="231" customWidth="1"/>
    <col min="12" max="12" width="2.7109375" style="231" customWidth="1"/>
    <col min="13" max="13" width="3.28515625" style="231" customWidth="1"/>
    <col min="14" max="14" width="34.42578125" style="231" customWidth="1"/>
    <col min="15" max="17" width="14.28515625" style="231" bestFit="1" customWidth="1"/>
    <col min="18" max="18" width="2.42578125" style="231" customWidth="1"/>
    <col min="19" max="19" width="7.5703125" style="231" customWidth="1"/>
    <col min="20" max="16384" width="9.42578125" style="231"/>
  </cols>
  <sheetData>
    <row r="1" spans="1:19" ht="20.25">
      <c r="B1" s="310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21"/>
      <c r="M1" s="321"/>
    </row>
    <row r="2" spans="1:19" ht="20.25">
      <c r="B2" s="310" t="s">
        <v>286</v>
      </c>
      <c r="C2" s="310"/>
      <c r="D2" s="310"/>
      <c r="E2" s="310"/>
      <c r="F2" s="310"/>
      <c r="G2" s="310"/>
      <c r="H2" s="310"/>
      <c r="I2" s="310"/>
      <c r="J2" s="310"/>
      <c r="K2" s="310"/>
      <c r="L2" s="321"/>
      <c r="M2" s="321"/>
    </row>
    <row r="3" spans="1:19" ht="20.25">
      <c r="B3" s="310" t="s">
        <v>350</v>
      </c>
      <c r="C3" s="310"/>
      <c r="D3" s="310"/>
      <c r="E3" s="310"/>
      <c r="F3" s="310"/>
      <c r="G3" s="310"/>
      <c r="H3" s="310"/>
      <c r="I3" s="310"/>
      <c r="J3" s="310"/>
      <c r="K3" s="310"/>
      <c r="L3" s="321"/>
      <c r="M3" s="321"/>
    </row>
    <row r="4" spans="1:19" ht="20.25">
      <c r="B4" s="322" t="s">
        <v>351</v>
      </c>
      <c r="C4" s="310"/>
      <c r="D4" s="310"/>
      <c r="E4" s="310"/>
      <c r="F4" s="310"/>
      <c r="G4" s="310"/>
      <c r="H4" s="310"/>
      <c r="I4" s="310"/>
      <c r="J4" s="310"/>
      <c r="K4" s="310"/>
      <c r="L4" s="321"/>
      <c r="M4" s="321"/>
    </row>
    <row r="5" spans="1:19">
      <c r="A5" s="279"/>
      <c r="B5" s="320"/>
    </row>
    <row r="6" spans="1:19" ht="15.75">
      <c r="A6" s="279"/>
      <c r="B6" s="318" t="s">
        <v>327</v>
      </c>
      <c r="C6" s="283"/>
      <c r="D6" s="283"/>
      <c r="E6" s="283"/>
      <c r="F6" s="283"/>
      <c r="G6" s="538" t="s">
        <v>326</v>
      </c>
      <c r="H6" s="539"/>
      <c r="I6" s="539"/>
      <c r="J6" s="283"/>
      <c r="K6" s="280"/>
      <c r="L6" s="279"/>
      <c r="M6" s="279"/>
    </row>
    <row r="7" spans="1:19" ht="15.75">
      <c r="A7" s="279"/>
      <c r="B7" s="319" t="s">
        <v>325</v>
      </c>
      <c r="C7" s="307"/>
      <c r="D7" s="318" t="s">
        <v>324</v>
      </c>
      <c r="E7" s="283"/>
      <c r="F7" s="283"/>
      <c r="G7" s="317" t="s">
        <v>323</v>
      </c>
      <c r="H7" s="280"/>
      <c r="I7" s="317" t="s">
        <v>29</v>
      </c>
      <c r="J7" s="283"/>
      <c r="K7" s="307" t="s">
        <v>302</v>
      </c>
      <c r="L7" s="279"/>
      <c r="M7" s="279"/>
    </row>
    <row r="8" spans="1:19" ht="16.5">
      <c r="A8" s="496" t="s">
        <v>3</v>
      </c>
      <c r="B8" s="304" t="s">
        <v>322</v>
      </c>
      <c r="C8" s="300"/>
      <c r="D8" s="316" t="s">
        <v>321</v>
      </c>
      <c r="E8" s="304" t="s">
        <v>282</v>
      </c>
      <c r="F8" s="283"/>
      <c r="G8" s="315" t="s">
        <v>402</v>
      </c>
      <c r="H8" s="315"/>
      <c r="I8" s="315" t="s">
        <v>403</v>
      </c>
      <c r="J8" s="283"/>
      <c r="K8" s="305" t="s">
        <v>33</v>
      </c>
      <c r="L8" s="279"/>
      <c r="M8" s="279"/>
    </row>
    <row r="9" spans="1:19" ht="15.75">
      <c r="A9" s="276"/>
      <c r="B9" s="316" t="s">
        <v>96</v>
      </c>
      <c r="C9" s="316"/>
      <c r="D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/>
      <c r="O9" s="498" t="s">
        <v>220</v>
      </c>
      <c r="P9" s="498"/>
      <c r="Q9" s="498" t="s">
        <v>250</v>
      </c>
    </row>
    <row r="10" spans="1:19" s="276" customFormat="1" ht="16.5" thickBot="1">
      <c r="B10" s="283"/>
      <c r="C10" s="283"/>
      <c r="D10" s="283"/>
      <c r="E10" s="283"/>
      <c r="F10" s="283"/>
      <c r="G10" s="300"/>
      <c r="H10" s="300"/>
      <c r="I10" s="300"/>
      <c r="J10" s="280"/>
      <c r="K10" s="280"/>
    </row>
    <row r="11" spans="1:19" ht="15.75">
      <c r="A11" s="275">
        <v>1</v>
      </c>
      <c r="B11" s="283">
        <v>350</v>
      </c>
      <c r="C11" s="283"/>
      <c r="D11" s="283">
        <v>300</v>
      </c>
      <c r="E11" s="286">
        <f>ROUND((B$11*D11),0)</f>
        <v>105000</v>
      </c>
      <c r="F11" s="283"/>
      <c r="G11" s="284">
        <f>+O$13+$B11*O$19+$E11*O$15</f>
        <v>9996.59</v>
      </c>
      <c r="H11" s="284"/>
      <c r="I11" s="284">
        <f>+Q$13+$B11*Q$19+$E11*Q$15</f>
        <v>9996.59</v>
      </c>
      <c r="J11" s="283"/>
      <c r="K11" s="281">
        <f>ROUND((+I11-G11)/G11,3)</f>
        <v>0</v>
      </c>
      <c r="L11" s="279"/>
      <c r="M11" s="279"/>
      <c r="N11" s="534" t="s">
        <v>299</v>
      </c>
      <c r="O11" s="536"/>
      <c r="P11" s="537" t="s">
        <v>298</v>
      </c>
      <c r="Q11" s="536"/>
      <c r="R11" s="278"/>
    </row>
    <row r="12" spans="1:19" ht="15.75">
      <c r="A12" s="275">
        <f>+A11+1</f>
        <v>2</v>
      </c>
      <c r="B12" s="283">
        <f>+B11</f>
        <v>350</v>
      </c>
      <c r="C12" s="283"/>
      <c r="D12" s="283">
        <v>500</v>
      </c>
      <c r="E12" s="286">
        <f>ROUND((B$11*D12),0)</f>
        <v>175000</v>
      </c>
      <c r="F12" s="283"/>
      <c r="G12" s="284">
        <f>+O$13+$B12*O$19+$E12*O$15</f>
        <v>14229.210000000001</v>
      </c>
      <c r="H12" s="284"/>
      <c r="I12" s="284">
        <f>+Q$13+$B12*Q$19+$E12*Q$15</f>
        <v>14229.210000000001</v>
      </c>
      <c r="J12" s="283"/>
      <c r="K12" s="281">
        <f>ROUND((+I12-G12)/G12,3)</f>
        <v>0</v>
      </c>
      <c r="L12" s="279"/>
      <c r="M12" s="279"/>
      <c r="N12" s="293"/>
      <c r="O12" s="298"/>
      <c r="P12" s="257"/>
      <c r="Q12" s="298"/>
      <c r="R12" s="278"/>
    </row>
    <row r="13" spans="1:19" ht="15.75">
      <c r="A13" s="275">
        <f t="shared" ref="A13:A53" si="0">+A12+1</f>
        <v>3</v>
      </c>
      <c r="B13" s="283">
        <f>+B12</f>
        <v>350</v>
      </c>
      <c r="C13" s="283"/>
      <c r="D13" s="283">
        <v>700</v>
      </c>
      <c r="E13" s="286">
        <f>ROUND((B$11*D13),0)</f>
        <v>245000</v>
      </c>
      <c r="F13" s="283"/>
      <c r="G13" s="284">
        <f>+O$13+$B13*O$19+$E13*O$15</f>
        <v>18461.830000000002</v>
      </c>
      <c r="H13" s="284"/>
      <c r="I13" s="284">
        <f>+Q$13+$B13*Q$19+$E13*Q$15</f>
        <v>18461.830000000002</v>
      </c>
      <c r="J13" s="283"/>
      <c r="K13" s="281">
        <f>ROUND((+I13-G13)/G13,3)</f>
        <v>0</v>
      </c>
      <c r="N13" s="293" t="s">
        <v>295</v>
      </c>
      <c r="O13" s="263">
        <f>SUM(O24,O38)</f>
        <v>343.66</v>
      </c>
      <c r="P13" s="293" t="str">
        <f>+N13</f>
        <v>Basic Charge</v>
      </c>
      <c r="Q13" s="263">
        <f>SUM(Q24,Q38,Q44)</f>
        <v>343.66</v>
      </c>
      <c r="R13" s="290"/>
      <c r="S13" s="256">
        <f>(Q13-O13)/O13</f>
        <v>0</v>
      </c>
    </row>
    <row r="14" spans="1:19">
      <c r="A14" s="275">
        <f t="shared" si="0"/>
        <v>4</v>
      </c>
      <c r="L14" s="279"/>
      <c r="M14" s="279"/>
      <c r="N14" s="293"/>
      <c r="O14" s="295"/>
      <c r="P14" s="297"/>
      <c r="Q14" s="295"/>
      <c r="R14" s="278"/>
    </row>
    <row r="15" spans="1:19" ht="15.75">
      <c r="A15" s="275">
        <f t="shared" si="0"/>
        <v>5</v>
      </c>
      <c r="B15" s="283">
        <f>+B13+50</f>
        <v>400</v>
      </c>
      <c r="C15" s="283"/>
      <c r="D15" s="283">
        <v>300</v>
      </c>
      <c r="E15" s="286">
        <f>ROUND((B$15*D15),0)</f>
        <v>120000</v>
      </c>
      <c r="F15" s="283"/>
      <c r="G15" s="284">
        <f>+O$13+$B15*O$19+$E15*O$15</f>
        <v>11375.580000000002</v>
      </c>
      <c r="H15" s="284"/>
      <c r="I15" s="284">
        <f>+Q$13+$B15*Q$19+$E15*Q$15</f>
        <v>11375.580000000002</v>
      </c>
      <c r="J15" s="283"/>
      <c r="K15" s="281">
        <f>ROUND((+I15-G15)/G15,3)</f>
        <v>0</v>
      </c>
      <c r="L15" s="279"/>
      <c r="M15" s="279"/>
      <c r="N15" s="294" t="s">
        <v>336</v>
      </c>
      <c r="O15" s="258">
        <f>SUM(O25,O31:O37,O50,O39)</f>
        <v>6.0466000000000006E-2</v>
      </c>
      <c r="P15" s="293" t="str">
        <f>+N15</f>
        <v>kWh - All</v>
      </c>
      <c r="Q15" s="258">
        <f>SUM(Q25,Q31:Q37,Q50,Q39,Q45)</f>
        <v>6.0466000000000006E-2</v>
      </c>
      <c r="R15" s="278"/>
      <c r="S15" s="256">
        <f>(Q15-O15)/O15</f>
        <v>0</v>
      </c>
    </row>
    <row r="16" spans="1:19" ht="15.75">
      <c r="A16" s="275">
        <f t="shared" si="0"/>
        <v>6</v>
      </c>
      <c r="B16" s="283">
        <f>+B15</f>
        <v>400</v>
      </c>
      <c r="C16" s="283"/>
      <c r="D16" s="283">
        <v>500</v>
      </c>
      <c r="E16" s="286">
        <f>ROUND((B$15*D16),0)</f>
        <v>200000</v>
      </c>
      <c r="F16" s="283"/>
      <c r="G16" s="284">
        <f>+O$13+$B16*O$19+$E16*O$15</f>
        <v>16212.86</v>
      </c>
      <c r="H16" s="284"/>
      <c r="I16" s="284">
        <f>+Q$13+$B16*Q$19+$E16*Q$15</f>
        <v>16212.86</v>
      </c>
      <c r="J16" s="283"/>
      <c r="K16" s="281">
        <f>ROUND((+I16-G16)/G16,3)</f>
        <v>0</v>
      </c>
      <c r="L16" s="279"/>
      <c r="M16" s="279"/>
      <c r="N16" s="294"/>
      <c r="O16" s="258"/>
      <c r="P16" s="294"/>
      <c r="Q16" s="258"/>
      <c r="R16" s="278"/>
      <c r="S16" s="262"/>
    </row>
    <row r="17" spans="1:19" ht="15.75">
      <c r="A17" s="275">
        <f t="shared" si="0"/>
        <v>7</v>
      </c>
      <c r="B17" s="283">
        <f>+B16</f>
        <v>400</v>
      </c>
      <c r="C17" s="283"/>
      <c r="D17" s="283">
        <v>700</v>
      </c>
      <c r="E17" s="286">
        <f>ROUND((B$15*D17),0)</f>
        <v>280000</v>
      </c>
      <c r="F17" s="283"/>
      <c r="G17" s="284">
        <f>+O$13+$B17*O$19+$E17*O$15</f>
        <v>21050.140000000003</v>
      </c>
      <c r="H17" s="284"/>
      <c r="I17" s="284">
        <f>+Q$13+$B17*Q$19+$E17*Q$15</f>
        <v>21050.140000000003</v>
      </c>
      <c r="J17" s="283"/>
      <c r="K17" s="281">
        <f>ROUND((+I17-G17)/G17,3)</f>
        <v>0</v>
      </c>
      <c r="N17" s="294" t="s">
        <v>335</v>
      </c>
      <c r="O17" s="314">
        <f>SUM(O26,O40,O51)</f>
        <v>11.38</v>
      </c>
      <c r="P17" s="293" t="str">
        <f>+N17</f>
        <v>Winter kW</v>
      </c>
      <c r="Q17" s="314">
        <f>SUM(Q26,Q40,Q51,Q46)</f>
        <v>11.38</v>
      </c>
      <c r="R17" s="278"/>
      <c r="S17" s="256">
        <f>(Q17-O17)/O17</f>
        <v>0</v>
      </c>
    </row>
    <row r="18" spans="1:19" ht="15.75">
      <c r="A18" s="275">
        <f t="shared" si="0"/>
        <v>8</v>
      </c>
      <c r="B18" s="283"/>
      <c r="C18" s="283"/>
      <c r="D18" s="283"/>
      <c r="E18" s="283"/>
      <c r="F18" s="283"/>
      <c r="G18" s="284"/>
      <c r="H18" s="284"/>
      <c r="I18" s="284"/>
      <c r="J18" s="280"/>
      <c r="K18" s="282"/>
      <c r="L18" s="279"/>
      <c r="M18" s="279"/>
      <c r="N18" s="294" t="s">
        <v>334</v>
      </c>
      <c r="O18" s="314">
        <f>SUM(O27,O41,O51)</f>
        <v>7.56</v>
      </c>
      <c r="P18" s="293" t="str">
        <f>+N18</f>
        <v>Summer kW</v>
      </c>
      <c r="Q18" s="314">
        <f>SUM(Q27,Q41,Q51,Q47)</f>
        <v>7.56</v>
      </c>
      <c r="R18" s="278"/>
      <c r="S18" s="256">
        <f>(Q18-O18)/O18</f>
        <v>0</v>
      </c>
    </row>
    <row r="19" spans="1:19" ht="15.75">
      <c r="A19" s="275">
        <f t="shared" si="0"/>
        <v>9</v>
      </c>
      <c r="B19" s="283">
        <f>+B17+100</f>
        <v>500</v>
      </c>
      <c r="C19" s="283"/>
      <c r="D19" s="283">
        <v>300</v>
      </c>
      <c r="E19" s="286">
        <f>ROUND((B$19*D19),0)</f>
        <v>150000</v>
      </c>
      <c r="F19" s="283"/>
      <c r="G19" s="284">
        <f>+O$13+$B19*O$19+$E19*O$15</f>
        <v>14133.560000000001</v>
      </c>
      <c r="H19" s="284"/>
      <c r="I19" s="284">
        <f>+Q$13+$B19*Q$19+$E19*Q$15</f>
        <v>14133.560000000001</v>
      </c>
      <c r="J19" s="283"/>
      <c r="K19" s="281">
        <f>ROUND((+I19-G19)/G19,3)</f>
        <v>0</v>
      </c>
      <c r="L19" s="279"/>
      <c r="M19" s="279"/>
      <c r="N19" s="294" t="s">
        <v>333</v>
      </c>
      <c r="O19" s="314">
        <f>ROUND(SUM(O28,O51,O42),2)</f>
        <v>9.44</v>
      </c>
      <c r="P19" s="293" t="str">
        <f>+N19</f>
        <v>Average kW</v>
      </c>
      <c r="Q19" s="314">
        <f>ROUND(SUM(Q28,Q51,Q42,Q48),2)</f>
        <v>9.44</v>
      </c>
      <c r="R19" s="278"/>
      <c r="S19" s="256">
        <f>(Q19-O19)/O19</f>
        <v>0</v>
      </c>
    </row>
    <row r="20" spans="1:19" ht="15.75">
      <c r="A20" s="275">
        <f t="shared" si="0"/>
        <v>10</v>
      </c>
      <c r="B20" s="283">
        <f>+B19</f>
        <v>500</v>
      </c>
      <c r="C20" s="283"/>
      <c r="D20" s="283">
        <v>500</v>
      </c>
      <c r="E20" s="286">
        <f>ROUND((B$19*D20),0)</f>
        <v>250000</v>
      </c>
      <c r="F20" s="283"/>
      <c r="G20" s="284">
        <f>+O$13+$B20*O$19+$E20*O$15</f>
        <v>20180.160000000003</v>
      </c>
      <c r="H20" s="284"/>
      <c r="I20" s="284">
        <f>+Q$13+$B20*Q$19+$E20*Q$15</f>
        <v>20180.160000000003</v>
      </c>
      <c r="J20" s="283"/>
      <c r="K20" s="281">
        <f>ROUND((+I20-G20)/G20,3)</f>
        <v>0</v>
      </c>
      <c r="L20" s="279"/>
      <c r="M20" s="279"/>
      <c r="N20" s="293"/>
      <c r="O20" s="258"/>
      <c r="P20" s="293"/>
      <c r="Q20" s="258"/>
      <c r="R20" s="278"/>
    </row>
    <row r="21" spans="1:19" ht="15.75">
      <c r="A21" s="275">
        <f t="shared" si="0"/>
        <v>11</v>
      </c>
      <c r="B21" s="283">
        <f>+B20</f>
        <v>500</v>
      </c>
      <c r="C21" s="283"/>
      <c r="D21" s="283">
        <v>700</v>
      </c>
      <c r="E21" s="286">
        <f>ROUND((B$19*D21),0)</f>
        <v>350000</v>
      </c>
      <c r="F21" s="283"/>
      <c r="G21" s="284">
        <f>+O$13+$B21*O$19+$E21*O$15</f>
        <v>26226.760000000002</v>
      </c>
      <c r="H21" s="284"/>
      <c r="I21" s="284">
        <f>+Q$13+$B21*Q$19+$E21*Q$15</f>
        <v>26226.760000000002</v>
      </c>
      <c r="J21" s="283"/>
      <c r="K21" s="281">
        <f>ROUND((+I21-G21)/G21,3)</f>
        <v>0</v>
      </c>
      <c r="N21" s="293" t="s">
        <v>312</v>
      </c>
      <c r="O21" s="313">
        <f>SUM(O29,O43)</f>
        <v>1.07E-3</v>
      </c>
      <c r="P21" s="293" t="str">
        <f>+N21</f>
        <v>kVarh</v>
      </c>
      <c r="Q21" s="313">
        <f>SUM(Q29,Q43,Q49)</f>
        <v>1.07E-3</v>
      </c>
      <c r="R21" s="278"/>
      <c r="S21" s="256">
        <f>(Q21-O21)/O21</f>
        <v>0</v>
      </c>
    </row>
    <row r="22" spans="1:19" ht="16.5" thickBot="1">
      <c r="A22" s="275">
        <f t="shared" si="0"/>
        <v>12</v>
      </c>
      <c r="B22" s="283"/>
      <c r="C22" s="283"/>
      <c r="D22" s="283"/>
      <c r="E22" s="283"/>
      <c r="F22" s="283"/>
      <c r="G22" s="284"/>
      <c r="H22" s="284"/>
      <c r="I22" s="284"/>
      <c r="J22" s="280"/>
      <c r="K22" s="282"/>
      <c r="L22" s="279"/>
      <c r="M22" s="279"/>
      <c r="N22" s="292" t="s">
        <v>24</v>
      </c>
      <c r="O22" s="291" t="s">
        <v>24</v>
      </c>
      <c r="P22" s="292" t="s">
        <v>24</v>
      </c>
      <c r="Q22" s="291" t="s">
        <v>24</v>
      </c>
      <c r="R22" s="278"/>
    </row>
    <row r="23" spans="1:19" ht="15.75">
      <c r="A23" s="275">
        <f t="shared" si="0"/>
        <v>13</v>
      </c>
      <c r="B23" s="283">
        <f>+B21+100</f>
        <v>600</v>
      </c>
      <c r="C23" s="283"/>
      <c r="D23" s="283">
        <v>300</v>
      </c>
      <c r="E23" s="286">
        <f>ROUND((B$23*D23),0)</f>
        <v>180000</v>
      </c>
      <c r="F23" s="283"/>
      <c r="G23" s="284">
        <f>+O$13+$B23*O$19+$E23*O$15</f>
        <v>16891.54</v>
      </c>
      <c r="H23" s="284"/>
      <c r="I23" s="284">
        <f>+Q$13+$B23*Q$19+$E23*Q$15</f>
        <v>16891.54</v>
      </c>
      <c r="J23" s="283"/>
      <c r="K23" s="281">
        <f>ROUND((+I23-G23)/G23,3)</f>
        <v>0</v>
      </c>
      <c r="L23" s="279"/>
      <c r="M23" s="279"/>
      <c r="R23" s="278"/>
    </row>
    <row r="24" spans="1:19" ht="15.75">
      <c r="A24" s="275">
        <f t="shared" si="0"/>
        <v>14</v>
      </c>
      <c r="B24" s="283">
        <f>+B23</f>
        <v>600</v>
      </c>
      <c r="C24" s="283"/>
      <c r="D24" s="283">
        <v>500</v>
      </c>
      <c r="E24" s="286">
        <f>ROUND((B$23*D24),0)</f>
        <v>300000</v>
      </c>
      <c r="F24" s="283"/>
      <c r="G24" s="284">
        <f>+O$13+$B24*O$19+$E24*O$15</f>
        <v>24147.460000000003</v>
      </c>
      <c r="H24" s="284"/>
      <c r="I24" s="284">
        <f>+Q$13+$B24*Q$19+$E24*Q$15</f>
        <v>24147.460000000003</v>
      </c>
      <c r="J24" s="283"/>
      <c r="K24" s="281">
        <f>ROUND((+I24-G24)/G24,3)</f>
        <v>0</v>
      </c>
      <c r="L24" s="279"/>
      <c r="M24" s="279"/>
      <c r="N24" s="231" t="str">
        <f>+N13</f>
        <v>Basic Charge</v>
      </c>
      <c r="O24" s="385">
        <f>+'[1](JAP4)-Tariff Summary'!$D$70</f>
        <v>343.66</v>
      </c>
      <c r="P24" s="385"/>
      <c r="Q24" s="385">
        <f>+O24</f>
        <v>343.66</v>
      </c>
      <c r="R24" s="278"/>
    </row>
    <row r="25" spans="1:19" ht="15.75">
      <c r="A25" s="275">
        <f t="shared" si="0"/>
        <v>15</v>
      </c>
      <c r="B25" s="283">
        <f>+B24</f>
        <v>600</v>
      </c>
      <c r="C25" s="283"/>
      <c r="D25" s="283">
        <v>700</v>
      </c>
      <c r="E25" s="286">
        <f>ROUND((B$23*D25),0)</f>
        <v>420000</v>
      </c>
      <c r="F25" s="283"/>
      <c r="G25" s="284">
        <f>+O$13+$B25*O$19+$E25*O$15</f>
        <v>31403.38</v>
      </c>
      <c r="H25" s="284"/>
      <c r="I25" s="284">
        <f>+Q$13+$B25*Q$19+$E25*Q$15</f>
        <v>31403.38</v>
      </c>
      <c r="J25" s="283"/>
      <c r="K25" s="281">
        <f>ROUND((+I25-G25)/G25,3)</f>
        <v>0</v>
      </c>
      <c r="N25" s="231" t="str">
        <f>+N15</f>
        <v>kWh - All</v>
      </c>
      <c r="O25" s="385">
        <f>+'[1](JAP4)-Tariff Summary'!$D$72</f>
        <v>5.5014E-2</v>
      </c>
      <c r="P25" s="385"/>
      <c r="Q25" s="385">
        <f t="shared" ref="Q25:Q29" si="1">+O25</f>
        <v>5.5014E-2</v>
      </c>
      <c r="R25" s="278"/>
    </row>
    <row r="26" spans="1:19" ht="15.75">
      <c r="A26" s="275">
        <f t="shared" si="0"/>
        <v>16</v>
      </c>
      <c r="B26" s="283"/>
      <c r="C26" s="283"/>
      <c r="D26" s="283"/>
      <c r="E26" s="283"/>
      <c r="F26" s="283"/>
      <c r="G26" s="284"/>
      <c r="H26" s="284"/>
      <c r="I26" s="284"/>
      <c r="J26" s="280"/>
      <c r="K26" s="282"/>
      <c r="L26" s="279"/>
      <c r="M26" s="279"/>
      <c r="N26" s="231" t="str">
        <f>+N17</f>
        <v>Winter kW</v>
      </c>
      <c r="O26" s="385">
        <f>+'[1](JAP4)-Tariff Summary'!$D$74</f>
        <v>11.46</v>
      </c>
      <c r="P26" s="385"/>
      <c r="Q26" s="385">
        <f t="shared" si="1"/>
        <v>11.46</v>
      </c>
      <c r="R26" s="278"/>
    </row>
    <row r="27" spans="1:19" ht="15.75">
      <c r="A27" s="275">
        <f t="shared" si="0"/>
        <v>17</v>
      </c>
      <c r="B27" s="283">
        <f>+B25+100</f>
        <v>700</v>
      </c>
      <c r="C27" s="283"/>
      <c r="D27" s="283">
        <v>300</v>
      </c>
      <c r="E27" s="286">
        <f>ROUND((B$27*D27),0)</f>
        <v>210000</v>
      </c>
      <c r="F27" s="283"/>
      <c r="G27" s="284">
        <f>+O$13+$B27*O$19+$E27*O$15</f>
        <v>19649.52</v>
      </c>
      <c r="H27" s="284"/>
      <c r="I27" s="284">
        <f>+Q$13+$B27*Q$19+$E27*Q$15</f>
        <v>19649.52</v>
      </c>
      <c r="J27" s="283"/>
      <c r="K27" s="281">
        <f>ROUND((+I27-G27)/G27,3)</f>
        <v>0</v>
      </c>
      <c r="L27" s="279"/>
      <c r="M27" s="279"/>
      <c r="N27" s="231" t="str">
        <f t="shared" ref="N27:N28" si="2">+N18</f>
        <v>Summer kW</v>
      </c>
      <c r="O27" s="385">
        <f>+'[1](JAP4)-Tariff Summary'!$D$75</f>
        <v>7.64</v>
      </c>
      <c r="P27" s="385"/>
      <c r="Q27" s="385">
        <f t="shared" si="1"/>
        <v>7.64</v>
      </c>
      <c r="R27" s="278"/>
    </row>
    <row r="28" spans="1:19" ht="15.75">
      <c r="A28" s="275">
        <f t="shared" si="0"/>
        <v>18</v>
      </c>
      <c r="B28" s="283">
        <f>+B27</f>
        <v>700</v>
      </c>
      <c r="C28" s="283"/>
      <c r="D28" s="283">
        <v>500</v>
      </c>
      <c r="E28" s="286">
        <f>ROUND((B$27*D28),0)</f>
        <v>350000</v>
      </c>
      <c r="F28" s="283"/>
      <c r="G28" s="284">
        <f>+O$13+$B28*O$19+$E28*O$15</f>
        <v>28114.760000000002</v>
      </c>
      <c r="H28" s="284"/>
      <c r="I28" s="284">
        <f>+Q$13+$B28*Q$19+$E28*Q$15</f>
        <v>28114.760000000002</v>
      </c>
      <c r="J28" s="283"/>
      <c r="K28" s="281">
        <f>ROUND((+I28-G28)/G28,3)</f>
        <v>0</v>
      </c>
      <c r="L28" s="279"/>
      <c r="M28" s="279"/>
      <c r="N28" s="231" t="str">
        <f t="shared" si="2"/>
        <v>Average kW</v>
      </c>
      <c r="O28" s="385">
        <f>+'[1](JAP4) PriVolt RD'!$D$31</f>
        <v>9.52</v>
      </c>
      <c r="P28" s="385"/>
      <c r="Q28" s="385">
        <f t="shared" si="1"/>
        <v>9.52</v>
      </c>
      <c r="R28" s="278"/>
    </row>
    <row r="29" spans="1:19" ht="15.75">
      <c r="A29" s="275">
        <f t="shared" si="0"/>
        <v>19</v>
      </c>
      <c r="B29" s="283">
        <f>+B28</f>
        <v>700</v>
      </c>
      <c r="C29" s="283"/>
      <c r="D29" s="283">
        <v>700</v>
      </c>
      <c r="E29" s="286">
        <f>ROUND((B$27*D29),0)</f>
        <v>490000</v>
      </c>
      <c r="F29" s="283"/>
      <c r="G29" s="284">
        <f>+O$13+$B29*O$19+$E29*O$15</f>
        <v>36580</v>
      </c>
      <c r="H29" s="284"/>
      <c r="I29" s="284">
        <f>+Q$13+$B29*Q$19+$E29*Q$15</f>
        <v>36580</v>
      </c>
      <c r="J29" s="283"/>
      <c r="K29" s="281">
        <f>ROUND((+I29-G29)/G29,3)</f>
        <v>0</v>
      </c>
      <c r="N29" s="231" t="str">
        <f>+N21</f>
        <v>kVarh</v>
      </c>
      <c r="O29" s="385">
        <f>+'[1](JAP4)-Tariff Summary'!$D$77</f>
        <v>1.07E-3</v>
      </c>
      <c r="P29" s="385"/>
      <c r="Q29" s="385">
        <f t="shared" si="1"/>
        <v>1.07E-3</v>
      </c>
      <c r="R29" s="278"/>
    </row>
    <row r="30" spans="1:19" ht="15.75">
      <c r="A30" s="275">
        <f t="shared" si="0"/>
        <v>20</v>
      </c>
      <c r="B30" s="283"/>
      <c r="C30" s="283"/>
      <c r="D30" s="283"/>
      <c r="E30" s="283"/>
      <c r="F30" s="283"/>
      <c r="G30" s="284"/>
      <c r="H30" s="284"/>
      <c r="I30" s="284"/>
      <c r="J30" s="280"/>
      <c r="K30" s="282"/>
      <c r="L30" s="279"/>
      <c r="M30" s="279"/>
    </row>
    <row r="31" spans="1:19" ht="15.75">
      <c r="A31" s="275">
        <f t="shared" si="0"/>
        <v>21</v>
      </c>
      <c r="B31" s="283">
        <f>+B29+100</f>
        <v>800</v>
      </c>
      <c r="C31" s="283"/>
      <c r="D31" s="283">
        <v>300</v>
      </c>
      <c r="E31" s="286">
        <f>ROUND((B$31*D31),0)</f>
        <v>240000</v>
      </c>
      <c r="F31" s="283"/>
      <c r="G31" s="284">
        <f>+O$13+$B31*O$19+$E31*O$15</f>
        <v>22407.5</v>
      </c>
      <c r="H31" s="284"/>
      <c r="I31" s="284">
        <f>+Q$13+$B31*Q$19+$E31*Q$15</f>
        <v>22407.5</v>
      </c>
      <c r="J31" s="283"/>
      <c r="K31" s="281">
        <f>ROUND((+I31-G31)/G31,3)</f>
        <v>0</v>
      </c>
      <c r="L31" s="279"/>
      <c r="M31" s="279"/>
      <c r="N31" s="247" t="s">
        <v>274</v>
      </c>
      <c r="O31" s="248">
        <v>0</v>
      </c>
      <c r="Q31" s="248">
        <v>0</v>
      </c>
    </row>
    <row r="32" spans="1:19" ht="15.75">
      <c r="A32" s="275">
        <f t="shared" si="0"/>
        <v>22</v>
      </c>
      <c r="B32" s="283">
        <f>+B31</f>
        <v>800</v>
      </c>
      <c r="C32" s="283"/>
      <c r="D32" s="283">
        <v>500</v>
      </c>
      <c r="E32" s="286">
        <f>ROUND((B$31*D32),0)</f>
        <v>400000</v>
      </c>
      <c r="F32" s="283"/>
      <c r="G32" s="284">
        <f>+O$13+$B32*O$19+$E32*O$15</f>
        <v>32082.06</v>
      </c>
      <c r="H32" s="284"/>
      <c r="I32" s="284">
        <f>+Q$13+$B32*Q$19+$E32*Q$15</f>
        <v>32082.06</v>
      </c>
      <c r="J32" s="283"/>
      <c r="K32" s="281">
        <f>ROUND((+I32-G32)/G32,3)</f>
        <v>0</v>
      </c>
      <c r="L32" s="279"/>
      <c r="M32" s="279"/>
      <c r="N32" s="247" t="s">
        <v>273</v>
      </c>
      <c r="O32" s="248">
        <f>+'Sch 95a'!$H$21</f>
        <v>-1.5430000000000001E-3</v>
      </c>
      <c r="P32" s="276"/>
      <c r="Q32" s="248">
        <f>+O32</f>
        <v>-1.5430000000000001E-3</v>
      </c>
    </row>
    <row r="33" spans="1:17" ht="15.75">
      <c r="A33" s="275">
        <f t="shared" si="0"/>
        <v>23</v>
      </c>
      <c r="B33" s="283">
        <f>+B32</f>
        <v>800</v>
      </c>
      <c r="C33" s="283"/>
      <c r="D33" s="283">
        <v>700</v>
      </c>
      <c r="E33" s="286">
        <f>ROUND((B$31*D33),0)</f>
        <v>560000</v>
      </c>
      <c r="F33" s="283"/>
      <c r="G33" s="284">
        <f>+O$13+$B33*O$19+$E33*O$15</f>
        <v>41756.62000000001</v>
      </c>
      <c r="H33" s="284"/>
      <c r="I33" s="284">
        <f>+Q$13+$B33*Q$19+$E33*Q$15</f>
        <v>41756.62000000001</v>
      </c>
      <c r="J33" s="283"/>
      <c r="K33" s="281">
        <f>ROUND((+I33-G33)/G33,3)</f>
        <v>0</v>
      </c>
      <c r="N33" s="247" t="s">
        <v>272</v>
      </c>
      <c r="O33" s="248">
        <f>+'Sch 120'!$H$21</f>
        <v>4.1520000000000003E-3</v>
      </c>
      <c r="P33" s="276"/>
      <c r="Q33" s="248">
        <f t="shared" ref="Q33:Q37" si="3">+O33</f>
        <v>4.1520000000000003E-3</v>
      </c>
    </row>
    <row r="34" spans="1:17" ht="15.75">
      <c r="A34" s="275">
        <f t="shared" si="0"/>
        <v>24</v>
      </c>
      <c r="B34" s="283"/>
      <c r="C34" s="283"/>
      <c r="D34" s="283"/>
      <c r="E34" s="283"/>
      <c r="F34" s="283"/>
      <c r="G34" s="284"/>
      <c r="H34" s="284"/>
      <c r="I34" s="284"/>
      <c r="J34" s="280"/>
      <c r="K34" s="282"/>
      <c r="L34" s="279"/>
      <c r="M34" s="279"/>
      <c r="N34" s="247" t="s">
        <v>207</v>
      </c>
      <c r="O34" s="248">
        <f>+'Sch 129'!G21</f>
        <v>7.0399999999999998E-4</v>
      </c>
      <c r="P34" s="276"/>
      <c r="Q34" s="248">
        <f t="shared" si="3"/>
        <v>7.0399999999999998E-4</v>
      </c>
    </row>
    <row r="35" spans="1:17" ht="15.75">
      <c r="A35" s="275">
        <f t="shared" si="0"/>
        <v>25</v>
      </c>
      <c r="B35" s="283">
        <f>+B33+200</f>
        <v>1000</v>
      </c>
      <c r="C35" s="283"/>
      <c r="D35" s="283">
        <v>300</v>
      </c>
      <c r="E35" s="286">
        <f>ROUND((B$35*D35),0)</f>
        <v>300000</v>
      </c>
      <c r="F35" s="283"/>
      <c r="G35" s="284">
        <f>+O$13+$B35*O$19+$E35*O$15</f>
        <v>27923.460000000003</v>
      </c>
      <c r="H35" s="284"/>
      <c r="I35" s="284">
        <f>+Q$13+$B35*Q$19+$E35*Q$15</f>
        <v>27923.460000000003</v>
      </c>
      <c r="J35" s="283"/>
      <c r="K35" s="281">
        <f>ROUND((+I35-G35)/G35,3)</f>
        <v>0</v>
      </c>
      <c r="L35" s="279"/>
      <c r="M35" s="279"/>
      <c r="N35" s="247" t="s">
        <v>208</v>
      </c>
      <c r="O35" s="248">
        <f>+'Sch 132'!E21</f>
        <v>0</v>
      </c>
      <c r="P35" s="276"/>
      <c r="Q35" s="248">
        <f t="shared" si="3"/>
        <v>0</v>
      </c>
    </row>
    <row r="36" spans="1:17" ht="15.75">
      <c r="A36" s="275">
        <f t="shared" si="0"/>
        <v>26</v>
      </c>
      <c r="B36" s="283">
        <f>+B35</f>
        <v>1000</v>
      </c>
      <c r="C36" s="283"/>
      <c r="D36" s="283">
        <v>500</v>
      </c>
      <c r="E36" s="286">
        <f>ROUND((B$35*D36),0)</f>
        <v>500000</v>
      </c>
      <c r="F36" s="283"/>
      <c r="G36" s="284">
        <f>+O$13+$B36*O$19+$E36*O$15</f>
        <v>40016.660000000003</v>
      </c>
      <c r="H36" s="284"/>
      <c r="I36" s="284">
        <f>+Q$13+$B36*Q$19+$E36*Q$15</f>
        <v>40016.660000000003</v>
      </c>
      <c r="J36" s="283"/>
      <c r="K36" s="281">
        <f>ROUND((+I36-G36)/G36,3)</f>
        <v>0</v>
      </c>
      <c r="L36" s="279"/>
      <c r="M36" s="279"/>
      <c r="N36" s="247" t="s">
        <v>270</v>
      </c>
      <c r="O36" s="248">
        <f>+'Sch 137'!E21</f>
        <v>-5.8999999999999998E-5</v>
      </c>
      <c r="P36" s="276"/>
      <c r="Q36" s="248">
        <f t="shared" si="3"/>
        <v>-5.8999999999999998E-5</v>
      </c>
    </row>
    <row r="37" spans="1:17" ht="15.75">
      <c r="A37" s="275">
        <f t="shared" si="0"/>
        <v>27</v>
      </c>
      <c r="B37" s="283">
        <f>+B36</f>
        <v>1000</v>
      </c>
      <c r="C37" s="283"/>
      <c r="D37" s="283">
        <v>700</v>
      </c>
      <c r="E37" s="286">
        <f>ROUND((B$35*D37),0)</f>
        <v>700000</v>
      </c>
      <c r="F37" s="283"/>
      <c r="G37" s="284">
        <f>+O$13+$B37*O$19+$E37*O$15</f>
        <v>52109.86</v>
      </c>
      <c r="H37" s="284"/>
      <c r="I37" s="284">
        <f>+Q$13+$B37*Q$19+$E37*Q$15</f>
        <v>52109.86</v>
      </c>
      <c r="J37" s="283"/>
      <c r="K37" s="281">
        <f>ROUND((+I37-G37)/G37,3)</f>
        <v>0</v>
      </c>
      <c r="N37" s="247" t="s">
        <v>239</v>
      </c>
      <c r="O37" s="248">
        <f>+'Sch 140'!$H$21</f>
        <v>2.2539999999999999E-3</v>
      </c>
      <c r="P37" s="276"/>
      <c r="Q37" s="248">
        <f t="shared" si="3"/>
        <v>2.2539999999999999E-3</v>
      </c>
    </row>
    <row r="38" spans="1:17" ht="15.75">
      <c r="A38" s="275">
        <f t="shared" si="0"/>
        <v>28</v>
      </c>
      <c r="B38" s="312"/>
      <c r="C38" s="312"/>
      <c r="D38" s="312"/>
      <c r="E38" s="312"/>
      <c r="F38" s="312"/>
      <c r="G38" s="312"/>
      <c r="H38" s="312"/>
      <c r="I38" s="312"/>
      <c r="J38" s="311"/>
      <c r="K38" s="311"/>
      <c r="L38" s="279"/>
      <c r="M38" s="279"/>
      <c r="N38" s="479" t="s">
        <v>311</v>
      </c>
      <c r="O38" s="480">
        <v>0</v>
      </c>
      <c r="P38" s="481"/>
      <c r="Q38" s="482">
        <f>+'[1](JAP4)-Tariff Summary'!$F$70</f>
        <v>3.339999999999975</v>
      </c>
    </row>
    <row r="39" spans="1:17" ht="15.75">
      <c r="A39" s="275">
        <f t="shared" si="0"/>
        <v>29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N39" s="479" t="s">
        <v>353</v>
      </c>
      <c r="O39" s="480">
        <v>0</v>
      </c>
      <c r="P39" s="481"/>
      <c r="Q39" s="482">
        <f>+'[1](JAP4)-Tariff Summary'!$F$72</f>
        <v>5.4200000000000081E-4</v>
      </c>
    </row>
    <row r="40" spans="1:17" ht="15.75">
      <c r="A40" s="275">
        <f t="shared" si="0"/>
        <v>30</v>
      </c>
      <c r="B40" s="280" t="s">
        <v>264</v>
      </c>
      <c r="C40" s="280"/>
      <c r="D40" s="280"/>
      <c r="E40" s="280"/>
      <c r="F40" s="280"/>
      <c r="G40" s="280"/>
      <c r="H40" s="280"/>
      <c r="I40" s="280"/>
      <c r="J40" s="280"/>
      <c r="K40" s="280"/>
      <c r="N40" s="479" t="s">
        <v>332</v>
      </c>
      <c r="O40" s="480">
        <v>0</v>
      </c>
      <c r="P40" s="481"/>
      <c r="Q40" s="482">
        <f>+'[1](JAP4)-Tariff Summary'!$F$74</f>
        <v>0.10999999999999943</v>
      </c>
    </row>
    <row r="41" spans="1:17" ht="16.5">
      <c r="A41" s="275">
        <f t="shared" si="0"/>
        <v>31</v>
      </c>
      <c r="B41" s="403" t="s">
        <v>396</v>
      </c>
      <c r="C41" s="280"/>
      <c r="D41" s="280"/>
      <c r="E41" s="280"/>
      <c r="F41" s="280"/>
      <c r="G41" s="280"/>
      <c r="H41" s="280"/>
      <c r="I41" s="280"/>
      <c r="J41" s="280"/>
      <c r="K41" s="280"/>
      <c r="N41" s="479" t="s">
        <v>331</v>
      </c>
      <c r="O41" s="480">
        <v>0</v>
      </c>
      <c r="P41" s="481"/>
      <c r="Q41" s="482">
        <f>+'[1](JAP4)-Tariff Summary'!$F$75</f>
        <v>7.0000000000000284E-2</v>
      </c>
    </row>
    <row r="42" spans="1:17" ht="16.5">
      <c r="A42" s="275">
        <f t="shared" si="0"/>
        <v>32</v>
      </c>
      <c r="B42" s="403" t="s">
        <v>399</v>
      </c>
      <c r="N42" s="479" t="s">
        <v>463</v>
      </c>
      <c r="O42" s="480">
        <v>0</v>
      </c>
      <c r="P42" s="481"/>
      <c r="Q42" s="482">
        <f>+'[1](JAP4) PriVolt RD'!$G$31-'[1](JAP4) PriVolt RD'!$D$31</f>
        <v>8.9999999999999858E-2</v>
      </c>
    </row>
    <row r="43" spans="1:17" ht="16.5">
      <c r="A43" s="275">
        <f t="shared" si="0"/>
        <v>33</v>
      </c>
      <c r="B43" s="468" t="s">
        <v>406</v>
      </c>
      <c r="N43" s="479" t="s">
        <v>330</v>
      </c>
      <c r="O43" s="483">
        <v>0</v>
      </c>
      <c r="P43" s="481"/>
      <c r="Q43" s="482">
        <f>+'[1](JAP4)-Tariff Summary'!$F$77</f>
        <v>1.0000000000000026E-5</v>
      </c>
    </row>
    <row r="44" spans="1:17" ht="16.5">
      <c r="A44" s="275">
        <f t="shared" si="0"/>
        <v>34</v>
      </c>
      <c r="B44" s="510" t="s">
        <v>489</v>
      </c>
      <c r="N44" s="479" t="s">
        <v>512</v>
      </c>
      <c r="O44" s="480">
        <v>0</v>
      </c>
      <c r="P44" s="481"/>
      <c r="Q44" s="482">
        <f>+'[1](JAP4)-Tariff Summary'!$G$70</f>
        <v>-3.339999999999975</v>
      </c>
    </row>
    <row r="45" spans="1:17">
      <c r="A45" s="275">
        <f t="shared" si="0"/>
        <v>35</v>
      </c>
      <c r="N45" s="479" t="s">
        <v>513</v>
      </c>
      <c r="O45" s="480">
        <v>0</v>
      </c>
      <c r="P45" s="481"/>
      <c r="Q45" s="482">
        <f>+'[1](JAP4)-Tariff Summary'!$G$72</f>
        <v>-5.4200000000000081E-4</v>
      </c>
    </row>
    <row r="46" spans="1:17">
      <c r="A46" s="275">
        <f t="shared" si="0"/>
        <v>36</v>
      </c>
      <c r="N46" s="479" t="s">
        <v>514</v>
      </c>
      <c r="O46" s="480">
        <v>0</v>
      </c>
      <c r="P46" s="481"/>
      <c r="Q46" s="482">
        <f>+'[1](JAP4)-Tariff Summary'!$G$74</f>
        <v>-0.10999999999999943</v>
      </c>
    </row>
    <row r="47" spans="1:17">
      <c r="A47" s="275">
        <f t="shared" si="0"/>
        <v>37</v>
      </c>
      <c r="N47" s="479" t="s">
        <v>515</v>
      </c>
      <c r="O47" s="480">
        <v>0</v>
      </c>
      <c r="P47" s="481"/>
      <c r="Q47" s="482">
        <f>+'[1](JAP4)-Tariff Summary'!$G$75</f>
        <v>-7.0000000000000284E-2</v>
      </c>
    </row>
    <row r="48" spans="1:17">
      <c r="A48" s="275">
        <f t="shared" si="0"/>
        <v>38</v>
      </c>
      <c r="N48" s="479" t="s">
        <v>516</v>
      </c>
      <c r="O48" s="480">
        <v>0</v>
      </c>
      <c r="P48" s="481"/>
      <c r="Q48" s="482">
        <f>-Q42</f>
        <v>-8.9999999999999858E-2</v>
      </c>
    </row>
    <row r="49" spans="1:17">
      <c r="A49" s="275">
        <f t="shared" si="0"/>
        <v>39</v>
      </c>
      <c r="N49" s="479" t="s">
        <v>511</v>
      </c>
      <c r="O49" s="483">
        <v>0</v>
      </c>
      <c r="P49" s="481"/>
      <c r="Q49" s="482">
        <f>+'[1](JAP4)-Tariff Summary'!$G$77</f>
        <v>-1.0000000000000026E-5</v>
      </c>
    </row>
    <row r="50" spans="1:17">
      <c r="A50" s="275">
        <f t="shared" si="0"/>
        <v>40</v>
      </c>
      <c r="N50" s="247" t="s">
        <v>352</v>
      </c>
      <c r="O50" s="248">
        <f>+'Sch 142'!$G$21</f>
        <v>-5.5999999999999999E-5</v>
      </c>
      <c r="P50" s="276"/>
      <c r="Q50" s="248">
        <f t="shared" ref="Q50:Q51" si="4">+O50</f>
        <v>-5.5999999999999999E-5</v>
      </c>
    </row>
    <row r="51" spans="1:17">
      <c r="A51" s="275">
        <f t="shared" si="0"/>
        <v>41</v>
      </c>
      <c r="N51" s="247" t="s">
        <v>329</v>
      </c>
      <c r="O51" s="248">
        <f>+'Sch 142'!$H$21</f>
        <v>-0.08</v>
      </c>
      <c r="P51" s="276"/>
      <c r="Q51" s="248">
        <f t="shared" si="4"/>
        <v>-0.08</v>
      </c>
    </row>
    <row r="52" spans="1:17">
      <c r="A52" s="275">
        <f t="shared" si="0"/>
        <v>42</v>
      </c>
    </row>
    <row r="53" spans="1:17">
      <c r="A53" s="275">
        <f t="shared" si="0"/>
        <v>43</v>
      </c>
      <c r="N53" s="244" t="s">
        <v>383</v>
      </c>
      <c r="O53" s="243">
        <f>+'JAP-4 (ERF Impacts)'!W18</f>
        <v>0</v>
      </c>
    </row>
  </sheetData>
  <mergeCells count="3">
    <mergeCell ref="G6:I6"/>
    <mergeCell ref="N11:O11"/>
    <mergeCell ref="P11:Q11"/>
  </mergeCells>
  <printOptions horizontalCentered="1"/>
  <pageMargins left="0.7" right="0.7" top="0.75" bottom="0.75" header="0.3" footer="0.3"/>
  <pageSetup scale="68" orientation="landscape" r:id="rId1"/>
  <headerFooter alignWithMargins="0">
    <oddFooter>&amp;L&amp;"Times New Roman,Regular"&amp;F
&amp;A&amp;R&amp;"Times New Roman,Regular"Page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54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3" sqref="A13"/>
      <selection pane="bottomRight" activeCell="M29" sqref="M29:M30"/>
    </sheetView>
  </sheetViews>
  <sheetFormatPr defaultColWidth="9.42578125" defaultRowHeight="15"/>
  <cols>
    <col min="1" max="1" width="8.140625" style="231" bestFit="1" customWidth="1"/>
    <col min="2" max="2" width="11.7109375" style="231" customWidth="1"/>
    <col min="3" max="3" width="12.42578125" style="231" bestFit="1" customWidth="1"/>
    <col min="4" max="4" width="3.5703125" style="231" customWidth="1"/>
    <col min="5" max="5" width="9.7109375" style="231" bestFit="1" customWidth="1"/>
    <col min="6" max="6" width="4.140625" style="231" customWidth="1"/>
    <col min="7" max="7" width="15.5703125" style="231" bestFit="1" customWidth="1"/>
    <col min="8" max="8" width="3.85546875" style="231" customWidth="1"/>
    <col min="9" max="9" width="15.5703125" style="231" bestFit="1" customWidth="1"/>
    <col min="10" max="10" width="3.28515625" style="231" customWidth="1"/>
    <col min="11" max="11" width="12.42578125" style="231" bestFit="1" customWidth="1"/>
    <col min="12" max="12" width="3.85546875" style="332" customWidth="1"/>
    <col min="13" max="13" width="31" style="231" bestFit="1" customWidth="1"/>
    <col min="14" max="14" width="15.28515625" style="231" bestFit="1" customWidth="1"/>
    <col min="15" max="15" width="9" style="231" bestFit="1" customWidth="1"/>
    <col min="16" max="16" width="16.7109375" style="231" bestFit="1" customWidth="1"/>
    <col min="17" max="17" width="3.42578125" style="231" customWidth="1"/>
    <col min="18" max="18" width="7.7109375" style="231" bestFit="1" customWidth="1"/>
    <col min="19" max="16384" width="9.42578125" style="231"/>
  </cols>
  <sheetData>
    <row r="1" spans="1:18" ht="18.75">
      <c r="B1" s="331" t="s">
        <v>0</v>
      </c>
      <c r="C1" s="331"/>
      <c r="D1" s="331"/>
      <c r="E1" s="331"/>
      <c r="F1" s="331"/>
      <c r="G1" s="331"/>
      <c r="H1" s="331"/>
      <c r="I1" s="331"/>
      <c r="J1" s="331"/>
      <c r="K1" s="331"/>
    </row>
    <row r="2" spans="1:18" ht="18.75">
      <c r="B2" s="331" t="s">
        <v>286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1:18" ht="18.75">
      <c r="B3" s="331" t="s">
        <v>360</v>
      </c>
      <c r="C3" s="331"/>
      <c r="D3" s="331"/>
      <c r="E3" s="331"/>
      <c r="F3" s="331"/>
      <c r="G3" s="331"/>
      <c r="H3" s="331"/>
      <c r="I3" s="331"/>
      <c r="J3" s="331"/>
      <c r="K3" s="331"/>
    </row>
    <row r="4" spans="1:18" ht="18.75"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6" spans="1:18" ht="15.75">
      <c r="B6" s="343" t="s">
        <v>359</v>
      </c>
      <c r="G6" s="538" t="s">
        <v>358</v>
      </c>
      <c r="H6" s="539"/>
      <c r="I6" s="539"/>
    </row>
    <row r="7" spans="1:18">
      <c r="B7" s="329" t="s">
        <v>325</v>
      </c>
      <c r="C7" s="342" t="s">
        <v>357</v>
      </c>
      <c r="G7" s="277" t="s">
        <v>28</v>
      </c>
      <c r="I7" s="277" t="s">
        <v>356</v>
      </c>
      <c r="K7" s="277" t="s">
        <v>302</v>
      </c>
    </row>
    <row r="8" spans="1:18" ht="16.5">
      <c r="A8" s="496" t="s">
        <v>3</v>
      </c>
      <c r="B8" s="328" t="s">
        <v>322</v>
      </c>
      <c r="C8" s="327" t="s">
        <v>321</v>
      </c>
      <c r="D8" s="325"/>
      <c r="E8" s="270" t="s">
        <v>282</v>
      </c>
      <c r="F8" s="325"/>
      <c r="G8" s="315" t="s">
        <v>405</v>
      </c>
      <c r="H8" s="315"/>
      <c r="I8" s="315" t="s">
        <v>404</v>
      </c>
      <c r="K8" s="341" t="s">
        <v>33</v>
      </c>
    </row>
    <row r="9" spans="1:18" ht="15.75">
      <c r="A9" s="276"/>
      <c r="B9" s="316" t="s">
        <v>96</v>
      </c>
      <c r="C9" s="316" t="s">
        <v>97</v>
      </c>
      <c r="E9" s="316" t="s">
        <v>98</v>
      </c>
      <c r="F9" s="316"/>
      <c r="G9" s="316" t="s">
        <v>99</v>
      </c>
      <c r="H9" s="316"/>
      <c r="I9" s="316" t="s">
        <v>218</v>
      </c>
      <c r="J9" s="316"/>
      <c r="K9" s="499" t="s">
        <v>486</v>
      </c>
      <c r="L9" s="498"/>
      <c r="M9" s="498"/>
      <c r="N9" s="498" t="s">
        <v>220</v>
      </c>
      <c r="O9" s="498"/>
      <c r="P9" s="498" t="s">
        <v>250</v>
      </c>
    </row>
    <row r="10" spans="1:18" s="276" customFormat="1" ht="15.75" thickBot="1">
      <c r="G10" s="327"/>
      <c r="H10" s="325"/>
      <c r="I10" s="327"/>
      <c r="L10" s="332"/>
    </row>
    <row r="11" spans="1:18">
      <c r="A11" s="275">
        <v>1</v>
      </c>
      <c r="B11" s="242">
        <v>1000</v>
      </c>
      <c r="C11" s="231">
        <v>300</v>
      </c>
      <c r="E11" s="242">
        <f>ROUND((B$11*C11),0)</f>
        <v>300000</v>
      </c>
      <c r="F11" s="242"/>
      <c r="G11" s="324">
        <f>ROUND(IF($B$11&gt;4400,$B$11*N$13,4400*$N$13)+$E11*N$14,0)</f>
        <v>29745</v>
      </c>
      <c r="H11" s="324"/>
      <c r="I11" s="324">
        <f>ROUND(IF($B$11&gt;4400,$B$11*P$13,4400*$N$13)+$E11*P$14,0)</f>
        <v>29745</v>
      </c>
      <c r="K11" s="238">
        <f>(I11-G11)/G11</f>
        <v>0</v>
      </c>
      <c r="M11" s="340"/>
      <c r="N11" s="339" t="s">
        <v>299</v>
      </c>
      <c r="O11" s="338"/>
      <c r="P11" s="495" t="s">
        <v>298</v>
      </c>
    </row>
    <row r="12" spans="1:18">
      <c r="A12" s="275">
        <f>+A11+1</f>
        <v>2</v>
      </c>
      <c r="C12" s="231">
        <v>500</v>
      </c>
      <c r="E12" s="242">
        <f>ROUND((B$11*C12),0)</f>
        <v>500000</v>
      </c>
      <c r="F12" s="242"/>
      <c r="G12" s="324">
        <f>ROUND(IF($B$11&gt;4400,$B$11*N$13,4400*$N$13)+$E12*N$14,0)</f>
        <v>40922</v>
      </c>
      <c r="H12" s="324"/>
      <c r="I12" s="324">
        <f>ROUND(IF($B$11&gt;4400,$B$11*P$13,4400*$N$13)+$E12*P$14,0)</f>
        <v>40922</v>
      </c>
      <c r="K12" s="238">
        <f>(I12-G12)/G12</f>
        <v>0</v>
      </c>
      <c r="M12" s="293"/>
      <c r="N12" s="257"/>
      <c r="O12" s="257"/>
      <c r="P12" s="337"/>
    </row>
    <row r="13" spans="1:18">
      <c r="A13" s="275">
        <f t="shared" ref="A13:A39" si="0">+A12+1</f>
        <v>3</v>
      </c>
      <c r="C13" s="231">
        <v>700</v>
      </c>
      <c r="E13" s="242">
        <f>ROUND((B$11*C13),0)</f>
        <v>700000</v>
      </c>
      <c r="F13" s="242"/>
      <c r="G13" s="324">
        <f>ROUND(IF($B$11&gt;4400,$B$11*N$13,4400*$N$13)+$E13*N$14,0)</f>
        <v>52098</v>
      </c>
      <c r="H13" s="324"/>
      <c r="I13" s="324">
        <f>ROUND(IF($B$11&gt;4400,$B$11*P$13,4400*$N$13)+$E13*P$14,0)</f>
        <v>52098</v>
      </c>
      <c r="K13" s="238">
        <f>(I13-G13)/G13</f>
        <v>0</v>
      </c>
      <c r="M13" s="294" t="s">
        <v>355</v>
      </c>
      <c r="N13" s="264">
        <f>SUM(N17,N27)</f>
        <v>2.95</v>
      </c>
      <c r="O13" s="297"/>
      <c r="P13" s="314">
        <f>SUM(P17,P27,P29)</f>
        <v>2.95</v>
      </c>
      <c r="R13" s="256">
        <f>(P13-N13)/N13</f>
        <v>0</v>
      </c>
    </row>
    <row r="14" spans="1:18">
      <c r="A14" s="275">
        <f t="shared" si="0"/>
        <v>4</v>
      </c>
      <c r="G14" s="324"/>
      <c r="H14" s="324"/>
      <c r="I14" s="324"/>
      <c r="K14" s="238"/>
      <c r="M14" s="294" t="s">
        <v>354</v>
      </c>
      <c r="N14" s="260">
        <f>SUM(N18,N20:N26,N28:N31)</f>
        <v>5.5882999999999995E-2</v>
      </c>
      <c r="O14" s="297"/>
      <c r="P14" s="258">
        <f>SUM(P18,P20:P26,P28,P30,P31)</f>
        <v>5.5882999999999995E-2</v>
      </c>
      <c r="R14" s="256">
        <f>(P14-N14)/N14</f>
        <v>0</v>
      </c>
    </row>
    <row r="15" spans="1:18" ht="15.75" thickBot="1">
      <c r="A15" s="275">
        <f t="shared" si="0"/>
        <v>5</v>
      </c>
      <c r="B15" s="242">
        <v>2000</v>
      </c>
      <c r="C15" s="231">
        <v>300</v>
      </c>
      <c r="E15" s="242">
        <f>ROUND((B$15*C15),0)</f>
        <v>600000</v>
      </c>
      <c r="F15" s="242"/>
      <c r="G15" s="324">
        <f>ROUND(IF($B$15&gt;4400,$B$15*N$13,4400*$N$13)+$E15*N$14,0)</f>
        <v>46510</v>
      </c>
      <c r="H15" s="324"/>
      <c r="I15" s="324">
        <f>ROUND(IF($B$15&gt;4400,$B$15*P$13,4400*$N$13)+$E15*P$14,0)</f>
        <v>46510</v>
      </c>
      <c r="K15" s="238">
        <f>(I15-G15)/G15</f>
        <v>0</v>
      </c>
      <c r="M15" s="336" t="s">
        <v>24</v>
      </c>
      <c r="N15" s="335" t="s">
        <v>24</v>
      </c>
      <c r="O15" s="253"/>
      <c r="P15" s="334" t="s">
        <v>24</v>
      </c>
    </row>
    <row r="16" spans="1:18">
      <c r="A16" s="275">
        <f t="shared" si="0"/>
        <v>6</v>
      </c>
      <c r="C16" s="231">
        <v>500</v>
      </c>
      <c r="E16" s="242">
        <f>ROUND((B$15*C16),0)</f>
        <v>1000000</v>
      </c>
      <c r="F16" s="242"/>
      <c r="G16" s="324">
        <f>ROUND(IF($B$15&gt;4400,$B$15*N$13,4400*$N$13)+$E16*N$14,0)</f>
        <v>68863</v>
      </c>
      <c r="H16" s="324"/>
      <c r="I16" s="324">
        <f>ROUND(IF($B$15&gt;4400,$B$15*P$13,4400*$N$13)+$E16*P$14,0)</f>
        <v>68863</v>
      </c>
      <c r="K16" s="238">
        <f>(I16-G16)/G16</f>
        <v>0</v>
      </c>
    </row>
    <row r="17" spans="1:16">
      <c r="A17" s="275">
        <f t="shared" si="0"/>
        <v>7</v>
      </c>
      <c r="C17" s="231">
        <v>700</v>
      </c>
      <c r="E17" s="242">
        <f>ROUND((B$15*C17),0)</f>
        <v>1400000</v>
      </c>
      <c r="F17" s="242"/>
      <c r="G17" s="324">
        <f>ROUND(IF($B$15&gt;4400,$B$15*N$13,4400*$N$13)+$E17*N$14,0)</f>
        <v>91216</v>
      </c>
      <c r="H17" s="324"/>
      <c r="I17" s="324">
        <f>ROUND(IF($B$15&gt;4400,$B$15*P$13,4400*$N$13)+$E17*P$14,0)</f>
        <v>91216</v>
      </c>
      <c r="K17" s="238">
        <f>(I17-G17)/G17</f>
        <v>0</v>
      </c>
      <c r="M17" s="231" t="str">
        <f>+M13</f>
        <v>Demand ($ per kVa)</v>
      </c>
      <c r="N17" s="484">
        <f>+'[1](JAP4)-Tariff Summary'!$D$155</f>
        <v>2.95</v>
      </c>
      <c r="O17" s="484"/>
      <c r="P17" s="484">
        <f>+N17</f>
        <v>2.95</v>
      </c>
    </row>
    <row r="18" spans="1:16">
      <c r="A18" s="275">
        <f t="shared" si="0"/>
        <v>8</v>
      </c>
      <c r="G18" s="324"/>
      <c r="H18" s="324"/>
      <c r="I18" s="324"/>
      <c r="K18" s="238"/>
      <c r="M18" s="231" t="str">
        <f>+M14</f>
        <v>Energy ($ per kWh)</v>
      </c>
      <c r="N18" s="484">
        <f>+'[1](JAP4)-Tariff Summary'!$D$153</f>
        <v>5.0738999999999999E-2</v>
      </c>
      <c r="O18" s="484"/>
      <c r="P18" s="484">
        <f>+N18</f>
        <v>5.0738999999999999E-2</v>
      </c>
    </row>
    <row r="19" spans="1:16">
      <c r="A19" s="275">
        <f t="shared" si="0"/>
        <v>9</v>
      </c>
      <c r="B19" s="242">
        <v>4000</v>
      </c>
      <c r="C19" s="231">
        <v>300</v>
      </c>
      <c r="E19" s="242">
        <f>ROUND((B$19*C19),0)</f>
        <v>1200000</v>
      </c>
      <c r="F19" s="242"/>
      <c r="G19" s="324">
        <f>ROUND(IF($B$19&gt;4400,$B$19*N$13,4400*$N$13)+$E19*N$14,0)</f>
        <v>80040</v>
      </c>
      <c r="H19" s="324"/>
      <c r="I19" s="324">
        <f>ROUND(IF($B$19&gt;4400,$B$19*P$13,4400*$N$13)+$E19*P$14,0)</f>
        <v>80040</v>
      </c>
      <c r="K19" s="238">
        <f>(I19-G19)/G19</f>
        <v>0</v>
      </c>
    </row>
    <row r="20" spans="1:16">
      <c r="A20" s="275">
        <f t="shared" si="0"/>
        <v>10</v>
      </c>
      <c r="C20" s="231">
        <v>500</v>
      </c>
      <c r="E20" s="242">
        <f>ROUND((B$19*C20),0)</f>
        <v>2000000</v>
      </c>
      <c r="F20" s="242"/>
      <c r="G20" s="324">
        <f>ROUND(IF($B$19&gt;4400,$B$19*N$13,4400*$N$13)+$E20*N$14,0)</f>
        <v>124746</v>
      </c>
      <c r="H20" s="324"/>
      <c r="I20" s="324">
        <f>ROUND(IF($B$19&gt;4400,$B$19*P$13,4400*$N$13)+$E20*P$14,0)</f>
        <v>124746</v>
      </c>
      <c r="K20" s="238">
        <f>(I20-G20)/G20</f>
        <v>0</v>
      </c>
      <c r="M20" s="250" t="s">
        <v>274</v>
      </c>
      <c r="N20" s="385">
        <v>0</v>
      </c>
      <c r="O20" s="276"/>
      <c r="P20" s="248">
        <v>0</v>
      </c>
    </row>
    <row r="21" spans="1:16">
      <c r="A21" s="275">
        <f t="shared" si="0"/>
        <v>11</v>
      </c>
      <c r="C21" s="231">
        <v>700</v>
      </c>
      <c r="E21" s="242">
        <f>ROUND((B$19*C21),0)</f>
        <v>2800000</v>
      </c>
      <c r="F21" s="242"/>
      <c r="G21" s="324">
        <f>ROUND(IF($B$19&gt;4400,$B$19*N$13,4400*$N$13)+$E21*N$14,0)</f>
        <v>169452</v>
      </c>
      <c r="H21" s="324"/>
      <c r="I21" s="324">
        <f>ROUND(IF($B$19&gt;4400,$B$19*P$13,4400*$N$13)+$E21*P$14,0)</f>
        <v>169452</v>
      </c>
      <c r="K21" s="238">
        <f>(I21-G21)/G21</f>
        <v>0</v>
      </c>
      <c r="M21" s="250" t="s">
        <v>273</v>
      </c>
      <c r="N21" s="385">
        <f>+'Sch 95a'!$H$28</f>
        <v>-9.9700000000000006E-4</v>
      </c>
      <c r="O21" s="276"/>
      <c r="P21" s="248">
        <f t="shared" ref="P21:P25" si="1">+N21</f>
        <v>-9.9700000000000006E-4</v>
      </c>
    </row>
    <row r="22" spans="1:16">
      <c r="A22" s="275">
        <f t="shared" si="0"/>
        <v>12</v>
      </c>
      <c r="G22" s="324"/>
      <c r="H22" s="324"/>
      <c r="I22" s="324"/>
      <c r="K22" s="238"/>
      <c r="M22" s="250" t="s">
        <v>272</v>
      </c>
      <c r="N22" s="385">
        <f>+'Sch 120'!$H$28</f>
        <v>2.6159999999999998E-3</v>
      </c>
      <c r="O22" s="276"/>
      <c r="P22" s="248">
        <f t="shared" si="1"/>
        <v>2.6159999999999998E-3</v>
      </c>
    </row>
    <row r="23" spans="1:16">
      <c r="A23" s="275">
        <f t="shared" si="0"/>
        <v>13</v>
      </c>
      <c r="B23" s="242">
        <v>6000</v>
      </c>
      <c r="C23" s="231">
        <v>300</v>
      </c>
      <c r="E23" s="242">
        <f>ROUND((B$23*C23),0)</f>
        <v>1800000</v>
      </c>
      <c r="F23" s="242"/>
      <c r="G23" s="324">
        <f>ROUND(IF($B$23&gt;4400,$B$23*N$13,4400*$N$13)+$E23*N$14,0)</f>
        <v>118289</v>
      </c>
      <c r="H23" s="324"/>
      <c r="I23" s="324">
        <f>ROUND(IF($B$23&gt;4400,$B$23*P$13,4400*$N$13)+$E23*P$14,0)</f>
        <v>118289</v>
      </c>
      <c r="K23" s="238">
        <f>(I23-G23)/G23</f>
        <v>0</v>
      </c>
      <c r="M23" s="250" t="s">
        <v>207</v>
      </c>
      <c r="N23" s="385">
        <f>+'Sch 129'!G28</f>
        <v>5.8799999999999998E-4</v>
      </c>
      <c r="O23" s="276"/>
      <c r="P23" s="248">
        <f t="shared" si="1"/>
        <v>5.8799999999999998E-4</v>
      </c>
    </row>
    <row r="24" spans="1:16">
      <c r="A24" s="275">
        <f t="shared" si="0"/>
        <v>14</v>
      </c>
      <c r="C24" s="231">
        <v>500</v>
      </c>
      <c r="E24" s="242">
        <f>ROUND((B$23*C24),0)</f>
        <v>3000000</v>
      </c>
      <c r="F24" s="242"/>
      <c r="G24" s="324">
        <f>ROUND(IF($B$23&gt;4400,$B$23*N$13,4400*$N$13)+$E24*N$14,0)</f>
        <v>185349</v>
      </c>
      <c r="H24" s="324"/>
      <c r="I24" s="324">
        <f>ROUND(IF($B$23&gt;4400,$B$23*P$13,4400*$N$13)+$E24*P$14,0)</f>
        <v>185349</v>
      </c>
      <c r="K24" s="238">
        <f>(I24-G24)/G24</f>
        <v>0</v>
      </c>
      <c r="M24" s="250" t="s">
        <v>208</v>
      </c>
      <c r="N24" s="385">
        <f>+'Sch 132'!E28</f>
        <v>0</v>
      </c>
      <c r="O24" s="276"/>
      <c r="P24" s="248">
        <f t="shared" si="1"/>
        <v>0</v>
      </c>
    </row>
    <row r="25" spans="1:16">
      <c r="A25" s="275">
        <f t="shared" si="0"/>
        <v>15</v>
      </c>
      <c r="C25" s="231">
        <v>700</v>
      </c>
      <c r="E25" s="242">
        <f>ROUND((B$23*C25),0)</f>
        <v>4200000</v>
      </c>
      <c r="F25" s="242"/>
      <c r="G25" s="324">
        <f>ROUND(IF($B$23&gt;4400,$B$23*N$13,4400*$N$13)+$E25*N$14,0)</f>
        <v>252409</v>
      </c>
      <c r="H25" s="324"/>
      <c r="I25" s="324">
        <f>ROUND(IF($B$23&gt;4400,$B$23*P$13,4400*$N$13)+$E25*P$14,0)</f>
        <v>252409</v>
      </c>
      <c r="K25" s="238">
        <f>(I25-G25)/G25</f>
        <v>0</v>
      </c>
      <c r="M25" s="250" t="s">
        <v>270</v>
      </c>
      <c r="N25" s="246">
        <f>+'Sch 137'!E28</f>
        <v>-3.8000000000000002E-5</v>
      </c>
      <c r="P25" s="248">
        <f t="shared" si="1"/>
        <v>-3.8000000000000002E-5</v>
      </c>
    </row>
    <row r="26" spans="1:16">
      <c r="A26" s="275">
        <f t="shared" si="0"/>
        <v>16</v>
      </c>
      <c r="E26" s="242"/>
      <c r="F26" s="242"/>
      <c r="G26" s="324"/>
      <c r="H26" s="324"/>
      <c r="I26" s="324"/>
      <c r="K26" s="238"/>
      <c r="M26" s="250" t="s">
        <v>239</v>
      </c>
      <c r="N26" s="385">
        <f>+'Sch 140'!$H$28</f>
        <v>1.6520000000000003E-3</v>
      </c>
      <c r="O26" s="276"/>
      <c r="P26" s="248">
        <f>+'Sch 140'!$H$28</f>
        <v>1.6520000000000003E-3</v>
      </c>
    </row>
    <row r="27" spans="1:16">
      <c r="A27" s="275">
        <f t="shared" si="0"/>
        <v>17</v>
      </c>
      <c r="B27" s="242">
        <v>8000</v>
      </c>
      <c r="C27" s="231">
        <v>300</v>
      </c>
      <c r="E27" s="242">
        <f>ROUND((B$27*C27),0)</f>
        <v>2400000</v>
      </c>
      <c r="F27" s="242"/>
      <c r="G27" s="324">
        <f>ROUND(IF($B$27&gt;4400,$B$27*N$13,4400*$N$13)+$E27*N$14,0)</f>
        <v>157719</v>
      </c>
      <c r="H27" s="324"/>
      <c r="I27" s="324">
        <f>ROUND(IF($B$27&gt;4400,$B$27*P$13,4400*$N$13)+$E27*P$14,0)</f>
        <v>157719</v>
      </c>
      <c r="K27" s="238">
        <f>(I27-G27)/G27</f>
        <v>0</v>
      </c>
      <c r="M27" s="479" t="s">
        <v>478</v>
      </c>
      <c r="N27" s="482">
        <v>0</v>
      </c>
      <c r="O27" s="481"/>
      <c r="P27" s="513">
        <f>+'[1](JAP4)-Tariff Summary'!$F$155</f>
        <v>2.9999999999999805E-2</v>
      </c>
    </row>
    <row r="28" spans="1:16">
      <c r="A28" s="275">
        <f t="shared" si="0"/>
        <v>18</v>
      </c>
      <c r="C28" s="231">
        <v>500</v>
      </c>
      <c r="E28" s="242">
        <f>ROUND((B$27*C28),0)</f>
        <v>4000000</v>
      </c>
      <c r="F28" s="242"/>
      <c r="G28" s="324">
        <f>ROUND(IF($B$27&gt;4400,$B$27*N$13,4400*$N$13)+$E28*N$14,0)</f>
        <v>247132</v>
      </c>
      <c r="H28" s="324"/>
      <c r="I28" s="324">
        <f>ROUND(IF($B$27&gt;4400,$B$27*P$13,4400*$N$13)+$E28*P$14,0)</f>
        <v>247132</v>
      </c>
      <c r="K28" s="238">
        <f>(I28-G28)/G28</f>
        <v>0</v>
      </c>
      <c r="M28" s="514" t="s">
        <v>353</v>
      </c>
      <c r="N28" s="482">
        <v>0</v>
      </c>
      <c r="O28" s="481"/>
      <c r="P28" s="513">
        <f>+'[1](JAP4)-Tariff Summary'!$F$153</f>
        <v>5.0000000000000044E-4</v>
      </c>
    </row>
    <row r="29" spans="1:16">
      <c r="A29" s="275">
        <f t="shared" si="0"/>
        <v>19</v>
      </c>
      <c r="C29" s="231">
        <v>700</v>
      </c>
      <c r="E29" s="242">
        <f>ROUND((B$27*C29),0)</f>
        <v>5600000</v>
      </c>
      <c r="F29" s="242"/>
      <c r="G29" s="324">
        <f>ROUND(IF($B$27&gt;4400,$B$27*N$13,4400*$N$13)+$E29*N$14,0)</f>
        <v>336545</v>
      </c>
      <c r="H29" s="324"/>
      <c r="I29" s="324">
        <f>ROUND(IF($B$27&gt;4400,$B$27*P$13,4400*$N$13)+$E29*P$14,0)</f>
        <v>336545</v>
      </c>
      <c r="K29" s="238">
        <f>(I29-G29)/G29</f>
        <v>0</v>
      </c>
      <c r="M29" s="479" t="s">
        <v>525</v>
      </c>
      <c r="N29" s="482">
        <v>0</v>
      </c>
      <c r="O29" s="481"/>
      <c r="P29" s="513">
        <f>+'[1](JAP4)-Tariff Summary'!$G$155</f>
        <v>-2.9999999999999805E-2</v>
      </c>
    </row>
    <row r="30" spans="1:16">
      <c r="A30" s="275">
        <f t="shared" si="0"/>
        <v>20</v>
      </c>
      <c r="E30" s="242"/>
      <c r="F30" s="242"/>
      <c r="G30" s="324"/>
      <c r="H30" s="324"/>
      <c r="I30" s="324"/>
      <c r="K30" s="238"/>
      <c r="M30" s="514" t="s">
        <v>513</v>
      </c>
      <c r="N30" s="482">
        <v>0</v>
      </c>
      <c r="O30" s="481"/>
      <c r="P30" s="513">
        <f>+'[1](JAP4)-Tariff Summary'!$G$153</f>
        <v>-5.0000000000000044E-4</v>
      </c>
    </row>
    <row r="31" spans="1:16">
      <c r="A31" s="275">
        <f t="shared" si="0"/>
        <v>21</v>
      </c>
      <c r="B31" s="242">
        <v>10000</v>
      </c>
      <c r="C31" s="231">
        <v>300</v>
      </c>
      <c r="E31" s="242">
        <f>ROUND((B$31*C31),0)</f>
        <v>3000000</v>
      </c>
      <c r="F31" s="242"/>
      <c r="G31" s="324">
        <f>ROUND(IF($B$31&gt;4400,$B$31*N$13,4400*$N$13)+$E31*N$14,0)</f>
        <v>197149</v>
      </c>
      <c r="H31" s="324"/>
      <c r="I31" s="324">
        <f>ROUND(IF($B$31&gt;4400,$B$31*P$13,4400*$N$13)+$E31*P$14,0)</f>
        <v>197149</v>
      </c>
      <c r="K31" s="238">
        <f>(I31-G31)/G31</f>
        <v>0</v>
      </c>
      <c r="M31" s="250" t="s">
        <v>352</v>
      </c>
      <c r="N31" s="385">
        <f>+'Sch 142'!$G$28</f>
        <v>1.323E-3</v>
      </c>
      <c r="O31" s="276"/>
      <c r="P31" s="248">
        <f>+'Sch 142'!$G$28</f>
        <v>1.323E-3</v>
      </c>
    </row>
    <row r="32" spans="1:16">
      <c r="A32" s="275">
        <f t="shared" si="0"/>
        <v>22</v>
      </c>
      <c r="C32" s="231">
        <v>500</v>
      </c>
      <c r="E32" s="242">
        <f>ROUND((B$31*C32),0)</f>
        <v>5000000</v>
      </c>
      <c r="F32" s="242"/>
      <c r="G32" s="324">
        <f>ROUND(IF($B$31&gt;4400,$B$31*N$13,4400*$N$13)+$E32*N$14,0)</f>
        <v>308915</v>
      </c>
      <c r="H32" s="324"/>
      <c r="I32" s="324">
        <f>ROUND(IF($B$31&gt;4400,$B$31*P$13,4400*$N$13)+$E32*P$14,0)</f>
        <v>308915</v>
      </c>
      <c r="K32" s="238">
        <f>(I32-G32)/G32</f>
        <v>0</v>
      </c>
    </row>
    <row r="33" spans="1:14">
      <c r="A33" s="275">
        <f t="shared" si="0"/>
        <v>23</v>
      </c>
      <c r="C33" s="231">
        <v>700</v>
      </c>
      <c r="E33" s="242">
        <f>ROUND((B$31*C33),0)</f>
        <v>7000000</v>
      </c>
      <c r="F33" s="242"/>
      <c r="G33" s="324">
        <f>ROUND(IF($B$31&gt;4400,$B$31*N$13,4400*$N$13)+$E33*N$14,0)</f>
        <v>420681</v>
      </c>
      <c r="H33" s="324"/>
      <c r="I33" s="324">
        <f>ROUND(IF($B$31&gt;4400,$B$31*P$13,4400*$N$13)+$E33*P$14,0)</f>
        <v>420681</v>
      </c>
      <c r="K33" s="238">
        <f>(I33-G33)/G33</f>
        <v>0</v>
      </c>
    </row>
    <row r="34" spans="1:14">
      <c r="A34" s="275">
        <f t="shared" si="0"/>
        <v>24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4">
      <c r="A35" s="275">
        <f t="shared" si="0"/>
        <v>25</v>
      </c>
    </row>
    <row r="36" spans="1:14">
      <c r="A36" s="275">
        <f t="shared" si="0"/>
        <v>26</v>
      </c>
    </row>
    <row r="37" spans="1:14" ht="16.5">
      <c r="A37" s="275">
        <f t="shared" si="0"/>
        <v>27</v>
      </c>
      <c r="B37" s="403" t="s">
        <v>396</v>
      </c>
    </row>
    <row r="38" spans="1:14" ht="16.5">
      <c r="A38" s="275">
        <f t="shared" si="0"/>
        <v>28</v>
      </c>
      <c r="B38" s="468" t="s">
        <v>469</v>
      </c>
      <c r="M38" s="244" t="s">
        <v>383</v>
      </c>
      <c r="N38" s="243">
        <f>+'JAP-4 (ERF Impacts)'!W25</f>
        <v>0</v>
      </c>
    </row>
    <row r="39" spans="1:14" ht="16.5">
      <c r="A39" s="275">
        <f t="shared" si="0"/>
        <v>29</v>
      </c>
      <c r="B39" s="510" t="s">
        <v>490</v>
      </c>
    </row>
    <row r="40" spans="1:14">
      <c r="B40" s="403"/>
    </row>
    <row r="41" spans="1:14">
      <c r="B41" s="233"/>
    </row>
    <row r="42" spans="1:14">
      <c r="B42" s="233"/>
    </row>
    <row r="43" spans="1:14">
      <c r="B43" s="233"/>
    </row>
    <row r="44" spans="1:14">
      <c r="B44" s="233"/>
    </row>
    <row r="45" spans="1:14">
      <c r="B45" s="233"/>
    </row>
    <row r="46" spans="1:14">
      <c r="B46" s="233"/>
    </row>
    <row r="47" spans="1:14">
      <c r="B47" s="233"/>
    </row>
    <row r="48" spans="1:14">
      <c r="B48" s="233"/>
    </row>
    <row r="49" spans="2:15">
      <c r="B49" s="233"/>
    </row>
    <row r="50" spans="2:15">
      <c r="B50" s="233"/>
    </row>
    <row r="54" spans="2:15">
      <c r="O54" s="232"/>
    </row>
  </sheetData>
  <mergeCells count="1">
    <mergeCell ref="G6:I6"/>
  </mergeCells>
  <printOptions horizontalCentered="1"/>
  <pageMargins left="0.7" right="0.7" top="0.75" bottom="0.75" header="0.3" footer="0.3"/>
  <pageSetup scale="72" orientation="landscape" r:id="rId1"/>
  <headerFooter alignWithMargins="0">
    <oddFooter>&amp;L&amp;"Times New Roman,Regular"&amp;F
&amp;A&amp;R&amp;"Times New Roman,Regular"Page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76C800C-FB51-4A65-994D-088F48D6D807}"/>
</file>

<file path=customXml/itemProps2.xml><?xml version="1.0" encoding="utf-8"?>
<ds:datastoreItem xmlns:ds="http://schemas.openxmlformats.org/officeDocument/2006/customXml" ds:itemID="{D5F52E09-6286-450A-B4B5-EE7159F146E8}"/>
</file>

<file path=customXml/itemProps3.xml><?xml version="1.0" encoding="utf-8"?>
<ds:datastoreItem xmlns:ds="http://schemas.openxmlformats.org/officeDocument/2006/customXml" ds:itemID="{73286B4D-5F71-4D10-9D13-C44A7EDCD38A}"/>
</file>

<file path=customXml/itemProps4.xml><?xml version="1.0" encoding="utf-8"?>
<ds:datastoreItem xmlns:ds="http://schemas.openxmlformats.org/officeDocument/2006/customXml" ds:itemID="{DB95BAFD-C303-4EDE-B6EF-8D1235EE5A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12</vt:i4>
      </vt:variant>
    </vt:vector>
  </HeadingPairs>
  <TitlesOfParts>
    <vt:vector size="44" baseType="lpstr">
      <vt:lpstr>JAP-4 (ERF Impacts)</vt:lpstr>
      <vt:lpstr>TARIFF IMPACTS===&gt;</vt:lpstr>
      <vt:lpstr>JAP-4 Sch 7 Res Impact</vt:lpstr>
      <vt:lpstr>JAP-4 Sch 24 Sec Volt Impact</vt:lpstr>
      <vt:lpstr>JAP-4 Sch 25 Sec Volt Impact</vt:lpstr>
      <vt:lpstr>JAP-4 Sch 26 Sec Volt Impact</vt:lpstr>
      <vt:lpstr>JAP-4 Sch 29 Sec Volt Impact</vt:lpstr>
      <vt:lpstr>JAP-4 Sch 31 Pri Volt Impact</vt:lpstr>
      <vt:lpstr>JAP-4 Sch 46 High Volt Impact</vt:lpstr>
      <vt:lpstr>JAP-4 Sch 49 High Volt Impact</vt:lpstr>
      <vt:lpstr>Proposed Filing 10-2018</vt:lpstr>
      <vt:lpstr>JAP-4 Proposed ERF Rev</vt:lpstr>
      <vt:lpstr>Annualized Rider Revenue</vt:lpstr>
      <vt:lpstr>Sch 95</vt:lpstr>
      <vt:lpstr>Sch 95a</vt:lpstr>
      <vt:lpstr>Sch 120</vt:lpstr>
      <vt:lpstr>Sch 129</vt:lpstr>
      <vt:lpstr>Sch 132</vt:lpstr>
      <vt:lpstr>Sch 137</vt:lpstr>
      <vt:lpstr>Sch 140</vt:lpstr>
      <vt:lpstr>Sch 141</vt:lpstr>
      <vt:lpstr>Sch 142</vt:lpstr>
      <vt:lpstr>Sch 194</vt:lpstr>
      <vt:lpstr>Compliance Filings</vt:lpstr>
      <vt:lpstr>UE-180887 Sch 95A</vt:lpstr>
      <vt:lpstr>UE-180285 Sch 120 </vt:lpstr>
      <vt:lpstr>UE-180739 Sch 129</vt:lpstr>
      <vt:lpstr>UE-180976 Sch 132</vt:lpstr>
      <vt:lpstr>UE-180978 Sch 137</vt:lpstr>
      <vt:lpstr>UE-180257 Sch 140</vt:lpstr>
      <vt:lpstr>UE-180282 Sch 142</vt:lpstr>
      <vt:lpstr>UE-170946 Sch 194</vt:lpstr>
      <vt:lpstr>'JAP-4 (ERF Impacts)'!Print_Area</vt:lpstr>
      <vt:lpstr>'JAP-4 Proposed ERF Rev'!Print_Area</vt:lpstr>
      <vt:lpstr>'JAP-4 Sch 24 Sec Volt Impact'!Print_Area</vt:lpstr>
      <vt:lpstr>'JAP-4 Sch 25 Sec Volt Impact'!Print_Area</vt:lpstr>
      <vt:lpstr>'JAP-4 Sch 26 Sec Volt Impact'!Print_Area</vt:lpstr>
      <vt:lpstr>'JAP-4 Sch 29 Sec Volt Impact'!Print_Area</vt:lpstr>
      <vt:lpstr>'JAP-4 Sch 31 Pri Volt Impact'!Print_Area</vt:lpstr>
      <vt:lpstr>'JAP-4 Sch 46 High Volt Impact'!Print_Area</vt:lpstr>
      <vt:lpstr>'JAP-4 Sch 49 High Volt Impact'!Print_Area</vt:lpstr>
      <vt:lpstr>'JAP-4 Sch 7 Res Impact'!Print_Area</vt:lpstr>
      <vt:lpstr>'JAP-4 (ERF Impacts)'!Print_Titles</vt:lpstr>
      <vt:lpstr>'JAP-4 Proposed ERF Rev'!TABLEA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Paul Schmidt</cp:lastModifiedBy>
  <cp:lastPrinted>2018-10-19T21:57:20Z</cp:lastPrinted>
  <dcterms:created xsi:type="dcterms:W3CDTF">2016-12-27T22:31:24Z</dcterms:created>
  <dcterms:modified xsi:type="dcterms:W3CDTF">2019-02-25T21:38:32Z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