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5195" windowHeight="8445" firstSheet="10" activeTab="15"/>
  </bookViews>
  <sheets>
    <sheet name="Summary Electric" sheetId="3" r:id="rId1"/>
    <sheet name="Summary Gas" sheetId="4" r:id="rId2"/>
    <sheet name="Detail Electric" sheetId="1" r:id="rId3"/>
    <sheet name="Detail Gas" sheetId="2" r:id="rId4"/>
    <sheet name="Conv Factor" sheetId="5" r:id="rId5"/>
    <sheet name="ROR" sheetId="19" r:id="rId6"/>
    <sheet name="COR" sheetId="22" r:id="rId7"/>
    <sheet name="Income Tax" sheetId="21" r:id="rId8"/>
    <sheet name="King Depr" sheetId="6" r:id="rId9"/>
    <sheet name="CDA settlement" sheetId="18" r:id="rId10"/>
    <sheet name="Non-Exec Comp" sheetId="15" r:id="rId11"/>
    <sheet name="Exec Comp" sheetId="16" r:id="rId12"/>
    <sheet name="Incentive" sheetId="13" r:id="rId13"/>
    <sheet name="Advertising" sheetId="11" r:id="rId14"/>
    <sheet name="Sporting Events" sheetId="10" r:id="rId15"/>
    <sheet name="Dues" sheetId="7" r:id="rId16"/>
    <sheet name="Contributions" sheetId="9" r:id="rId17"/>
    <sheet name="Shareholders" sheetId="14" r:id="rId18"/>
    <sheet name="D&amp;O" sheetId="12" r:id="rId19"/>
    <sheet name="Int. Sync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123Graph_ECURRENT" hidden="1">[17]ConsolidatingPL!#REF!</definedName>
    <definedName name="_000">#REF!</definedName>
    <definedName name="_1_94_12_94">[38]DT_A_DOL93!#REF!</definedName>
    <definedName name="_1_95_12_95">[38]DT_A_DOL93!#REF!</definedName>
    <definedName name="_1_96_12_96">[38]DT_A_DOL93!#REF!</definedName>
    <definedName name="_1_97_12_97">[38]DT_A_DOL93!#REF!</definedName>
    <definedName name="_1_98_12_98">[38]DT_A_DOL93!#REF!</definedName>
    <definedName name="_10.01">[9]Gas!#REF!</definedName>
    <definedName name="_10.02">[9]Gas!#REF!</definedName>
    <definedName name="_10.03">[9]Gas!#REF!</definedName>
    <definedName name="_11.01">[9]Electric!#REF!</definedName>
    <definedName name="_11.02">[9]Electric!#REF!</definedName>
    <definedName name="_11.03">[9]Electric!#REF!</definedName>
    <definedName name="_11.04">[9]Electric!#REF!</definedName>
    <definedName name="_11.05">[9]Electric!#REF!</definedName>
    <definedName name="_11.06">[9]Electric!#REF!</definedName>
    <definedName name="_11.07">[9]Electric!#REF!</definedName>
    <definedName name="_11.08">[9]Electric!#REF!</definedName>
    <definedName name="_11.09">[9]Electric!#REF!</definedName>
    <definedName name="_11.10">[9]Electric!#REF!</definedName>
    <definedName name="_11.11">[9]Electric!#REF!</definedName>
    <definedName name="_11.12">[9]Electric!#REF!</definedName>
    <definedName name="_11.13">[9]Electric!#REF!</definedName>
    <definedName name="_11.14">[9]Electric!#REF!</definedName>
    <definedName name="_11.15">[9]Electric!#REF!</definedName>
    <definedName name="_11.16">[9]Electric!#REF!</definedName>
    <definedName name="_11.17">[9]Electric!#REF!</definedName>
    <definedName name="_11.18">[9]Electric!#REF!</definedName>
    <definedName name="_11.19">[9]Electric!#REF!</definedName>
    <definedName name="_11.20">[9]Electric!#REF!</definedName>
    <definedName name="_11.21">[9]Electric!#REF!</definedName>
    <definedName name="_11.22">[9]Electric!#REF!</definedName>
    <definedName name="_11.23">[9]Electric!#REF!</definedName>
    <definedName name="_11.24">[9]Electric!#REF!</definedName>
    <definedName name="_11.25">[9]Electric!#REF!</definedName>
    <definedName name="_11.26">[9]Electric!#REF!</definedName>
    <definedName name="_11.27">[9]Electric!#REF!</definedName>
    <definedName name="_11.28">[9]Electric!#REF!</definedName>
    <definedName name="_11.29">[9]Electric!#REF!</definedName>
    <definedName name="_11.30">[9]Electric!#REF!</definedName>
    <definedName name="_11.31">[9]Electric!#REF!</definedName>
    <definedName name="_11.32">[9]Electric!#REF!</definedName>
    <definedName name="_11.33">[9]Electric!#REF!</definedName>
    <definedName name="_11.34">[9]Electric!#REF!</definedName>
    <definedName name="_11.35">[9]Electric!#REF!</definedName>
    <definedName name="_11A">[9]Electric!#REF!</definedName>
    <definedName name="_11B">[9]Electric!#REF!</definedName>
    <definedName name="_11C">[9]Electric!#REF!</definedName>
    <definedName name="_11D">[9]Electric!#REF!</definedName>
    <definedName name="_12.01">[9]Electric!#REF!</definedName>
    <definedName name="_12.02">[9]Electric!#REF!</definedName>
    <definedName name="_12.03">[9]Electric!#REF!</definedName>
    <definedName name="_9.01">[9]Gas!#REF!</definedName>
    <definedName name="_9.02">[9]Gas!#REF!</definedName>
    <definedName name="_9.03">[9]Gas!#REF!</definedName>
    <definedName name="_9.04">[9]Gas!#REF!</definedName>
    <definedName name="_9.05">[9]Gas!#REF!</definedName>
    <definedName name="_9.06">[9]Gas!#REF!</definedName>
    <definedName name="_9.07">[9]Gas!#REF!</definedName>
    <definedName name="_9.08">[9]Gas!#REF!</definedName>
    <definedName name="_9.09">[9]Gas!#REF!</definedName>
    <definedName name="_9.10">[9]Gas!#REF!</definedName>
    <definedName name="_9.11">[9]Gas!#REF!</definedName>
    <definedName name="_9.12">[9]Gas!#REF!</definedName>
    <definedName name="_9.13">[9]Gas!#REF!</definedName>
    <definedName name="_9.14">[9]Gas!#REF!</definedName>
    <definedName name="_9.15">[9]Gas!#REF!</definedName>
    <definedName name="_9.16">[9]Gas!#REF!</definedName>
    <definedName name="_9.17">[9]Gas!#REF!</definedName>
    <definedName name="_9.18">[9]Gas!#REF!</definedName>
    <definedName name="_9.19">[9]Gas!#REF!</definedName>
    <definedName name="_9.20">[9]Gas!#REF!</definedName>
    <definedName name="_9.21">[9]Gas!#REF!</definedName>
    <definedName name="_9A">[9]Gas!#REF!</definedName>
    <definedName name="_9B">[9]Gas!#REF!</definedName>
    <definedName name="_9C">[9]Gas!#REF!</definedName>
    <definedName name="_9D">[9]Gas!#REF!</definedName>
    <definedName name="_End">'[35]1.06'!#REF!</definedName>
    <definedName name="_FEDERAL_INCOME_TAX">[9]Electric!#REF!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ACCTS">#REF!</definedName>
    <definedName name="Acq1Plant">'[27]Acquisition Inputs'!$C$8</definedName>
    <definedName name="Acq2Plant">'[27]Acquisition Inputs'!$C$70</definedName>
    <definedName name="afudcrate">#REF!</definedName>
    <definedName name="afudctaxbasis">#REF!</definedName>
    <definedName name="ALLOTHER">#REF!</definedName>
    <definedName name="apeek">#REF!</definedName>
    <definedName name="Apr03AMA">'[36]BS C&amp;L'!#REF!</definedName>
    <definedName name="_Apr04">[33]BS!$U$7:$U$3582</definedName>
    <definedName name="Apr04AMA">[33]BS!$AG$7:$AG$3582</definedName>
    <definedName name="_Apr05">'[35]1.06'!#REF!</definedName>
    <definedName name="Apr05AMA">'[35]1.06'!#REF!</definedName>
    <definedName name="aquila_lookup">'[25]Cabot Gas Replacement'!$B$8:$F$16</definedName>
    <definedName name="Asset_Class_Switch">[22]Assumptions!$D$5</definedName>
    <definedName name="Assume_Percent_Change">#REF!</definedName>
    <definedName name="Aug03AMA">'[36]BS C&amp;L'!#REF!</definedName>
    <definedName name="_Aug04">[33]BS!$Y$7:$Y$3582</definedName>
    <definedName name="Aug04AMA">[33]BS!$AK$7:$AK$3582</definedName>
    <definedName name="_Aug05">'[35]1.06'!#REF!</definedName>
    <definedName name="Aug05AMA">'[35]1.06'!#REF!</definedName>
    <definedName name="augcf">#REF!</definedName>
    <definedName name="augcost">#REF!</definedName>
    <definedName name="Aurora_Prices">"Monthly Price Summary'!$C$4:$H$63"</definedName>
    <definedName name="b" localSheetId="9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19" hidden="1">{#N/A,#N/A,FALSE,"Coversheet";#N/A,#N/A,FALSE,"QA"}</definedName>
    <definedName name="b" hidden="1">{#N/A,#N/A,FALSE,"Coversheet";#N/A,#N/A,FALSE,"QA"}</definedName>
    <definedName name="BADDEBT">#REF!</definedName>
    <definedName name="BASEPER">#REF!</definedName>
    <definedName name="BD">#REF!</definedName>
    <definedName name="BEP">#REF!</definedName>
    <definedName name="BottomRight">#REF!</definedName>
    <definedName name="bpatoggle">#REF!</definedName>
    <definedName name="BRI">#REF!</definedName>
    <definedName name="Button_1">"TradeSummary_Ken_Finicle_List"</definedName>
    <definedName name="Capacity">#REF!</definedName>
    <definedName name="capfact">#REF!</definedName>
    <definedName name="CaseDescription">'[27]Dispatch Cases'!$C$11</definedName>
    <definedName name="CBWorkbookPriority" hidden="1">-2060790043</definedName>
    <definedName name="CCGT_HeatRate">[27]Assumptions!$H$23</definedName>
    <definedName name="CCGTPrice">[27]Assumptions!$H$22</definedName>
    <definedName name="cerarvm">#REF!</definedName>
    <definedName name="CL_RT">#REF!</definedName>
    <definedName name="CL_RT2">'[42]Transp Data'!$A$6:$C$81</definedName>
    <definedName name="clawback">#REF!</definedName>
    <definedName name="close">#REF!</definedName>
    <definedName name="cod">#REF!</definedName>
    <definedName name="COLHOUSE">#REF!</definedName>
    <definedName name="COLXFER">#REF!</definedName>
    <definedName name="CombWC_LineItem">'[35]1.06'!#REF!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[43]Sch_120!#REF!</definedName>
    <definedName name="ContractDate">'[29]Dispatch Cases'!#REF!</definedName>
    <definedName name="Conv_Factor">[43]Sch_120!#REF!</definedName>
    <definedName name="ConversionFactor">[27]Assumptions!$I$65</definedName>
    <definedName name="CONVFACT">#REF!</definedName>
    <definedName name="costofequit">#REF!</definedName>
    <definedName name="CPI">#REF!</definedName>
    <definedName name="cspe_wkly_vect_input">#REF!</definedName>
    <definedName name="cust">#REF!</definedName>
    <definedName name="CUSTDEP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Data">#REF!</definedName>
    <definedName name="data1">#REF!</definedName>
    <definedName name="_xlnm.Database">#REF!</definedName>
    <definedName name="daveisroyescal">#REF!</definedName>
    <definedName name="daviesroyprice">#REF!</definedName>
    <definedName name="debtforce">#REF!</definedName>
    <definedName name="debtperc">#REF!</definedName>
    <definedName name="_Dec03">[34]BS!$T$7:$T$3582</definedName>
    <definedName name="Dec03AMA">[34]BS!$AJ$7:$AJ$3582</definedName>
    <definedName name="_Dec04">[33]BS!$AC$7:$AC$3580</definedName>
    <definedName name="Dec04AMA">[33]BS!$AO$7:$AO$3582</definedName>
    <definedName name="Degree_Days">#REF!</definedName>
    <definedName name="DELETE01" localSheetId="9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19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19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19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19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19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19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19" hidden="1">{#N/A,#N/A,FALSE,"Coversheet";#N/A,#N/A,FALSE,"QA"}</definedName>
    <definedName name="Delete21" hidden="1">{#N/A,#N/A,FALSE,"Coversheet";#N/A,#N/A,FALSE,"QA"}</definedName>
    <definedName name="DEPR_DB">#REF!</definedName>
    <definedName name="DEPRECIATION">#REF!</definedName>
    <definedName name="devfee">#REF!</definedName>
    <definedName name="DF_HeatRate">[27]Assumptions!$L$23</definedName>
    <definedName name="DFIT" localSheetId="9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19" hidden="1">{#N/A,#N/A,FALSE,"Coversheet";#N/A,#N/A,FALSE,"QA"}</definedName>
    <definedName name="DFIT" hidden="1">{#N/A,#N/A,FALSE,"Coversheet";#N/A,#N/A,FALSE,"QA"}</definedName>
    <definedName name="Disc">'[29]Debt Amortization'!#REF!</definedName>
    <definedName name="Discount_for_Revenue_Reqmt">'[24]Assumptions of Purchase'!$B$45</definedName>
    <definedName name="DOCKET">[9]Gas!#REF!</definedName>
    <definedName name="DurPTC">#REF!</definedName>
    <definedName name="Electp1">#REF!</definedName>
    <definedName name="Electp2">#REF!</definedName>
    <definedName name="Electric_Prices">'[31]Monthly Price Summary'!$B$4:$E$27</definedName>
    <definedName name="ElecWC_LineItems">'[35]1.06'!#REF!</definedName>
    <definedName name="ElRBLine">[33]BS!$AQ$7:$AQ$3303</definedName>
    <definedName name="EMPLBENE">#REF!</definedName>
    <definedName name="EndDate">[21]Assumptions!$C$11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strateRES">#REF!</definedName>
    <definedName name="FACTORS">#REF!</definedName>
    <definedName name="Feb03AMA">'[36]BS C&amp;L'!#REF!</definedName>
    <definedName name="_Feb04">[33]BS!$S$7:$S$3582</definedName>
    <definedName name="Feb04AMA">[33]BS!$AE$7:$AE$3582</definedName>
    <definedName name="_Feb05">'[35]1.06'!#REF!</definedName>
    <definedName name="Feb05AMA">'[35]1.06'!#REF!</definedName>
    <definedName name="Fed_Cap_Tax">[19]Inputs!$E$112</definedName>
    <definedName name="FedTaxRate">[20]Assumptions!$C$33</definedName>
    <definedName name="FERCRATE">#REF!</definedName>
    <definedName name="FF">#REF!</definedName>
    <definedName name="FIELDCHRG">#REF!</definedName>
    <definedName name="Final">#REF!</definedName>
    <definedName name="firstptcyr">#REF!</definedName>
    <definedName name="firstyearmonths">#REF!</definedName>
    <definedName name="FIT">[9]Electric!#REF!</definedName>
    <definedName name="fixedtrans">#REF!</definedName>
    <definedName name="fpldebt">#REF!</definedName>
    <definedName name="FPLequit">#REF!</definedName>
    <definedName name="Fuel">#REF!</definedName>
    <definedName name="GasRBLine">[33]BS!$AS$7:$AS$3631</definedName>
    <definedName name="GasWC_LineItem">[33]BS!$AR$7:$AR$3631</definedName>
    <definedName name="GDPIP">#REF!</definedName>
    <definedName name="GeoDate">'[29]Dispatch Cases'!#REF!</definedName>
    <definedName name="gpdip">#REF!</definedName>
    <definedName name="graph">#REF!</definedName>
    <definedName name="HydroCap">#REF!</definedName>
    <definedName name="HydroGen">[29]Dispatch!#REF!</definedName>
    <definedName name="ID_Elec" localSheetId="1">[3]DebtCalc!#REF!</definedName>
    <definedName name="ID_Elec">[2]DebtCalc!#REF!</definedName>
    <definedName name="ID_Gas">[1]DebtCalc!#REF!</definedName>
    <definedName name="IDCRATE">#REF!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TRESEXCH">#REF!</definedName>
    <definedName name="INVPLAN">#REF!</definedName>
    <definedName name="Jan03AMA">'[36]BS C&amp;L'!#REF!</definedName>
    <definedName name="_Jan04">[33]BS!$R$7:$R$3582</definedName>
    <definedName name="Jan04AMA">[33]BS!$AD$7:$AD$3582</definedName>
    <definedName name="_Jan05">'[35]1.06'!#REF!</definedName>
    <definedName name="Jan05AMA">'[35]1.06'!#REF!</definedName>
    <definedName name="Jul03AMA">'[36]BS C&amp;L'!#REF!</definedName>
    <definedName name="_Jul04">[33]BS!$X$7:$X$3582</definedName>
    <definedName name="Jul04AMA">[33]BS!$AJ$7:$AJ$3582</definedName>
    <definedName name="_Jul05">'[35]1.06'!#REF!</definedName>
    <definedName name="Jul05AMA">'[35]1.06'!#REF!</definedName>
    <definedName name="julcf">#REF!</definedName>
    <definedName name="julcost">#REF!</definedName>
    <definedName name="Jun03AMA">'[36]BS C&amp;L'!#REF!</definedName>
    <definedName name="_Jun04">[33]BS!$W$7:$W$3582</definedName>
    <definedName name="Jun04AMA">[33]BS!$AI$7:$AI$3582</definedName>
    <definedName name="_Jun05">'[35]1.06'!#REF!</definedName>
    <definedName name="Jun05AMA">'[35]1.06'!#REF!</definedName>
    <definedName name="KWH1_A">[15]A!#REF!</definedName>
    <definedName name="LABOR">#REF!</definedName>
    <definedName name="Last_Row" localSheetId="9">IF([0]!Values_Entered,Header_Row+'CDA settlement'!Number_of_Payments,Header_Row)</definedName>
    <definedName name="Last_Row" localSheetId="6">IF([0]!Values_Entered,Header_Row+COR!Number_of_Payments,Header_Row)</definedName>
    <definedName name="Last_Row" localSheetId="7">IF([0]!Values_Entered,Header_Row+'Income Tax'!Number_of_Payments,Header_Row)</definedName>
    <definedName name="Last_Row" localSheetId="19">IF([0]!Values_Entered,Header_Row+'Int. Sync'!Number_of_Payments,Header_Row)</definedName>
    <definedName name="Last_Row">IF([0]!Values_Entered,Header_Row+[0]!Number_of_Payments,Header_Row)</definedName>
    <definedName name="LATEPAY">#REF!</definedName>
    <definedName name="Lease_total">'[23]Forecast Adjustment'!#REF!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ST">#REF!</definedName>
    <definedName name="LIST2">#REF!</definedName>
    <definedName name="LoadArray">'[30]Load Source Data'!$C$78:$X$89</definedName>
    <definedName name="LoadGrowthAdder">#REF!</definedName>
    <definedName name="manutaxfit">#REF!</definedName>
    <definedName name="Mar03AMA">'[36]BS C&amp;L'!#REF!</definedName>
    <definedName name="_Mar04">[33]BS!$T$7:$T$3582</definedName>
    <definedName name="Mar04AMA">[33]BS!$AF$7:$AF$3582</definedName>
    <definedName name="_Mar05">'[35]1.06'!#REF!</definedName>
    <definedName name="Mar05AMA">'[35]1.06'!#REF!</definedName>
    <definedName name="May03AMA">'[36]BS C&amp;L'!#REF!</definedName>
    <definedName name="_May04">[33]BS!$V$7:$V$3582</definedName>
    <definedName name="May04AMA">[33]BS!$AH$7:$AH$3582</definedName>
    <definedName name="_May05">'[35]1.06'!#REF!</definedName>
    <definedName name="May05AMA">'[35]1.06'!#REF!</definedName>
    <definedName name="mcnarycost">#REF!</definedName>
    <definedName name="mcnarytoggle">#REF!</definedName>
    <definedName name="median_energy">#REF!</definedName>
    <definedName name="MERGER_COST">[37]Sheet1!$AF$3:$AJ$28</definedName>
    <definedName name="MISCELLANEOUS">#REF!</definedName>
    <definedName name="MonTotalDispatch">[29]Dispatch!#REF!</definedName>
    <definedName name="MT">#REF!</definedName>
    <definedName name="MTD_Format">[40]Mthly!$B$11:$D$11,[40]Mthly!$B$35:$D$35</definedName>
    <definedName name="MustRunGen">[29]Dispatch!#REF!</definedName>
    <definedName name="Mwh">#REF!</definedName>
    <definedName name="_mwh2">#REF!</definedName>
    <definedName name="nameplate">#REF!</definedName>
    <definedName name="NEWCOSTS">#REF!</definedName>
    <definedName name="nonrefundtrans">#REF!</definedName>
    <definedName name="_Nov03">[34]BS!$S$7:$S$3582</definedName>
    <definedName name="Nov03AMA">[34]BS!$AI$7:$AI$3582</definedName>
    <definedName name="_Nov04">[33]BS!$AB$7:$AB$3582</definedName>
    <definedName name="Nov04AMA">[33]BS!$AN$7:$AN$3582</definedName>
    <definedName name="novcf">#REF!</definedName>
    <definedName name="novcost">#REF!</definedName>
    <definedName name="Number_of_Payments" localSheetId="9">MATCH(0.01,End_Bal,-1)+1</definedName>
    <definedName name="Number_of_Payments" localSheetId="6">MATCH(0.01,End_Bal,-1)+1</definedName>
    <definedName name="Number_of_Payments" localSheetId="7">MATCH(0.01,End_Bal,-1)+1</definedName>
    <definedName name="Number_of_Payments" localSheetId="19">MATCH(0.01,End_Bal,-1)+1</definedName>
    <definedName name="Number_of_Payments">MATCH(0.01,End_Bal,-1)+1</definedName>
    <definedName name="numturbines">#REF!</definedName>
    <definedName name="numturbptc">#REF!</definedName>
    <definedName name="NWSales_MWH">[38]DT_A_AMW93!#REF!</definedName>
    <definedName name="OBCLEASE">#REF!</definedName>
    <definedName name="_Oct03">[34]BS!$R$7:$R$3582</definedName>
    <definedName name="Oct03AMA">[34]BS!$AH$7:$AH$3582</definedName>
    <definedName name="_Oct04">[33]BS!$AA$7:$AA$3582</definedName>
    <definedName name="Oct04AMA">[33]BS!$AM$7:$AM$3582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utlookdata">'[39]pivoted data'!$D$3:$Q$90</definedName>
    <definedName name="ox" localSheetId="9" hidden="1">{"SchC2",#N/A,FALSE,"Sch C"}</definedName>
    <definedName name="ox" localSheetId="6" hidden="1">{"SchC2",#N/A,FALSE,"Sch C"}</definedName>
    <definedName name="ox" localSheetId="7" hidden="1">{"SchC2",#N/A,FALSE,"Sch C"}</definedName>
    <definedName name="ox" localSheetId="19" hidden="1">{"SchC2",#N/A,FALSE,"Sch C"}</definedName>
    <definedName name="ox" hidden="1">{"SchC2",#N/A,FALSE,"Sch C"}</definedName>
    <definedName name="_ox1" localSheetId="9" hidden="1">{"SchC3",#N/A,FALSE,"Sch C"}</definedName>
    <definedName name="_ox1" localSheetId="6" hidden="1">{"SchC3",#N/A,FALSE,"Sch C"}</definedName>
    <definedName name="_ox1" localSheetId="7" hidden="1">{"SchC3",#N/A,FALSE,"Sch C"}</definedName>
    <definedName name="_ox1" localSheetId="19" hidden="1">{"SchC3",#N/A,FALSE,"Sch C"}</definedName>
    <definedName name="_ox1" hidden="1">{"SchC3",#N/A,FALSE,"Sch C"}</definedName>
    <definedName name="Page1">#REF!</definedName>
    <definedName name="Page2">#REF!</definedName>
    <definedName name="parasitic">#REF!</definedName>
    <definedName name="parasiticprice">#REF!</definedName>
    <definedName name="peak_new_table">'[26]2008 Extreme Peaks - 080403'!$E$5:$AD$8</definedName>
    <definedName name="peak_table">'[26]Peaks-F01'!$C$5:$E$243</definedName>
    <definedName name="PEBBLE">#REF!</definedName>
    <definedName name="percdebtcov">#REF!</definedName>
    <definedName name="Percent_debt">[19]Inputs!$E$129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[27]Assumptions!$I$56</definedName>
    <definedName name="pretaxequit">#REF!</definedName>
    <definedName name="PreTaxWACC">#REF!</definedName>
    <definedName name="PriceCaseTable">#REF!</definedName>
    <definedName name="Prices_Aurora">'[31]Monthly Price Summary'!$C$4:$H$63</definedName>
    <definedName name="_xlnm.Print_Area" localSheetId="4">'Conv Factor'!$A$1:$G$58</definedName>
    <definedName name="_xlnm.Print_Area" localSheetId="6">COR!$A$1:$L$28</definedName>
    <definedName name="_xlnm.Print_Area" localSheetId="2">'Detail Electric'!$E$11:$X$55</definedName>
    <definedName name="_xlnm.Print_Area" localSheetId="3">'Detail Gas'!$F$11:$X$60</definedName>
    <definedName name="_xlnm.Print_Area" localSheetId="12">Incentive!$A$1:$F$30</definedName>
    <definedName name="_xlnm.Print_Area" localSheetId="19">'Int. Sync'!$A$1:$I$32</definedName>
    <definedName name="_xlnm.Print_Area" localSheetId="8">'King Depr'!$A$1:$M$43</definedName>
    <definedName name="_xlnm.Print_Area" localSheetId="0">'Summary Electric'!$A$1:$I$29</definedName>
    <definedName name="_xlnm.Print_Area" localSheetId="1">'Summary Gas'!$A$1:$I$31</definedName>
    <definedName name="_xlnm.Print_Area">'[11]Sch 2'!$A$1:$D$72</definedName>
    <definedName name="Print_for_Checking">[1]PFRstmtSheet!$A$1:'[1]PFRstmtSheet'!$J$124</definedName>
    <definedName name="_xlnm.Print_Titles" localSheetId="2">'Detail Electric'!$A:$D,'Detail Electric'!$1:$10</definedName>
    <definedName name="_xlnm.Print_Titles" localSheetId="3">'Detail Gas'!$A:$E,'Detail Gas'!$1:$10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ptaxdiscfactor">#REF!</definedName>
    <definedName name="proptaxrate">#REF!</definedName>
    <definedName name="Prov_Cap_Tax">[19]Inputs!$E$111</definedName>
    <definedName name="PSE">[9]Gas!#REF!</definedName>
    <definedName name="PSE_Pre_Tax_Equity_Rate">'[24]Assumptions of Purchase'!$B$42</definedName>
    <definedName name="PSEBPAshare">#REF!</definedName>
    <definedName name="pseownperc">#REF!</definedName>
    <definedName name="PSEWACC">#REF!</definedName>
    <definedName name="PSPL">'[9]Conversion Factor'!#REF!</definedName>
    <definedName name="PTC">#REF!</definedName>
    <definedName name="ptceffective">#REF!</definedName>
    <definedName name="PTCescal">#REF!</definedName>
    <definedName name="ptcescalstart">#REF!</definedName>
    <definedName name="PWRCSTPF">#REF!</definedName>
    <definedName name="PWRCSTRS">#REF!</definedName>
    <definedName name="PWRCSTWP">#REF!</definedName>
    <definedName name="PWRCSTWR">#REF!</definedName>
    <definedName name="QA">[32]IPOA2002!#REF!</definedName>
    <definedName name="QTD_Format">[40]QTD!$B$11:$D$11,[40]QTD!$B$35:$D$35</definedName>
    <definedName name="RATE">#REF!</definedName>
    <definedName name="Rate_Case_Labor">#REF!</definedName>
    <definedName name="RATE2">'[42]Transp Data'!$A$8:$I$112</definedName>
    <definedName name="RATEBASE">#REF!</definedName>
    <definedName name="RATEBASE_U95">#REF!</definedName>
    <definedName name="RATECASE">#REF!</definedName>
    <definedName name="RdSch_CY">'[41]INPUT TAB'!#REF!</definedName>
    <definedName name="RdSch_PY">'[41]INPUT TAB'!#REF!</definedName>
    <definedName name="RdSch_PY2">'[41]INPUT TAB'!#REF!</definedName>
    <definedName name="realproptaxadjust">#REF!</definedName>
    <definedName name="REC">#REF!</definedName>
    <definedName name="regasset">#REF!</definedName>
    <definedName name="_RES2005">#REF!</definedName>
    <definedName name="resdebt">#REF!</definedName>
    <definedName name="resepcdevcost">#REF!</definedName>
    <definedName name="RESequit">#REF!</definedName>
    <definedName name="resource_lookup">'[28]#REF'!$B$3:$C$112</definedName>
    <definedName name="RESTATING">#REF!</definedName>
    <definedName name="Results">#REF!</definedName>
    <definedName name="retain">#REF!</definedName>
    <definedName name="RETIREPLAN">#REF!</definedName>
    <definedName name="REV">#REF!</definedName>
    <definedName name="REVADJ">#REF!</definedName>
    <definedName name="Revenue">#REF!</definedName>
    <definedName name="Revenue_Deficiency">#REF!</definedName>
    <definedName name="REVREQ">#REF!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CH_A">'[11]Sch 1'!$A$1:$E$62</definedName>
    <definedName name="SCH_B">'[14]Sch 1'!$A$1:$D$44</definedName>
    <definedName name="SCH_C">'[11]Sch 2'!$A$1:$D$72</definedName>
    <definedName name="SCH_H">'[11]Sch 3'!$A$1:$F$37</definedName>
    <definedName name="Sch194Rlfwd">'[41]Sch94 Rlfwd'!$B$11</definedName>
    <definedName name="schedtoggle">#REF!</definedName>
    <definedName name="SecSSW_MWH">[38]DT_A_AMW93!#REF!</definedName>
    <definedName name="_Sep03">[34]BS!$Q$7:$Q$3582</definedName>
    <definedName name="Sep03AMA">[34]BS!$AG$7:$AG$3582</definedName>
    <definedName name="_Sep04">[33]BS!$Z$7:$Z$3582</definedName>
    <definedName name="Sep04AMA">[33]BS!$AL$7:$AL$3582</definedName>
    <definedName name="_Sep05">'[35]1.06'!#REF!</definedName>
    <definedName name="sepcf">#REF!</definedName>
    <definedName name="sepcost">#REF!</definedName>
    <definedName name="SKAGIT">#REF!</definedName>
    <definedName name="SLFINSURANCE">#REF!</definedName>
    <definedName name="SolarDate">'[29]Dispatch Cases'!#REF!</definedName>
    <definedName name="STAFFREDUC">#REF!</definedName>
    <definedName name="StartDate">[27]Assumptions!$C$9</definedName>
    <definedName name="stationserv">#REF!</definedName>
    <definedName name="STORM">#REF!</definedName>
    <definedName name="Summary" localSheetId="3">#REF!</definedName>
    <definedName name="Summary" localSheetId="1">#REF!</definedName>
    <definedName name="Summary">#REF!</definedName>
    <definedName name="supentit_in_wkly_vect_input">#REF!</definedName>
    <definedName name="supentit_out_wkly_vect_input">#REF!</definedName>
    <definedName name="SWSales_MWH">[38]DT_A_AMW93!#REF!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EMPADJ">#REF!</definedName>
    <definedName name="TenaskaShare">[29]Dispatch!#REF!</definedName>
    <definedName name="Test">'[35]1.06'!#REF!</definedName>
    <definedName name="TEST0">#REF!</definedName>
    <definedName name="TESTHKEY">#REF!</definedName>
    <definedName name="TESTKEYS">#REF!</definedName>
    <definedName name="TESTVKEY">#REF!</definedName>
    <definedName name="TESTYEAR">[9]Electric!#REF!</definedName>
    <definedName name="Therm_upload">#REF!</definedName>
    <definedName name="ThermalBookLife">[27]Assumptions!$C$25</definedName>
    <definedName name="therms">#REF!</definedName>
    <definedName name="thirdpartyIRR">#REF!</definedName>
    <definedName name="Title">[27]Assumptions!$A$1</definedName>
    <definedName name="today">#REF!</definedName>
    <definedName name="TopLeft">#REF!</definedName>
    <definedName name="totaldebt">#REF!</definedName>
    <definedName name="totalequit">#REF!</definedName>
    <definedName name="TRADING_NET">[38]DT_A_DOL93!#REF!</definedName>
    <definedName name="tran_revenue">#REF!</definedName>
    <definedName name="trans_constraint_y_n">#REF!</definedName>
    <definedName name="transdb">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[27]Assumptions!$C$21</definedName>
    <definedName name="WA_Elec" localSheetId="1">[3]DebtCalc!#REF!</definedName>
    <definedName name="WA_Elec">[2]DebtCalc!#REF!</definedName>
    <definedName name="WA_Gas">[1]DebtCalc!#REF!</definedName>
    <definedName name="WACC">#REF!</definedName>
    <definedName name="WAGES">#REF!</definedName>
    <definedName name="warrantyOM">#REF!</definedName>
    <definedName name="whorn_db">#REF!</definedName>
    <definedName name="WindDate">'[29]Dispatch Cases'!#REF!</definedName>
    <definedName name="WRKCAP">#REF!</definedName>
    <definedName name="wrn.All._.Schedule._.B._.Exhibits." localSheetId="9" hidden="1">{"All Sch B Exhibits",#N/A,FALSE,"Sch B"}</definedName>
    <definedName name="wrn.All._.Schedule._.B._.Exhibits." localSheetId="6" hidden="1">{"All Sch B Exhibits",#N/A,FALSE,"Sch B"}</definedName>
    <definedName name="wrn.All._.Schedule._.B._.Exhibits." localSheetId="7" hidden="1">{"All Sch B Exhibits",#N/A,FALSE,"Sch B"}</definedName>
    <definedName name="wrn.All._.Schedule._.B._.Exhibits." localSheetId="19" hidden="1">{"All Sch B Exhibits",#N/A,FALSE,"Sch B"}</definedName>
    <definedName name="wrn.All._.Schedule._.B._.Exhibits." hidden="1">{"All Sch B Exhibits",#N/A,FALSE,"Sch B"}</definedName>
    <definedName name="wrn.CA._.CIAC._.Wkp." localSheetId="9" hidden="1">{"CA CIAC Forecasted Activity",#N/A,FALSE,"Cust Adv CIAC";"CA CIAC Balances and Amort of CIAC",#N/A,FALSE,"Cust Adv CIAC"}</definedName>
    <definedName name="wrn.CA._.CIAC._.Wkp." localSheetId="6" hidden="1">{"CA CIAC Forecasted Activity",#N/A,FALSE,"Cust Adv CIAC";"CA CIAC Balances and Amort of CIAC",#N/A,FALSE,"Cust Adv CIAC"}</definedName>
    <definedName name="wrn.CA._.CIAC._.Wkp." localSheetId="7" hidden="1">{"CA CIAC Forecasted Activity",#N/A,FALSE,"Cust Adv CIAC";"CA CIAC Balances and Amort of CIAC",#N/A,FALSE,"Cust Adv CIAC"}</definedName>
    <definedName name="wrn.CA._.CIAC._.Wkp." localSheetId="19" hidden="1">{"CA CIAC Forecasted Activity",#N/A,FALSE,"Cust Adv CIAC";"CA CIAC Balances and Amort of CIAC",#N/A,FALSE,"Cust Adv CIAC"}</definedName>
    <definedName name="wrn.CA._.CIAC._.Wkp." hidden="1">{"CA CIAC Forecasted Activity",#N/A,FALSE,"Cust Adv CIAC";"CA CIAC Balances and Amort of CIAC",#N/A,FALSE,"Cust Adv CIAC"}</definedName>
    <definedName name="wrn.COSReport." localSheetId="9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6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7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19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1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9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1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9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19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19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1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chA." localSheetId="9" hidden="1">{"SchA",#N/A,FALSE,"Sch A"}</definedName>
    <definedName name="wrn.SchA." localSheetId="6" hidden="1">{"SchA",#N/A,FALSE,"Sch A"}</definedName>
    <definedName name="wrn.SchA." localSheetId="7" hidden="1">{"SchA",#N/A,FALSE,"Sch A"}</definedName>
    <definedName name="wrn.SchA." localSheetId="19" hidden="1">{"SchA",#N/A,FALSE,"Sch A"}</definedName>
    <definedName name="wrn.SchA." hidden="1">{"SchA",#N/A,FALSE,"Sch A"}</definedName>
    <definedName name="wrn.SchB1." localSheetId="9" hidden="1">{"SchB1",#N/A,FALSE,"Sch B"}</definedName>
    <definedName name="wrn.SchB1." localSheetId="6" hidden="1">{"SchB1",#N/A,FALSE,"Sch B"}</definedName>
    <definedName name="wrn.SchB1." localSheetId="7" hidden="1">{"SchB1",#N/A,FALSE,"Sch B"}</definedName>
    <definedName name="wrn.SchB1." localSheetId="19" hidden="1">{"SchB1",#N/A,FALSE,"Sch B"}</definedName>
    <definedName name="wrn.SchB1." hidden="1">{"SchB1",#N/A,FALSE,"Sch B"}</definedName>
    <definedName name="wrn.SchB2." localSheetId="9" hidden="1">{"SchB2",#N/A,FALSE,"Sch B"}</definedName>
    <definedName name="wrn.SchB2." localSheetId="6" hidden="1">{"SchB2",#N/A,FALSE,"Sch B"}</definedName>
    <definedName name="wrn.SchB2." localSheetId="7" hidden="1">{"SchB2",#N/A,FALSE,"Sch B"}</definedName>
    <definedName name="wrn.SchB2." localSheetId="19" hidden="1">{"SchB2",#N/A,FALSE,"Sch B"}</definedName>
    <definedName name="wrn.SchB2." hidden="1">{"SchB2",#N/A,FALSE,"Sch B"}</definedName>
    <definedName name="wrn.SchB2.1." localSheetId="9" hidden="1">{"SchB2.1",#N/A,FALSE,"Sch B"}</definedName>
    <definedName name="wrn.SchB2.1." localSheetId="6" hidden="1">{"SchB2.1",#N/A,FALSE,"Sch B"}</definedName>
    <definedName name="wrn.SchB2.1." localSheetId="7" hidden="1">{"SchB2.1",#N/A,FALSE,"Sch B"}</definedName>
    <definedName name="wrn.SchB2.1." localSheetId="19" hidden="1">{"SchB2.1",#N/A,FALSE,"Sch B"}</definedName>
    <definedName name="wrn.SchB2.1." hidden="1">{"SchB2.1",#N/A,FALSE,"Sch B"}</definedName>
    <definedName name="wrn.SchB2.2." localSheetId="9" hidden="1">{"SchB2.2",#N/A,FALSE,"Sch B"}</definedName>
    <definedName name="wrn.SchB2.2." localSheetId="6" hidden="1">{"SchB2.2",#N/A,FALSE,"Sch B"}</definedName>
    <definedName name="wrn.SchB2.2." localSheetId="7" hidden="1">{"SchB2.2",#N/A,FALSE,"Sch B"}</definedName>
    <definedName name="wrn.SchB2.2." localSheetId="19" hidden="1">{"SchB2.2",#N/A,FALSE,"Sch B"}</definedName>
    <definedName name="wrn.SchB2.2." hidden="1">{"SchB2.2",#N/A,FALSE,"Sch B"}</definedName>
    <definedName name="wrn.SchB2.3." localSheetId="9" hidden="1">{"SchB2.3",#N/A,FALSE,"Sch B"}</definedName>
    <definedName name="wrn.SchB2.3." localSheetId="6" hidden="1">{"SchB2.3",#N/A,FALSE,"Sch B"}</definedName>
    <definedName name="wrn.SchB2.3." localSheetId="7" hidden="1">{"SchB2.3",#N/A,FALSE,"Sch B"}</definedName>
    <definedName name="wrn.SchB2.3." localSheetId="19" hidden="1">{"SchB2.3",#N/A,FALSE,"Sch B"}</definedName>
    <definedName name="wrn.SchB2.3." hidden="1">{"SchB2.3",#N/A,FALSE,"Sch B"}</definedName>
    <definedName name="wrn.SchB2.4." localSheetId="9" hidden="1">{"Schb2.4",#N/A,FALSE,"Sch B"}</definedName>
    <definedName name="wrn.SchB2.4." localSheetId="6" hidden="1">{"Schb2.4",#N/A,FALSE,"Sch B"}</definedName>
    <definedName name="wrn.SchB2.4." localSheetId="7" hidden="1">{"Schb2.4",#N/A,FALSE,"Sch B"}</definedName>
    <definedName name="wrn.SchB2.4." localSheetId="19" hidden="1">{"Schb2.4",#N/A,FALSE,"Sch B"}</definedName>
    <definedName name="wrn.SchB2.4." hidden="1">{"Schb2.4",#N/A,FALSE,"Sch B"}</definedName>
    <definedName name="wrn.SchB2.5." localSheetId="9" hidden="1">{"SchB2.5",#N/A,FALSE,"Sch B"}</definedName>
    <definedName name="wrn.SchB2.5." localSheetId="6" hidden="1">{"SchB2.5",#N/A,FALSE,"Sch B"}</definedName>
    <definedName name="wrn.SchB2.5." localSheetId="7" hidden="1">{"SchB2.5",#N/A,FALSE,"Sch B"}</definedName>
    <definedName name="wrn.SchB2.5." localSheetId="19" hidden="1">{"SchB2.5",#N/A,FALSE,"Sch B"}</definedName>
    <definedName name="wrn.SchB2.5." hidden="1">{"SchB2.5",#N/A,FALSE,"Sch B"}</definedName>
    <definedName name="wrn.SchB2.6." localSheetId="9" hidden="1">{"SchB2.6",#N/A,FALSE,"Sch B"}</definedName>
    <definedName name="wrn.SchB2.6." localSheetId="6" hidden="1">{"SchB2.6",#N/A,FALSE,"Sch B"}</definedName>
    <definedName name="wrn.SchB2.6." localSheetId="7" hidden="1">{"SchB2.6",#N/A,FALSE,"Sch B"}</definedName>
    <definedName name="wrn.SchB2.6." localSheetId="19" hidden="1">{"SchB2.6",#N/A,FALSE,"Sch B"}</definedName>
    <definedName name="wrn.SchB2.6." hidden="1">{"SchB2.6",#N/A,FALSE,"Sch B"}</definedName>
    <definedName name="wrn.SchB2.7." localSheetId="9" hidden="1">{"SchB2.7",#N/A,FALSE,"Sch B"}</definedName>
    <definedName name="wrn.SchB2.7." localSheetId="6" hidden="1">{"SchB2.7",#N/A,FALSE,"Sch B"}</definedName>
    <definedName name="wrn.SchB2.7." localSheetId="7" hidden="1">{"SchB2.7",#N/A,FALSE,"Sch B"}</definedName>
    <definedName name="wrn.SchB2.7." localSheetId="19" hidden="1">{"SchB2.7",#N/A,FALSE,"Sch B"}</definedName>
    <definedName name="wrn.SchB2.7." hidden="1">{"SchB2.7",#N/A,FALSE,"Sch B"}</definedName>
    <definedName name="wrn.SchB3." localSheetId="9" hidden="1">{"SchB3",#N/A,FALSE,"Sch B"}</definedName>
    <definedName name="wrn.SchB3." localSheetId="6" hidden="1">{"SchB3",#N/A,FALSE,"Sch B"}</definedName>
    <definedName name="wrn.SchB3." localSheetId="7" hidden="1">{"SchB3",#N/A,FALSE,"Sch B"}</definedName>
    <definedName name="wrn.SchB3." localSheetId="19" hidden="1">{"SchB3",#N/A,FALSE,"Sch B"}</definedName>
    <definedName name="wrn.SchB3." hidden="1">{"SchB3",#N/A,FALSE,"Sch B"}</definedName>
    <definedName name="wrn.SchB3.1." localSheetId="9" hidden="1">{"SchB3.1",#N/A,FALSE,"Sch B"}</definedName>
    <definedName name="wrn.SchB3.1." localSheetId="6" hidden="1">{"SchB3.1",#N/A,FALSE,"Sch B"}</definedName>
    <definedName name="wrn.SchB3.1." localSheetId="7" hidden="1">{"SchB3.1",#N/A,FALSE,"Sch B"}</definedName>
    <definedName name="wrn.SchB3.1." localSheetId="19" hidden="1">{"SchB3.1",#N/A,FALSE,"Sch B"}</definedName>
    <definedName name="wrn.SchB3.1." hidden="1">{"SchB3.1",#N/A,FALSE,"Sch B"}</definedName>
    <definedName name="wrn.SchB3.2." localSheetId="9" hidden="1">{"SchB3.2",#N/A,FALSE,"Sch B"}</definedName>
    <definedName name="wrn.SchB3.2." localSheetId="6" hidden="1">{"SchB3.2",#N/A,FALSE,"Sch B"}</definedName>
    <definedName name="wrn.SchB3.2." localSheetId="7" hidden="1">{"SchB3.2",#N/A,FALSE,"Sch B"}</definedName>
    <definedName name="wrn.SchB3.2." localSheetId="19" hidden="1">{"SchB3.2",#N/A,FALSE,"Sch B"}</definedName>
    <definedName name="wrn.SchB3.2." hidden="1">{"SchB3.2",#N/A,FALSE,"Sch B"}</definedName>
    <definedName name="wrn.SchB4." localSheetId="9" hidden="1">{"SchB4",#N/A,FALSE,"Sch B"}</definedName>
    <definedName name="wrn.SchB4." localSheetId="6" hidden="1">{"SchB4",#N/A,FALSE,"Sch B"}</definedName>
    <definedName name="wrn.SchB4." localSheetId="7" hidden="1">{"SchB4",#N/A,FALSE,"Sch B"}</definedName>
    <definedName name="wrn.SchB4." localSheetId="19" hidden="1">{"SchB4",#N/A,FALSE,"Sch B"}</definedName>
    <definedName name="wrn.SchB4." hidden="1">{"SchB4",#N/A,FALSE,"Sch B"}</definedName>
    <definedName name="wrn.SchB4.1." localSheetId="9" hidden="1">{"SchB4.1",#N/A,FALSE,"Sch B"}</definedName>
    <definedName name="wrn.SchB4.1." localSheetId="6" hidden="1">{"SchB4.1",#N/A,FALSE,"Sch B"}</definedName>
    <definedName name="wrn.SchB4.1." localSheetId="7" hidden="1">{"SchB4.1",#N/A,FALSE,"Sch B"}</definedName>
    <definedName name="wrn.SchB4.1." localSheetId="19" hidden="1">{"SchB4.1",#N/A,FALSE,"Sch B"}</definedName>
    <definedName name="wrn.SchB4.1." hidden="1">{"SchB4.1",#N/A,FALSE,"Sch B"}</definedName>
    <definedName name="wrn.SchB5." localSheetId="9" hidden="1">{"SchB5",#N/A,FALSE,"Sch B"}</definedName>
    <definedName name="wrn.SchB5." localSheetId="6" hidden="1">{"SchB5",#N/A,FALSE,"Sch B"}</definedName>
    <definedName name="wrn.SchB5." localSheetId="7" hidden="1">{"SchB5",#N/A,FALSE,"Sch B"}</definedName>
    <definedName name="wrn.SchB5." localSheetId="19" hidden="1">{"SchB5",#N/A,FALSE,"Sch B"}</definedName>
    <definedName name="wrn.SchB5." hidden="1">{"SchB5",#N/A,FALSE,"Sch B"}</definedName>
    <definedName name="wrn.SchB5.1." localSheetId="9" hidden="1">{"SchB5.1",#N/A,FALSE,"Sch B"}</definedName>
    <definedName name="wrn.SchB5.1." localSheetId="6" hidden="1">{"SchB5.1",#N/A,FALSE,"Sch B"}</definedName>
    <definedName name="wrn.SchB5.1." localSheetId="7" hidden="1">{"SchB5.1",#N/A,FALSE,"Sch B"}</definedName>
    <definedName name="wrn.SchB5.1." localSheetId="19" hidden="1">{"SchB5.1",#N/A,FALSE,"Sch B"}</definedName>
    <definedName name="wrn.SchB5.1." hidden="1">{"SchB5.1",#N/A,FALSE,"Sch B"}</definedName>
    <definedName name="wrn.SchB5.2." localSheetId="9" hidden="1">{"SchB5.2",#N/A,FALSE,"Sch B"}</definedName>
    <definedName name="wrn.SchB5.2." localSheetId="6" hidden="1">{"SchB5.2",#N/A,FALSE,"Sch B"}</definedName>
    <definedName name="wrn.SchB5.2." localSheetId="7" hidden="1">{"SchB5.2",#N/A,FALSE,"Sch B"}</definedName>
    <definedName name="wrn.SchB5.2." localSheetId="19" hidden="1">{"SchB5.2",#N/A,FALSE,"Sch B"}</definedName>
    <definedName name="wrn.SchB5.2." hidden="1">{"SchB5.2",#N/A,FALSE,"Sch B"}</definedName>
    <definedName name="wrn.SchB6." localSheetId="9" hidden="1">{"SchB6",#N/A,FALSE,"Sch B"}</definedName>
    <definedName name="wrn.SchB6." localSheetId="6" hidden="1">{"SchB6",#N/A,FALSE,"Sch B"}</definedName>
    <definedName name="wrn.SchB6." localSheetId="7" hidden="1">{"SchB6",#N/A,FALSE,"Sch B"}</definedName>
    <definedName name="wrn.SchB6." localSheetId="19" hidden="1">{"SchB6",#N/A,FALSE,"Sch B"}</definedName>
    <definedName name="wrn.SchB6." hidden="1">{"SchB6",#N/A,FALSE,"Sch B"}</definedName>
    <definedName name="wrn.SchB7." localSheetId="9" hidden="1">{"SchB7",#N/A,FALSE,"Sch B"}</definedName>
    <definedName name="wrn.SchB7." localSheetId="6" hidden="1">{"SchB7",#N/A,FALSE,"Sch B"}</definedName>
    <definedName name="wrn.SchB7." localSheetId="7" hidden="1">{"SchB7",#N/A,FALSE,"Sch B"}</definedName>
    <definedName name="wrn.SchB7." localSheetId="19" hidden="1">{"SchB7",#N/A,FALSE,"Sch B"}</definedName>
    <definedName name="wrn.SchB7." hidden="1">{"SchB7",#N/A,FALSE,"Sch B"}</definedName>
    <definedName name="wrn.SchB7.1." localSheetId="9" hidden="1">{"SchB7.1",#N/A,FALSE,"Sch B"}</definedName>
    <definedName name="wrn.SchB7.1." localSheetId="6" hidden="1">{"SchB7.1",#N/A,FALSE,"Sch B"}</definedName>
    <definedName name="wrn.SchB7.1." localSheetId="7" hidden="1">{"SchB7.1",#N/A,FALSE,"Sch B"}</definedName>
    <definedName name="wrn.SchB7.1." localSheetId="19" hidden="1">{"SchB7.1",#N/A,FALSE,"Sch B"}</definedName>
    <definedName name="wrn.SchB7.1." hidden="1">{"SchB7.1",#N/A,FALSE,"Sch B"}</definedName>
    <definedName name="wrn.SchB7.2." localSheetId="9" hidden="1">{"SchB7.2",#N/A,FALSE,"Sch B"}</definedName>
    <definedName name="wrn.SchB7.2." localSheetId="6" hidden="1">{"SchB7.2",#N/A,FALSE,"Sch B"}</definedName>
    <definedName name="wrn.SchB7.2." localSheetId="7" hidden="1">{"SchB7.2",#N/A,FALSE,"Sch B"}</definedName>
    <definedName name="wrn.SchB7.2." localSheetId="19" hidden="1">{"SchB7.2",#N/A,FALSE,"Sch B"}</definedName>
    <definedName name="wrn.SchB7.2." hidden="1">{"SchB7.2",#N/A,FALSE,"Sch B"}</definedName>
    <definedName name="wrn.SchB8." localSheetId="9" hidden="1">{"SchB8",#N/A,FALSE,"Sch B"}</definedName>
    <definedName name="wrn.SchB8." localSheetId="6" hidden="1">{"SchB8",#N/A,FALSE,"Sch B"}</definedName>
    <definedName name="wrn.SchB8." localSheetId="7" hidden="1">{"SchB8",#N/A,FALSE,"Sch B"}</definedName>
    <definedName name="wrn.SchB8." localSheetId="19" hidden="1">{"SchB8",#N/A,FALSE,"Sch B"}</definedName>
    <definedName name="wrn.SchB8." hidden="1">{"SchB8",#N/A,FALSE,"Sch B"}</definedName>
    <definedName name="wrn.SchC." localSheetId="9" hidden="1">{"SchC1",#N/A,FALSE,"Sch C";"SchC2",#N/A,FALSE,"Sch C";"SchC3",#N/A,FALSE,"Sch C"}</definedName>
    <definedName name="wrn.SchC." localSheetId="6" hidden="1">{"SchC1",#N/A,FALSE,"Sch C";"SchC2",#N/A,FALSE,"Sch C";"SchC3",#N/A,FALSE,"Sch C"}</definedName>
    <definedName name="wrn.SchC." localSheetId="7" hidden="1">{"SchC1",#N/A,FALSE,"Sch C";"SchC2",#N/A,FALSE,"Sch C";"SchC3",#N/A,FALSE,"Sch C"}</definedName>
    <definedName name="wrn.SchC." localSheetId="19" hidden="1">{"SchC1",#N/A,FALSE,"Sch C";"SchC2",#N/A,FALSE,"Sch C";"SchC3",#N/A,FALSE,"Sch C"}</definedName>
    <definedName name="wrn.SchC." hidden="1">{"SchC1",#N/A,FALSE,"Sch C";"SchC2",#N/A,FALSE,"Sch C";"SchC3",#N/A,FALSE,"Sch C"}</definedName>
    <definedName name="wrn.SchC1." localSheetId="9" hidden="1">{"SchC1",#N/A,FALSE,"Sch C"}</definedName>
    <definedName name="wrn.SchC1." localSheetId="6" hidden="1">{"SchC1",#N/A,FALSE,"Sch C"}</definedName>
    <definedName name="wrn.SchC1." localSheetId="7" hidden="1">{"SchC1",#N/A,FALSE,"Sch C"}</definedName>
    <definedName name="wrn.SchC1." localSheetId="19" hidden="1">{"SchC1",#N/A,FALSE,"Sch C"}</definedName>
    <definedName name="wrn.SchC1." hidden="1">{"SchC1",#N/A,FALSE,"Sch C"}</definedName>
    <definedName name="wrn.SchC2." localSheetId="9" hidden="1">{"SchC2",#N/A,FALSE,"Sch C"}</definedName>
    <definedName name="wrn.SchC2." localSheetId="6" hidden="1">{"SchC2",#N/A,FALSE,"Sch C"}</definedName>
    <definedName name="wrn.SchC2." localSheetId="7" hidden="1">{"SchC2",#N/A,FALSE,"Sch C"}</definedName>
    <definedName name="wrn.SchC2." localSheetId="19" hidden="1">{"SchC2",#N/A,FALSE,"Sch C"}</definedName>
    <definedName name="wrn.SchC2." hidden="1">{"SchC2",#N/A,FALSE,"Sch C"}</definedName>
    <definedName name="wrn.SchC3." localSheetId="9" hidden="1">{"SchC3",#N/A,FALSE,"Sch C"}</definedName>
    <definedName name="wrn.SchC3." localSheetId="6" hidden="1">{"SchC3",#N/A,FALSE,"Sch C"}</definedName>
    <definedName name="wrn.SchC3." localSheetId="7" hidden="1">{"SchC3",#N/A,FALSE,"Sch C"}</definedName>
    <definedName name="wrn.SchC3." localSheetId="19" hidden="1">{"SchC3",#N/A,FALSE,"Sch C"}</definedName>
    <definedName name="wrn.SchC3." hidden="1">{"SchC3",#N/A,FALSE,"Sch C"}</definedName>
    <definedName name="wrn.SchD." localSheetId="9" hidden="1">{"SchD1",#N/A,FALSE,"Sch D";"SchD2",#N/A,FALSE,"Sch D";"SchD3",#N/A,FALSE,"Sch D";"SchD4",#N/A,FALSE,"Sch D";"SchD5",#N/A,FALSE,"Sch D"}</definedName>
    <definedName name="wrn.SchD." localSheetId="6" hidden="1">{"SchD1",#N/A,FALSE,"Sch D";"SchD2",#N/A,FALSE,"Sch D";"SchD3",#N/A,FALSE,"Sch D";"SchD4",#N/A,FALSE,"Sch D";"SchD5",#N/A,FALSE,"Sch D"}</definedName>
    <definedName name="wrn.SchD." localSheetId="7" hidden="1">{"SchD1",#N/A,FALSE,"Sch D";"SchD2",#N/A,FALSE,"Sch D";"SchD3",#N/A,FALSE,"Sch D";"SchD4",#N/A,FALSE,"Sch D";"SchD5",#N/A,FALSE,"Sch D"}</definedName>
    <definedName name="wrn.SchD." localSheetId="19" hidden="1">{"SchD1",#N/A,FALSE,"Sch D";"SchD2",#N/A,FALSE,"Sch D";"SchD3",#N/A,FALSE,"Sch D";"SchD4",#N/A,FALSE,"Sch D";"SchD5",#N/A,FALSE,"Sch D"}</definedName>
    <definedName name="wrn.SchD." hidden="1">{"SchD1",#N/A,FALSE,"Sch D";"SchD2",#N/A,FALSE,"Sch D";"SchD3",#N/A,FALSE,"Sch D";"SchD4",#N/A,FALSE,"Sch D";"SchD5",#N/A,FALSE,"Sch D"}</definedName>
    <definedName name="wrn.SchD1." localSheetId="9" hidden="1">{"SchD1",#N/A,FALSE,"Sch D"}</definedName>
    <definedName name="wrn.SchD1." localSheetId="6" hidden="1">{"SchD1",#N/A,FALSE,"Sch D"}</definedName>
    <definedName name="wrn.SchD1." localSheetId="7" hidden="1">{"SchD1",#N/A,FALSE,"Sch D"}</definedName>
    <definedName name="wrn.SchD1." localSheetId="19" hidden="1">{"SchD1",#N/A,FALSE,"Sch D"}</definedName>
    <definedName name="wrn.SchD1." hidden="1">{"SchD1",#N/A,FALSE,"Sch D"}</definedName>
    <definedName name="wrn.SchD2." localSheetId="9" hidden="1">{"SchD2",#N/A,FALSE,"Sch D"}</definedName>
    <definedName name="wrn.SchD2." localSheetId="6" hidden="1">{"SchD2",#N/A,FALSE,"Sch D"}</definedName>
    <definedName name="wrn.SchD2." localSheetId="7" hidden="1">{"SchD2",#N/A,FALSE,"Sch D"}</definedName>
    <definedName name="wrn.SchD2." localSheetId="19" hidden="1">{"SchD2",#N/A,FALSE,"Sch D"}</definedName>
    <definedName name="wrn.SchD2." hidden="1">{"SchD2",#N/A,FALSE,"Sch D"}</definedName>
    <definedName name="wrn.SchD3." localSheetId="9" hidden="1">{"SchD3",#N/A,FALSE,"Sch D"}</definedName>
    <definedName name="wrn.SchD3." localSheetId="6" hidden="1">{"SchD3",#N/A,FALSE,"Sch D"}</definedName>
    <definedName name="wrn.SchD3." localSheetId="7" hidden="1">{"SchD3",#N/A,FALSE,"Sch D"}</definedName>
    <definedName name="wrn.SchD3." localSheetId="19" hidden="1">{"SchD3",#N/A,FALSE,"Sch D"}</definedName>
    <definedName name="wrn.SchD3." hidden="1">{"SchD3",#N/A,FALSE,"Sch D"}</definedName>
    <definedName name="wrn.SchD4." localSheetId="9" hidden="1">{"SchD4",#N/A,FALSE,"Sch D"}</definedName>
    <definedName name="wrn.SchD4." localSheetId="6" hidden="1">{"SchD4",#N/A,FALSE,"Sch D"}</definedName>
    <definedName name="wrn.SchD4." localSheetId="7" hidden="1">{"SchD4",#N/A,FALSE,"Sch D"}</definedName>
    <definedName name="wrn.SchD4." localSheetId="19" hidden="1">{"SchD4",#N/A,FALSE,"Sch D"}</definedName>
    <definedName name="wrn.SchD4." hidden="1">{"SchD4",#N/A,FALSE,"Sch D"}</definedName>
    <definedName name="wrn.SchD5." localSheetId="9" hidden="1">{"SchD5",#N/A,FALSE,"Sch D"}</definedName>
    <definedName name="wrn.SchD5." localSheetId="6" hidden="1">{"SchD5",#N/A,FALSE,"Sch D"}</definedName>
    <definedName name="wrn.SchD5." localSheetId="7" hidden="1">{"SchD5",#N/A,FALSE,"Sch D"}</definedName>
    <definedName name="wrn.SchD5." localSheetId="19" hidden="1">{"SchD5",#N/A,FALSE,"Sch D"}</definedName>
    <definedName name="wrn.SchD5." hidden="1">{"SchD5",#N/A,FALSE,"Sch D"}</definedName>
    <definedName name="wrn.SchE." localSheetId="9" hidden="1">{"SchE1.1",#N/A,FALSE,"Sch E";"SchE1.2",#N/A,FALSE,"Sch E";"SchE1.3",#N/A,FALSE,"Sch E";"SchE1.4",#N/A,FALSE,"Sch E";"SchE1.5",#N/A,FALSE,"Sch E";"SchE2",#N/A,FALSE,"Sch E"}</definedName>
    <definedName name="wrn.SchE." localSheetId="6" hidden="1">{"SchE1.1",#N/A,FALSE,"Sch E";"SchE1.2",#N/A,FALSE,"Sch E";"SchE1.3",#N/A,FALSE,"Sch E";"SchE1.4",#N/A,FALSE,"Sch E";"SchE1.5",#N/A,FALSE,"Sch E";"SchE2",#N/A,FALSE,"Sch E"}</definedName>
    <definedName name="wrn.SchE." localSheetId="7" hidden="1">{"SchE1.1",#N/A,FALSE,"Sch E";"SchE1.2",#N/A,FALSE,"Sch E";"SchE1.3",#N/A,FALSE,"Sch E";"SchE1.4",#N/A,FALSE,"Sch E";"SchE1.5",#N/A,FALSE,"Sch E";"SchE2",#N/A,FALSE,"Sch E"}</definedName>
    <definedName name="wrn.SchE." localSheetId="19" hidden="1">{"SchE1.1",#N/A,FALSE,"Sch E";"SchE1.2",#N/A,FALSE,"Sch E";"SchE1.3",#N/A,FALSE,"Sch E";"SchE1.4",#N/A,FALSE,"Sch E";"SchE1.5",#N/A,FALSE,"Sch E";"SchE2",#N/A,FALSE,"Sch E"}</definedName>
    <definedName name="wrn.SchE." hidden="1">{"SchE1.1",#N/A,FALSE,"Sch E";"SchE1.2",#N/A,FALSE,"Sch E";"SchE1.3",#N/A,FALSE,"Sch E";"SchE1.4",#N/A,FALSE,"Sch E";"SchE1.5",#N/A,FALSE,"Sch E";"SchE2",#N/A,FALSE,"Sch E"}</definedName>
    <definedName name="wrn.SchE1.1." localSheetId="9" hidden="1">{"SchE1.1",#N/A,FALSE,"Sch E"}</definedName>
    <definedName name="wrn.SchE1.1." localSheetId="6" hidden="1">{"SchE1.1",#N/A,FALSE,"Sch E"}</definedName>
    <definedName name="wrn.SchE1.1." localSheetId="7" hidden="1">{"SchE1.1",#N/A,FALSE,"Sch E"}</definedName>
    <definedName name="wrn.SchE1.1." localSheetId="19" hidden="1">{"SchE1.1",#N/A,FALSE,"Sch E"}</definedName>
    <definedName name="wrn.SchE1.1." hidden="1">{"SchE1.1",#N/A,FALSE,"Sch E"}</definedName>
    <definedName name="wrn.SchE1.2." localSheetId="9" hidden="1">{"SchE1.2",#N/A,FALSE,"Sch E"}</definedName>
    <definedName name="wrn.SchE1.2." localSheetId="6" hidden="1">{"SchE1.2",#N/A,FALSE,"Sch E"}</definedName>
    <definedName name="wrn.SchE1.2." localSheetId="7" hidden="1">{"SchE1.2",#N/A,FALSE,"Sch E"}</definedName>
    <definedName name="wrn.SchE1.2." localSheetId="19" hidden="1">{"SchE1.2",#N/A,FALSE,"Sch E"}</definedName>
    <definedName name="wrn.SchE1.2." hidden="1">{"SchE1.2",#N/A,FALSE,"Sch E"}</definedName>
    <definedName name="wrn.SchE1.3." localSheetId="9" hidden="1">{"SchE1.3",#N/A,FALSE,"Sch E"}</definedName>
    <definedName name="wrn.SchE1.3." localSheetId="6" hidden="1">{"SchE1.3",#N/A,FALSE,"Sch E"}</definedName>
    <definedName name="wrn.SchE1.3." localSheetId="7" hidden="1">{"SchE1.3",#N/A,FALSE,"Sch E"}</definedName>
    <definedName name="wrn.SchE1.3." localSheetId="19" hidden="1">{"SchE1.3",#N/A,FALSE,"Sch E"}</definedName>
    <definedName name="wrn.SchE1.3." hidden="1">{"SchE1.3",#N/A,FALSE,"Sch E"}</definedName>
    <definedName name="wrn.SchE1.4." localSheetId="9" hidden="1">{"SchE1.4",#N/A,FALSE,"Sch E"}</definedName>
    <definedName name="wrn.SchE1.4." localSheetId="6" hidden="1">{"SchE1.4",#N/A,FALSE,"Sch E"}</definedName>
    <definedName name="wrn.SchE1.4." localSheetId="7" hidden="1">{"SchE1.4",#N/A,FALSE,"Sch E"}</definedName>
    <definedName name="wrn.SchE1.4." localSheetId="19" hidden="1">{"SchE1.4",#N/A,FALSE,"Sch E"}</definedName>
    <definedName name="wrn.SchE1.4." hidden="1">{"SchE1.4",#N/A,FALSE,"Sch E"}</definedName>
    <definedName name="wrn.SchE1.5." localSheetId="9" hidden="1">{"SchE1.5",#N/A,FALSE,"Sch E"}</definedName>
    <definedName name="wrn.SchE1.5." localSheetId="6" hidden="1">{"SchE1.5",#N/A,FALSE,"Sch E"}</definedName>
    <definedName name="wrn.SchE1.5." localSheetId="7" hidden="1">{"SchE1.5",#N/A,FALSE,"Sch E"}</definedName>
    <definedName name="wrn.SchE1.5." localSheetId="19" hidden="1">{"SchE1.5",#N/A,FALSE,"Sch E"}</definedName>
    <definedName name="wrn.SchE1.5." hidden="1">{"SchE1.5",#N/A,FALSE,"Sch E"}</definedName>
    <definedName name="wrn.SchE2." localSheetId="9" hidden="1">{"SchE2",#N/A,FALSE,"Sch E"}</definedName>
    <definedName name="wrn.SchE2." localSheetId="6" hidden="1">{"SchE2",#N/A,FALSE,"Sch E"}</definedName>
    <definedName name="wrn.SchE2." localSheetId="7" hidden="1">{"SchE2",#N/A,FALSE,"Sch E"}</definedName>
    <definedName name="wrn.SchE2." localSheetId="19" hidden="1">{"SchE2",#N/A,FALSE,"Sch E"}</definedName>
    <definedName name="wrn.SchE2." hidden="1">{"SchE2",#N/A,FALSE,"Sch E"}</definedName>
    <definedName name="wrn.SchH." localSheetId="9" hidden="1">{"SchH",#N/A,FALSE,"Sch H"}</definedName>
    <definedName name="wrn.SchH." localSheetId="6" hidden="1">{"SchH",#N/A,FALSE,"Sch H"}</definedName>
    <definedName name="wrn.SchH." localSheetId="7" hidden="1">{"SchH",#N/A,FALSE,"Sch H"}</definedName>
    <definedName name="wrn.SchH." localSheetId="19" hidden="1">{"SchH",#N/A,FALSE,"Sch H"}</definedName>
    <definedName name="wrn.SchH." hidden="1">{"SchH",#N/A,FALSE,"Sch H"}</definedName>
    <definedName name="wrn.Small._.Tools._.Overhead." localSheetId="9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19" hidden="1">{#N/A,#N/A,FALSE,"2002 Small Tool OH";#N/A,#N/A,FALSE,"QA"}</definedName>
    <definedName name="wrn.Small._.Tools._.Overhead." hidden="1">{#N/A,#N/A,FALSE,"2002 Small Tool OH";#N/A,#N/A,FALSE,"QA"}</definedName>
    <definedName name="WUTC_FILING_FEE">[9]Gas!#REF!</definedName>
    <definedName name="wwp_wkly_vect_input">#REF!</definedName>
    <definedName name="Years_evaluated">'[18]Revison Inputs'!$B$6</definedName>
    <definedName name="YTD_Format">[40]YTD!$B$13:$D$13,[40]YTD!$B$36:$D$36</definedName>
    <definedName name="Z_5BE913A1_B14F_11D2_B0DC_0000832CDFF0_.wvu.Cols" localSheetId="3" hidden="1">'Detail Gas'!$F:$F</definedName>
    <definedName name="Z_5BE913A1_B14F_11D2_B0DC_0000832CDFF0_.wvu.PrintArea" localSheetId="3" hidden="1">'Detail Gas'!$F$11:$F$51</definedName>
    <definedName name="Z_5BE913A1_B14F_11D2_B0DC_0000832CDFF0_.wvu.PrintTitles" localSheetId="3" hidden="1">'Detail Gas'!$A:$E,'Detail Gas'!$1:$10</definedName>
    <definedName name="Z_6E1B8C45_B07F_11D2_B0DC_0000832CDFF0_.wvu.Cols" localSheetId="2" hidden="1">'Detail Electric'!#REF!,'Detail Electric'!$E:$E</definedName>
    <definedName name="Z_6E1B8C45_B07F_11D2_B0DC_0000832CDFF0_.wvu.PrintArea" localSheetId="2" hidden="1">'Detail Electric'!#REF!</definedName>
    <definedName name="Z_6E1B8C45_B07F_11D2_B0DC_0000832CDFF0_.wvu.PrintTitles" localSheetId="2" hidden="1">'Detail Electric'!$A:$D,'Detail Electric'!$1:$10</definedName>
    <definedName name="Z_A15D1962_B049_11D2_8670_0000832CEEE8_.wvu.Cols" localSheetId="2" hidden="1">'Detail Electric'!$E:$E</definedName>
    <definedName name="Z_A15D1964_B049_11D2_8670_0000832CEEE8_.wvu.Cols" localSheetId="3" hidden="1">'Detail Gas'!$F:$F</definedName>
    <definedName name="Z_A15D1964_B049_11D2_8670_0000832CEEE8_.wvu.PrintArea" localSheetId="3" hidden="1">'Detail Gas'!$F$11:$F$51</definedName>
    <definedName name="Z_A15D1964_B049_11D2_8670_0000832CEEE8_.wvu.PrintTitles" localSheetId="3" hidden="1">'Detail Gas'!$A:$E,'Detail Gas'!$1:$10</definedName>
    <definedName name="zilfpldebtperc">#REF!</definedName>
    <definedName name="zilkhaepcdevcost">#REF!</definedName>
    <definedName name="zilkhaownperc">#REF!</definedName>
  </definedNames>
  <calcPr calcId="125725" fullCalcOnLoad="1"/>
</workbook>
</file>

<file path=xl/calcChain.xml><?xml version="1.0" encoding="utf-8"?>
<calcChain xmlns="http://schemas.openxmlformats.org/spreadsheetml/2006/main">
  <c r="E22" i="20"/>
  <c r="D15" i="15"/>
  <c r="C15"/>
  <c r="E15"/>
  <c r="D16"/>
  <c r="C16"/>
  <c r="E16"/>
  <c r="D15" i="16"/>
  <c r="C15"/>
  <c r="E15"/>
  <c r="E17"/>
  <c r="D16"/>
  <c r="C16"/>
  <c r="E16"/>
  <c r="D19" i="15"/>
  <c r="C19"/>
  <c r="E19"/>
  <c r="K23" i="1"/>
  <c r="V23"/>
  <c r="X23" s="1"/>
  <c r="D20" i="15"/>
  <c r="C20"/>
  <c r="E20"/>
  <c r="K24" i="1"/>
  <c r="V24"/>
  <c r="X24" s="1"/>
  <c r="D21" i="15"/>
  <c r="C21"/>
  <c r="E21"/>
  <c r="K25" i="1"/>
  <c r="V25"/>
  <c r="X25" s="1"/>
  <c r="D22" i="15"/>
  <c r="C22"/>
  <c r="E22"/>
  <c r="K26" i="1"/>
  <c r="V26"/>
  <c r="X26" s="1"/>
  <c r="D23" i="15"/>
  <c r="C23"/>
  <c r="E23"/>
  <c r="K27" i="1"/>
  <c r="D23" i="16"/>
  <c r="C23"/>
  <c r="E23"/>
  <c r="L27" i="1"/>
  <c r="D14" i="11"/>
  <c r="D16"/>
  <c r="N27" i="1"/>
  <c r="N30"/>
  <c r="D14" i="7"/>
  <c r="D17"/>
  <c r="D14" i="14"/>
  <c r="D16"/>
  <c r="D18"/>
  <c r="D19" i="16"/>
  <c r="C19"/>
  <c r="E19"/>
  <c r="D20"/>
  <c r="C20"/>
  <c r="E20"/>
  <c r="D21"/>
  <c r="C21"/>
  <c r="E21"/>
  <c r="D22"/>
  <c r="C22"/>
  <c r="E22"/>
  <c r="D20" i="11"/>
  <c r="N35" i="1"/>
  <c r="D16" i="21"/>
  <c r="F16"/>
  <c r="J41" i="1"/>
  <c r="V41" s="1"/>
  <c r="J44"/>
  <c r="V44"/>
  <c r="X44" s="1"/>
  <c r="C12" i="20"/>
  <c r="C16"/>
  <c r="C20" s="1"/>
  <c r="C24" s="1"/>
  <c r="D33" i="15"/>
  <c r="C33"/>
  <c r="E33"/>
  <c r="K25" i="2"/>
  <c r="V25" s="1"/>
  <c r="D34" i="15"/>
  <c r="C34"/>
  <c r="E34"/>
  <c r="K26" i="2"/>
  <c r="V26" s="1"/>
  <c r="X26" s="1"/>
  <c r="D35" i="15"/>
  <c r="C35"/>
  <c r="E35"/>
  <c r="K27" i="2"/>
  <c r="V27" s="1"/>
  <c r="X27" s="1"/>
  <c r="D36" i="15"/>
  <c r="C36"/>
  <c r="E36"/>
  <c r="K28" i="2"/>
  <c r="V28" s="1"/>
  <c r="X28" s="1"/>
  <c r="D37" i="15"/>
  <c r="C37"/>
  <c r="E37"/>
  <c r="K29" i="2"/>
  <c r="V29" s="1"/>
  <c r="X29" s="1"/>
  <c r="D38" i="15"/>
  <c r="C38"/>
  <c r="E38"/>
  <c r="K30" i="2"/>
  <c r="D38" i="16"/>
  <c r="C38"/>
  <c r="E38"/>
  <c r="L30" i="2"/>
  <c r="F14" i="11"/>
  <c r="F16"/>
  <c r="F14" i="7"/>
  <c r="F17"/>
  <c r="P30" i="2"/>
  <c r="P33"/>
  <c r="P35" s="1"/>
  <c r="P41" s="1"/>
  <c r="P57" s="1"/>
  <c r="F14" i="14"/>
  <c r="F16"/>
  <c r="F18"/>
  <c r="R30" i="2"/>
  <c r="D32" i="15"/>
  <c r="C32"/>
  <c r="E32"/>
  <c r="D32" i="16"/>
  <c r="C32"/>
  <c r="E32"/>
  <c r="D33"/>
  <c r="C33"/>
  <c r="E33"/>
  <c r="D34"/>
  <c r="C34"/>
  <c r="E34"/>
  <c r="D35"/>
  <c r="C35"/>
  <c r="E35"/>
  <c r="D36"/>
  <c r="C36"/>
  <c r="E36"/>
  <c r="D37"/>
  <c r="C37"/>
  <c r="E37"/>
  <c r="F21" i="7"/>
  <c r="P37" i="2"/>
  <c r="F22" i="14"/>
  <c r="R37" i="2"/>
  <c r="I22" i="20"/>
  <c r="D14" i="22"/>
  <c r="L16"/>
  <c r="H16"/>
  <c r="D16"/>
  <c r="H18"/>
  <c r="H20"/>
  <c r="F16" i="9"/>
  <c r="Q30" i="2"/>
  <c r="D16" i="9"/>
  <c r="Q27" i="1"/>
  <c r="Q30" s="1"/>
  <c r="Q32" s="1"/>
  <c r="Q38" s="1"/>
  <c r="Q52" s="1"/>
  <c r="G48" i="5"/>
  <c r="G50"/>
  <c r="E48"/>
  <c r="E50"/>
  <c r="E52"/>
  <c r="E54"/>
  <c r="G21"/>
  <c r="G23"/>
  <c r="E21"/>
  <c r="E23"/>
  <c r="E25"/>
  <c r="E27"/>
  <c r="H10" i="19"/>
  <c r="E14" i="20"/>
  <c r="H12" i="19"/>
  <c r="H14"/>
  <c r="H54" i="2"/>
  <c r="H55"/>
  <c r="H51"/>
  <c r="I51"/>
  <c r="G20" i="6"/>
  <c r="M20"/>
  <c r="M22"/>
  <c r="J54" i="2"/>
  <c r="K54"/>
  <c r="K51"/>
  <c r="K55"/>
  <c r="L54"/>
  <c r="L51"/>
  <c r="L55"/>
  <c r="M54"/>
  <c r="M51"/>
  <c r="N54"/>
  <c r="N51"/>
  <c r="O54"/>
  <c r="O51"/>
  <c r="O55"/>
  <c r="P54"/>
  <c r="P51"/>
  <c r="P55"/>
  <c r="Q54"/>
  <c r="Q51"/>
  <c r="Q55"/>
  <c r="R54"/>
  <c r="R55"/>
  <c r="R51"/>
  <c r="S54"/>
  <c r="S51"/>
  <c r="T54"/>
  <c r="T51"/>
  <c r="T55"/>
  <c r="K16"/>
  <c r="D39" i="16"/>
  <c r="L16" i="2"/>
  <c r="H16"/>
  <c r="H35"/>
  <c r="H41"/>
  <c r="H24"/>
  <c r="H33"/>
  <c r="I16"/>
  <c r="I24"/>
  <c r="I33"/>
  <c r="I35"/>
  <c r="J24"/>
  <c r="J16"/>
  <c r="F16" i="13"/>
  <c r="M30" i="2"/>
  <c r="M33" s="1"/>
  <c r="M35" s="1"/>
  <c r="M41" s="1"/>
  <c r="M57" s="1"/>
  <c r="M24"/>
  <c r="M16"/>
  <c r="N24"/>
  <c r="N16"/>
  <c r="F16" i="10"/>
  <c r="O30" i="2"/>
  <c r="O24"/>
  <c r="O16"/>
  <c r="P24"/>
  <c r="P16"/>
  <c r="Q24"/>
  <c r="Q16"/>
  <c r="R24"/>
  <c r="R33"/>
  <c r="R16"/>
  <c r="R35"/>
  <c r="R41" s="1"/>
  <c r="R57" s="1"/>
  <c r="F16" i="12"/>
  <c r="F18"/>
  <c r="S30" i="2"/>
  <c r="S24"/>
  <c r="S16"/>
  <c r="V45"/>
  <c r="X45"/>
  <c r="V47"/>
  <c r="X47"/>
  <c r="V48"/>
  <c r="X48"/>
  <c r="V49"/>
  <c r="X49"/>
  <c r="T16"/>
  <c r="T35"/>
  <c r="T24"/>
  <c r="T33"/>
  <c r="G49" i="1"/>
  <c r="G50"/>
  <c r="G46"/>
  <c r="H49"/>
  <c r="H46"/>
  <c r="H50"/>
  <c r="G16" i="6"/>
  <c r="K16"/>
  <c r="K18"/>
  <c r="K22"/>
  <c r="G17"/>
  <c r="K17"/>
  <c r="I49" i="1"/>
  <c r="J46"/>
  <c r="J49"/>
  <c r="J50"/>
  <c r="K49"/>
  <c r="K46"/>
  <c r="K50"/>
  <c r="L49"/>
  <c r="L46"/>
  <c r="L50"/>
  <c r="M49"/>
  <c r="M46"/>
  <c r="N49"/>
  <c r="N46"/>
  <c r="O49"/>
  <c r="O46"/>
  <c r="O50"/>
  <c r="P49"/>
  <c r="P46"/>
  <c r="P50"/>
  <c r="Q49"/>
  <c r="Q46"/>
  <c r="R49"/>
  <c r="R46"/>
  <c r="R50"/>
  <c r="S49"/>
  <c r="S46"/>
  <c r="T49"/>
  <c r="T46"/>
  <c r="T50"/>
  <c r="K16"/>
  <c r="K18"/>
  <c r="L16"/>
  <c r="L18"/>
  <c r="G16"/>
  <c r="G18"/>
  <c r="G30"/>
  <c r="G32"/>
  <c r="G38"/>
  <c r="H16"/>
  <c r="H18"/>
  <c r="H32"/>
  <c r="H30"/>
  <c r="I16"/>
  <c r="I18"/>
  <c r="D16" i="18"/>
  <c r="J28" i="1"/>
  <c r="J30"/>
  <c r="J32" s="1"/>
  <c r="J38" s="1"/>
  <c r="J52" s="1"/>
  <c r="J16"/>
  <c r="J18"/>
  <c r="D16" i="13"/>
  <c r="M27" i="1"/>
  <c r="M30"/>
  <c r="M32" s="1"/>
  <c r="M38" s="1"/>
  <c r="M52" s="1"/>
  <c r="M16"/>
  <c r="M18"/>
  <c r="N16"/>
  <c r="N18"/>
  <c r="N32"/>
  <c r="D16" i="10"/>
  <c r="O27" i="1"/>
  <c r="O30"/>
  <c r="O16"/>
  <c r="O18"/>
  <c r="G25" i="5"/>
  <c r="G27"/>
  <c r="P16" i="1"/>
  <c r="P18"/>
  <c r="Q16"/>
  <c r="Q18"/>
  <c r="R16"/>
  <c r="R18"/>
  <c r="D16" i="12"/>
  <c r="D18"/>
  <c r="S27" i="1"/>
  <c r="S30" s="1"/>
  <c r="S32" s="1"/>
  <c r="S38" s="1"/>
  <c r="S52" s="1"/>
  <c r="S16"/>
  <c r="S18"/>
  <c r="V43"/>
  <c r="X43"/>
  <c r="T16"/>
  <c r="T18"/>
  <c r="T32"/>
  <c r="T30"/>
  <c r="E49"/>
  <c r="E46"/>
  <c r="E50"/>
  <c r="G12" i="20"/>
  <c r="G16"/>
  <c r="V13" i="2"/>
  <c r="X13"/>
  <c r="V14"/>
  <c r="X14"/>
  <c r="E28" i="4"/>
  <c r="G16"/>
  <c r="V15" i="2"/>
  <c r="X15"/>
  <c r="V21"/>
  <c r="X21"/>
  <c r="X24"/>
  <c r="V22"/>
  <c r="X22"/>
  <c r="V23"/>
  <c r="X23"/>
  <c r="F31"/>
  <c r="V32"/>
  <c r="F32"/>
  <c r="X32"/>
  <c r="V19"/>
  <c r="X19"/>
  <c r="V38"/>
  <c r="X38"/>
  <c r="V39"/>
  <c r="X39"/>
  <c r="E18" i="4"/>
  <c r="F16" i="2"/>
  <c r="F24"/>
  <c r="F33"/>
  <c r="F35"/>
  <c r="F41"/>
  <c r="E20" i="4"/>
  <c r="E22"/>
  <c r="V13" i="1"/>
  <c r="X13"/>
  <c r="E27" i="3"/>
  <c r="G15"/>
  <c r="V14" i="1"/>
  <c r="X14"/>
  <c r="V15"/>
  <c r="X15"/>
  <c r="V17"/>
  <c r="X17"/>
  <c r="V22"/>
  <c r="X22"/>
  <c r="E28"/>
  <c r="V29"/>
  <c r="E29"/>
  <c r="X29"/>
  <c r="V36"/>
  <c r="X36"/>
  <c r="E17" i="3"/>
  <c r="E16" i="1"/>
  <c r="E18"/>
  <c r="E32"/>
  <c r="E38"/>
  <c r="E19" i="3"/>
  <c r="E21"/>
  <c r="E30" i="1"/>
  <c r="F54" i="2"/>
  <c r="F55" s="1"/>
  <c r="F57" s="1"/>
  <c r="D14" i="19"/>
  <c r="D32" i="18"/>
  <c r="D34"/>
  <c r="C17" i="16"/>
  <c r="C24"/>
  <c r="C39"/>
  <c r="D39" i="15"/>
  <c r="D17"/>
  <c r="D24"/>
  <c r="C17"/>
  <c r="C24"/>
  <c r="V16" i="2"/>
  <c r="V24"/>
  <c r="V16" i="1"/>
  <c r="V18"/>
  <c r="F51" i="2"/>
  <c r="C40" i="3"/>
  <c r="E45"/>
  <c r="E47"/>
  <c r="E49"/>
  <c r="E53"/>
  <c r="E57" s="1"/>
  <c r="E61" s="1"/>
  <c r="N55" i="2"/>
  <c r="Q50" i="1"/>
  <c r="M50"/>
  <c r="G28" i="4"/>
  <c r="I28" s="1"/>
  <c r="X16" i="2"/>
  <c r="L18" i="22"/>
  <c r="L20"/>
  <c r="X16" i="1"/>
  <c r="X18"/>
  <c r="G27" i="3"/>
  <c r="G52" i="5"/>
  <c r="G54"/>
  <c r="G56"/>
  <c r="P56" i="2"/>
  <c r="G24" i="4"/>
  <c r="J56" i="2"/>
  <c r="F20" i="21"/>
  <c r="F26" i="14"/>
  <c r="F24" i="10"/>
  <c r="R56" i="2"/>
  <c r="K24"/>
  <c r="K33" s="1"/>
  <c r="K35" s="1"/>
  <c r="K41" s="1"/>
  <c r="K57" s="1"/>
  <c r="F23" i="7"/>
  <c r="C39" i="15"/>
  <c r="D17" i="16"/>
  <c r="D24"/>
  <c r="D22" i="11"/>
  <c r="F24" i="14"/>
  <c r="K26" i="6"/>
  <c r="I35" i="1"/>
  <c r="K37" i="6"/>
  <c r="K39"/>
  <c r="I42" i="1"/>
  <c r="I46"/>
  <c r="I50" s="1"/>
  <c r="I14" i="20"/>
  <c r="F22" i="12"/>
  <c r="F20" i="9"/>
  <c r="Q37" i="2"/>
  <c r="F20" i="10"/>
  <c r="F20" i="13"/>
  <c r="M37" i="2"/>
  <c r="D22" i="12"/>
  <c r="S35" i="1"/>
  <c r="D20" i="9"/>
  <c r="D20" i="10"/>
  <c r="O35" i="1"/>
  <c r="D20" i="13"/>
  <c r="D20" i="18"/>
  <c r="J35" i="1"/>
  <c r="D22" i="18"/>
  <c r="M35" i="1"/>
  <c r="D22" i="13"/>
  <c r="Q35" i="1"/>
  <c r="D22" i="9"/>
  <c r="F22" i="13"/>
  <c r="O37" i="2"/>
  <c r="F22" i="10"/>
  <c r="F26"/>
  <c r="F22" i="9"/>
  <c r="S37" i="2"/>
  <c r="F24" i="12"/>
  <c r="V42" i="1"/>
  <c r="X42"/>
  <c r="I27" i="3"/>
  <c r="N38" i="1"/>
  <c r="Q33" i="2"/>
  <c r="Q35"/>
  <c r="Q41" s="1"/>
  <c r="Q57" s="1"/>
  <c r="S50" i="1"/>
  <c r="N50"/>
  <c r="O33" i="2"/>
  <c r="O35" s="1"/>
  <c r="O41" s="1"/>
  <c r="O57" s="1"/>
  <c r="S55"/>
  <c r="M55"/>
  <c r="H16" i="21"/>
  <c r="F18"/>
  <c r="J31" i="2"/>
  <c r="M37" i="6"/>
  <c r="M26"/>
  <c r="J37" i="2"/>
  <c r="M28" i="6"/>
  <c r="D18" i="21"/>
  <c r="D22" i="14"/>
  <c r="R27" i="1"/>
  <c r="R30" s="1"/>
  <c r="R32" s="1"/>
  <c r="R38" s="1"/>
  <c r="R52" s="1"/>
  <c r="D21" i="7"/>
  <c r="P35" i="1"/>
  <c r="D23" i="7"/>
  <c r="P27" i="1"/>
  <c r="E24" i="16"/>
  <c r="D43"/>
  <c r="L21" i="1"/>
  <c r="L30"/>
  <c r="L32" s="1"/>
  <c r="L38" s="1"/>
  <c r="L52" s="1"/>
  <c r="D24" i="12"/>
  <c r="D22" i="10"/>
  <c r="F28" i="14"/>
  <c r="T56" i="2"/>
  <c r="M56"/>
  <c r="F25" i="7"/>
  <c r="F27" s="1"/>
  <c r="F26" i="12"/>
  <c r="F28" s="1"/>
  <c r="E51" i="16"/>
  <c r="O32" i="1"/>
  <c r="O38"/>
  <c r="S33" i="2"/>
  <c r="S35"/>
  <c r="S41" s="1"/>
  <c r="S57" s="1"/>
  <c r="E17" i="15"/>
  <c r="H56" i="2"/>
  <c r="H57" s="1"/>
  <c r="I56"/>
  <c r="O56"/>
  <c r="Q56"/>
  <c r="E51" i="15"/>
  <c r="F24" i="13"/>
  <c r="F26" s="1"/>
  <c r="F24" i="11"/>
  <c r="F24" i="9"/>
  <c r="F26"/>
  <c r="F56" i="2"/>
  <c r="K56"/>
  <c r="N56"/>
  <c r="S56"/>
  <c r="M30" i="6"/>
  <c r="M32" s="1"/>
  <c r="L56" i="2"/>
  <c r="G29" i="5"/>
  <c r="G23" i="3"/>
  <c r="I28" i="1"/>
  <c r="K28" i="6"/>
  <c r="E23" i="3"/>
  <c r="E25" s="1"/>
  <c r="E29" s="1"/>
  <c r="E29" i="5"/>
  <c r="E24" i="4"/>
  <c r="E26" s="1"/>
  <c r="E30" s="1"/>
  <c r="E56" i="5"/>
  <c r="E39" i="16"/>
  <c r="E43"/>
  <c r="L24" i="2"/>
  <c r="L33" s="1"/>
  <c r="L35" s="1"/>
  <c r="L41" s="1"/>
  <c r="L57" s="1"/>
  <c r="F20" i="11"/>
  <c r="N30" i="2"/>
  <c r="N33" s="1"/>
  <c r="N35" s="1"/>
  <c r="N41" s="1"/>
  <c r="N57" s="1"/>
  <c r="E39" i="15"/>
  <c r="E43"/>
  <c r="I54" i="2"/>
  <c r="I55" s="1"/>
  <c r="E24" i="15"/>
  <c r="D43"/>
  <c r="K21" i="1"/>
  <c r="D47" i="16"/>
  <c r="L35" i="1"/>
  <c r="D49" i="16"/>
  <c r="H35" i="1"/>
  <c r="J46" i="2"/>
  <c r="M39" i="6"/>
  <c r="E47" i="15"/>
  <c r="K37" i="2"/>
  <c r="E49" i="15"/>
  <c r="E53"/>
  <c r="N37" i="2"/>
  <c r="F22" i="11"/>
  <c r="F26"/>
  <c r="E47" i="16"/>
  <c r="L37" i="2"/>
  <c r="V28" i="1"/>
  <c r="X28"/>
  <c r="I30"/>
  <c r="I32"/>
  <c r="I38" s="1"/>
  <c r="I52" s="1"/>
  <c r="D25" i="7"/>
  <c r="P51" i="1"/>
  <c r="K51"/>
  <c r="O51"/>
  <c r="O52"/>
  <c r="E51"/>
  <c r="E52"/>
  <c r="D20" i="21"/>
  <c r="D22"/>
  <c r="K30" i="6"/>
  <c r="K32"/>
  <c r="G51" i="1"/>
  <c r="G52"/>
  <c r="I51"/>
  <c r="N51"/>
  <c r="N52" s="1"/>
  <c r="S51"/>
  <c r="D24" i="18"/>
  <c r="D26"/>
  <c r="D51" i="15"/>
  <c r="D24" i="13"/>
  <c r="D26" s="1"/>
  <c r="D24" i="11"/>
  <c r="D26" s="1"/>
  <c r="D24" i="9"/>
  <c r="D26" s="1"/>
  <c r="J51" i="1"/>
  <c r="Q51"/>
  <c r="L51"/>
  <c r="H51"/>
  <c r="M51"/>
  <c r="R51"/>
  <c r="T51"/>
  <c r="D51" i="16"/>
  <c r="D53" s="1"/>
  <c r="D26" i="14"/>
  <c r="D26" i="12"/>
  <c r="D24" i="10"/>
  <c r="D26"/>
  <c r="P30" i="1"/>
  <c r="P32"/>
  <c r="P38" s="1"/>
  <c r="P52" s="1"/>
  <c r="V27"/>
  <c r="X27"/>
  <c r="R35"/>
  <c r="D24" i="14"/>
  <c r="D28"/>
  <c r="I37" i="2"/>
  <c r="I41" s="1"/>
  <c r="I57" s="1"/>
  <c r="F22" i="21"/>
  <c r="J33" i="2"/>
  <c r="J35" s="1"/>
  <c r="J41" s="1"/>
  <c r="V31"/>
  <c r="X31"/>
  <c r="D28" i="12"/>
  <c r="D27" i="7"/>
  <c r="V30" i="2"/>
  <c r="V21" i="1"/>
  <c r="K30"/>
  <c r="K32" s="1"/>
  <c r="K38" s="1"/>
  <c r="K52" s="1"/>
  <c r="X30" i="2"/>
  <c r="V46"/>
  <c r="J51"/>
  <c r="J55" s="1"/>
  <c r="H38" i="1"/>
  <c r="H52" s="1"/>
  <c r="D47" i="15"/>
  <c r="K35" i="1"/>
  <c r="D49" i="15"/>
  <c r="D53"/>
  <c r="E49" i="16"/>
  <c r="E53"/>
  <c r="V51" i="2"/>
  <c r="X46"/>
  <c r="X51" s="1"/>
  <c r="G14" i="4" s="1"/>
  <c r="X21" i="1"/>
  <c r="V30"/>
  <c r="V32" s="1"/>
  <c r="I14" i="4" l="1"/>
  <c r="G18"/>
  <c r="I12" i="20"/>
  <c r="I16" s="1"/>
  <c r="I20" s="1"/>
  <c r="I24" s="1"/>
  <c r="I26" s="1"/>
  <c r="T37" i="2" s="1"/>
  <c r="J57"/>
  <c r="X30" i="1"/>
  <c r="X32" s="1"/>
  <c r="X25" i="2"/>
  <c r="X33" s="1"/>
  <c r="X35" s="1"/>
  <c r="V33"/>
  <c r="V35" s="1"/>
  <c r="X41" i="1"/>
  <c r="X46" s="1"/>
  <c r="G13" i="3" s="1"/>
  <c r="V46" i="1"/>
  <c r="V37" i="2" l="1"/>
  <c r="X37" s="1"/>
  <c r="X41" s="1"/>
  <c r="G20" i="4" s="1"/>
  <c r="T41" i="2"/>
  <c r="T57" s="1"/>
  <c r="V41"/>
  <c r="E12" i="20"/>
  <c r="E16" s="1"/>
  <c r="E20" s="1"/>
  <c r="E24" s="1"/>
  <c r="E26" s="1"/>
  <c r="T35" i="1" s="1"/>
  <c r="I13" i="3"/>
  <c r="G17"/>
  <c r="I18" i="4"/>
  <c r="I20" l="1"/>
  <c r="G22"/>
  <c r="T38" i="1"/>
  <c r="T52" s="1"/>
  <c r="V35"/>
  <c r="I17" i="3"/>
  <c r="X35" i="1" l="1"/>
  <c r="X38" s="1"/>
  <c r="G19" i="3" s="1"/>
  <c r="V38" i="1"/>
  <c r="I22" i="4"/>
  <c r="G26"/>
  <c r="I19" i="3" l="1"/>
  <c r="G21"/>
  <c r="I26" i="4"/>
  <c r="G30"/>
  <c r="G25" i="3" l="1"/>
  <c r="I21"/>
  <c r="I25" l="1"/>
  <c r="G29"/>
</calcChain>
</file>

<file path=xl/comments1.xml><?xml version="1.0" encoding="utf-8"?>
<comments xmlns="http://schemas.openxmlformats.org/spreadsheetml/2006/main">
  <authors>
    <author>sz0rsr</author>
  </authors>
  <commentList>
    <comment ref="E24" authorId="0">
      <text>
        <r>
          <rPr>
            <b/>
            <sz val="8"/>
            <color indexed="81"/>
            <rFont val="Tahoma"/>
            <family val="2"/>
          </rPr>
          <t xml:space="preserve">PF Conversion Factor….Millwood expires in 2004, therfore Millwood Pro Formed out here
</t>
        </r>
      </text>
    </comment>
  </commentList>
</comments>
</file>

<file path=xl/sharedStrings.xml><?xml version="1.0" encoding="utf-8"?>
<sst xmlns="http://schemas.openxmlformats.org/spreadsheetml/2006/main" count="626" uniqueCount="294">
  <si>
    <t xml:space="preserve">AVISTA UTILITIES  </t>
  </si>
  <si>
    <t xml:space="preserve">ELECTRIC RESULTS OF OPERATION    </t>
  </si>
  <si>
    <t xml:space="preserve">WASHINGTON RESTATED RESULTS  </t>
  </si>
  <si>
    <t xml:space="preserve">(000'S OF DOLLARS)  </t>
  </si>
  <si>
    <t>Line</t>
  </si>
  <si>
    <t>Depreciation</t>
  </si>
  <si>
    <t>Pro Forma</t>
  </si>
  <si>
    <t>No.</t>
  </si>
  <si>
    <t>DESCRIPTION</t>
  </si>
  <si>
    <t>Taxes</t>
  </si>
  <si>
    <t>TOTAL</t>
  </si>
  <si>
    <t>a</t>
  </si>
  <si>
    <t>b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</si>
  <si>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</si>
  <si>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</si>
  <si>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</si>
  <si>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</si>
  <si>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</si>
  <si>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</si>
  <si>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</si>
  <si>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</si>
  <si>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Purchased Power  </t>
  </si>
  <si>
    <t xml:space="preserve">Depreciation and Amortization  </t>
  </si>
  <si>
    <t xml:space="preserve">Taxes  </t>
  </si>
  <si>
    <t xml:space="preserve">Customer Accounting  </t>
  </si>
  <si>
    <t xml:space="preserve">Customer Service &amp; Information  </t>
  </si>
  <si>
    <t xml:space="preserve">Sales Expenses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</si>
  <si>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</si>
  <si>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</si>
  <si>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</si>
  <si>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</si>
  <si>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</si>
  <si>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</si>
  <si>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</si>
  <si>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Total Accum. Depreciation &amp; Amort.  </t>
  </si>
  <si>
    <t xml:space="preserve">TOTAL RATE BASE  </t>
  </si>
  <si>
    <t>Revenue Conversion Factor</t>
  </si>
  <si>
    <t>Revenue Requirement</t>
  </si>
  <si>
    <t>GAS RESULTS OF OPERATION</t>
  </si>
  <si>
    <t>WASHINGTON RESTATED RESULTS</t>
  </si>
  <si>
    <t>(000'S OF DOLLARS)</t>
  </si>
  <si>
    <t>Total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</si>
  <si>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</si>
  <si>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</si>
  <si>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</si>
  <si>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</si>
  <si>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</si>
  <si>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</si>
  <si>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</si>
  <si>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</si>
  <si>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</si>
  <si>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</si>
  <si>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</si>
  <si>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</si>
  <si>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Customer Accounting</t>
  </si>
  <si>
    <t>Customer Service &amp; Information</t>
  </si>
  <si>
    <t>Sales Expenses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</si>
  <si>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</si>
  <si>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</si>
  <si>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</si>
  <si>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</si>
  <si>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</si>
  <si>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</si>
  <si>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</si>
  <si>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Total Plant in Service</t>
  </si>
  <si>
    <t>Total Accum. Depreciation</t>
  </si>
  <si>
    <t>TOTAL RATE BASE</t>
  </si>
  <si>
    <t>Avista</t>
  </si>
  <si>
    <t>AVISTA UTILITIES</t>
  </si>
  <si>
    <t>Calculation of General Revenue Requirement</t>
  </si>
  <si>
    <t>Washington - Electric System</t>
  </si>
  <si>
    <t xml:space="preserve">Line </t>
  </si>
  <si>
    <t>(000's of</t>
  </si>
  <si>
    <t>Description</t>
  </si>
  <si>
    <t>Dollars)</t>
  </si>
  <si>
    <t>Pro Forma Rate Base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</si>
  <si>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</si>
  <si>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</si>
  <si>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</si>
  <si>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</si>
  <si>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</si>
  <si>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Total General Business Revenues</t>
  </si>
  <si>
    <t>Percentage Revenue Increase</t>
  </si>
  <si>
    <t>IDAHO - Electric System</t>
  </si>
  <si>
    <t>update LMA 2/19/08</t>
  </si>
  <si>
    <t>Washington - Gas</t>
  </si>
  <si>
    <t>Washington</t>
  </si>
  <si>
    <t xml:space="preserve">Pro Forma Rate Base 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</si>
  <si>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</si>
  <si>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</si>
  <si>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</si>
  <si>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</si>
  <si>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</si>
  <si>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</si>
  <si>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</si>
  <si>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</si>
  <si>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</si>
  <si>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 xml:space="preserve">  Federal Income Tax @ 35%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</si>
  <si>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</si>
  <si>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</si>
  <si>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</si>
  <si>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</si>
  <si>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</si>
  <si>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Electric System</t>
  </si>
  <si>
    <t>Gas System</t>
  </si>
  <si>
    <t xml:space="preserve">Production and Transmission Operating Expenses  </t>
  </si>
  <si>
    <t xml:space="preserve">Distribution  Operating Expenses  </t>
  </si>
  <si>
    <t xml:space="preserve">Admin &amp; General Operating Expenses  </t>
  </si>
  <si>
    <t>Rate Base Effect</t>
  </si>
  <si>
    <t>PC Recommended Rate of Return</t>
  </si>
  <si>
    <t>Incremental Revenue Requirement</t>
  </si>
  <si>
    <t>Avista Rate of Return</t>
  </si>
  <si>
    <t>TWELVE MONTHS ENDED DECEMBER 31, 2007</t>
  </si>
  <si>
    <t>Underground Storage Operating Expenses</t>
  </si>
  <si>
    <t>Distribution Operating Expenses</t>
  </si>
  <si>
    <t>Admin. &amp; General Operating Expenses</t>
  </si>
  <si>
    <t>COR</t>
  </si>
  <si>
    <t>Reclassify</t>
  </si>
  <si>
    <t>Reg. Liab.</t>
  </si>
  <si>
    <t>KING DEPRECIATION ADJUSTMENT</t>
  </si>
  <si>
    <t>PC</t>
  </si>
  <si>
    <t>Adjusted</t>
  </si>
  <si>
    <t>Adjustment</t>
  </si>
  <si>
    <t>Amount  1/</t>
  </si>
  <si>
    <t>Electric</t>
  </si>
  <si>
    <t>Gas</t>
  </si>
  <si>
    <t>Total Expense Adjustment - Pre Tax</t>
  </si>
  <si>
    <t>Tax Rate</t>
  </si>
  <si>
    <t>Tax Effect (L. 3 * L. 4)</t>
  </si>
  <si>
    <t>Revenue Requirement (L. 6 * L. 7)</t>
  </si>
  <si>
    <t>Rate Base Adjustment</t>
  </si>
  <si>
    <t>Total Adj. to Rate Base</t>
  </si>
  <si>
    <t>Sources:</t>
  </si>
  <si>
    <t>2/</t>
  </si>
  <si>
    <t>Depreciation Expense - Electric Transmission</t>
  </si>
  <si>
    <t>Depreciation Expense - Electric Distribution</t>
  </si>
  <si>
    <t>WA</t>
  </si>
  <si>
    <t>Difference</t>
  </si>
  <si>
    <t>Total Electric Depreciation Adj.</t>
  </si>
  <si>
    <t>Depreciation Expense - Gas Distribution</t>
  </si>
  <si>
    <t>Tax Effect (L. 5 * L. 6)</t>
  </si>
  <si>
    <t>Adjustment - Post Tax (L. 5+ L. 7)</t>
  </si>
  <si>
    <t>CONVERSION FACTOR</t>
  </si>
  <si>
    <t>Revenue Requirement (L. 8 * L. 9)</t>
  </si>
  <si>
    <t>Adj. to Accum. Deprec. @ 50% of Dep. Exp. (L. 5)</t>
  </si>
  <si>
    <t xml:space="preserve">1/ </t>
  </si>
  <si>
    <t>Allocator  2/</t>
  </si>
  <si>
    <t>c=b-a</t>
  </si>
  <si>
    <t>d</t>
  </si>
  <si>
    <t>e=c*d</t>
  </si>
  <si>
    <t>f=c*d</t>
  </si>
  <si>
    <t>TEST YEAR ENDING DECEMBER 31, 2007</t>
  </si>
  <si>
    <t>Exhibit CWK-4, Schedule 1.</t>
  </si>
  <si>
    <t>"2007 Rates Depreciation Study-FINAL.xls" included in Andrews' workpapers.</t>
  </si>
  <si>
    <t>King</t>
  </si>
  <si>
    <t>Plant in Service</t>
  </si>
  <si>
    <t>Gain on Sale of Building</t>
  </si>
  <si>
    <t>Deferred Taxes</t>
  </si>
  <si>
    <t>RATE BASE</t>
  </si>
  <si>
    <t>Gas Inventory</t>
  </si>
  <si>
    <t>Expense Adjustment</t>
  </si>
  <si>
    <t>Adjustment - Post Tax (L. 3 + L. 5)</t>
  </si>
  <si>
    <t>REMOVE DUES AND MEMBERSHIP FEES</t>
  </si>
  <si>
    <t xml:space="preserve">Dues and membership fees related civic / charitable </t>
  </si>
  <si>
    <t>and Board of Directors' activities</t>
  </si>
  <si>
    <t>Tax Effect (L. 2 * L. 3)</t>
  </si>
  <si>
    <t>Adjustment - Post Tax (L. 2 + L. 5)</t>
  </si>
  <si>
    <t>Revenue Requirement (L. 5 * L. 6)</t>
  </si>
  <si>
    <t xml:space="preserve">Dues &amp; </t>
  </si>
  <si>
    <t>Membership</t>
  </si>
  <si>
    <t>Fees</t>
  </si>
  <si>
    <t>REMOVE CHARITABLE CONTRIBUTIONS</t>
  </si>
  <si>
    <t>Allocated charitable contributions per PC DR 271</t>
  </si>
  <si>
    <t>Adjustment - Post Tax (L. 2 + L. 4)</t>
  </si>
  <si>
    <t>Charitable</t>
  </si>
  <si>
    <t>Contributions</t>
  </si>
  <si>
    <t>REMOVE SPORTING AND ENTERTAINMENT EXPENSES</t>
  </si>
  <si>
    <t>Sporting and entertainment expenses  1/</t>
  </si>
  <si>
    <t>Sporting</t>
  </si>
  <si>
    <t>Events</t>
  </si>
  <si>
    <t>1/  See response to WUTC 43.</t>
  </si>
  <si>
    <t>Advertising expenses</t>
  </si>
  <si>
    <t>Advertising</t>
  </si>
  <si>
    <t>REMOVE PORTION OF D&amp;O INSURANCE</t>
  </si>
  <si>
    <t>Remove 50% shareholder portion</t>
  </si>
  <si>
    <t>D&amp;O Insurance in WA revenue requirement   1/</t>
  </si>
  <si>
    <t>1/  Avista response to PC 278.</t>
  </si>
  <si>
    <t>D&amp;O</t>
  </si>
  <si>
    <t>Insurance</t>
  </si>
  <si>
    <t>REVERSE INCENTIVE ADJUSTMENT</t>
  </si>
  <si>
    <t>Company incentive adjustment related to 6-year average  1/</t>
  </si>
  <si>
    <t>1/  Andrews Workpaper, p. PF 13.2.</t>
  </si>
  <si>
    <t>Incentive</t>
  </si>
  <si>
    <t>REMOVE EXPENSES RELATED TO SHAREHOLDERS' SERVICES</t>
  </si>
  <si>
    <t>Expenses related to shareholders' services  1/</t>
  </si>
  <si>
    <t>50 percent Board of Directors' Fees  1/</t>
  </si>
  <si>
    <t>1/  Response to Public Counsel Data Request No. 280.</t>
  </si>
  <si>
    <t>Services</t>
  </si>
  <si>
    <t>Shareholders'</t>
  </si>
  <si>
    <t>ADJUST NON-EXECUTIVE COMPENSATION</t>
  </si>
  <si>
    <t>Non-Exec</t>
  </si>
  <si>
    <t>Washington Electric</t>
  </si>
  <si>
    <t>Total Transmission</t>
  </si>
  <si>
    <t>Total Production &amp; Transmission</t>
  </si>
  <si>
    <t>Total Distribution</t>
  </si>
  <si>
    <t>Customer Accounts</t>
  </si>
  <si>
    <t>Cust Service &amp; Info</t>
  </si>
  <si>
    <t>Sales &amp; Marketing</t>
  </si>
  <si>
    <t>Total Admin &amp; General</t>
  </si>
  <si>
    <t>Total WA Electric Expense</t>
  </si>
  <si>
    <t>Non-Exec 2007 to 2009</t>
  </si>
  <si>
    <t xml:space="preserve"> Pro Forma Increase</t>
  </si>
  <si>
    <t>Total Underground Storage</t>
  </si>
  <si>
    <t>Total WA Gas Expense</t>
  </si>
  <si>
    <t>Washington Gas</t>
  </si>
  <si>
    <t>Tax Effect (L. 18 * L. 19)</t>
  </si>
  <si>
    <t>Adjustment - Post Tax (L. 18 + L. 20)</t>
  </si>
  <si>
    <t>Revenue Requirement (L. 21 * L. 22)</t>
  </si>
  <si>
    <t>Avista 1/</t>
  </si>
  <si>
    <t>1/  Response to WUTC Data Request No. 69.</t>
  </si>
  <si>
    <t>ADJUST EXECUTIVE COMPENSATION</t>
  </si>
  <si>
    <t>Net 2009 Executive</t>
  </si>
  <si>
    <t xml:space="preserve"> Pro Forma Adjustment</t>
  </si>
  <si>
    <t>Executive</t>
  </si>
  <si>
    <t>Comp.</t>
  </si>
  <si>
    <t>COR REGULATORY LIABILITY RECLASSIFICATION</t>
  </si>
  <si>
    <t>Reclass.</t>
  </si>
  <si>
    <t>Net Rate Base Effect</t>
  </si>
  <si>
    <t>1/</t>
  </si>
  <si>
    <t>($000)</t>
  </si>
  <si>
    <t>System</t>
  </si>
  <si>
    <t xml:space="preserve">Other Regulatory Liabilities  </t>
  </si>
  <si>
    <t>Lines 1 and 2 from Exhibit Nos. (EMA-2) and (EMA-3)</t>
  </si>
  <si>
    <t>Line 3 from response to Public Counsel Data Request No. 232, allocated based on plant in service.</t>
  </si>
  <si>
    <t>REMOVE PORTIONS OF CDA SETTLEMENT</t>
  </si>
  <si>
    <t>Company adjustment for amortization of deferral</t>
  </si>
  <si>
    <t>Company adjustment to rate base</t>
  </si>
  <si>
    <t>Company adjustment to deferred taxes</t>
  </si>
  <si>
    <t>Total Company adjustment to rate base</t>
  </si>
  <si>
    <t>PC Rate Base Adjustment</t>
  </si>
  <si>
    <t>Source:</t>
  </si>
  <si>
    <t>Andrews Confidential workpapers, pp. PF 10.2 and PF 10.3.</t>
  </si>
  <si>
    <t>CDA</t>
  </si>
  <si>
    <t>Settlement</t>
  </si>
  <si>
    <t>COST OF CAPITAL</t>
  </si>
  <si>
    <t>Percent of</t>
  </si>
  <si>
    <t>Total Capital</t>
  </si>
  <si>
    <t>Cost</t>
  </si>
  <si>
    <t>Component</t>
  </si>
  <si>
    <t>Total Debt</t>
  </si>
  <si>
    <t>Common Equity</t>
  </si>
  <si>
    <t>Income</t>
  </si>
  <si>
    <t>Tax</t>
  </si>
  <si>
    <t>Interest</t>
  </si>
  <si>
    <t>Synch.</t>
  </si>
  <si>
    <t>Adjustments</t>
  </si>
  <si>
    <t>Results of</t>
  </si>
  <si>
    <t>Operations</t>
  </si>
  <si>
    <t>PC Adjusted</t>
  </si>
  <si>
    <t xml:space="preserve">a </t>
  </si>
  <si>
    <t>INTEREST SYNCHRONIZATION</t>
  </si>
  <si>
    <t>Avista  1/</t>
  </si>
  <si>
    <t>Net Rate Base</t>
  </si>
  <si>
    <t>Weighted Cost of Debt</t>
  </si>
  <si>
    <t>Interest Charged to Expense in Test Year</t>
  </si>
  <si>
    <t xml:space="preserve"> </t>
  </si>
  <si>
    <t>Difference - PC Adjustment to Income Tax</t>
  </si>
  <si>
    <t>Exhibit Nos. EMA-2 and EMA-3 - Excel files, DebtCalc tab.</t>
  </si>
  <si>
    <t>2/  Company calculation uses different net rate base from what is used in their revenue requirement calculation.  I have used their results as base for my adjustment.</t>
  </si>
  <si>
    <t>Proforma Interest (L. 1 * L. 2)</t>
  </si>
  <si>
    <t>Change to Income (L. 4 - L. 3)</t>
  </si>
  <si>
    <t>CONSOLIDATED TAX SAVINGS</t>
  </si>
  <si>
    <t>Savings</t>
  </si>
  <si>
    <t>FIT per Avista</t>
  </si>
  <si>
    <t>PC ADJUSTMENT NOS. 2(E) AND 2(G)</t>
  </si>
  <si>
    <t>PC ADJUSTMENT NOS. 1(E) AND 1(G)</t>
  </si>
  <si>
    <t>PC ADJUSTMENT NOS. 3(E) AND 3(G)</t>
  </si>
  <si>
    <t>PC ADJUSTMENT NO. 4(E)</t>
  </si>
  <si>
    <t>PC ADJUSTMENT NOS. 5(E) AND 4(G)</t>
  </si>
  <si>
    <t>PC ADJUSTMENT NOS. 6(E) AND 5(G)</t>
  </si>
  <si>
    <t>PC ADJUSTMENT NOS. 7(E) AND 6(G)</t>
  </si>
  <si>
    <t>PC ADJUSTMENT NOS. 8(E) AND 7(G)</t>
  </si>
  <si>
    <t>PC ADJUSTMENT NOS. 9(E) AND 8(G)</t>
  </si>
  <si>
    <t>PC ADJUSTMENT NOS. 10(E) AND 9(G)</t>
  </si>
  <si>
    <t>PC ADJUSTMENT NOS. 11(E) AND 10(G)</t>
  </si>
  <si>
    <t>PC ADJUSTMENT NOS. 12(E) AND 11(G)</t>
  </si>
  <si>
    <t>PC ADJUSTMENT NOS. 13(E) AND 12(G)</t>
  </si>
  <si>
    <t>PC ADJUSTMENT NOS. 14(E) AND 13(G)</t>
  </si>
  <si>
    <t>Accumulated Depreciation &amp; Amortization</t>
  </si>
  <si>
    <t>REMOVE ADVERTISING EXPENSES</t>
  </si>
  <si>
    <t>Source:  Settlement Agreement</t>
  </si>
  <si>
    <t>[BEGIN CONFIDENTIAL]</t>
  </si>
  <si>
    <t>[END CONFIDENTIAL]</t>
  </si>
  <si>
    <t>1/  Exhibit___(MJM-6), distributed based on Line 1.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</si>
</sst>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00000"/>
    <numFmt numFmtId="167" formatCode="0.000%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.00000_);_(* \(#,##0.00000\);_(* &quot;-&quot;??_);_(@_)"/>
    <numFmt numFmtId="174" formatCode="0.0000000"/>
    <numFmt numFmtId="178" formatCode="#,##0.000000"/>
    <numFmt numFmtId="181" formatCode="_(&quot;$&quot;* #,##0.000000_);_(&quot;$&quot;* \(#,##0.000000\);_(&quot;$&quot;* &quot;-&quot;??????_);_(@_)"/>
    <numFmt numFmtId="182" formatCode="_(* #,##0.0_);_(* \(#,##0.0\);_(* &quot;-&quot;_);_(@_)"/>
    <numFmt numFmtId="183" formatCode="_(* ###0_);_(* \(###0\);_(* &quot;-&quot;_);_(@_)"/>
    <numFmt numFmtId="184" formatCode="d\.mmm\.yy"/>
    <numFmt numFmtId="186" formatCode="#."/>
    <numFmt numFmtId="187" formatCode="_(&quot;$&quot;* #,##0.0000_);_(&quot;$&quot;* \(#,##0.0000\);_(&quot;$&quot;* &quot;-&quot;????_);_(@_)"/>
    <numFmt numFmtId="188" formatCode="&quot;$&quot;#,##0.00"/>
  </numFmts>
  <fonts count="60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Geneva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0"/>
      <name val="Arial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3">
    <xf numFmtId="0" fontId="0" fillId="0" borderId="0"/>
    <xf numFmtId="166" fontId="2" fillId="0" borderId="0">
      <alignment horizontal="left" wrapText="1"/>
    </xf>
    <xf numFmtId="171" fontId="2" fillId="0" borderId="0">
      <alignment horizontal="left" wrapText="1"/>
    </xf>
    <xf numFmtId="174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6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14" fillId="0" borderId="0"/>
    <xf numFmtId="171" fontId="2" fillId="0" borderId="0">
      <alignment horizontal="left" wrapText="1"/>
    </xf>
    <xf numFmtId="166" fontId="2" fillId="0" borderId="0">
      <alignment horizontal="left" wrapText="1"/>
    </xf>
    <xf numFmtId="171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1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184" fontId="18" fillId="0" borderId="0" applyFill="0" applyBorder="0" applyAlignment="0"/>
    <xf numFmtId="41" fontId="2" fillId="20" borderId="0"/>
    <xf numFmtId="0" fontId="19" fillId="21" borderId="1" applyNumberFormat="0" applyAlignment="0" applyProtection="0"/>
    <xf numFmtId="41" fontId="5" fillId="22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186" fontId="24" fillId="0" borderId="0">
      <protection locked="0"/>
    </xf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2" fillId="0" borderId="0"/>
    <xf numFmtId="0" fontId="23" fillId="0" borderId="0"/>
    <xf numFmtId="0" fontId="22" fillId="0" borderId="0"/>
    <xf numFmtId="0" fontId="2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/>
    <xf numFmtId="0" fontId="27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22" fillId="0" borderId="0"/>
    <xf numFmtId="0" fontId="28" fillId="4" borderId="0" applyNumberFormat="0" applyBorder="0" applyAlignment="0" applyProtection="0"/>
    <xf numFmtId="38" fontId="29" fillId="22" borderId="0" applyNumberFormat="0" applyBorder="0" applyAlignment="0" applyProtection="0"/>
    <xf numFmtId="0" fontId="30" fillId="0" borderId="2" applyNumberFormat="0" applyAlignment="0" applyProtection="0">
      <alignment horizontal="left"/>
    </xf>
    <xf numFmtId="0" fontId="30" fillId="0" borderId="3">
      <alignment horizontal="lef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38" fontId="32" fillId="0" borderId="0"/>
    <xf numFmtId="40" fontId="32" fillId="0" borderId="0"/>
    <xf numFmtId="0" fontId="33" fillId="7" borderId="5" applyNumberFormat="0" applyAlignment="0" applyProtection="0"/>
    <xf numFmtId="10" fontId="29" fillId="20" borderId="6" applyNumberFormat="0" applyBorder="0" applyAlignment="0" applyProtection="0"/>
    <xf numFmtId="41" fontId="34" fillId="23" borderId="7">
      <alignment horizontal="left"/>
      <protection locked="0"/>
    </xf>
    <xf numFmtId="10" fontId="34" fillId="23" borderId="7">
      <alignment horizontal="right"/>
      <protection locked="0"/>
    </xf>
    <xf numFmtId="0" fontId="11" fillId="22" borderId="0"/>
    <xf numFmtId="3" fontId="35" fillId="0" borderId="0" applyFill="0" applyBorder="0" applyAlignment="0" applyProtection="0"/>
    <xf numFmtId="0" fontId="36" fillId="0" borderId="8" applyNumberFormat="0" applyFill="0" applyAlignment="0" applyProtection="0"/>
    <xf numFmtId="44" fontId="1" fillId="0" borderId="9" applyNumberFormat="0" applyFont="0" applyAlignment="0">
      <alignment horizontal="center"/>
    </xf>
    <xf numFmtId="44" fontId="1" fillId="0" borderId="10" applyNumberFormat="0" applyFont="0" applyAlignment="0">
      <alignment horizontal="center"/>
    </xf>
    <xf numFmtId="0" fontId="37" fillId="24" borderId="0" applyNumberFormat="0" applyBorder="0" applyAlignment="0" applyProtection="0"/>
    <xf numFmtId="37" fontId="38" fillId="0" borderId="0"/>
    <xf numFmtId="181" fontId="39" fillId="0" borderId="0"/>
    <xf numFmtId="0" fontId="3" fillId="0" borderId="0"/>
    <xf numFmtId="166" fontId="2" fillId="0" borderId="0">
      <alignment horizontal="left" wrapText="1"/>
    </xf>
    <xf numFmtId="0" fontId="2" fillId="0" borderId="0"/>
    <xf numFmtId="0" fontId="10" fillId="0" borderId="0"/>
    <xf numFmtId="166" fontId="2" fillId="0" borderId="0">
      <alignment horizontal="left" wrapText="1"/>
    </xf>
    <xf numFmtId="0" fontId="3" fillId="0" borderId="0"/>
    <xf numFmtId="0" fontId="3" fillId="0" borderId="0"/>
    <xf numFmtId="0" fontId="15" fillId="25" borderId="11" applyNumberFormat="0" applyFont="0" applyAlignment="0" applyProtection="0"/>
    <xf numFmtId="0" fontId="40" fillId="26" borderId="12" applyNumberFormat="0" applyAlignment="0" applyProtection="0"/>
    <xf numFmtId="0" fontId="22" fillId="0" borderId="0"/>
    <xf numFmtId="0" fontId="22" fillId="0" borderId="0"/>
    <xf numFmtId="0" fontId="23" fillId="0" borderId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5" fillId="27" borderId="7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13">
      <alignment horizontal="center"/>
    </xf>
    <xf numFmtId="3" fontId="41" fillId="0" borderId="0" applyFont="0" applyFill="0" applyBorder="0" applyAlignment="0" applyProtection="0"/>
    <xf numFmtId="0" fontId="41" fillId="28" borderId="0" applyNumberFormat="0" applyFont="0" applyBorder="0" applyAlignment="0" applyProtection="0"/>
    <xf numFmtId="0" fontId="23" fillId="0" borderId="0"/>
    <xf numFmtId="3" fontId="43" fillId="0" borderId="0" applyFill="0" applyBorder="0" applyAlignment="0" applyProtection="0"/>
    <xf numFmtId="0" fontId="44" fillId="0" borderId="0"/>
    <xf numFmtId="42" fontId="5" fillId="20" borderId="0"/>
    <xf numFmtId="42" fontId="5" fillId="20" borderId="14">
      <alignment vertical="center"/>
    </xf>
    <xf numFmtId="0" fontId="6" fillId="20" borderId="15" applyNumberFormat="0">
      <alignment horizontal="center" vertical="center" wrapText="1"/>
    </xf>
    <xf numFmtId="10" fontId="2" fillId="20" borderId="0"/>
    <xf numFmtId="187" fontId="2" fillId="20" borderId="0"/>
    <xf numFmtId="169" fontId="45" fillId="0" borderId="0" applyBorder="0" applyAlignment="0"/>
    <xf numFmtId="42" fontId="5" fillId="20" borderId="16">
      <alignment horizontal="left"/>
    </xf>
    <xf numFmtId="187" fontId="46" fillId="20" borderId="16">
      <alignment horizontal="left"/>
    </xf>
    <xf numFmtId="14" fontId="39" fillId="0" borderId="0" applyNumberFormat="0" applyFill="0" applyBorder="0" applyAlignment="0" applyProtection="0">
      <alignment horizontal="left"/>
    </xf>
    <xf numFmtId="182" fontId="2" fillId="0" borderId="0" applyFont="0" applyFill="0" applyAlignment="0">
      <alignment horizontal="right"/>
    </xf>
    <xf numFmtId="4" fontId="47" fillId="23" borderId="12" applyNumberFormat="0" applyProtection="0">
      <alignment vertical="center"/>
    </xf>
    <xf numFmtId="4" fontId="47" fillId="23" borderId="12" applyNumberFormat="0" applyProtection="0">
      <alignment horizontal="left" vertical="center" indent="1"/>
    </xf>
    <xf numFmtId="0" fontId="2" fillId="29" borderId="12" applyNumberFormat="0" applyProtection="0">
      <alignment horizontal="left" vertical="center" indent="1"/>
    </xf>
    <xf numFmtId="4" fontId="48" fillId="30" borderId="12" applyNumberFormat="0" applyProtection="0">
      <alignment horizontal="left" vertical="center" indent="1"/>
    </xf>
    <xf numFmtId="4" fontId="47" fillId="31" borderId="17" applyNumberFormat="0" applyProtection="0">
      <alignment horizontal="left" vertical="center" indent="1"/>
    </xf>
    <xf numFmtId="4" fontId="49" fillId="31" borderId="12" applyNumberFormat="0" applyProtection="0">
      <alignment horizontal="left" vertical="center" indent="1"/>
    </xf>
    <xf numFmtId="4" fontId="49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4" fontId="47" fillId="31" borderId="12" applyNumberFormat="0" applyProtection="0">
      <alignment horizontal="right" vertical="center"/>
    </xf>
    <xf numFmtId="0" fontId="2" fillId="29" borderId="12" applyNumberFormat="0" applyProtection="0">
      <alignment horizontal="left" vertical="center" indent="1"/>
    </xf>
    <xf numFmtId="0" fontId="2" fillId="29" borderId="12" applyNumberFormat="0" applyProtection="0">
      <alignment horizontal="left" vertical="center" indent="1"/>
    </xf>
    <xf numFmtId="0" fontId="50" fillId="0" borderId="0"/>
    <xf numFmtId="39" fontId="2" fillId="33" borderId="0"/>
    <xf numFmtId="38" fontId="29" fillId="0" borderId="18"/>
    <xf numFmtId="38" fontId="32" fillId="0" borderId="16"/>
    <xf numFmtId="39" fontId="39" fillId="34" borderId="0"/>
    <xf numFmtId="166" fontId="2" fillId="0" borderId="0">
      <alignment horizontal="left" wrapText="1"/>
    </xf>
    <xf numFmtId="40" fontId="51" fillId="0" borderId="0" applyBorder="0">
      <alignment horizontal="right"/>
    </xf>
    <xf numFmtId="41" fontId="52" fillId="20" borderId="0">
      <alignment horizontal="left"/>
    </xf>
    <xf numFmtId="0" fontId="53" fillId="0" borderId="0" applyNumberFormat="0" applyFill="0" applyBorder="0" applyAlignment="0" applyProtection="0"/>
    <xf numFmtId="188" fontId="54" fillId="20" borderId="0">
      <alignment horizontal="left" vertical="center"/>
    </xf>
    <xf numFmtId="0" fontId="6" fillId="20" borderId="0">
      <alignment horizontal="left" wrapText="1"/>
    </xf>
    <xf numFmtId="0" fontId="55" fillId="0" borderId="0">
      <alignment horizontal="left" vertical="center"/>
    </xf>
    <xf numFmtId="0" fontId="21" fillId="0" borderId="19" applyNumberFormat="0" applyFont="0" applyFill="0" applyAlignment="0" applyProtection="0"/>
    <xf numFmtId="0" fontId="23" fillId="0" borderId="20"/>
    <xf numFmtId="0" fontId="56" fillId="0" borderId="0" applyNumberFormat="0" applyFill="0" applyBorder="0" applyAlignment="0" applyProtection="0"/>
  </cellStyleXfs>
  <cellXfs count="284">
    <xf numFmtId="0" fontId="0" fillId="0" borderId="0" xfId="0"/>
    <xf numFmtId="0" fontId="5" fillId="0" borderId="0" xfId="108" applyNumberFormat="1" applyFont="1" applyAlignment="1">
      <alignment horizontal="left"/>
    </xf>
    <xf numFmtId="0" fontId="5" fillId="0" borderId="0" xfId="108" applyFont="1"/>
    <xf numFmtId="0" fontId="5" fillId="0" borderId="0" xfId="108" applyNumberFormat="1" applyFont="1" applyAlignment="1">
      <alignment horizontal="center"/>
    </xf>
    <xf numFmtId="3" fontId="5" fillId="0" borderId="0" xfId="108" applyNumberFormat="1" applyFont="1"/>
    <xf numFmtId="0" fontId="6" fillId="0" borderId="0" xfId="108" applyNumberFormat="1" applyFont="1" applyAlignment="1">
      <alignment horizontal="center"/>
    </xf>
    <xf numFmtId="0" fontId="6" fillId="0" borderId="0" xfId="108" applyFont="1" applyAlignment="1">
      <alignment horizontal="center"/>
    </xf>
    <xf numFmtId="3" fontId="6" fillId="0" borderId="0" xfId="108" applyNumberFormat="1" applyFont="1" applyAlignment="1">
      <alignment horizontal="center"/>
    </xf>
    <xf numFmtId="0" fontId="6" fillId="0" borderId="21" xfId="108" applyNumberFormat="1" applyFont="1" applyBorder="1" applyAlignment="1">
      <alignment horizontal="center"/>
    </xf>
    <xf numFmtId="0" fontId="6" fillId="0" borderId="22" xfId="108" applyFont="1" applyBorder="1" applyAlignment="1">
      <alignment horizontal="center"/>
    </xf>
    <xf numFmtId="0" fontId="6" fillId="0" borderId="16" xfId="108" applyFont="1" applyBorder="1" applyAlignment="1">
      <alignment horizontal="center"/>
    </xf>
    <xf numFmtId="0" fontId="6" fillId="0" borderId="23" xfId="108" applyFont="1" applyBorder="1" applyAlignment="1">
      <alignment horizontal="center"/>
    </xf>
    <xf numFmtId="3" fontId="6" fillId="0" borderId="21" xfId="108" applyNumberFormat="1" applyFont="1" applyBorder="1" applyAlignment="1">
      <alignment horizontal="center"/>
    </xf>
    <xf numFmtId="0" fontId="6" fillId="0" borderId="24" xfId="108" applyNumberFormat="1" applyFont="1" applyBorder="1" applyAlignment="1">
      <alignment horizontal="center"/>
    </xf>
    <xf numFmtId="0" fontId="6" fillId="0" borderId="25" xfId="108" applyFont="1" applyBorder="1" applyAlignment="1">
      <alignment horizontal="center"/>
    </xf>
    <xf numFmtId="0" fontId="6" fillId="0" borderId="0" xfId="108" applyFont="1" applyBorder="1" applyAlignment="1">
      <alignment horizontal="center"/>
    </xf>
    <xf numFmtId="0" fontId="6" fillId="0" borderId="26" xfId="108" applyFont="1" applyBorder="1" applyAlignment="1">
      <alignment horizontal="center"/>
    </xf>
    <xf numFmtId="3" fontId="6" fillId="0" borderId="24" xfId="108" applyNumberFormat="1" applyFont="1" applyBorder="1" applyAlignment="1">
      <alignment horizontal="center"/>
    </xf>
    <xf numFmtId="0" fontId="6" fillId="0" borderId="27" xfId="108" applyNumberFormat="1" applyFont="1" applyBorder="1" applyAlignment="1">
      <alignment horizontal="center"/>
    </xf>
    <xf numFmtId="0" fontId="6" fillId="0" borderId="28" xfId="108" applyFont="1" applyBorder="1" applyAlignment="1">
      <alignment horizontal="center"/>
    </xf>
    <xf numFmtId="0" fontId="6" fillId="0" borderId="15" xfId="108" applyFont="1" applyBorder="1" applyAlignment="1">
      <alignment horizontal="center"/>
    </xf>
    <xf numFmtId="0" fontId="6" fillId="0" borderId="29" xfId="108" applyFont="1" applyBorder="1" applyAlignment="1">
      <alignment horizontal="center"/>
    </xf>
    <xf numFmtId="3" fontId="6" fillId="0" borderId="27" xfId="108" applyNumberFormat="1" applyFont="1" applyBorder="1" applyAlignment="1">
      <alignment horizontal="center"/>
    </xf>
    <xf numFmtId="0" fontId="5" fillId="0" borderId="0" xfId="108" applyFont="1" applyAlignment="1">
      <alignment horizontal="center"/>
    </xf>
    <xf numFmtId="3" fontId="5" fillId="0" borderId="0" xfId="108" applyNumberFormat="1" applyFont="1" applyAlignment="1">
      <alignment horizontal="center"/>
    </xf>
    <xf numFmtId="37" fontId="5" fillId="0" borderId="0" xfId="108" applyNumberFormat="1" applyFont="1" applyAlignment="1">
      <alignment horizontal="center"/>
    </xf>
    <xf numFmtId="5" fontId="5" fillId="0" borderId="0" xfId="108" applyNumberFormat="1" applyFont="1"/>
    <xf numFmtId="0" fontId="6" fillId="0" borderId="0" xfId="0" applyFont="1" applyAlignment="1">
      <alignment horizontal="centerContinuous"/>
    </xf>
    <xf numFmtId="37" fontId="5" fillId="0" borderId="0" xfId="108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167" fontId="5" fillId="0" borderId="0" xfId="115" applyNumberFormat="1" applyFont="1" applyBorder="1"/>
    <xf numFmtId="5" fontId="5" fillId="0" borderId="0" xfId="0" applyNumberFormat="1" applyFont="1"/>
    <xf numFmtId="37" fontId="5" fillId="0" borderId="0" xfId="108" applyNumberFormat="1" applyFont="1" applyBorder="1"/>
    <xf numFmtId="37" fontId="5" fillId="0" borderId="0" xfId="108" applyNumberFormat="1" applyFont="1" applyBorder="1" applyAlignment="1">
      <alignment horizontal="center"/>
    </xf>
    <xf numFmtId="0" fontId="5" fillId="0" borderId="0" xfId="0" applyFont="1" applyFill="1"/>
    <xf numFmtId="0" fontId="7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10" fontId="5" fillId="0" borderId="15" xfId="115" applyNumberFormat="1" applyFont="1" applyBorder="1"/>
    <xf numFmtId="5" fontId="5" fillId="0" borderId="15" xfId="0" applyNumberFormat="1" applyFont="1" applyBorder="1"/>
    <xf numFmtId="5" fontId="5" fillId="0" borderId="0" xfId="0" applyNumberFormat="1" applyFont="1" applyBorder="1"/>
    <xf numFmtId="5" fontId="5" fillId="0" borderId="30" xfId="0" applyNumberFormat="1" applyFont="1" applyBorder="1"/>
    <xf numFmtId="10" fontId="5" fillId="0" borderId="14" xfId="115" applyNumberFormat="1" applyFont="1" applyBorder="1"/>
    <xf numFmtId="10" fontId="5" fillId="0" borderId="0" xfId="115" applyNumberFormat="1" applyFont="1" applyBorder="1"/>
    <xf numFmtId="0" fontId="8" fillId="0" borderId="0" xfId="108" applyFont="1" applyFill="1"/>
    <xf numFmtId="0" fontId="5" fillId="0" borderId="0" xfId="108" applyFont="1" applyFill="1"/>
    <xf numFmtId="0" fontId="5" fillId="0" borderId="0" xfId="0" applyFont="1" applyAlignment="1">
      <alignment horizontal="centerContinuous"/>
    </xf>
    <xf numFmtId="167" fontId="5" fillId="0" borderId="15" xfId="115" applyNumberFormat="1" applyFont="1" applyBorder="1"/>
    <xf numFmtId="0" fontId="9" fillId="0" borderId="0" xfId="0" applyFont="1" applyAlignment="1">
      <alignment horizontal="right"/>
    </xf>
    <xf numFmtId="0" fontId="5" fillId="0" borderId="0" xfId="109" applyFont="1"/>
    <xf numFmtId="0" fontId="6" fillId="0" borderId="0" xfId="109" applyFont="1"/>
    <xf numFmtId="0" fontId="5" fillId="0" borderId="0" xfId="109" applyNumberFormat="1" applyFont="1" applyAlignment="1">
      <alignment horizontal="left"/>
    </xf>
    <xf numFmtId="3" fontId="5" fillId="0" borderId="0" xfId="109" applyNumberFormat="1" applyFont="1"/>
    <xf numFmtId="0" fontId="6" fillId="0" borderId="0" xfId="109" applyNumberFormat="1" applyFont="1" applyAlignment="1">
      <alignment horizontal="center"/>
    </xf>
    <xf numFmtId="0" fontId="6" fillId="0" borderId="0" xfId="109" applyFont="1" applyAlignment="1">
      <alignment horizontal="center"/>
    </xf>
    <xf numFmtId="3" fontId="6" fillId="0" borderId="0" xfId="109" applyNumberFormat="1" applyFont="1" applyAlignment="1">
      <alignment horizontal="center"/>
    </xf>
    <xf numFmtId="0" fontId="6" fillId="0" borderId="21" xfId="109" applyNumberFormat="1" applyFont="1" applyBorder="1" applyAlignment="1">
      <alignment horizontal="center"/>
    </xf>
    <xf numFmtId="0" fontId="6" fillId="0" borderId="22" xfId="109" applyFont="1" applyBorder="1" applyAlignment="1">
      <alignment horizontal="center"/>
    </xf>
    <xf numFmtId="0" fontId="6" fillId="0" borderId="16" xfId="109" applyFont="1" applyBorder="1" applyAlignment="1">
      <alignment horizontal="center"/>
    </xf>
    <xf numFmtId="0" fontId="5" fillId="0" borderId="23" xfId="109" applyFont="1" applyBorder="1"/>
    <xf numFmtId="3" fontId="6" fillId="0" borderId="21" xfId="109" applyNumberFormat="1" applyFont="1" applyBorder="1" applyAlignment="1">
      <alignment horizontal="center"/>
    </xf>
    <xf numFmtId="0" fontId="6" fillId="0" borderId="24" xfId="109" applyNumberFormat="1" applyFont="1" applyBorder="1" applyAlignment="1">
      <alignment horizontal="center"/>
    </xf>
    <xf numFmtId="0" fontId="6" fillId="0" borderId="25" xfId="109" applyFont="1" applyBorder="1" applyAlignment="1">
      <alignment horizontal="center"/>
    </xf>
    <xf numFmtId="0" fontId="6" fillId="0" borderId="0" xfId="109" applyFont="1" applyBorder="1" applyAlignment="1">
      <alignment horizontal="center"/>
    </xf>
    <xf numFmtId="0" fontId="5" fillId="0" borderId="26" xfId="109" applyFont="1" applyBorder="1"/>
    <xf numFmtId="3" fontId="6" fillId="0" borderId="24" xfId="109" applyNumberFormat="1" applyFont="1" applyBorder="1" applyAlignment="1">
      <alignment horizontal="center"/>
    </xf>
    <xf numFmtId="0" fontId="6" fillId="0" borderId="27" xfId="109" applyNumberFormat="1" applyFont="1" applyBorder="1" applyAlignment="1">
      <alignment horizontal="center"/>
    </xf>
    <xf numFmtId="0" fontId="6" fillId="0" borderId="28" xfId="109" applyFont="1" applyBorder="1" applyAlignment="1">
      <alignment horizontal="center"/>
    </xf>
    <xf numFmtId="0" fontId="6" fillId="0" borderId="15" xfId="109" applyFont="1" applyBorder="1" applyAlignment="1">
      <alignment horizontal="center"/>
    </xf>
    <xf numFmtId="0" fontId="6" fillId="0" borderId="29" xfId="109" applyFont="1" applyBorder="1" applyAlignment="1">
      <alignment horizontal="center"/>
    </xf>
    <xf numFmtId="3" fontId="6" fillId="0" borderId="27" xfId="109" applyNumberFormat="1" applyFont="1" applyBorder="1" applyAlignment="1">
      <alignment horizontal="center"/>
    </xf>
    <xf numFmtId="0" fontId="5" fillId="0" borderId="0" xfId="109" applyNumberFormat="1" applyFont="1" applyAlignment="1">
      <alignment horizontal="center"/>
    </xf>
    <xf numFmtId="0" fontId="5" fillId="0" borderId="0" xfId="109" applyFont="1" applyAlignment="1">
      <alignment horizontal="center"/>
    </xf>
    <xf numFmtId="3" fontId="5" fillId="0" borderId="0" xfId="109" applyNumberFormat="1" applyFont="1" applyAlignment="1">
      <alignment horizontal="center"/>
    </xf>
    <xf numFmtId="5" fontId="5" fillId="0" borderId="0" xfId="109" applyNumberFormat="1" applyFont="1"/>
    <xf numFmtId="37" fontId="5" fillId="0" borderId="0" xfId="109" applyNumberFormat="1" applyFont="1"/>
    <xf numFmtId="37" fontId="5" fillId="0" borderId="0" xfId="109" applyNumberFormat="1" applyFont="1" applyBorder="1"/>
    <xf numFmtId="0" fontId="5" fillId="0" borderId="0" xfId="109" applyFont="1" applyBorder="1"/>
    <xf numFmtId="0" fontId="6" fillId="0" borderId="0" xfId="0" applyFont="1"/>
    <xf numFmtId="166" fontId="6" fillId="0" borderId="0" xfId="0" applyNumberFormat="1" applyFont="1"/>
    <xf numFmtId="166" fontId="5" fillId="0" borderId="0" xfId="0" applyNumberFormat="1" applyFont="1"/>
    <xf numFmtId="9" fontId="5" fillId="0" borderId="0" xfId="0" applyNumberFormat="1" applyFont="1"/>
    <xf numFmtId="9" fontId="5" fillId="0" borderId="0" xfId="115" applyFont="1"/>
    <xf numFmtId="166" fontId="5" fillId="0" borderId="0" xfId="0" applyNumberFormat="1" applyFont="1" applyBorder="1"/>
    <xf numFmtId="166" fontId="5" fillId="0" borderId="0" xfId="115" applyNumberFormat="1" applyFont="1"/>
    <xf numFmtId="166" fontId="5" fillId="0" borderId="3" xfId="0" applyNumberFormat="1" applyFont="1" applyBorder="1"/>
    <xf numFmtId="166" fontId="5" fillId="0" borderId="15" xfId="0" applyNumberFormat="1" applyFont="1" applyBorder="1"/>
    <xf numFmtId="166" fontId="5" fillId="0" borderId="31" xfId="0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10" fontId="5" fillId="0" borderId="0" xfId="0" applyNumberFormat="1" applyFont="1" applyFill="1" applyAlignment="1"/>
    <xf numFmtId="10" fontId="5" fillId="0" borderId="0" xfId="115" applyNumberFormat="1" applyFont="1" applyFill="1" applyAlignment="1"/>
    <xf numFmtId="42" fontId="5" fillId="0" borderId="16" xfId="0" applyNumberFormat="1" applyFont="1" applyFill="1" applyBorder="1" applyAlignment="1"/>
    <xf numFmtId="0" fontId="6" fillId="0" borderId="21" xfId="108" applyFont="1" applyBorder="1" applyAlignment="1">
      <alignment horizontal="center"/>
    </xf>
    <xf numFmtId="0" fontId="6" fillId="0" borderId="24" xfId="108" applyFont="1" applyBorder="1" applyAlignment="1">
      <alignment horizontal="center"/>
    </xf>
    <xf numFmtId="0" fontId="6" fillId="0" borderId="27" xfId="108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109" applyFont="1" applyBorder="1" applyAlignment="1">
      <alignment horizontal="center"/>
    </xf>
    <xf numFmtId="0" fontId="6" fillId="0" borderId="24" xfId="109" applyFont="1" applyBorder="1" applyAlignment="1">
      <alignment horizontal="center"/>
    </xf>
    <xf numFmtId="0" fontId="6" fillId="0" borderId="27" xfId="109" applyFont="1" applyBorder="1" applyAlignment="1">
      <alignment horizontal="center"/>
    </xf>
    <xf numFmtId="37" fontId="6" fillId="0" borderId="0" xfId="106" applyNumberFormat="1" applyFont="1" applyFill="1" applyAlignment="1">
      <alignment horizontal="center"/>
    </xf>
    <xf numFmtId="0" fontId="5" fillId="0" borderId="0" xfId="106" applyFont="1"/>
    <xf numFmtId="3" fontId="5" fillId="0" borderId="0" xfId="56" applyNumberFormat="1" applyFont="1"/>
    <xf numFmtId="0" fontId="6" fillId="0" borderId="0" xfId="105" applyFont="1" applyFill="1"/>
    <xf numFmtId="166" fontId="11" fillId="0" borderId="0" xfId="153" applyFont="1" applyFill="1" applyAlignment="1">
      <alignment horizontal="left"/>
    </xf>
    <xf numFmtId="169" fontId="5" fillId="0" borderId="0" xfId="58" applyNumberFormat="1" applyFont="1" applyAlignment="1">
      <alignment horizontal="center"/>
    </xf>
    <xf numFmtId="0" fontId="5" fillId="0" borderId="0" xfId="106" applyFont="1" applyAlignment="1">
      <alignment horizontal="center"/>
    </xf>
    <xf numFmtId="0" fontId="5" fillId="0" borderId="0" xfId="105" applyFont="1"/>
    <xf numFmtId="0" fontId="12" fillId="0" borderId="0" xfId="106" applyFont="1" applyAlignment="1">
      <alignment horizontal="center"/>
    </xf>
    <xf numFmtId="169" fontId="12" fillId="0" borderId="0" xfId="58" applyNumberFormat="1" applyFont="1" applyAlignment="1">
      <alignment horizontal="center"/>
    </xf>
    <xf numFmtId="10" fontId="12" fillId="0" borderId="0" xfId="115" applyNumberFormat="1" applyFont="1" applyAlignment="1">
      <alignment horizontal="center"/>
    </xf>
    <xf numFmtId="0" fontId="5" fillId="0" borderId="0" xfId="105" applyFont="1" applyAlignment="1">
      <alignment horizontal="center"/>
    </xf>
    <xf numFmtId="0" fontId="5" fillId="0" borderId="0" xfId="105" applyFont="1" applyFill="1" applyAlignment="1">
      <alignment horizontal="center"/>
    </xf>
    <xf numFmtId="166" fontId="12" fillId="0" borderId="0" xfId="153" applyFont="1" applyAlignment="1">
      <alignment horizontal="left"/>
    </xf>
    <xf numFmtId="0" fontId="5" fillId="0" borderId="0" xfId="105" applyFont="1" applyBorder="1"/>
    <xf numFmtId="166" fontId="5" fillId="0" borderId="0" xfId="153" applyFont="1" applyAlignment="1">
      <alignment horizontal="left" indent="1"/>
    </xf>
    <xf numFmtId="42" fontId="5" fillId="0" borderId="0" xfId="57" applyNumberFormat="1" applyFont="1" applyFill="1"/>
    <xf numFmtId="42" fontId="5" fillId="0" borderId="0" xfId="57" applyNumberFormat="1" applyFont="1" applyFill="1" applyBorder="1"/>
    <xf numFmtId="41" fontId="5" fillId="0" borderId="0" xfId="56" applyNumberFormat="1" applyFont="1" applyBorder="1"/>
    <xf numFmtId="0" fontId="5" fillId="0" borderId="0" xfId="106" applyFont="1" applyBorder="1"/>
    <xf numFmtId="170" fontId="5" fillId="0" borderId="0" xfId="74" applyNumberFormat="1" applyFont="1" applyBorder="1"/>
    <xf numFmtId="170" fontId="5" fillId="0" borderId="0" xfId="74" applyNumberFormat="1" applyFont="1"/>
    <xf numFmtId="169" fontId="5" fillId="0" borderId="0" xfId="58" applyNumberFormat="1" applyFont="1" applyBorder="1"/>
    <xf numFmtId="10" fontId="5" fillId="0" borderId="0" xfId="0" applyNumberFormat="1" applyFont="1"/>
    <xf numFmtId="170" fontId="5" fillId="0" borderId="31" xfId="74" applyNumberFormat="1" applyFont="1" applyBorder="1"/>
    <xf numFmtId="170" fontId="5" fillId="0" borderId="0" xfId="106" applyNumberFormat="1" applyFont="1"/>
    <xf numFmtId="171" fontId="5" fillId="0" borderId="0" xfId="58" applyNumberFormat="1" applyFont="1" applyBorder="1"/>
    <xf numFmtId="3" fontId="5" fillId="0" borderId="0" xfId="56" applyNumberFormat="1" applyFont="1" applyBorder="1"/>
    <xf numFmtId="166" fontId="5" fillId="0" borderId="0" xfId="153" applyFont="1" applyAlignment="1"/>
    <xf numFmtId="42" fontId="5" fillId="0" borderId="15" xfId="57" applyNumberFormat="1" applyFont="1" applyFill="1" applyBorder="1"/>
    <xf numFmtId="42" fontId="5" fillId="0" borderId="31" xfId="57" applyNumberFormat="1" applyFont="1" applyFill="1" applyBorder="1"/>
    <xf numFmtId="42" fontId="5" fillId="0" borderId="31" xfId="0" applyNumberFormat="1" applyFont="1" applyBorder="1"/>
    <xf numFmtId="0" fontId="12" fillId="0" borderId="0" xfId="105" applyFont="1"/>
    <xf numFmtId="42" fontId="5" fillId="0" borderId="0" xfId="105" applyNumberFormat="1" applyFont="1"/>
    <xf numFmtId="10" fontId="5" fillId="0" borderId="0" xfId="105" applyNumberFormat="1" applyFont="1"/>
    <xf numFmtId="166" fontId="5" fillId="0" borderId="0" xfId="106" applyNumberFormat="1" applyFont="1" applyBorder="1"/>
    <xf numFmtId="170" fontId="5" fillId="0" borderId="15" xfId="71" applyNumberFormat="1" applyFont="1" applyBorder="1"/>
    <xf numFmtId="0" fontId="5" fillId="0" borderId="0" xfId="105" applyFont="1" applyFill="1" applyBorder="1" applyAlignment="1">
      <alignment horizontal="center"/>
    </xf>
    <xf numFmtId="170" fontId="5" fillId="0" borderId="0" xfId="71" applyNumberFormat="1" applyFont="1"/>
    <xf numFmtId="169" fontId="5" fillId="0" borderId="0" xfId="56" applyNumberFormat="1" applyFont="1"/>
    <xf numFmtId="169" fontId="5" fillId="0" borderId="15" xfId="56" applyNumberFormat="1" applyFont="1" applyBorder="1"/>
    <xf numFmtId="170" fontId="5" fillId="0" borderId="31" xfId="71" applyNumberFormat="1" applyFont="1" applyBorder="1"/>
    <xf numFmtId="178" fontId="5" fillId="0" borderId="0" xfId="56" applyNumberFormat="1" applyFont="1" applyFill="1" applyAlignment="1"/>
    <xf numFmtId="170" fontId="5" fillId="0" borderId="0" xfId="71" applyNumberFormat="1" applyFont="1" applyBorder="1"/>
    <xf numFmtId="169" fontId="5" fillId="0" borderId="0" xfId="56" applyNumberFormat="1" applyFont="1" applyBorder="1"/>
    <xf numFmtId="170" fontId="5" fillId="0" borderId="16" xfId="71" applyNumberFormat="1" applyFont="1" applyFill="1" applyBorder="1" applyAlignment="1"/>
    <xf numFmtId="170" fontId="5" fillId="0" borderId="0" xfId="74" applyNumberFormat="1" applyFont="1" applyAlignment="1"/>
    <xf numFmtId="169" fontId="5" fillId="0" borderId="15" xfId="58" applyNumberFormat="1" applyFont="1" applyBorder="1" applyAlignment="1">
      <alignment horizontal="center"/>
    </xf>
    <xf numFmtId="0" fontId="5" fillId="0" borderId="0" xfId="106" applyFont="1" applyBorder="1" applyAlignment="1">
      <alignment horizontal="center"/>
    </xf>
    <xf numFmtId="6" fontId="5" fillId="0" borderId="0" xfId="72" applyNumberFormat="1" applyFont="1"/>
    <xf numFmtId="0" fontId="5" fillId="0" borderId="0" xfId="106" applyFont="1" applyFill="1"/>
    <xf numFmtId="169" fontId="5" fillId="0" borderId="15" xfId="58" applyNumberFormat="1" applyFont="1" applyBorder="1"/>
    <xf numFmtId="170" fontId="5" fillId="0" borderId="15" xfId="74" applyNumberFormat="1" applyFont="1" applyBorder="1" applyAlignment="1"/>
    <xf numFmtId="37" fontId="5" fillId="0" borderId="0" xfId="0" applyNumberFormat="1" applyFont="1"/>
    <xf numFmtId="37" fontId="5" fillId="0" borderId="0" xfId="0" applyNumberFormat="1" applyFont="1" applyFill="1"/>
    <xf numFmtId="37" fontId="5" fillId="0" borderId="0" xfId="0" applyNumberFormat="1" applyFont="1" applyBorder="1"/>
    <xf numFmtId="0" fontId="12" fillId="0" borderId="0" xfId="106" applyFont="1" applyBorder="1" applyAlignment="1">
      <alignment horizontal="center"/>
    </xf>
    <xf numFmtId="37" fontId="5" fillId="0" borderId="15" xfId="0" applyNumberFormat="1" applyFont="1" applyBorder="1"/>
    <xf numFmtId="169" fontId="5" fillId="0" borderId="0" xfId="56" applyNumberFormat="1" applyFont="1" applyAlignment="1">
      <alignment horizontal="center"/>
    </xf>
    <xf numFmtId="169" fontId="5" fillId="0" borderId="15" xfId="56" applyNumberFormat="1" applyFont="1" applyBorder="1" applyAlignment="1">
      <alignment horizontal="center"/>
    </xf>
    <xf numFmtId="0" fontId="5" fillId="0" borderId="0" xfId="103" applyFont="1"/>
    <xf numFmtId="0" fontId="5" fillId="0" borderId="0" xfId="103" applyFont="1" applyAlignment="1">
      <alignment horizontal="left"/>
    </xf>
    <xf numFmtId="37" fontId="5" fillId="0" borderId="15" xfId="0" applyNumberFormat="1" applyFont="1" applyFill="1" applyBorder="1"/>
    <xf numFmtId="37" fontId="12" fillId="0" borderId="0" xfId="0" applyNumberFormat="1" applyFont="1" applyBorder="1"/>
    <xf numFmtId="170" fontId="5" fillId="0" borderId="15" xfId="71" applyNumberFormat="1" applyFont="1" applyBorder="1" applyAlignment="1">
      <alignment horizontal="center"/>
    </xf>
    <xf numFmtId="170" fontId="5" fillId="0" borderId="15" xfId="74" applyNumberFormat="1" applyFont="1" applyBorder="1" applyAlignment="1">
      <alignment horizontal="center"/>
    </xf>
    <xf numFmtId="0" fontId="5" fillId="0" borderId="0" xfId="106" applyFont="1" applyFill="1" applyAlignment="1">
      <alignment horizontal="center"/>
    </xf>
    <xf numFmtId="169" fontId="12" fillId="0" borderId="0" xfId="56" applyNumberFormat="1" applyFont="1" applyBorder="1"/>
    <xf numFmtId="169" fontId="5" fillId="0" borderId="15" xfId="56" applyNumberFormat="1" applyFont="1" applyFill="1" applyBorder="1"/>
    <xf numFmtId="169" fontId="5" fillId="0" borderId="0" xfId="56" applyNumberFormat="1" applyFont="1" applyFill="1"/>
    <xf numFmtId="0" fontId="5" fillId="0" borderId="0" xfId="106" applyFont="1" applyAlignment="1">
      <alignment horizontal="left"/>
    </xf>
    <xf numFmtId="42" fontId="5" fillId="0" borderId="0" xfId="106" applyNumberFormat="1" applyFont="1" applyBorder="1"/>
    <xf numFmtId="42" fontId="5" fillId="0" borderId="0" xfId="74" applyNumberFormat="1" applyFont="1" applyBorder="1" applyAlignment="1"/>
    <xf numFmtId="41" fontId="5" fillId="0" borderId="0" xfId="106" applyNumberFormat="1" applyFont="1"/>
    <xf numFmtId="41" fontId="5" fillId="0" borderId="0" xfId="58" applyNumberFormat="1" applyFont="1" applyBorder="1" applyAlignment="1">
      <alignment horizontal="center"/>
    </xf>
    <xf numFmtId="6" fontId="5" fillId="0" borderId="0" xfId="72" applyNumberFormat="1" applyFont="1" applyBorder="1"/>
    <xf numFmtId="0" fontId="5" fillId="0" borderId="0" xfId="106" applyFont="1" applyFill="1" applyBorder="1"/>
    <xf numFmtId="41" fontId="5" fillId="0" borderId="15" xfId="58" applyNumberFormat="1" applyFont="1" applyBorder="1" applyAlignment="1">
      <alignment horizontal="center"/>
    </xf>
    <xf numFmtId="10" fontId="5" fillId="0" borderId="0" xfId="106" applyNumberFormat="1" applyFont="1" applyBorder="1"/>
    <xf numFmtId="42" fontId="5" fillId="0" borderId="31" xfId="74" applyNumberFormat="1" applyFont="1" applyBorder="1" applyAlignment="1"/>
    <xf numFmtId="0" fontId="5" fillId="0" borderId="0" xfId="107" applyNumberFormat="1" applyFont="1" applyAlignment="1">
      <alignment horizontal="justify"/>
    </xf>
    <xf numFmtId="42" fontId="5" fillId="0" borderId="0" xfId="106" applyNumberFormat="1" applyFont="1"/>
    <xf numFmtId="0" fontId="5" fillId="0" borderId="15" xfId="106" applyFont="1" applyBorder="1" applyAlignment="1">
      <alignment horizontal="center"/>
    </xf>
    <xf numFmtId="0" fontId="5" fillId="0" borderId="15" xfId="106" quotePrefix="1" applyFont="1" applyBorder="1" applyAlignment="1">
      <alignment horizontal="center"/>
    </xf>
    <xf numFmtId="41" fontId="5" fillId="0" borderId="0" xfId="56" applyNumberFormat="1" applyFont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0" fontId="2" fillId="0" borderId="0" xfId="115" applyNumberFormat="1"/>
    <xf numFmtId="167" fontId="0" fillId="0" borderId="0" xfId="0" applyNumberFormat="1"/>
    <xf numFmtId="10" fontId="2" fillId="0" borderId="15" xfId="115" applyNumberFormat="1" applyBorder="1"/>
    <xf numFmtId="10" fontId="2" fillId="0" borderId="31" xfId="115" applyNumberFormat="1" applyBorder="1"/>
    <xf numFmtId="10" fontId="0" fillId="0" borderId="31" xfId="0" applyNumberFormat="1" applyBorder="1"/>
    <xf numFmtId="3" fontId="6" fillId="0" borderId="0" xfId="109" applyNumberFormat="1" applyFont="1" applyBorder="1" applyAlignment="1">
      <alignment horizontal="center"/>
    </xf>
    <xf numFmtId="3" fontId="5" fillId="0" borderId="0" xfId="109" applyNumberFormat="1" applyFont="1" applyBorder="1"/>
    <xf numFmtId="3" fontId="5" fillId="0" borderId="0" xfId="109" applyNumberFormat="1" applyFont="1" applyBorder="1" applyAlignment="1">
      <alignment horizontal="center"/>
    </xf>
    <xf numFmtId="10" fontId="5" fillId="0" borderId="0" xfId="0" applyNumberFormat="1" applyFont="1" applyFill="1" applyBorder="1" applyAlignment="1"/>
    <xf numFmtId="10" fontId="5" fillId="0" borderId="0" xfId="115" applyNumberFormat="1" applyFont="1" applyFill="1" applyBorder="1" applyAlignment="1"/>
    <xf numFmtId="170" fontId="5" fillId="0" borderId="0" xfId="71" applyNumberFormat="1" applyFont="1" applyFill="1" applyBorder="1" applyAlignment="1"/>
    <xf numFmtId="178" fontId="5" fillId="0" borderId="0" xfId="56" applyNumberFormat="1" applyFont="1" applyFill="1" applyBorder="1" applyAlignment="1"/>
    <xf numFmtId="3" fontId="6" fillId="0" borderId="25" xfId="109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0" xfId="109" applyFont="1" applyBorder="1" applyAlignment="1">
      <alignment horizontal="center"/>
    </xf>
    <xf numFmtId="0" fontId="5" fillId="0" borderId="0" xfId="108" applyFont="1" applyBorder="1"/>
    <xf numFmtId="0" fontId="5" fillId="0" borderId="0" xfId="108" applyFont="1" applyBorder="1" applyAlignment="1">
      <alignment horizontal="center"/>
    </xf>
    <xf numFmtId="3" fontId="5" fillId="0" borderId="0" xfId="108" applyNumberFormat="1" applyFont="1" applyBorder="1"/>
    <xf numFmtId="42" fontId="5" fillId="0" borderId="0" xfId="0" applyNumberFormat="1" applyFont="1" applyFill="1" applyBorder="1" applyAlignment="1"/>
    <xf numFmtId="3" fontId="6" fillId="0" borderId="0" xfId="108" applyNumberFormat="1" applyFont="1" applyBorder="1" applyAlignment="1">
      <alignment horizontal="center"/>
    </xf>
    <xf numFmtId="3" fontId="5" fillId="0" borderId="0" xfId="108" applyNumberFormat="1" applyFont="1" applyBorder="1" applyAlignment="1">
      <alignment horizontal="center"/>
    </xf>
    <xf numFmtId="3" fontId="6" fillId="0" borderId="25" xfId="108" applyNumberFormat="1" applyFont="1" applyBorder="1" applyAlignment="1">
      <alignment horizontal="center"/>
    </xf>
    <xf numFmtId="42" fontId="5" fillId="0" borderId="0" xfId="108" applyNumberFormat="1" applyFont="1"/>
    <xf numFmtId="170" fontId="5" fillId="0" borderId="30" xfId="71" applyNumberFormat="1" applyFont="1" applyBorder="1"/>
    <xf numFmtId="170" fontId="5" fillId="0" borderId="0" xfId="0" applyNumberFormat="1" applyFont="1"/>
    <xf numFmtId="0" fontId="11" fillId="0" borderId="0" xfId="104" applyNumberFormat="1" applyFont="1" applyAlignment="1"/>
    <xf numFmtId="0" fontId="5" fillId="0" borderId="0" xfId="104" applyNumberFormat="1" applyFont="1" applyAlignment="1">
      <alignment horizontal="center"/>
    </xf>
    <xf numFmtId="0" fontId="5" fillId="0" borderId="0" xfId="104" applyNumberFormat="1" applyFont="1" applyAlignment="1"/>
    <xf numFmtId="0" fontId="12" fillId="0" borderId="0" xfId="104" applyNumberFormat="1" applyFont="1" applyAlignment="1">
      <alignment horizontal="center"/>
    </xf>
    <xf numFmtId="0" fontId="12" fillId="0" borderId="0" xfId="104" applyNumberFormat="1" applyFont="1" applyBorder="1" applyAlignment="1">
      <alignment horizontal="center"/>
    </xf>
    <xf numFmtId="41" fontId="5" fillId="0" borderId="0" xfId="104" applyNumberFormat="1" applyFont="1" applyAlignment="1"/>
    <xf numFmtId="10" fontId="5" fillId="0" borderId="0" xfId="115" applyNumberFormat="1" applyFont="1"/>
    <xf numFmtId="41" fontId="5" fillId="0" borderId="0" xfId="104" applyNumberFormat="1" applyFont="1" applyBorder="1" applyAlignment="1"/>
    <xf numFmtId="41" fontId="5" fillId="0" borderId="15" xfId="104" applyNumberFormat="1" applyFont="1" applyBorder="1" applyAlignment="1"/>
    <xf numFmtId="0" fontId="5" fillId="0" borderId="0" xfId="104" applyNumberFormat="1" applyFont="1" applyBorder="1" applyAlignment="1"/>
    <xf numFmtId="42" fontId="5" fillId="0" borderId="0" xfId="73" applyNumberFormat="1" applyFont="1"/>
    <xf numFmtId="10" fontId="5" fillId="0" borderId="0" xfId="104" applyNumberFormat="1" applyFont="1" applyAlignment="1"/>
    <xf numFmtId="42" fontId="5" fillId="0" borderId="0" xfId="104" applyNumberFormat="1" applyFont="1" applyAlignment="1"/>
    <xf numFmtId="0" fontId="11" fillId="0" borderId="0" xfId="104" applyNumberFormat="1" applyFont="1" applyAlignment="1">
      <alignment horizontal="center"/>
    </xf>
    <xf numFmtId="0" fontId="5" fillId="0" borderId="0" xfId="104" applyNumberFormat="1" applyFont="1" applyAlignment="1">
      <alignment horizontal="left"/>
    </xf>
    <xf numFmtId="170" fontId="5" fillId="0" borderId="15" xfId="71" applyNumberFormat="1" applyFont="1" applyBorder="1" applyAlignment="1"/>
    <xf numFmtId="0" fontId="5" fillId="0" borderId="0" xfId="109" applyFont="1" applyFill="1"/>
    <xf numFmtId="0" fontId="6" fillId="0" borderId="0" xfId="109" applyFont="1" applyFill="1" applyAlignment="1">
      <alignment horizontal="center"/>
    </xf>
    <xf numFmtId="0" fontId="6" fillId="0" borderId="21" xfId="109" applyFont="1" applyFill="1" applyBorder="1" applyAlignment="1">
      <alignment horizontal="center"/>
    </xf>
    <xf numFmtId="0" fontId="6" fillId="0" borderId="24" xfId="109" applyFont="1" applyFill="1" applyBorder="1" applyAlignment="1">
      <alignment horizontal="center"/>
    </xf>
    <xf numFmtId="0" fontId="6" fillId="0" borderId="27" xfId="109" applyFont="1" applyFill="1" applyBorder="1" applyAlignment="1">
      <alignment horizontal="center"/>
    </xf>
    <xf numFmtId="0" fontId="5" fillId="0" borderId="0" xfId="109" applyFont="1" applyFill="1" applyAlignment="1">
      <alignment horizontal="center"/>
    </xf>
    <xf numFmtId="170" fontId="5" fillId="0" borderId="0" xfId="71" applyNumberFormat="1" applyFont="1" applyFill="1"/>
    <xf numFmtId="3" fontId="5" fillId="0" borderId="0" xfId="109" applyNumberFormat="1" applyFont="1" applyFill="1"/>
    <xf numFmtId="170" fontId="5" fillId="0" borderId="31" xfId="71" applyNumberFormat="1" applyFont="1" applyFill="1" applyBorder="1"/>
    <xf numFmtId="170" fontId="5" fillId="0" borderId="0" xfId="71" applyNumberFormat="1" applyFont="1" applyFill="1" applyBorder="1"/>
    <xf numFmtId="169" fontId="5" fillId="0" borderId="0" xfId="56" applyNumberFormat="1" applyFont="1" applyFill="1" applyBorder="1"/>
    <xf numFmtId="0" fontId="6" fillId="0" borderId="0" xfId="108" applyFont="1" applyFill="1" applyAlignment="1">
      <alignment horizontal="center"/>
    </xf>
    <xf numFmtId="0" fontId="6" fillId="0" borderId="21" xfId="108" applyFont="1" applyFill="1" applyBorder="1" applyAlignment="1">
      <alignment horizontal="center"/>
    </xf>
    <xf numFmtId="0" fontId="6" fillId="0" borderId="24" xfId="108" applyFont="1" applyFill="1" applyBorder="1" applyAlignment="1">
      <alignment horizontal="center"/>
    </xf>
    <xf numFmtId="0" fontId="6" fillId="0" borderId="27" xfId="108" applyFont="1" applyFill="1" applyBorder="1" applyAlignment="1">
      <alignment horizontal="center"/>
    </xf>
    <xf numFmtId="0" fontId="5" fillId="0" borderId="0" xfId="108" applyFont="1" applyFill="1" applyAlignment="1">
      <alignment horizontal="center"/>
    </xf>
    <xf numFmtId="3" fontId="5" fillId="0" borderId="0" xfId="108" applyNumberFormat="1" applyFont="1" applyFill="1"/>
    <xf numFmtId="37" fontId="5" fillId="0" borderId="0" xfId="108" applyNumberFormat="1" applyFont="1" applyFill="1"/>
    <xf numFmtId="42" fontId="5" fillId="0" borderId="0" xfId="71" applyNumberFormat="1" applyFont="1" applyFill="1" applyAlignment="1"/>
    <xf numFmtId="178" fontId="5" fillId="0" borderId="15" xfId="56" applyNumberFormat="1" applyFont="1" applyFill="1" applyBorder="1" applyAlignment="1"/>
    <xf numFmtId="3" fontId="2" fillId="0" borderId="0" xfId="56" applyNumberFormat="1" applyFont="1"/>
    <xf numFmtId="0" fontId="12" fillId="0" borderId="0" xfId="106" applyFont="1" applyFill="1" applyAlignment="1">
      <alignment horizontal="center"/>
    </xf>
    <xf numFmtId="170" fontId="5" fillId="0" borderId="0" xfId="74" applyNumberFormat="1" applyFont="1" applyFill="1" applyAlignment="1"/>
    <xf numFmtId="170" fontId="5" fillId="0" borderId="15" xfId="74" applyNumberFormat="1" applyFont="1" applyFill="1" applyBorder="1" applyAlignment="1"/>
    <xf numFmtId="170" fontId="5" fillId="0" borderId="0" xfId="74" applyNumberFormat="1" applyFont="1" applyFill="1" applyBorder="1"/>
    <xf numFmtId="10" fontId="5" fillId="0" borderId="0" xfId="0" applyNumberFormat="1" applyFont="1" applyFill="1"/>
    <xf numFmtId="169" fontId="5" fillId="0" borderId="15" xfId="58" applyNumberFormat="1" applyFont="1" applyFill="1" applyBorder="1"/>
    <xf numFmtId="170" fontId="5" fillId="0" borderId="31" xfId="74" applyNumberFormat="1" applyFont="1" applyFill="1" applyBorder="1"/>
    <xf numFmtId="0" fontId="0" fillId="0" borderId="0" xfId="0" applyFill="1"/>
    <xf numFmtId="169" fontId="57" fillId="0" borderId="0" xfId="56" applyNumberFormat="1" applyFont="1" applyFill="1"/>
    <xf numFmtId="0" fontId="0" fillId="0" borderId="0" xfId="0" applyFill="1" applyAlignment="1">
      <alignment horizontal="center"/>
    </xf>
    <xf numFmtId="169" fontId="57" fillId="0" borderId="15" xfId="56" applyNumberFormat="1" applyFont="1" applyFill="1" applyBorder="1"/>
    <xf numFmtId="0" fontId="58" fillId="0" borderId="0" xfId="108" applyFont="1" applyAlignment="1">
      <alignment horizontal="center"/>
    </xf>
    <xf numFmtId="0" fontId="6" fillId="0" borderId="0" xfId="108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37" fontId="6" fillId="0" borderId="0" xfId="106" applyNumberFormat="1" applyFont="1" applyFill="1" applyAlignment="1">
      <alignment horizontal="center"/>
    </xf>
    <xf numFmtId="37" fontId="6" fillId="0" borderId="0" xfId="106" applyNumberFormat="1" applyFont="1" applyFill="1" applyBorder="1" applyAlignment="1">
      <alignment horizontal="center"/>
    </xf>
    <xf numFmtId="6" fontId="5" fillId="0" borderId="15" xfId="106" quotePrefix="1" applyNumberFormat="1" applyFont="1" applyBorder="1" applyAlignment="1">
      <alignment horizontal="center"/>
    </xf>
    <xf numFmtId="0" fontId="5" fillId="0" borderId="15" xfId="106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0" borderId="0" xfId="106" applyFont="1" applyFill="1" applyBorder="1" applyAlignment="1">
      <alignment horizontal="center"/>
    </xf>
    <xf numFmtId="0" fontId="58" fillId="0" borderId="0" xfId="106" applyFont="1" applyAlignment="1">
      <alignment horizontal="center"/>
    </xf>
    <xf numFmtId="0" fontId="59" fillId="0" borderId="0" xfId="106" applyFont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0" fontId="12" fillId="0" borderId="0" xfId="106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104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5" xfId="104" applyNumberFormat="1" applyFont="1" applyBorder="1" applyAlignment="1">
      <alignment horizontal="center"/>
    </xf>
  </cellXfs>
  <cellStyles count="163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Recon to Darrin's 5.11.05 proforma" xfId="20"/>
    <cellStyle name="_Tenaska Comparison" xfId="21"/>
    <cellStyle name="_Value Copy 11 30 05 gas 12 09 05 AURORA at 12 14 05" xfId="22"/>
    <cellStyle name="_VC 6.15.06 update on 06GRC power costs.xls Chart 1" xfId="23"/>
    <cellStyle name="_VC 6.15.06 update on 06GRC power costs.xls Chart 2" xfId="24"/>
    <cellStyle name="_VC 6.15.06 update on 06GRC power costs.xls Chart 3" xfId="25"/>
    <cellStyle name="0,0_x000d__x000a_NA_x000d__x000a_" xfId="26"/>
    <cellStyle name="20% - Accent1" xfId="27" builtinId="30" customBuiltin="1"/>
    <cellStyle name="20% - Accent2" xfId="28" builtinId="34" customBuiltin="1"/>
    <cellStyle name="20% - Accent3" xfId="29" builtinId="38" customBuiltin="1"/>
    <cellStyle name="20% - Accent4" xfId="30" builtinId="42" customBuiltin="1"/>
    <cellStyle name="20% - Accent5" xfId="31" builtinId="46" customBuiltin="1"/>
    <cellStyle name="20% - Accent6" xfId="32" builtinId="50" customBuiltin="1"/>
    <cellStyle name="40% - Accent1" xfId="33" builtinId="31" customBuiltin="1"/>
    <cellStyle name="40% - Accent2" xfId="34" builtinId="35" customBuiltin="1"/>
    <cellStyle name="40% - Accent3" xfId="35" builtinId="39" customBuiltin="1"/>
    <cellStyle name="40% - Accent4" xfId="36" builtinId="43" customBuiltin="1"/>
    <cellStyle name="40% - Accent5" xfId="37" builtinId="47" customBuiltin="1"/>
    <cellStyle name="40% - Accent6" xfId="38" builtinId="51" customBuiltin="1"/>
    <cellStyle name="60% - Accent1" xfId="39" builtinId="32" customBuiltin="1"/>
    <cellStyle name="60% - Accent2" xfId="40" builtinId="36" customBuiltin="1"/>
    <cellStyle name="60% - Accent3" xfId="41" builtinId="40" customBuiltin="1"/>
    <cellStyle name="60% - Accent4" xfId="42" builtinId="44" customBuiltin="1"/>
    <cellStyle name="60% - Accent5" xfId="43" builtinId="48" customBuiltin="1"/>
    <cellStyle name="60% - Accent6" xfId="44" builtinId="52" customBuiltin="1"/>
    <cellStyle name="Accent1" xfId="45" builtinId="29" customBuiltin="1"/>
    <cellStyle name="Accent2" xfId="46" builtinId="33" customBuiltin="1"/>
    <cellStyle name="Accent3" xfId="47" builtinId="37" customBuiltin="1"/>
    <cellStyle name="Accent4" xfId="48" builtinId="41" customBuiltin="1"/>
    <cellStyle name="Accent5" xfId="49" builtinId="45" customBuiltin="1"/>
    <cellStyle name="Accent6" xfId="50" builtinId="49" customBuiltin="1"/>
    <cellStyle name="Bad" xfId="51" builtinId="27" customBuiltin="1"/>
    <cellStyle name="Calc Currency (0)" xfId="52"/>
    <cellStyle name="Calculation" xfId="53" builtinId="22" customBuiltin="1"/>
    <cellStyle name="Check Cell" xfId="54" builtinId="23" customBuiltin="1"/>
    <cellStyle name="CheckCell" xfId="55"/>
    <cellStyle name="Comma" xfId="56" builtinId="3"/>
    <cellStyle name="Comma_4.06E Hopkins Ridge Infill (C) - SK" xfId="57"/>
    <cellStyle name="Comma_MJM-4" xfId="58"/>
    <cellStyle name="Comma0" xfId="59"/>
    <cellStyle name="Comma0 - Style2" xfId="60"/>
    <cellStyle name="Comma0 - Style4" xfId="61"/>
    <cellStyle name="Comma0 - Style5" xfId="62"/>
    <cellStyle name="Comma0_00COS Ind Allocators" xfId="63"/>
    <cellStyle name="Comma1 - Style1" xfId="64"/>
    <cellStyle name="Copied" xfId="65"/>
    <cellStyle name="COST1" xfId="66"/>
    <cellStyle name="Curren - Style1" xfId="67"/>
    <cellStyle name="Curren - Style2" xfId="68"/>
    <cellStyle name="Curren - Style5" xfId="69"/>
    <cellStyle name="Curren - Style6" xfId="70"/>
    <cellStyle name="Currency" xfId="71" builtinId="4"/>
    <cellStyle name="Currency_Book2" xfId="72"/>
    <cellStyle name="Currency_Book2_1" xfId="73"/>
    <cellStyle name="Currency_MJM-4" xfId="74"/>
    <cellStyle name="Currency0" xfId="75"/>
    <cellStyle name="Date" xfId="76"/>
    <cellStyle name="Entered" xfId="77"/>
    <cellStyle name="Explanatory Text" xfId="78" builtinId="53" customBuiltin="1"/>
    <cellStyle name="Fixed" xfId="79"/>
    <cellStyle name="Fixed3 - Style3" xfId="80"/>
    <cellStyle name="Good" xfId="81" builtinId="26" customBuiltin="1"/>
    <cellStyle name="Grey" xfId="82"/>
    <cellStyle name="Header1" xfId="83"/>
    <cellStyle name="Header2" xfId="84"/>
    <cellStyle name="Heading 1" xfId="85" builtinId="16" customBuiltin="1"/>
    <cellStyle name="Heading 2" xfId="86" builtinId="17" customBuiltin="1"/>
    <cellStyle name="Heading 3" xfId="87" builtinId="18" customBuiltin="1"/>
    <cellStyle name="Heading 4" xfId="88" builtinId="19" customBuiltin="1"/>
    <cellStyle name="Heading1" xfId="89"/>
    <cellStyle name="Heading2" xfId="90"/>
    <cellStyle name="Input" xfId="91" builtinId="20" customBuiltin="1"/>
    <cellStyle name="Input [yellow]" xfId="92"/>
    <cellStyle name="Input Cells" xfId="93"/>
    <cellStyle name="Input Cells Percent" xfId="94"/>
    <cellStyle name="Lines" xfId="95"/>
    <cellStyle name="LINKED" xfId="96"/>
    <cellStyle name="Linked Cell" xfId="97" builtinId="24" customBuiltin="1"/>
    <cellStyle name="modified border" xfId="98"/>
    <cellStyle name="modified border1" xfId="99"/>
    <cellStyle name="Neutral" xfId="100" builtinId="28" customBuiltin="1"/>
    <cellStyle name="no dec" xfId="101"/>
    <cellStyle name="Normal" xfId="0" builtinId="0"/>
    <cellStyle name="Normal - Style1" xfId="102"/>
    <cellStyle name="Normal_1296GasLabor$" xfId="103"/>
    <cellStyle name="Normal_Book2" xfId="104"/>
    <cellStyle name="Normal_Hopkins Ridge" xfId="105"/>
    <cellStyle name="Normal_MJM-4" xfId="106"/>
    <cellStyle name="Normal_MJM-4_1" xfId="107"/>
    <cellStyle name="Normal_WAElec6_97" xfId="108"/>
    <cellStyle name="Normal_WAGas6_97" xfId="109"/>
    <cellStyle name="Note" xfId="110" builtinId="10" customBuiltin="1"/>
    <cellStyle name="Output" xfId="111" builtinId="21" customBuiltin="1"/>
    <cellStyle name="Percen - Style1" xfId="112"/>
    <cellStyle name="Percen - Style2" xfId="113"/>
    <cellStyle name="Percen - Style3" xfId="114"/>
    <cellStyle name="Percent" xfId="115" builtinId="5"/>
    <cellStyle name="Percent [2]" xfId="116"/>
    <cellStyle name="Processing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purple - Style8" xfId="124"/>
    <cellStyle name="RED" xfId="125"/>
    <cellStyle name="Red - Style7" xfId="126"/>
    <cellStyle name="Report" xfId="127"/>
    <cellStyle name="Report Bar" xfId="128"/>
    <cellStyle name="Report Heading" xfId="129"/>
    <cellStyle name="Report Percent" xfId="130"/>
    <cellStyle name="Report Unit Cost" xfId="131"/>
    <cellStyle name="Reports" xfId="132"/>
    <cellStyle name="Reports Total" xfId="133"/>
    <cellStyle name="Reports Unit Cost Total" xfId="134"/>
    <cellStyle name="RevList" xfId="135"/>
    <cellStyle name="round100" xfId="136"/>
    <cellStyle name="SAPBEXaggData" xfId="137"/>
    <cellStyle name="SAPBEXaggItem" xfId="138"/>
    <cellStyle name="SAPBEXchaText" xfId="139"/>
    <cellStyle name="SAPBEXfilterDrill" xfId="140"/>
    <cellStyle name="SAPBEXfilterItem" xfId="141"/>
    <cellStyle name="SAPBEXheaderItem" xfId="142"/>
    <cellStyle name="SAPBEXheaderText" xfId="143"/>
    <cellStyle name="SAPBEXHLevel0X" xfId="144"/>
    <cellStyle name="SAPBEXstdData" xfId="145"/>
    <cellStyle name="SAPBEXstdItem" xfId="146"/>
    <cellStyle name="SAPBEXstdItemX" xfId="147"/>
    <cellStyle name="SAPBEXtitle" xfId="148"/>
    <cellStyle name="shade" xfId="149"/>
    <cellStyle name="StmtTtl1" xfId="150"/>
    <cellStyle name="StmtTtl2" xfId="151"/>
    <cellStyle name="STYL1 - Style1" xfId="152"/>
    <cellStyle name="Style 1" xfId="153"/>
    <cellStyle name="Subtotal" xfId="154"/>
    <cellStyle name="Sub-total" xfId="155"/>
    <cellStyle name="Title" xfId="156" builtinId="15" customBuiltin="1"/>
    <cellStyle name="Title: Major" xfId="157"/>
    <cellStyle name="Title: Minor" xfId="158"/>
    <cellStyle name="Title: Worksheet" xfId="159"/>
    <cellStyle name="Total" xfId="160" builtinId="25" customBuiltin="1"/>
    <cellStyle name="Total4 - Style4" xfId="161"/>
    <cellStyle name="Warning Text" xfId="16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63" Type="http://schemas.openxmlformats.org/officeDocument/2006/relationships/externalLink" Target="externalLinks/externalLink43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33.xml"/><Relationship Id="rId58" Type="http://schemas.openxmlformats.org/officeDocument/2006/relationships/externalLink" Target="externalLinks/externalLink3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externalLink" Target="externalLinks/externalLink36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59" Type="http://schemas.openxmlformats.org/officeDocument/2006/relationships/externalLink" Target="externalLinks/externalLink3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externalLink" Target="externalLinks/externalLink34.xml"/><Relationship Id="rId62" Type="http://schemas.openxmlformats.org/officeDocument/2006/relationships/externalLink" Target="externalLinks/externalLink42.xml"/><Relationship Id="rId7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57" Type="http://schemas.openxmlformats.org/officeDocument/2006/relationships/externalLink" Target="externalLinks/externalLink3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externalLink" Target="externalLinks/externalLink32.xml"/><Relationship Id="rId60" Type="http://schemas.openxmlformats.org/officeDocument/2006/relationships/externalLink" Target="externalLinks/externalLink4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30.xml"/><Relationship Id="rId55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1</xdr:row>
      <xdr:rowOff>9525</xdr:rowOff>
    </xdr:from>
    <xdr:ext cx="3705632" cy="666108"/>
    <xdr:sp macro="" textlink="">
      <xdr:nvSpPr>
        <xdr:cNvPr id="2" name="TextBox 1"/>
        <xdr:cNvSpPr txBox="1"/>
      </xdr:nvSpPr>
      <xdr:spPr>
        <a:xfrm>
          <a:off x="4962525" y="171450"/>
          <a:ext cx="3607078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r>
            <a:rPr lang="en-US" sz="1100" strike="sngStrike">
              <a:solidFill>
                <a:srgbClr val="FF0000"/>
              </a:solidFill>
            </a:rPr>
            <a:t>CONFIDENTIAL PER PROTECTIVE ORDER IN WUTC</a:t>
          </a:r>
          <a:r>
            <a:rPr lang="en-US" sz="1100" strike="sngStrike" baseline="0">
              <a:solidFill>
                <a:srgbClr val="FF0000"/>
              </a:solidFill>
            </a:rPr>
            <a:t> DOCKETS </a:t>
          </a:r>
        </a:p>
        <a:p>
          <a:pPr algn="ctr"/>
          <a:r>
            <a:rPr lang="en-US" sz="1100" strike="sngStrike" baseline="0">
              <a:solidFill>
                <a:srgbClr val="FF0000"/>
              </a:solidFill>
            </a:rPr>
            <a:t>UE-080416 AND UG-080417</a:t>
          </a:r>
        </a:p>
        <a:p>
          <a:pPr algn="ctr"/>
          <a:r>
            <a:rPr lang="en-US" sz="1100" b="1" baseline="0">
              <a:solidFill>
                <a:srgbClr val="FF0000"/>
              </a:solidFill>
            </a:rPr>
            <a:t>REVISED 1/29/09</a:t>
          </a:r>
          <a:endParaRPr lang="en-US" sz="1100" b="1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%20Drive%20Stuff\2-195%20-%20Avista\Filing\2.%20%20Testimony\L.%20%20Elizabeth%20M.%20Andrews%20CONFIDENTIAL\C%20-%20Exhibit_EMA-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Rates\1999\Wkp\Misc%20Expens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%20Drive%20Stuff\3-310%20-%20WY%20AE\DR%20Responses\Company%20Schedules%20and%20Workpapers\MP%20and%20PE%20Combined\WV%20STATEMENT%20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%20Drive%20Stuff\3-310%20-%20WY%20AE\SK%20Analysis\sheets%20not%20us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%20Drive%20Stuff\2-195%20-%20Avista\Filing\2.%20%20Testimony\L.%20%20Elizabeth%20M.%20Andrews%20CONFIDENTIAL\Exhibit_EMA-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06\Power%20Costs\Costs%20not%20in%20AURORA%2006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CT\ENCOGEN_WBOOK%20(StratPlan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Capacity\CAP_WBook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%20Drive%20Stuff\2-195%20-%20Avista\Filing\2.%20%20Testimony\L.%20%20Elizabeth%20M.%20Andrews%20CONFIDENTIAL\CaseGASsumm20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1.06%20ALLOC%20METHO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2005\3rd%20Quarter%202005\WC_RB%203Q2005\WC-RB%20Overview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Staff_DR_045-Attachment%20A%20-%20S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PC_DR_119-Attachment%20A%20-%20S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PC_DR_119-Attachment%20B%20-%20S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PC_DR_280-Attachment%20A%20-%20S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Staff_DR_069-Attachment%20A%20-%20S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%20Drive%20Stuff\2-186%20-%20WA%20PSE\SK%20Analysis\Finals%20as%20of%205-22\MJM-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Req_Exh_WA"/>
      <sheetName val="Proposed Rates-WA"/>
      <sheetName val="ConverFac_Exh-WA"/>
      <sheetName val="WAElec12_07"/>
      <sheetName val="PFRstmtSheet"/>
      <sheetName val="ResultSumEl"/>
      <sheetName val="DFITAMA"/>
      <sheetName val="BldGain"/>
      <sheetName val="ColstripAFUDC"/>
      <sheetName val="ColstripCommon"/>
      <sheetName val="KF-BP_Summ"/>
      <sheetName val="CustAdv"/>
      <sheetName val="DeprTrue-up"/>
      <sheetName val="WA-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ElimAR"/>
      <sheetName val="SubSpace"/>
      <sheetName val="ExciseTax"/>
      <sheetName val="GainsLoss"/>
      <sheetName val="RevNormalztn"/>
      <sheetName val="DebtInt"/>
      <sheetName val="DebtCalc"/>
      <sheetName val="MiscRestate"/>
      <sheetName val="Inputs"/>
      <sheetName val="PFPSWA"/>
      <sheetName val="PFProdFctr-WA"/>
      <sheetName val="ProdFctrCalc-WA"/>
      <sheetName val="PFLabor"/>
      <sheetName val="PFExec"/>
      <sheetName val="PFTrans"/>
      <sheetName val="PFCapx2007"/>
      <sheetName val="PFCapx2008"/>
      <sheetName val="PFAssetMgmt"/>
      <sheetName val="PFSR_Relicense"/>
      <sheetName val="PFCDAtribe"/>
      <sheetName val="PFMoLease"/>
      <sheetName val="PFColstripEmiss"/>
      <sheetName val="PFIncentives"/>
      <sheetName val="ExhEMA2"/>
      <sheetName val="PF16open"/>
      <sheetName val="PF17open"/>
      <sheetName val="PSWA-not used"/>
      <sheetName val="Not used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0"/>
      <sheetData sheetId="1">
        <row r="1">
          <cell r="A1" t="str">
            <v>KENTUCKY-AMERICAN WATER COMPANY</v>
          </cell>
        </row>
        <row r="2">
          <cell r="A2" t="str">
            <v>CASE NO:  2007-00143</v>
          </cell>
        </row>
        <row r="3">
          <cell r="A3" t="str">
            <v>COMPARATIVE OVERALL FINANCIAL SUMMARY</v>
          </cell>
        </row>
        <row r="4">
          <cell r="A4" t="str">
            <v>FOR THE TWELVE MONTHS ENDED:  NOVEMBER 30, 2008</v>
          </cell>
        </row>
        <row r="9">
          <cell r="C9" t="str">
            <v>Company</v>
          </cell>
          <cell r="E9" t="str">
            <v>AG</v>
          </cell>
        </row>
        <row r="10">
          <cell r="C10" t="str">
            <v>Forecast</v>
          </cell>
          <cell r="E10" t="str">
            <v>Forecast</v>
          </cell>
        </row>
        <row r="11">
          <cell r="A11" t="str">
            <v>Line</v>
          </cell>
          <cell r="C11" t="str">
            <v>Jurisdictional</v>
          </cell>
          <cell r="E11" t="str">
            <v>Jurisdictional</v>
          </cell>
        </row>
        <row r="12">
          <cell r="A12" t="str">
            <v>No.</v>
          </cell>
          <cell r="B12" t="str">
            <v>Description</v>
          </cell>
          <cell r="C12" t="str">
            <v>Rev Req</v>
          </cell>
          <cell r="E12" t="str">
            <v>Rev Req</v>
          </cell>
        </row>
        <row r="13">
          <cell r="A13">
            <v>1</v>
          </cell>
          <cell r="C13" t="str">
            <v>(a)</v>
          </cell>
          <cell r="E13" t="str">
            <v>(b)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  <cell r="B16" t="str">
            <v>RATE BASE</v>
          </cell>
          <cell r="C16">
            <v>202100689.58333334</v>
          </cell>
          <cell r="E16">
            <v>202245238.58333334</v>
          </cell>
        </row>
        <row r="17">
          <cell r="A17">
            <v>5</v>
          </cell>
        </row>
        <row r="18">
          <cell r="A18">
            <v>6</v>
          </cell>
          <cell r="B18" t="str">
            <v>FORECASTED OPERATING INCOME AT CURRENT RATES</v>
          </cell>
          <cell r="C18">
            <v>10805614.429196618</v>
          </cell>
          <cell r="E18">
            <v>12785106.628493831</v>
          </cell>
        </row>
        <row r="19">
          <cell r="A19">
            <v>7</v>
          </cell>
        </row>
        <row r="20">
          <cell r="A20">
            <v>8</v>
          </cell>
          <cell r="B20" t="str">
            <v>EARNED RATE OF RETURN</v>
          </cell>
          <cell r="C20">
            <v>5.3469999999999997E-2</v>
          </cell>
          <cell r="E20">
            <v>6.3219999999999998E-2</v>
          </cell>
        </row>
        <row r="21">
          <cell r="A21">
            <v>9</v>
          </cell>
        </row>
        <row r="22">
          <cell r="A22">
            <v>10</v>
          </cell>
          <cell r="B22" t="str">
            <v>RATE OF RETURN</v>
          </cell>
          <cell r="C22">
            <v>8.6400000000000005E-2</v>
          </cell>
          <cell r="E22">
            <v>7.7700000000000005E-2</v>
          </cell>
        </row>
        <row r="23">
          <cell r="A23">
            <v>11</v>
          </cell>
        </row>
        <row r="24">
          <cell r="A24">
            <v>12</v>
          </cell>
          <cell r="B24" t="str">
            <v>REQUIRED OPERATING INCOME</v>
          </cell>
          <cell r="C24">
            <v>17461500</v>
          </cell>
          <cell r="E24">
            <v>15714455</v>
          </cell>
        </row>
        <row r="25">
          <cell r="A25">
            <v>13</v>
          </cell>
        </row>
        <row r="26">
          <cell r="A26">
            <v>14</v>
          </cell>
          <cell r="B26" t="str">
            <v>OPERATING INCOME DEFICIENCY</v>
          </cell>
          <cell r="C26">
            <v>6655885.5708033815</v>
          </cell>
          <cell r="E26">
            <v>2929348.3715061694</v>
          </cell>
        </row>
        <row r="27">
          <cell r="A27">
            <v>15</v>
          </cell>
        </row>
        <row r="28">
          <cell r="A28">
            <v>16</v>
          </cell>
          <cell r="B28" t="str">
            <v>GROSS REVENUE CONVERSION FACTOR</v>
          </cell>
          <cell r="C28">
            <v>1.6534937999999999</v>
          </cell>
          <cell r="E28">
            <v>1.6524920999999999</v>
          </cell>
        </row>
        <row r="29">
          <cell r="A29">
            <v>17</v>
          </cell>
        </row>
        <row r="30">
          <cell r="A30">
            <v>18</v>
          </cell>
          <cell r="B30" t="str">
            <v>REVENUE DEFICIENCY (1)</v>
          </cell>
          <cell r="C30">
            <v>11005464.5</v>
          </cell>
          <cell r="E30">
            <v>4840724</v>
          </cell>
        </row>
        <row r="31">
          <cell r="A31">
            <v>19</v>
          </cell>
        </row>
        <row r="32">
          <cell r="A32">
            <v>20</v>
          </cell>
          <cell r="B32" t="str">
            <v>ADJUSTED OPERATING REVENUES</v>
          </cell>
          <cell r="C32">
            <v>53003297</v>
          </cell>
          <cell r="E32">
            <v>53003297</v>
          </cell>
        </row>
        <row r="33">
          <cell r="A33">
            <v>21</v>
          </cell>
        </row>
        <row r="34">
          <cell r="A34">
            <v>22</v>
          </cell>
          <cell r="B34" t="str">
            <v>REVENUE REQUIREMENT</v>
          </cell>
          <cell r="C34">
            <v>64008761.5</v>
          </cell>
          <cell r="E34">
            <v>57844021</v>
          </cell>
        </row>
      </sheetData>
      <sheetData sheetId="2">
        <row r="1">
          <cell r="A1" t="str">
            <v>KENTUCKY-AMERICAN WATER COMPANY</v>
          </cell>
        </row>
        <row r="3">
          <cell r="A3" t="str">
            <v>SUMMARY OF ATTORNEY GENERAL ADJUSTMENTS</v>
          </cell>
        </row>
        <row r="7">
          <cell r="D7" t="str">
            <v>Company</v>
          </cell>
        </row>
        <row r="8">
          <cell r="D8" t="str">
            <v>Forecasted</v>
          </cell>
        </row>
        <row r="9">
          <cell r="A9" t="str">
            <v>Line</v>
          </cell>
          <cell r="D9" t="str">
            <v>Revenues &amp;</v>
          </cell>
        </row>
        <row r="10">
          <cell r="A10" t="str">
            <v>No.</v>
          </cell>
          <cell r="B10" t="str">
            <v>Major Group Classification</v>
          </cell>
          <cell r="D10" t="str">
            <v>Expenses</v>
          </cell>
        </row>
        <row r="11">
          <cell r="A11">
            <v>1</v>
          </cell>
        </row>
        <row r="12">
          <cell r="A12">
            <v>2</v>
          </cell>
          <cell r="B12" t="str">
            <v>Operating Revenues</v>
          </cell>
        </row>
        <row r="13">
          <cell r="A13">
            <v>3</v>
          </cell>
          <cell r="B13" t="str">
            <v xml:space="preserve">     Water Sales</v>
          </cell>
          <cell r="D13">
            <v>49242905</v>
          </cell>
        </row>
        <row r="14">
          <cell r="A14">
            <v>4</v>
          </cell>
          <cell r="B14" t="str">
            <v xml:space="preserve">     Other Operating Revenues</v>
          </cell>
          <cell r="D14">
            <v>3760392</v>
          </cell>
        </row>
        <row r="15">
          <cell r="A15">
            <v>5</v>
          </cell>
          <cell r="D15">
            <v>53003297</v>
          </cell>
        </row>
        <row r="16">
          <cell r="A16">
            <v>6</v>
          </cell>
          <cell r="B16" t="str">
            <v>Operating Expenses</v>
          </cell>
        </row>
        <row r="17">
          <cell r="A17">
            <v>7</v>
          </cell>
          <cell r="B17" t="str">
            <v xml:space="preserve">     Labor</v>
          </cell>
          <cell r="D17">
            <v>6248477</v>
          </cell>
        </row>
        <row r="18">
          <cell r="A18">
            <v>8</v>
          </cell>
          <cell r="B18" t="str">
            <v xml:space="preserve">     Purchased Water</v>
          </cell>
          <cell r="D18">
            <v>477462.97359786398</v>
          </cell>
        </row>
        <row r="19">
          <cell r="A19">
            <v>9</v>
          </cell>
          <cell r="B19" t="str">
            <v xml:space="preserve">     Fuel and Power</v>
          </cell>
          <cell r="D19">
            <v>2986276.9749717405</v>
          </cell>
        </row>
        <row r="20">
          <cell r="A20">
            <v>10</v>
          </cell>
          <cell r="B20" t="str">
            <v xml:space="preserve">     Chemicals</v>
          </cell>
          <cell r="D20">
            <v>1505218.0783944097</v>
          </cell>
        </row>
        <row r="21">
          <cell r="A21">
            <v>11</v>
          </cell>
          <cell r="B21" t="str">
            <v xml:space="preserve">     Waste Disposal</v>
          </cell>
          <cell r="D21">
            <v>262237</v>
          </cell>
        </row>
        <row r="22">
          <cell r="A22">
            <v>12</v>
          </cell>
          <cell r="B22" t="str">
            <v xml:space="preserve">     Management Fees</v>
          </cell>
          <cell r="D22">
            <v>6201194.4800000004</v>
          </cell>
        </row>
        <row r="23">
          <cell r="A23">
            <v>13</v>
          </cell>
          <cell r="B23" t="str">
            <v xml:space="preserve">     Group Insurance</v>
          </cell>
          <cell r="D23">
            <v>1876895</v>
          </cell>
        </row>
        <row r="24">
          <cell r="A24">
            <v>14</v>
          </cell>
          <cell r="B24" t="str">
            <v xml:space="preserve">     Pensions</v>
          </cell>
          <cell r="D24">
            <v>502684</v>
          </cell>
        </row>
        <row r="25">
          <cell r="A25">
            <v>15</v>
          </cell>
          <cell r="B25" t="str">
            <v xml:space="preserve">     Regulatory Expense</v>
          </cell>
          <cell r="D25">
            <v>292195</v>
          </cell>
        </row>
        <row r="26">
          <cell r="A26">
            <v>16</v>
          </cell>
          <cell r="B26" t="str">
            <v xml:space="preserve">     Insurance Other than Group</v>
          </cell>
          <cell r="D26">
            <v>663910</v>
          </cell>
        </row>
        <row r="27">
          <cell r="A27">
            <v>17</v>
          </cell>
          <cell r="B27" t="str">
            <v xml:space="preserve">     Customer Accounting</v>
          </cell>
          <cell r="D27">
            <v>1376372.1835</v>
          </cell>
        </row>
        <row r="28">
          <cell r="A28">
            <v>18</v>
          </cell>
          <cell r="B28" t="str">
            <v xml:space="preserve">     Rents</v>
          </cell>
          <cell r="D28">
            <v>52165</v>
          </cell>
        </row>
        <row r="29">
          <cell r="A29">
            <v>19</v>
          </cell>
          <cell r="B29" t="str">
            <v xml:space="preserve">     General Office Expense</v>
          </cell>
          <cell r="D29">
            <v>475196</v>
          </cell>
        </row>
        <row r="30">
          <cell r="A30">
            <v>20</v>
          </cell>
          <cell r="B30" t="str">
            <v xml:space="preserve">     Miscellaneous</v>
          </cell>
          <cell r="D30">
            <v>3002288.878</v>
          </cell>
        </row>
        <row r="31">
          <cell r="A31">
            <v>21</v>
          </cell>
          <cell r="B31" t="str">
            <v xml:space="preserve">     Maintenance - Other</v>
          </cell>
          <cell r="D31">
            <v>1507210.12</v>
          </cell>
        </row>
        <row r="32">
          <cell r="A32">
            <v>22</v>
          </cell>
        </row>
        <row r="33">
          <cell r="A33">
            <v>23</v>
          </cell>
          <cell r="B33" t="str">
            <v>Total O &amp; M Expenses</v>
          </cell>
          <cell r="D33">
            <v>27429782.688464012</v>
          </cell>
        </row>
        <row r="34">
          <cell r="A34">
            <v>24</v>
          </cell>
        </row>
        <row r="35">
          <cell r="A35">
            <v>25</v>
          </cell>
          <cell r="B35" t="str">
            <v>Depreciation</v>
          </cell>
          <cell r="D35">
            <v>8038652.9623393696</v>
          </cell>
        </row>
        <row r="36">
          <cell r="A36">
            <v>26</v>
          </cell>
          <cell r="B36" t="str">
            <v>Amortization</v>
          </cell>
          <cell r="D36">
            <v>450970.92</v>
          </cell>
        </row>
        <row r="37">
          <cell r="A37">
            <v>27</v>
          </cell>
        </row>
        <row r="38">
          <cell r="A38">
            <v>28</v>
          </cell>
          <cell r="B38" t="str">
            <v>General Taxes</v>
          </cell>
        </row>
        <row r="39">
          <cell r="A39">
            <v>29</v>
          </cell>
          <cell r="B39" t="str">
            <v xml:space="preserve">     Property and Capital Stock</v>
          </cell>
          <cell r="D39">
            <v>2729050</v>
          </cell>
        </row>
        <row r="40">
          <cell r="A40">
            <v>30</v>
          </cell>
          <cell r="B40" t="str">
            <v xml:space="preserve">     Gross Receipts and Sales</v>
          </cell>
          <cell r="D40">
            <v>85932</v>
          </cell>
        </row>
        <row r="41">
          <cell r="A41">
            <v>31</v>
          </cell>
          <cell r="B41" t="str">
            <v xml:space="preserve">     Payroll</v>
          </cell>
          <cell r="D41">
            <v>482787</v>
          </cell>
        </row>
        <row r="42">
          <cell r="A42">
            <v>32</v>
          </cell>
          <cell r="B42" t="str">
            <v xml:space="preserve">     Miscellaneous</v>
          </cell>
          <cell r="D42">
            <v>0</v>
          </cell>
        </row>
        <row r="43">
          <cell r="A43">
            <v>33</v>
          </cell>
          <cell r="B43" t="str">
            <v>Total General Taxes</v>
          </cell>
          <cell r="D43">
            <v>3297769</v>
          </cell>
        </row>
        <row r="44">
          <cell r="A44">
            <v>34</v>
          </cell>
        </row>
        <row r="45">
          <cell r="A45">
            <v>35</v>
          </cell>
          <cell r="B45" t="str">
            <v>State Income Taxes</v>
          </cell>
        </row>
        <row r="46">
          <cell r="A46">
            <v>36</v>
          </cell>
          <cell r="B46" t="str">
            <v xml:space="preserve">     Current</v>
          </cell>
          <cell r="D46">
            <v>305161</v>
          </cell>
        </row>
        <row r="47">
          <cell r="A47">
            <v>37</v>
          </cell>
          <cell r="B47" t="str">
            <v xml:space="preserve">     Deferred</v>
          </cell>
          <cell r="D47">
            <v>181660</v>
          </cell>
        </row>
        <row r="48">
          <cell r="A48">
            <v>38</v>
          </cell>
          <cell r="B48" t="str">
            <v>Federal Income Taxes</v>
          </cell>
        </row>
        <row r="49">
          <cell r="A49">
            <v>39</v>
          </cell>
          <cell r="B49" t="str">
            <v xml:space="preserve">     Current</v>
          </cell>
          <cell r="D49">
            <v>1673301</v>
          </cell>
        </row>
        <row r="50">
          <cell r="A50">
            <v>40</v>
          </cell>
          <cell r="B50" t="str">
            <v xml:space="preserve">     Deferred</v>
          </cell>
          <cell r="D50">
            <v>905182</v>
          </cell>
        </row>
        <row r="51">
          <cell r="A51">
            <v>41</v>
          </cell>
          <cell r="B51" t="str">
            <v xml:space="preserve">     Deferred - ITC</v>
          </cell>
          <cell r="D51">
            <v>-84797</v>
          </cell>
        </row>
        <row r="52">
          <cell r="A52">
            <v>42</v>
          </cell>
          <cell r="B52" t="str">
            <v>Total Income Taxes</v>
          </cell>
          <cell r="D52">
            <v>2980507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  <cell r="B55" t="str">
            <v>Total Operating Expenses</v>
          </cell>
          <cell r="D55">
            <v>42197682.570803382</v>
          </cell>
        </row>
        <row r="56">
          <cell r="A56">
            <v>46</v>
          </cell>
        </row>
        <row r="57">
          <cell r="A57">
            <v>47</v>
          </cell>
          <cell r="B57" t="str">
            <v>Utility Operating Income</v>
          </cell>
          <cell r="D57">
            <v>10805614.429196618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  <cell r="B60" t="str">
            <v>Rate Base</v>
          </cell>
          <cell r="D60">
            <v>202100689.58333334</v>
          </cell>
        </row>
        <row r="61">
          <cell r="A61">
            <v>51</v>
          </cell>
        </row>
        <row r="62">
          <cell r="A62">
            <v>52</v>
          </cell>
          <cell r="B62" t="str">
            <v>KAWC Proposed ROR</v>
          </cell>
          <cell r="D62">
            <v>8.6400000000000005E-2</v>
          </cell>
        </row>
        <row r="63">
          <cell r="A63">
            <v>53</v>
          </cell>
        </row>
        <row r="64">
          <cell r="A64">
            <v>54</v>
          </cell>
          <cell r="B64" t="str">
            <v>AG Recommended ROR</v>
          </cell>
          <cell r="D64">
            <v>7.7700000000000005E-2</v>
          </cell>
        </row>
        <row r="65">
          <cell r="A65">
            <v>55</v>
          </cell>
        </row>
        <row r="66">
          <cell r="A66">
            <v>56</v>
          </cell>
          <cell r="B66" t="str">
            <v>NOI Effect</v>
          </cell>
          <cell r="D66">
            <v>-1758275.9993749999</v>
          </cell>
        </row>
        <row r="67">
          <cell r="A67">
            <v>57</v>
          </cell>
        </row>
        <row r="68">
          <cell r="A68">
            <v>58</v>
          </cell>
          <cell r="B68" t="str">
            <v>KAWC Revenue Conversion Factor</v>
          </cell>
        </row>
        <row r="69">
          <cell r="A69">
            <v>59</v>
          </cell>
        </row>
        <row r="70">
          <cell r="A70">
            <v>60</v>
          </cell>
          <cell r="B70" t="str">
            <v>AG Revenue Conversion Factor</v>
          </cell>
          <cell r="D70">
            <v>1.6524920999999999</v>
          </cell>
        </row>
        <row r="71">
          <cell r="A71">
            <v>61</v>
          </cell>
        </row>
        <row r="72">
          <cell r="A72">
            <v>62</v>
          </cell>
          <cell r="B72" t="str">
            <v>Incremental Revenue Requirement</v>
          </cell>
          <cell r="D72">
            <v>-2905537.1985867922</v>
          </cell>
        </row>
      </sheetData>
      <sheetData sheetId="3">
        <row r="1">
          <cell r="A1" t="str">
            <v>KENTUCKY-AMERICAN WATER COMPANY</v>
          </cell>
        </row>
        <row r="2">
          <cell r="A2" t="str">
            <v>GROSS REVENUE CONVERSION FACTOR AND INCOME TAX FACTORS</v>
          </cell>
        </row>
        <row r="3">
          <cell r="A3" t="str">
            <v>FOR THE TWELVE MONTHS ENDED:  NOVEMBER 30, 2008</v>
          </cell>
        </row>
        <row r="9">
          <cell r="A9" t="str">
            <v>Line</v>
          </cell>
        </row>
        <row r="10">
          <cell r="A10" t="str">
            <v>No.</v>
          </cell>
          <cell r="B10" t="str">
            <v>Description</v>
          </cell>
          <cell r="D10" t="str">
            <v>Company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  <cell r="B13" t="str">
            <v>Operating Revenues</v>
          </cell>
          <cell r="F13">
            <v>1</v>
          </cell>
        </row>
        <row r="14">
          <cell r="A14">
            <v>4</v>
          </cell>
        </row>
        <row r="15">
          <cell r="A15">
            <v>5</v>
          </cell>
          <cell r="B15" t="str">
            <v>Less: Uncollectibles</v>
          </cell>
          <cell r="F15">
            <v>8.5000000000000006E-3</v>
          </cell>
        </row>
        <row r="16">
          <cell r="A16">
            <v>6</v>
          </cell>
        </row>
        <row r="17">
          <cell r="A17">
            <v>7</v>
          </cell>
          <cell r="B17" t="str">
            <v>Less: PSC Fees</v>
          </cell>
          <cell r="F17">
            <v>1.6800000000000001E-3</v>
          </cell>
        </row>
        <row r="18">
          <cell r="A18">
            <v>8</v>
          </cell>
        </row>
        <row r="19">
          <cell r="A19">
            <v>9</v>
          </cell>
          <cell r="B19" t="str">
            <v>Net Revenues</v>
          </cell>
          <cell r="F19">
            <v>0.98982000000000003</v>
          </cell>
        </row>
        <row r="20">
          <cell r="A20">
            <v>10</v>
          </cell>
        </row>
        <row r="21">
          <cell r="A21">
            <v>11</v>
          </cell>
          <cell r="B21" t="str">
            <v>SIT Rate:</v>
          </cell>
          <cell r="D21">
            <v>0.06</v>
          </cell>
          <cell r="F21">
            <v>5.9389200000000003E-2</v>
          </cell>
        </row>
        <row r="22">
          <cell r="A22">
            <v>12</v>
          </cell>
        </row>
        <row r="23">
          <cell r="A23">
            <v>13</v>
          </cell>
          <cell r="B23" t="str">
            <v>Income before Federal Income Taxes</v>
          </cell>
          <cell r="F23">
            <v>0.9304308</v>
          </cell>
        </row>
        <row r="24">
          <cell r="A24">
            <v>14</v>
          </cell>
        </row>
        <row r="25">
          <cell r="A25">
            <v>15</v>
          </cell>
          <cell r="B25" t="str">
            <v>FIT Rate:</v>
          </cell>
          <cell r="D25">
            <v>0.35</v>
          </cell>
          <cell r="F25">
            <v>0.32565080000000002</v>
          </cell>
        </row>
        <row r="26">
          <cell r="A26">
            <v>16</v>
          </cell>
        </row>
        <row r="27">
          <cell r="A27">
            <v>17</v>
          </cell>
          <cell r="B27" t="str">
            <v>Operating Income Percentage</v>
          </cell>
          <cell r="F27">
            <v>0.60477999999999998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  <cell r="B30" t="str">
            <v>Gross Revenue Conversion Factor (1)</v>
          </cell>
          <cell r="F30">
            <v>1.6534937999999999</v>
          </cell>
        </row>
        <row r="31">
          <cell r="A31">
            <v>21</v>
          </cell>
        </row>
        <row r="32">
          <cell r="A32">
            <v>22</v>
          </cell>
          <cell r="B32" t="str">
            <v>Tax Rate</v>
          </cell>
        </row>
        <row r="36">
          <cell r="B36" t="str">
            <v>1/  2006 percentage.  See response to PSC 2-32.</v>
          </cell>
        </row>
        <row r="37">
          <cell r="B37" t="str">
            <v>2/  Net of uncollectibles and PSC Assessments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Miscellaneous"/>
      <sheetName val="Other Amort"/>
      <sheetName val="401k Exp"/>
      <sheetName val="Transp Exp"/>
      <sheetName val="Community Education"/>
      <sheetName val="Database"/>
      <sheetName val="Pivot Table"/>
      <sheetName val="Histori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0" refreshError="1"/>
      <sheetData sheetId="1">
        <row r="1">
          <cell r="A1" t="str">
            <v>KENTUCKY AMERICAN WATER COMPANY</v>
          </cell>
        </row>
        <row r="2">
          <cell r="A2" t="str">
            <v>FUTURE TEST YEAR ENDING NOVEMBER 30, 2008</v>
          </cell>
        </row>
        <row r="3">
          <cell r="A3" t="str">
            <v>RATE BASE SUMMARY</v>
          </cell>
        </row>
        <row r="7">
          <cell r="A7" t="str">
            <v>Line</v>
          </cell>
          <cell r="D7" t="str">
            <v>Company</v>
          </cell>
        </row>
        <row r="8">
          <cell r="A8" t="str">
            <v>No.</v>
          </cell>
          <cell r="B8" t="str">
            <v>Rate Base Component</v>
          </cell>
          <cell r="D8" t="str">
            <v>Claim  1/</v>
          </cell>
        </row>
        <row r="9">
          <cell r="A9">
            <v>1</v>
          </cell>
        </row>
        <row r="10">
          <cell r="A10">
            <v>2</v>
          </cell>
          <cell r="B10" t="str">
            <v>Utility Plant In Service</v>
          </cell>
          <cell r="D10">
            <v>366185081</v>
          </cell>
        </row>
        <row r="11">
          <cell r="A11">
            <v>3</v>
          </cell>
        </row>
        <row r="12">
          <cell r="A12">
            <v>4</v>
          </cell>
          <cell r="B12" t="str">
            <v>Property Held for Future Use</v>
          </cell>
          <cell r="D12">
            <v>0</v>
          </cell>
        </row>
        <row r="13">
          <cell r="A13">
            <v>5</v>
          </cell>
        </row>
        <row r="14">
          <cell r="A14">
            <v>6</v>
          </cell>
          <cell r="B14" t="str">
            <v>Utility Plant Acquisition Adjustments</v>
          </cell>
          <cell r="D14">
            <v>38065</v>
          </cell>
        </row>
        <row r="15">
          <cell r="A15">
            <v>7</v>
          </cell>
        </row>
        <row r="16">
          <cell r="A16">
            <v>8</v>
          </cell>
          <cell r="B16" t="str">
            <v>Accumulated Depreciation</v>
          </cell>
          <cell r="D16">
            <v>-94623187</v>
          </cell>
        </row>
        <row r="17">
          <cell r="A17">
            <v>9</v>
          </cell>
        </row>
        <row r="18">
          <cell r="A18">
            <v>10</v>
          </cell>
          <cell r="B18" t="str">
            <v>Accumulated Amortization</v>
          </cell>
          <cell r="D18">
            <v>0</v>
          </cell>
        </row>
        <row r="19">
          <cell r="A19">
            <v>11</v>
          </cell>
        </row>
        <row r="20">
          <cell r="A20">
            <v>12</v>
          </cell>
          <cell r="B20" t="str">
            <v>Net Utility Plant In Service</v>
          </cell>
          <cell r="D20">
            <v>271599959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  <cell r="B23" t="str">
            <v>Construction Work in Progress</v>
          </cell>
          <cell r="D23">
            <v>23186818</v>
          </cell>
        </row>
        <row r="24">
          <cell r="A24">
            <v>16</v>
          </cell>
        </row>
        <row r="25">
          <cell r="A25">
            <v>17</v>
          </cell>
          <cell r="B25" t="str">
            <v>Working Capital Allowance</v>
          </cell>
          <cell r="D25">
            <v>3596000</v>
          </cell>
        </row>
        <row r="26">
          <cell r="A26">
            <v>18</v>
          </cell>
        </row>
        <row r="27">
          <cell r="A27">
            <v>19</v>
          </cell>
          <cell r="B27" t="str">
            <v>Other  Working Capital Allowance</v>
          </cell>
          <cell r="D27">
            <v>523761</v>
          </cell>
        </row>
        <row r="28">
          <cell r="A28">
            <v>20</v>
          </cell>
        </row>
        <row r="29">
          <cell r="A29">
            <v>21</v>
          </cell>
          <cell r="B29" t="str">
            <v>Contributions in Aid of Construction</v>
          </cell>
          <cell r="D29">
            <v>-46562799</v>
          </cell>
        </row>
        <row r="30">
          <cell r="A30">
            <v>22</v>
          </cell>
        </row>
        <row r="31">
          <cell r="A31">
            <v>23</v>
          </cell>
          <cell r="B31" t="str">
            <v>Customer Advances</v>
          </cell>
          <cell r="D31">
            <v>-21380918</v>
          </cell>
        </row>
        <row r="32">
          <cell r="A32">
            <v>24</v>
          </cell>
        </row>
        <row r="33">
          <cell r="A33">
            <v>25</v>
          </cell>
          <cell r="B33" t="str">
            <v>Deferred Income Taxes</v>
          </cell>
          <cell r="D33">
            <v>-30854190</v>
          </cell>
        </row>
        <row r="34">
          <cell r="A34">
            <v>26</v>
          </cell>
        </row>
        <row r="35">
          <cell r="A35">
            <v>27</v>
          </cell>
          <cell r="B35" t="str">
            <v xml:space="preserve">Deferred Investment Tax Credits </v>
          </cell>
          <cell r="D35">
            <v>-94805</v>
          </cell>
        </row>
        <row r="36">
          <cell r="A36">
            <v>28</v>
          </cell>
        </row>
        <row r="37">
          <cell r="A37">
            <v>29</v>
          </cell>
          <cell r="B37" t="str">
            <v>Deferred Maintenance</v>
          </cell>
          <cell r="D37">
            <v>1741451</v>
          </cell>
        </row>
        <row r="38">
          <cell r="A38">
            <v>30</v>
          </cell>
        </row>
        <row r="39">
          <cell r="A39">
            <v>31</v>
          </cell>
          <cell r="B39" t="str">
            <v>Deferred Debits</v>
          </cell>
          <cell r="D39">
            <v>1897923</v>
          </cell>
        </row>
        <row r="40">
          <cell r="A40">
            <v>32</v>
          </cell>
        </row>
        <row r="41">
          <cell r="A41">
            <v>33</v>
          </cell>
          <cell r="B41" t="str">
            <v>Other Rate Base Elements</v>
          </cell>
          <cell r="D41">
            <v>-1552510.4166666667</v>
          </cell>
        </row>
        <row r="42">
          <cell r="A42">
            <v>34</v>
          </cell>
        </row>
        <row r="43">
          <cell r="A43">
            <v>45</v>
          </cell>
          <cell r="B43" t="str">
            <v>Jurisdictional Rate Base</v>
          </cell>
          <cell r="D43">
            <v>202100689.58333334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bined"/>
      <sheetName val="Combined A&amp;R"/>
      <sheetName val="Combined B&amp;G"/>
      <sheetName val="Combined C&amp;E"/>
      <sheetName val="Combined CSH"/>
      <sheetName val="Combined D&amp;PH"/>
      <sheetName val="Combined K&amp;PP"/>
      <sheetName val="Combined P&amp;LP"/>
      <sheetName val="Combined AGS"/>
      <sheetName val="Combined Lighting"/>
      <sheetName val="Summary-MP"/>
      <sheetName val="A"/>
      <sheetName val="B"/>
      <sheetName val="C"/>
      <sheetName val="CSH-MP"/>
      <sheetName val="D"/>
      <sheetName val="K"/>
      <sheetName val="P"/>
      <sheetName val="AGS-MP"/>
      <sheetName val="SL-P"/>
      <sheetName val="MV"/>
      <sheetName val="SV"/>
      <sheetName val="EMU-MP"/>
      <sheetName val="MU-MP"/>
      <sheetName val="EM-MP"/>
      <sheetName val="LIT"/>
      <sheetName val="Summary-PE"/>
      <sheetName val="R"/>
      <sheetName val="G"/>
      <sheetName val="E"/>
      <sheetName val="CSH-PE"/>
      <sheetName val="PH"/>
      <sheetName val="PP"/>
      <sheetName val="LP"/>
      <sheetName val="AGS-PE"/>
      <sheetName val="OL"/>
      <sheetName val="AL"/>
      <sheetName val="MSL"/>
      <sheetName val="SL"/>
      <sheetName val="EMU-PE"/>
      <sheetName val="MU-PE"/>
      <sheetName val="EM-PE"/>
      <sheetName val="Revenue Requirement"/>
      <sheetName val="EN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tmt. B"/>
      <sheetName val="Stmt. B, S. 1"/>
      <sheetName val="old summary"/>
      <sheetName val="Byron ENEC calculation"/>
      <sheetName val="15 -Cons. Tax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Rates-WA"/>
      <sheetName val="RevReqEx-WA"/>
      <sheetName val="ConverFac_Exh-WA"/>
      <sheetName val="WAGas12_07"/>
      <sheetName val="PFRstmtSheet"/>
      <sheetName val="ResultSumGas"/>
      <sheetName val="DFIT"/>
      <sheetName val="BldGain"/>
      <sheetName val="GasInv"/>
      <sheetName val="WznDSM"/>
      <sheetName val="CustAdv"/>
      <sheetName val="DeprTrue-up"/>
      <sheetName val="WeatherGas"/>
      <sheetName val="BandO"/>
      <sheetName val="PropTax"/>
      <sheetName val="UncollExp"/>
      <sheetName val="RegExp"/>
      <sheetName val="InjDam"/>
      <sheetName val="FIT"/>
      <sheetName val="GainsLosses"/>
      <sheetName val="ElimAR"/>
      <sheetName val="SubSpace"/>
      <sheetName val="ExciseTax"/>
      <sheetName val="OMSavings"/>
      <sheetName val="DebtInt"/>
      <sheetName val="DebtCalc"/>
      <sheetName val="PFNon-Exec"/>
      <sheetName val="PF-Exec"/>
      <sheetName val="PFJPStorage"/>
      <sheetName val="PFCapx2007"/>
      <sheetName val="PFCapx2008"/>
      <sheetName val="PFIncentives"/>
      <sheetName val="Inputs"/>
      <sheetName val="blank"/>
      <sheetName val="Blan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33">
          <cell r="C33">
            <v>0.35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11">
          <cell r="C11">
            <v>44926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Forecast Adjustment"/>
      <sheetName val="Prices"/>
      <sheetName val="Pt Roberts"/>
      <sheetName val="DA Wind"/>
      <sheetName val="Fred1"/>
      <sheetName val="Winter Summary"/>
      <sheetName val="Estimate for wheeling"/>
      <sheetName val="Peaking Capacity"/>
      <sheetName val="Winter Peak 2005-2006"/>
      <sheetName val="MiDC Capacity Calc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Douglas Stlmt"/>
      <sheetName val="557 TYE 9.30.05"/>
      <sheetName val="CPP_Payments 8.02.05"/>
      <sheetName val="BEP TYE9.30.05"/>
      <sheetName val="Wild Horse GRC"/>
      <sheetName val="Hopkins Ridge GRC"/>
      <sheetName val="Hopkins Ridge"/>
      <sheetName val="MidC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/>
      <sheetData sheetId="21"/>
      <sheetData sheetId="22"/>
      <sheetData sheetId="23"/>
      <sheetData sheetId="24"/>
      <sheetData sheetId="25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56">
          <cell r="I56">
            <v>7.2400000000000006E-2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-Pivot"/>
      <sheetName val="Detail"/>
      <sheetName val="Macro1"/>
    </sheetNames>
    <sheetDataSet>
      <sheetData sheetId="0">
        <row r="426">
          <cell r="V426">
            <v>152331.09494091762</v>
          </cell>
        </row>
        <row r="427">
          <cell r="V427">
            <v>37530.251986957825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11862537</v>
          </cell>
        </row>
      </sheetData>
      <sheetData sheetId="28"/>
      <sheetData sheetId="29"/>
      <sheetData sheetId="30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il-Pivot"/>
      <sheetName val="Transaction Detail"/>
      <sheetName val="Macro1"/>
    </sheetNames>
    <sheetDataSet>
      <sheetData sheetId="0">
        <row r="196">
          <cell r="L196">
            <v>2885.6583796758514</v>
          </cell>
        </row>
        <row r="197">
          <cell r="L197">
            <v>1785.6150386262721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il-Pivot"/>
      <sheetName val="Detail"/>
      <sheetName val="Macro1"/>
    </sheetNames>
    <sheetDataSet>
      <sheetData sheetId="0">
        <row r="441">
          <cell r="O441">
            <v>25026.674002011867</v>
          </cell>
        </row>
        <row r="442">
          <cell r="O442">
            <v>28294.305327501454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 Newswire"/>
    </sheetNames>
    <sheetDataSet>
      <sheetData sheetId="0">
        <row r="13">
          <cell r="H13">
            <v>138644.98778316032</v>
          </cell>
          <cell r="I13">
            <v>36136.490729285964</v>
          </cell>
        </row>
        <row r="16">
          <cell r="H16">
            <v>239860.66412967301</v>
          </cell>
          <cell r="I16">
            <v>62517.389227215004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lWAAdj"/>
      <sheetName val="ElIDAdj"/>
      <sheetName val="LaborAdjWAID%"/>
      <sheetName val="GasWAAdj"/>
      <sheetName val="GasIDAdj"/>
      <sheetName val="GasORAdj"/>
      <sheetName val="ElLabor$"/>
      <sheetName val="GasLabor$"/>
      <sheetName val="GasLabor$South"/>
      <sheetName val="Pro Forma Spread"/>
      <sheetName val="%Exp"/>
      <sheetName val="Remove Exec"/>
      <sheetName val="Exec Labor"/>
      <sheetName val="Pension"/>
      <sheetName val="Loadings"/>
      <sheetName val="Elec Labor"/>
      <sheetName val="Gas Labor"/>
      <sheetName val="OR Gas Labor"/>
      <sheetName val="Exec Report-CONFIDENTIAL"/>
    </sheetNames>
    <sheetDataSet>
      <sheetData sheetId="0">
        <row r="9">
          <cell r="D9">
            <v>630048</v>
          </cell>
          <cell r="E9">
            <v>32407</v>
          </cell>
          <cell r="H9">
            <v>631545</v>
          </cell>
          <cell r="I9">
            <v>38142</v>
          </cell>
        </row>
        <row r="10">
          <cell r="D10">
            <v>180731</v>
          </cell>
          <cell r="E10">
            <v>0</v>
          </cell>
          <cell r="H10">
            <v>181602</v>
          </cell>
          <cell r="I10">
            <v>0</v>
          </cell>
        </row>
        <row r="13">
          <cell r="D13">
            <v>618238</v>
          </cell>
          <cell r="E13">
            <v>0</v>
          </cell>
          <cell r="H13">
            <v>618681</v>
          </cell>
          <cell r="I13">
            <v>0</v>
          </cell>
        </row>
        <row r="15">
          <cell r="D15">
            <v>273692</v>
          </cell>
          <cell r="E15">
            <v>0</v>
          </cell>
          <cell r="H15">
            <v>274928</v>
          </cell>
          <cell r="I15">
            <v>0</v>
          </cell>
        </row>
        <row r="16">
          <cell r="D16">
            <v>16078</v>
          </cell>
          <cell r="E16">
            <v>0</v>
          </cell>
          <cell r="H16">
            <v>16185</v>
          </cell>
          <cell r="I16">
            <v>0</v>
          </cell>
        </row>
        <row r="17">
          <cell r="D17">
            <v>23954</v>
          </cell>
          <cell r="E17">
            <v>0</v>
          </cell>
          <cell r="H17">
            <v>24115</v>
          </cell>
          <cell r="I17">
            <v>0</v>
          </cell>
        </row>
        <row r="19">
          <cell r="D19">
            <v>590965</v>
          </cell>
          <cell r="E19">
            <v>-157974</v>
          </cell>
          <cell r="H19">
            <v>594456</v>
          </cell>
          <cell r="I19">
            <v>208309</v>
          </cell>
        </row>
        <row r="55">
          <cell r="D55">
            <v>24151</v>
          </cell>
          <cell r="E55">
            <v>10228</v>
          </cell>
          <cell r="H55">
            <v>24314</v>
          </cell>
          <cell r="I55">
            <v>12029</v>
          </cell>
        </row>
        <row r="57">
          <cell r="D57">
            <v>856</v>
          </cell>
          <cell r="E57">
            <v>0</v>
          </cell>
          <cell r="H57">
            <v>862</v>
          </cell>
          <cell r="I57">
            <v>0</v>
          </cell>
        </row>
        <row r="59">
          <cell r="D59">
            <v>280096</v>
          </cell>
          <cell r="E59">
            <v>0</v>
          </cell>
          <cell r="H59">
            <v>280206</v>
          </cell>
          <cell r="I59">
            <v>0</v>
          </cell>
        </row>
        <row r="61">
          <cell r="D61">
            <v>159323</v>
          </cell>
          <cell r="E61">
            <v>0</v>
          </cell>
          <cell r="H61">
            <v>160039</v>
          </cell>
          <cell r="I61">
            <v>0</v>
          </cell>
        </row>
        <row r="62">
          <cell r="D62">
            <v>9932</v>
          </cell>
          <cell r="E62">
            <v>0</v>
          </cell>
          <cell r="H62">
            <v>9999</v>
          </cell>
          <cell r="I62">
            <v>0</v>
          </cell>
        </row>
        <row r="63">
          <cell r="D63">
            <v>14709</v>
          </cell>
          <cell r="E63">
            <v>0</v>
          </cell>
          <cell r="H63">
            <v>14807</v>
          </cell>
          <cell r="I63">
            <v>0</v>
          </cell>
        </row>
        <row r="65">
          <cell r="D65">
            <v>142878</v>
          </cell>
          <cell r="E65">
            <v>-41174</v>
          </cell>
          <cell r="H65">
            <v>143752</v>
          </cell>
          <cell r="I65">
            <v>54294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Electric"/>
      <sheetName val="Summary Gas"/>
      <sheetName val="Electric"/>
      <sheetName val="Gas"/>
      <sheetName val="Conversion Factor"/>
      <sheetName val="COR"/>
      <sheetName val="Hopkins Ridge"/>
      <sheetName val="Wild Horse"/>
      <sheetName val="Storm Damages"/>
      <sheetName val="FIT"/>
      <sheetName val="Misc Int."/>
      <sheetName val="King Deprec"/>
      <sheetName val="Exec Comp"/>
      <sheetName val="SERP"/>
      <sheetName val="Incentive pay"/>
      <sheetName val="Shareholder"/>
      <sheetName val="Aircraft"/>
      <sheetName val="Athletic Events"/>
      <sheetName val="D&amp;O"/>
      <sheetName val="Airport Parking"/>
      <sheetName val="Int. Sy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I70"/>
  <sheetViews>
    <sheetView view="pageLayout" zoomScaleNormal="100" workbookViewId="0">
      <selection activeCell="E17" sqref="E17"/>
    </sheetView>
  </sheetViews>
  <sheetFormatPr defaultRowHeight="12.75"/>
  <cols>
    <col min="1" max="1" width="6" style="2" customWidth="1"/>
    <col min="2" max="2" width="2.85546875" style="2" customWidth="1"/>
    <col min="3" max="3" width="30.7109375" style="2" bestFit="1" customWidth="1"/>
    <col min="4" max="4" width="2.7109375" style="2" customWidth="1"/>
    <col min="5" max="5" width="10.5703125" style="2" customWidth="1"/>
    <col min="6" max="6" width="2" style="2" customWidth="1"/>
    <col min="7" max="7" width="11.28515625" style="30" bestFit="1" customWidth="1"/>
    <col min="8" max="8" width="2.28515625" style="30" customWidth="1"/>
    <col min="9" max="9" width="10.85546875" style="30" customWidth="1"/>
    <col min="10" max="16384" width="9.140625" style="30"/>
  </cols>
  <sheetData>
    <row r="1" spans="1:9">
      <c r="A1" s="266" t="s">
        <v>68</v>
      </c>
      <c r="B1" s="266"/>
      <c r="C1" s="266"/>
      <c r="D1" s="266"/>
      <c r="E1" s="266"/>
      <c r="F1" s="266"/>
      <c r="G1" s="266"/>
      <c r="H1" s="266"/>
      <c r="I1" s="266"/>
    </row>
    <row r="2" spans="1:9">
      <c r="A2" s="266" t="s">
        <v>69</v>
      </c>
      <c r="B2" s="266"/>
      <c r="C2" s="266"/>
      <c r="D2" s="266"/>
      <c r="E2" s="266"/>
      <c r="F2" s="266"/>
      <c r="G2" s="266"/>
      <c r="H2" s="266"/>
      <c r="I2" s="266"/>
    </row>
    <row r="3" spans="1:9">
      <c r="A3" s="266" t="s">
        <v>70</v>
      </c>
      <c r="B3" s="266"/>
      <c r="C3" s="266"/>
      <c r="D3" s="266"/>
      <c r="E3" s="266"/>
      <c r="F3" s="266"/>
      <c r="G3" s="266"/>
      <c r="H3" s="266"/>
      <c r="I3" s="266"/>
    </row>
    <row r="4" spans="1:9">
      <c r="A4" s="266" t="s">
        <v>112</v>
      </c>
      <c r="B4" s="266"/>
      <c r="C4" s="266"/>
      <c r="D4" s="266"/>
      <c r="E4" s="266"/>
      <c r="F4" s="266"/>
      <c r="G4" s="266"/>
      <c r="H4" s="266"/>
      <c r="I4" s="266"/>
    </row>
    <row r="5" spans="1:9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>
      <c r="A6" s="27"/>
      <c r="B6" s="27"/>
      <c r="C6" s="27"/>
      <c r="D6" s="27"/>
      <c r="E6" s="27"/>
      <c r="F6" s="27"/>
    </row>
    <row r="7" spans="1:9">
      <c r="A7" s="27"/>
      <c r="B7" s="27"/>
      <c r="C7" s="27"/>
      <c r="D7" s="27"/>
      <c r="E7" s="27"/>
      <c r="F7" s="27"/>
    </row>
    <row r="8" spans="1:9">
      <c r="A8" s="30"/>
      <c r="B8" s="30"/>
      <c r="C8" s="30"/>
      <c r="D8" s="30"/>
    </row>
    <row r="9" spans="1:9">
      <c r="A9" s="39" t="s">
        <v>71</v>
      </c>
      <c r="B9" s="39"/>
      <c r="C9" s="39"/>
      <c r="D9" s="39"/>
      <c r="E9" s="30"/>
      <c r="F9" s="30"/>
    </row>
    <row r="10" spans="1:9">
      <c r="A10" s="40" t="s">
        <v>7</v>
      </c>
      <c r="B10" s="39"/>
      <c r="C10" s="40" t="s">
        <v>73</v>
      </c>
      <c r="D10" s="38"/>
      <c r="E10" s="40" t="s">
        <v>67</v>
      </c>
      <c r="F10" s="38"/>
      <c r="G10" s="40" t="s">
        <v>120</v>
      </c>
      <c r="H10" s="39"/>
      <c r="I10" s="40" t="s">
        <v>137</v>
      </c>
    </row>
    <row r="11" spans="1:9">
      <c r="A11" s="38"/>
      <c r="B11" s="39"/>
      <c r="C11" s="38"/>
      <c r="D11" s="38"/>
      <c r="E11" s="38" t="s">
        <v>259</v>
      </c>
      <c r="F11" s="38"/>
      <c r="G11" s="38" t="s">
        <v>12</v>
      </c>
      <c r="H11" s="39"/>
      <c r="I11" s="38" t="s">
        <v>147</v>
      </c>
    </row>
    <row r="12" spans="1:9">
      <c r="A12" s="30"/>
      <c r="B12" s="30"/>
      <c r="C12" s="30"/>
      <c r="D12" s="30"/>
      <c r="E12" s="30"/>
      <c r="F12" s="30"/>
    </row>
    <row r="13" spans="1:9">
      <c r="A13" s="29">
        <v>1</v>
      </c>
      <c r="B13" s="30"/>
      <c r="C13" s="30" t="s">
        <v>75</v>
      </c>
      <c r="D13" s="30"/>
      <c r="E13" s="141">
        <v>950944</v>
      </c>
      <c r="F13" s="33"/>
      <c r="G13" s="141">
        <f>+'Detail Electric'!X46</f>
        <v>937414.73507704993</v>
      </c>
      <c r="I13" s="141">
        <f>+G13-E13</f>
        <v>-13529.264922950068</v>
      </c>
    </row>
    <row r="14" spans="1:9">
      <c r="A14" s="29"/>
      <c r="B14" s="30"/>
      <c r="C14" s="30"/>
      <c r="D14" s="30"/>
      <c r="E14" s="33"/>
      <c r="F14" s="33"/>
      <c r="G14" s="33"/>
      <c r="I14" s="33"/>
    </row>
    <row r="15" spans="1:9">
      <c r="A15" s="29">
        <v>2</v>
      </c>
      <c r="B15" s="30"/>
      <c r="C15" s="30" t="s">
        <v>76</v>
      </c>
      <c r="D15" s="30"/>
      <c r="E15" s="41">
        <v>8.43E-2</v>
      </c>
      <c r="F15" s="32"/>
      <c r="G15" s="41">
        <f>+ROR!H14</f>
        <v>8.2184699999999999E-2</v>
      </c>
      <c r="I15" s="41"/>
    </row>
    <row r="16" spans="1:9">
      <c r="A16" s="29"/>
      <c r="B16" s="30"/>
      <c r="C16" s="30"/>
      <c r="D16" s="30"/>
      <c r="E16" s="32"/>
      <c r="F16" s="32"/>
      <c r="G16" s="32"/>
      <c r="I16" s="32"/>
    </row>
    <row r="17" spans="1:9">
      <c r="A17" s="29">
        <v>3</v>
      </c>
      <c r="B17" s="30"/>
      <c r="C17" s="30" t="s">
        <v>77</v>
      </c>
      <c r="D17" s="30"/>
      <c r="E17" s="141">
        <f>+E13*E15</f>
        <v>80164.579199999993</v>
      </c>
      <c r="F17" s="33"/>
      <c r="G17" s="141">
        <f>+G13*G15</f>
        <v>77041.148777886832</v>
      </c>
      <c r="I17" s="141">
        <f>+G17-E17</f>
        <v>-3123.4304221131606</v>
      </c>
    </row>
    <row r="18" spans="1:9">
      <c r="A18" s="29"/>
      <c r="B18" s="30"/>
      <c r="C18" s="30"/>
      <c r="D18" s="30"/>
      <c r="E18" s="33"/>
      <c r="F18" s="33"/>
      <c r="G18" s="33"/>
      <c r="I18" s="33"/>
    </row>
    <row r="19" spans="1:9">
      <c r="A19" s="29">
        <v>4</v>
      </c>
      <c r="B19" s="30"/>
      <c r="C19" s="30" t="s">
        <v>78</v>
      </c>
      <c r="D19" s="30"/>
      <c r="E19" s="139">
        <f>+'Detail Electric'!E38</f>
        <v>57393.082719999999</v>
      </c>
      <c r="F19" s="43"/>
      <c r="G19" s="139">
        <f>+'Detail Electric'!X38</f>
        <v>61584.544668178554</v>
      </c>
      <c r="I19" s="139">
        <f>+G19-E19</f>
        <v>4191.4619481785558</v>
      </c>
    </row>
    <row r="20" spans="1:9">
      <c r="A20" s="29"/>
      <c r="B20" s="30"/>
      <c r="C20" s="30"/>
      <c r="D20" s="30"/>
      <c r="E20" s="30"/>
      <c r="F20" s="30"/>
    </row>
    <row r="21" spans="1:9">
      <c r="A21" s="29">
        <v>5</v>
      </c>
      <c r="B21" s="30"/>
      <c r="C21" s="30" t="s">
        <v>79</v>
      </c>
      <c r="D21" s="30"/>
      <c r="E21" s="141">
        <f>E17-E19</f>
        <v>22771.496479999994</v>
      </c>
      <c r="F21" s="33"/>
      <c r="G21" s="141">
        <f>G17-G19</f>
        <v>15456.604109708278</v>
      </c>
      <c r="I21" s="141">
        <f>+G21-E21</f>
        <v>-7314.8923702917164</v>
      </c>
    </row>
    <row r="22" spans="1:9">
      <c r="A22" s="29"/>
      <c r="B22" s="30"/>
      <c r="C22" s="30"/>
      <c r="D22" s="30"/>
      <c r="E22" s="30"/>
      <c r="F22" s="30"/>
    </row>
    <row r="23" spans="1:9">
      <c r="A23" s="29">
        <v>6</v>
      </c>
      <c r="B23" s="30"/>
      <c r="C23" s="30" t="s">
        <v>80</v>
      </c>
      <c r="D23" s="30"/>
      <c r="E23" s="30">
        <f>+'Conv Factor'!E27</f>
        <v>0.62190133999999997</v>
      </c>
      <c r="F23" s="30"/>
      <c r="G23" s="30">
        <f>+'Conv Factor'!G27</f>
        <v>0.63146905999999992</v>
      </c>
    </row>
    <row r="24" spans="1:9" ht="13.5" thickBot="1">
      <c r="A24" s="29"/>
      <c r="B24" s="30"/>
      <c r="C24" s="30"/>
      <c r="D24" s="30"/>
      <c r="E24" s="30"/>
      <c r="F24" s="30"/>
    </row>
    <row r="25" spans="1:9" ht="13.5" thickBot="1">
      <c r="A25" s="29">
        <v>7</v>
      </c>
      <c r="B25" s="30"/>
      <c r="C25" s="30" t="s">
        <v>37</v>
      </c>
      <c r="D25" s="30"/>
      <c r="E25" s="214">
        <f>ROUND(E21/E23,0)</f>
        <v>36616</v>
      </c>
      <c r="F25" s="43"/>
      <c r="G25" s="214">
        <f>ROUND(G21/G23,0)</f>
        <v>24477</v>
      </c>
      <c r="I25" s="214">
        <f>+G25-E25</f>
        <v>-12139</v>
      </c>
    </row>
    <row r="26" spans="1:9">
      <c r="A26" s="29"/>
      <c r="B26" s="28"/>
      <c r="C26" s="30"/>
      <c r="D26" s="30"/>
      <c r="E26" s="30"/>
      <c r="F26" s="30"/>
    </row>
    <row r="27" spans="1:9">
      <c r="A27" s="29">
        <v>8</v>
      </c>
      <c r="B27" s="28"/>
      <c r="C27" s="30" t="s">
        <v>81</v>
      </c>
      <c r="D27" s="30"/>
      <c r="E27" s="146">
        <f>+'Detail Electric'!E13</f>
        <v>355260</v>
      </c>
      <c r="F27" s="43"/>
      <c r="G27" s="146">
        <f>+'Detail Electric'!X13</f>
        <v>355260</v>
      </c>
      <c r="I27" s="146">
        <f>+G27-E27</f>
        <v>0</v>
      </c>
    </row>
    <row r="28" spans="1:9">
      <c r="A28" s="29"/>
      <c r="B28" s="28"/>
      <c r="C28" s="30"/>
      <c r="D28" s="30"/>
      <c r="E28" s="30"/>
      <c r="F28" s="30"/>
    </row>
    <row r="29" spans="1:9" ht="13.5" thickBot="1">
      <c r="A29" s="29">
        <v>9</v>
      </c>
      <c r="B29" s="28"/>
      <c r="C29" s="30" t="s">
        <v>82</v>
      </c>
      <c r="D29" s="30"/>
      <c r="E29" s="45">
        <f>ROUND(E25/E27,4)</f>
        <v>0.1031</v>
      </c>
      <c r="F29" s="46"/>
      <c r="G29" s="45">
        <f>ROUND(G25/G27,4)</f>
        <v>6.8900000000000003E-2</v>
      </c>
      <c r="I29" s="45"/>
    </row>
    <row r="30" spans="1:9" ht="13.5" thickTop="1"/>
    <row r="32" spans="1:9">
      <c r="C32" s="47"/>
      <c r="D32" s="48"/>
      <c r="E32" s="48"/>
      <c r="F32" s="48"/>
      <c r="G32" s="36"/>
    </row>
    <row r="35" spans="1:7" hidden="1"/>
    <row r="36" spans="1:7" hidden="1"/>
    <row r="37" spans="1:7" hidden="1">
      <c r="A37" s="27" t="s">
        <v>68</v>
      </c>
      <c r="B37" s="27"/>
      <c r="C37" s="27"/>
      <c r="D37" s="27"/>
      <c r="E37" s="27"/>
    </row>
    <row r="38" spans="1:7" hidden="1">
      <c r="A38" s="27" t="s">
        <v>69</v>
      </c>
      <c r="B38" s="27"/>
      <c r="C38" s="27"/>
      <c r="D38" s="27"/>
      <c r="E38" s="27"/>
    </row>
    <row r="39" spans="1:7" hidden="1">
      <c r="A39" s="27" t="s">
        <v>83</v>
      </c>
      <c r="B39" s="27"/>
      <c r="C39" s="27"/>
      <c r="D39" s="27"/>
      <c r="E39" s="27"/>
    </row>
    <row r="40" spans="1:7" hidden="1">
      <c r="A40" s="27"/>
      <c r="B40" s="27"/>
      <c r="C40" s="27" t="str">
        <f>A4</f>
        <v>TWELVE MONTHS ENDED DECEMBER 31, 2007</v>
      </c>
      <c r="D40" s="27"/>
      <c r="E40" s="27"/>
    </row>
    <row r="41" spans="1:7" hidden="1">
      <c r="A41" s="30"/>
      <c r="B41" s="30"/>
      <c r="C41" s="30"/>
      <c r="D41" s="30"/>
      <c r="E41" s="38"/>
    </row>
    <row r="42" spans="1:7" hidden="1">
      <c r="A42" s="39" t="s">
        <v>71</v>
      </c>
      <c r="B42" s="39"/>
      <c r="C42" s="39"/>
      <c r="D42" s="39"/>
      <c r="E42" s="39" t="s">
        <v>72</v>
      </c>
    </row>
    <row r="43" spans="1:7" hidden="1">
      <c r="A43" s="40" t="s">
        <v>7</v>
      </c>
      <c r="B43" s="39"/>
      <c r="C43" s="40" t="s">
        <v>73</v>
      </c>
      <c r="D43" s="38"/>
      <c r="E43" s="40" t="s">
        <v>74</v>
      </c>
    </row>
    <row r="44" spans="1:7" hidden="1">
      <c r="A44" s="30"/>
      <c r="B44" s="30"/>
      <c r="C44" s="30"/>
      <c r="D44" s="30"/>
      <c r="E44" s="30"/>
    </row>
    <row r="45" spans="1:7" hidden="1">
      <c r="A45" s="29">
        <v>1</v>
      </c>
      <c r="B45" s="30"/>
      <c r="C45" s="30" t="s">
        <v>75</v>
      </c>
      <c r="D45" s="30"/>
      <c r="E45" s="33" t="e">
        <f>'Summary Electric'!#REF!</f>
        <v>#REF!</v>
      </c>
    </row>
    <row r="46" spans="1:7" hidden="1">
      <c r="A46" s="29"/>
      <c r="B46" s="30"/>
      <c r="C46" s="30"/>
      <c r="D46" s="30"/>
      <c r="E46" s="33"/>
    </row>
    <row r="47" spans="1:7" hidden="1">
      <c r="A47" s="29">
        <v>2</v>
      </c>
      <c r="B47" s="30"/>
      <c r="C47" s="30" t="s">
        <v>76</v>
      </c>
      <c r="D47" s="30"/>
      <c r="E47" s="41" t="e">
        <f>'Summary Electric'!#REF!</f>
        <v>#REF!</v>
      </c>
      <c r="G47" s="37" t="s">
        <v>84</v>
      </c>
    </row>
    <row r="48" spans="1:7" hidden="1">
      <c r="A48" s="29"/>
      <c r="B48" s="30"/>
      <c r="C48" s="30"/>
      <c r="D48" s="30"/>
      <c r="E48" s="32"/>
    </row>
    <row r="49" spans="1:5" hidden="1">
      <c r="A49" s="29">
        <v>3</v>
      </c>
      <c r="B49" s="30"/>
      <c r="C49" s="30" t="s">
        <v>77</v>
      </c>
      <c r="D49" s="30"/>
      <c r="E49" s="33" t="e">
        <f>'Summary Electric'!#REF!</f>
        <v>#REF!</v>
      </c>
    </row>
    <row r="50" spans="1:5" hidden="1">
      <c r="A50" s="29"/>
      <c r="B50" s="30"/>
      <c r="C50" s="30"/>
      <c r="D50" s="30"/>
      <c r="E50" s="33"/>
    </row>
    <row r="51" spans="1:5" hidden="1">
      <c r="A51" s="29">
        <v>4</v>
      </c>
      <c r="B51" s="30"/>
      <c r="C51" s="30" t="s">
        <v>78</v>
      </c>
      <c r="D51" s="30"/>
      <c r="E51" s="42" t="e">
        <v>#REF!</v>
      </c>
    </row>
    <row r="52" spans="1:5" hidden="1">
      <c r="A52" s="29"/>
      <c r="B52" s="30"/>
      <c r="C52" s="30"/>
      <c r="D52" s="30"/>
      <c r="E52" s="30"/>
    </row>
    <row r="53" spans="1:5" hidden="1">
      <c r="A53" s="29">
        <v>5</v>
      </c>
      <c r="B53" s="30"/>
      <c r="C53" s="30" t="s">
        <v>79</v>
      </c>
      <c r="D53" s="30"/>
      <c r="E53" s="33" t="e">
        <f>E49-E51</f>
        <v>#REF!</v>
      </c>
    </row>
    <row r="54" spans="1:5" hidden="1">
      <c r="A54" s="29"/>
      <c r="B54" s="30"/>
      <c r="C54" s="30"/>
      <c r="D54" s="30"/>
      <c r="E54" s="30"/>
    </row>
    <row r="55" spans="1:5" hidden="1">
      <c r="A55" s="29">
        <v>6</v>
      </c>
      <c r="B55" s="30"/>
      <c r="C55" s="30" t="s">
        <v>80</v>
      </c>
      <c r="D55" s="30"/>
      <c r="E55" s="30" t="e">
        <v>#REF!</v>
      </c>
    </row>
    <row r="56" spans="1:5" hidden="1">
      <c r="A56" s="29"/>
      <c r="B56" s="30"/>
      <c r="C56" s="30"/>
      <c r="D56" s="30"/>
      <c r="E56" s="30"/>
    </row>
    <row r="57" spans="1:5" ht="13.5" hidden="1" thickBot="1">
      <c r="A57" s="29">
        <v>7</v>
      </c>
      <c r="B57" s="30"/>
      <c r="C57" s="30" t="s">
        <v>37</v>
      </c>
      <c r="D57" s="30"/>
      <c r="E57" s="44" t="e">
        <f>ROUND(E53/E55,0)</f>
        <v>#REF!</v>
      </c>
    </row>
    <row r="58" spans="1:5" hidden="1">
      <c r="A58" s="29"/>
      <c r="B58" s="28"/>
      <c r="C58" s="30"/>
      <c r="D58" s="30"/>
      <c r="E58" s="30"/>
    </row>
    <row r="59" spans="1:5" hidden="1">
      <c r="A59" s="29">
        <v>8</v>
      </c>
      <c r="B59" s="28"/>
      <c r="C59" s="30" t="s">
        <v>81</v>
      </c>
      <c r="D59" s="30"/>
      <c r="E59" s="43" t="e">
        <v>#REF!</v>
      </c>
    </row>
    <row r="60" spans="1:5" hidden="1">
      <c r="A60" s="29"/>
      <c r="B60" s="28"/>
      <c r="C60" s="30"/>
      <c r="D60" s="30"/>
      <c r="E60" s="30"/>
    </row>
    <row r="61" spans="1:5" ht="13.5" hidden="1" thickBot="1">
      <c r="A61" s="29">
        <v>9</v>
      </c>
      <c r="B61" s="28"/>
      <c r="C61" s="30" t="s">
        <v>82</v>
      </c>
      <c r="D61" s="30"/>
      <c r="E61" s="45" t="e">
        <f>ROUND(E57/E59,4)</f>
        <v>#REF!</v>
      </c>
    </row>
    <row r="62" spans="1:5" hidden="1"/>
    <row r="63" spans="1:5" hidden="1"/>
    <row r="64" spans="1:5" hidden="1"/>
    <row r="65" spans="7:7" hidden="1"/>
    <row r="66" spans="7:7" hidden="1"/>
    <row r="70" spans="7:7">
      <c r="G70" s="215"/>
    </row>
  </sheetData>
  <mergeCells count="5">
    <mergeCell ref="A5:I5"/>
    <mergeCell ref="A1:I1"/>
    <mergeCell ref="A2:I2"/>
    <mergeCell ref="A3:I3"/>
    <mergeCell ref="A4:I4"/>
  </mergeCells>
  <phoneticPr fontId="0" type="noConversion"/>
  <pageMargins left="0.75" right="0.75" top="1.43" bottom="0.5" header="0.5" footer="0.5"/>
  <pageSetup fitToWidth="2" orientation="portrait" r:id="rId1"/>
  <headerFooter alignWithMargins="0">
    <oddHeader>&amp;RDocket Nos. UE-080416 &amp;&amp; UG-080417
Exhibit No.___(MJM-4&amp;S&amp;KFF0000C&amp;S&amp;K000000)
&amp;KFF0000 REVISED 1/29/09 &amp;K000000Corrected
Schedule 1(E)
Page 1 of 22</oddHeader>
    <oddFooter xml:space="preserve">&amp;R&amp;"Times New Roman,Regular"&amp;8             </oddFooter>
  </headerFooter>
  <rowBreaks count="1" manualBreakCount="1">
    <brk id="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D38"/>
  <sheetViews>
    <sheetView view="pageLayout" zoomScaleNormal="100" workbookViewId="0">
      <selection activeCell="A8" sqref="A8:D8"/>
    </sheetView>
  </sheetViews>
  <sheetFormatPr defaultRowHeight="12.75"/>
  <cols>
    <col min="1" max="1" width="4.42578125" customWidth="1"/>
    <col min="2" max="2" width="45.5703125" customWidth="1"/>
    <col min="4" max="4" width="14" bestFit="1" customWidth="1"/>
  </cols>
  <sheetData>
    <row r="1" spans="1:4" s="104" customFormat="1">
      <c r="A1" s="269" t="s">
        <v>68</v>
      </c>
      <c r="B1" s="269"/>
      <c r="C1" s="269"/>
      <c r="D1" s="269"/>
    </row>
    <row r="2" spans="1:4" s="104" customFormat="1">
      <c r="A2" s="269" t="s">
        <v>151</v>
      </c>
      <c r="B2" s="269"/>
      <c r="C2" s="269"/>
      <c r="D2" s="269"/>
    </row>
    <row r="3" spans="1:4" s="104" customFormat="1">
      <c r="D3" s="252" t="s">
        <v>265</v>
      </c>
    </row>
    <row r="4" spans="1:4" s="104" customFormat="1">
      <c r="A4" s="269" t="s">
        <v>277</v>
      </c>
      <c r="B4" s="269"/>
      <c r="C4" s="269"/>
      <c r="D4" s="269"/>
    </row>
    <row r="5" spans="1:4" s="104" customFormat="1">
      <c r="B5" s="276" t="s">
        <v>291</v>
      </c>
      <c r="C5" s="277"/>
      <c r="D5" s="277"/>
    </row>
    <row r="6" spans="1:4" s="104" customFormat="1">
      <c r="A6" s="269" t="s">
        <v>234</v>
      </c>
      <c r="B6" s="269"/>
      <c r="C6" s="269"/>
      <c r="D6" s="269"/>
    </row>
    <row r="7" spans="1:4" s="104" customFormat="1">
      <c r="A7" s="153"/>
      <c r="B7" s="153"/>
      <c r="C7" s="153"/>
      <c r="D7" s="153"/>
    </row>
    <row r="8" spans="1:4" s="104" customFormat="1">
      <c r="A8" s="275"/>
      <c r="B8" s="275"/>
      <c r="C8" s="275"/>
      <c r="D8" s="275"/>
    </row>
    <row r="9" spans="1:4" s="104" customFormat="1">
      <c r="A9" s="153"/>
      <c r="B9" s="153"/>
      <c r="C9" s="153"/>
      <c r="D9" s="169"/>
    </row>
    <row r="10" spans="1:4" s="104" customFormat="1">
      <c r="A10" s="153"/>
      <c r="B10" s="153"/>
      <c r="C10" s="153"/>
      <c r="D10" s="153"/>
    </row>
    <row r="11" spans="1:4" s="111" customFormat="1">
      <c r="A11" s="253" t="s">
        <v>4</v>
      </c>
      <c r="B11" s="253" t="s">
        <v>73</v>
      </c>
      <c r="C11" s="253"/>
      <c r="D11" s="253" t="s">
        <v>124</v>
      </c>
    </row>
    <row r="12" spans="1:4" s="104" customFormat="1">
      <c r="A12" s="153"/>
      <c r="B12" s="153"/>
      <c r="C12" s="153"/>
      <c r="D12" s="153"/>
    </row>
    <row r="13" spans="1:4" s="104" customFormat="1">
      <c r="A13" s="153"/>
      <c r="B13" s="253" t="s">
        <v>160</v>
      </c>
      <c r="C13" s="153"/>
      <c r="D13" s="153"/>
    </row>
    <row r="14" spans="1:4" s="104" customFormat="1">
      <c r="A14" s="169">
        <v>1</v>
      </c>
      <c r="B14" s="153" t="s">
        <v>235</v>
      </c>
      <c r="C14" s="153"/>
      <c r="D14" s="254">
        <v>510032</v>
      </c>
    </row>
    <row r="15" spans="1:4" s="104" customFormat="1">
      <c r="A15" s="169"/>
      <c r="B15" s="153"/>
      <c r="C15" s="153"/>
      <c r="D15" s="255"/>
    </row>
    <row r="16" spans="1:4" s="104" customFormat="1">
      <c r="A16" s="169">
        <v>3</v>
      </c>
      <c r="B16" s="153" t="s">
        <v>126</v>
      </c>
      <c r="C16" s="153"/>
      <c r="D16" s="256">
        <f>-D14</f>
        <v>-510032</v>
      </c>
    </row>
    <row r="17" spans="1:4" s="104" customFormat="1">
      <c r="A17" s="169"/>
      <c r="B17" s="153"/>
      <c r="C17" s="153"/>
      <c r="D17" s="153"/>
    </row>
    <row r="18" spans="1:4" s="104" customFormat="1">
      <c r="A18" s="169">
        <v>4</v>
      </c>
      <c r="B18" s="153" t="s">
        <v>127</v>
      </c>
      <c r="C18" s="257">
        <v>0.34</v>
      </c>
      <c r="D18" s="153"/>
    </row>
    <row r="19" spans="1:4" s="104" customFormat="1">
      <c r="A19" s="153"/>
      <c r="B19" s="153"/>
      <c r="C19" s="153"/>
      <c r="D19" s="153"/>
    </row>
    <row r="20" spans="1:4" s="104" customFormat="1">
      <c r="A20" s="169">
        <v>5</v>
      </c>
      <c r="B20" s="153" t="s">
        <v>128</v>
      </c>
      <c r="C20" s="153"/>
      <c r="D20" s="258">
        <f>-D16*C18</f>
        <v>173410.88</v>
      </c>
    </row>
    <row r="21" spans="1:4" s="104" customFormat="1">
      <c r="A21" s="169"/>
      <c r="B21" s="153"/>
      <c r="C21" s="153"/>
      <c r="D21" s="153"/>
    </row>
    <row r="22" spans="1:4" s="104" customFormat="1" ht="13.5" thickBot="1">
      <c r="A22" s="169">
        <v>6</v>
      </c>
      <c r="B22" s="153" t="s">
        <v>161</v>
      </c>
      <c r="C22" s="153"/>
      <c r="D22" s="259">
        <f>+D16+D20</f>
        <v>-336621.12</v>
      </c>
    </row>
    <row r="23" spans="1:4" s="104" customFormat="1" ht="13.5" thickTop="1">
      <c r="A23" s="153"/>
      <c r="B23" s="153"/>
      <c r="C23" s="153"/>
      <c r="D23" s="153"/>
    </row>
    <row r="24" spans="1:4" s="104" customFormat="1">
      <c r="A24" s="169">
        <v>7</v>
      </c>
      <c r="B24" s="153" t="s">
        <v>36</v>
      </c>
      <c r="C24" s="153"/>
      <c r="D24" s="153">
        <f>+'Conv Factor'!G29</f>
        <v>1.583608862800024</v>
      </c>
    </row>
    <row r="25" spans="1:4" s="104" customFormat="1">
      <c r="A25" s="153"/>
      <c r="B25" s="153"/>
      <c r="C25" s="153"/>
      <c r="D25" s="153"/>
    </row>
    <row r="26" spans="1:4" s="104" customFormat="1" ht="13.5" thickBot="1">
      <c r="A26" s="169">
        <v>8</v>
      </c>
      <c r="B26" s="153" t="s">
        <v>129</v>
      </c>
      <c r="C26" s="179"/>
      <c r="D26" s="259">
        <f>+D22*D24</f>
        <v>-533076.18903767038</v>
      </c>
    </row>
    <row r="27" spans="1:4" ht="13.5" thickTop="1">
      <c r="A27" s="260"/>
      <c r="B27" s="260"/>
      <c r="C27" s="260"/>
      <c r="D27" s="260"/>
    </row>
    <row r="28" spans="1:4">
      <c r="A28" s="260"/>
      <c r="B28" s="260" t="s">
        <v>130</v>
      </c>
      <c r="C28" s="260"/>
      <c r="D28" s="260"/>
    </row>
    <row r="29" spans="1:4">
      <c r="A29" s="260"/>
      <c r="B29" s="260"/>
      <c r="C29" s="260"/>
      <c r="D29" s="261"/>
    </row>
    <row r="30" spans="1:4">
      <c r="A30" s="262">
        <v>9</v>
      </c>
      <c r="B30" s="260" t="s">
        <v>236</v>
      </c>
      <c r="C30" s="260"/>
      <c r="D30" s="261">
        <v>23206479</v>
      </c>
    </row>
    <row r="31" spans="1:4">
      <c r="A31" s="262">
        <v>10</v>
      </c>
      <c r="B31" s="260" t="s">
        <v>237</v>
      </c>
      <c r="C31" s="260"/>
      <c r="D31" s="263">
        <v>-8122268</v>
      </c>
    </row>
    <row r="32" spans="1:4">
      <c r="A32" s="262">
        <v>11</v>
      </c>
      <c r="B32" s="260" t="s">
        <v>238</v>
      </c>
      <c r="C32" s="260"/>
      <c r="D32" s="261">
        <f>SUM(D30:D31)</f>
        <v>15084211</v>
      </c>
    </row>
    <row r="33" spans="1:4">
      <c r="A33" s="262"/>
      <c r="B33" s="260"/>
      <c r="C33" s="260"/>
      <c r="D33" s="261"/>
    </row>
    <row r="34" spans="1:4">
      <c r="A34" s="262">
        <v>12</v>
      </c>
      <c r="B34" s="260" t="s">
        <v>239</v>
      </c>
      <c r="C34" s="260"/>
      <c r="D34" s="261">
        <f>-D32</f>
        <v>-15084211</v>
      </c>
    </row>
    <row r="35" spans="1:4">
      <c r="A35" s="260"/>
      <c r="B35" s="260"/>
      <c r="C35" s="260"/>
      <c r="D35" s="260"/>
    </row>
    <row r="36" spans="1:4">
      <c r="A36" s="260" t="s">
        <v>240</v>
      </c>
      <c r="B36" s="260"/>
      <c r="C36" s="260"/>
      <c r="D36" s="260"/>
    </row>
    <row r="37" spans="1:4">
      <c r="A37" s="260" t="s">
        <v>241</v>
      </c>
      <c r="B37" s="260"/>
      <c r="C37" s="260"/>
      <c r="D37" s="260"/>
    </row>
    <row r="38" spans="1:4">
      <c r="B38" s="273" t="s">
        <v>292</v>
      </c>
      <c r="C38" s="274"/>
      <c r="D38" s="274"/>
    </row>
  </sheetData>
  <mergeCells count="7">
    <mergeCell ref="B38:D38"/>
    <mergeCell ref="A8:D8"/>
    <mergeCell ref="A6:D6"/>
    <mergeCell ref="A1:D1"/>
    <mergeCell ref="A2:D2"/>
    <mergeCell ref="A4:D4"/>
    <mergeCell ref="B5:D5"/>
  </mergeCells>
  <phoneticPr fontId="0" type="noConversion"/>
  <printOptions horizontalCentered="1"/>
  <pageMargins left="0.75" right="0.51" top="1.38" bottom="1" header="0.5" footer="0.5"/>
  <pageSetup orientation="portrait" r:id="rId1"/>
  <headerFooter alignWithMargins="0">
    <oddHeader>&amp;C&amp;S&amp;KFF0000CONFIDENTIAL PER PROTECTIVE 
ORDER IN WUTC DOCKETS 
UE-080416 AND UG-080417
&amp;"Arial,Bold"&amp;SREVISED 1/29/09&amp;R
Exhibit No.___(MJM-4&amp;S&amp;KFF0000C&amp;S&amp;K000000)
&amp;KFF0000REVISED 1/29/09 &amp;K000000Corrected
Schedule 5 (E &amp;&amp; G)
Page 12 of 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Layout" zoomScaleNormal="100" workbookViewId="0">
      <selection activeCell="F11" sqref="F11:G11"/>
    </sheetView>
  </sheetViews>
  <sheetFormatPr defaultRowHeight="12.75"/>
  <cols>
    <col min="1" max="1" width="4.42578125" style="30" customWidth="1"/>
    <col min="2" max="2" width="32.5703125" style="30" bestFit="1" customWidth="1"/>
    <col min="3" max="3" width="11.28515625" style="30" bestFit="1" customWidth="1"/>
    <col min="4" max="4" width="11.42578125" style="30" bestFit="1" customWidth="1"/>
    <col min="5" max="5" width="11.28515625" style="30" customWidth="1"/>
    <col min="6" max="16384" width="9.140625" style="30"/>
  </cols>
  <sheetData>
    <row r="1" spans="1:5" s="104" customFormat="1">
      <c r="A1" s="269" t="s">
        <v>68</v>
      </c>
      <c r="B1" s="269"/>
      <c r="C1" s="269"/>
      <c r="D1" s="269"/>
      <c r="E1" s="269"/>
    </row>
    <row r="2" spans="1:5" s="104" customFormat="1">
      <c r="A2" s="269" t="s">
        <v>151</v>
      </c>
      <c r="B2" s="269"/>
      <c r="C2" s="269"/>
      <c r="D2" s="269"/>
      <c r="E2" s="269"/>
    </row>
    <row r="3" spans="1:5" s="104" customFormat="1">
      <c r="D3" s="105"/>
      <c r="E3" s="105"/>
    </row>
    <row r="4" spans="1:5" s="104" customFormat="1">
      <c r="A4" s="269" t="s">
        <v>278</v>
      </c>
      <c r="B4" s="269"/>
      <c r="C4" s="269"/>
      <c r="D4" s="269"/>
      <c r="E4" s="269"/>
    </row>
    <row r="5" spans="1:5" s="104" customFormat="1"/>
    <row r="6" spans="1:5" s="104" customFormat="1">
      <c r="A6" s="269" t="s">
        <v>199</v>
      </c>
      <c r="B6" s="269"/>
      <c r="C6" s="269"/>
      <c r="D6" s="269"/>
      <c r="E6" s="269"/>
    </row>
    <row r="7" spans="1:5" s="104" customFormat="1"/>
    <row r="8" spans="1:5" s="104" customFormat="1"/>
    <row r="9" spans="1:5" s="111" customFormat="1">
      <c r="A9" s="111" t="s">
        <v>4</v>
      </c>
      <c r="B9" s="111" t="s">
        <v>73</v>
      </c>
    </row>
    <row r="10" spans="1:5" s="104" customFormat="1">
      <c r="C10" s="279" t="s">
        <v>201</v>
      </c>
      <c r="D10" s="279"/>
      <c r="E10" s="279"/>
    </row>
    <row r="11" spans="1:5" s="104" customFormat="1">
      <c r="C11" s="280" t="s">
        <v>210</v>
      </c>
      <c r="D11" s="280"/>
      <c r="E11" s="280"/>
    </row>
    <row r="12" spans="1:5" s="104" customFormat="1">
      <c r="C12" s="278" t="s">
        <v>211</v>
      </c>
      <c r="D12" s="278"/>
      <c r="E12" s="278"/>
    </row>
    <row r="13" spans="1:5" s="104" customFormat="1">
      <c r="B13" s="111"/>
      <c r="C13" s="111" t="s">
        <v>218</v>
      </c>
      <c r="D13" s="159" t="s">
        <v>120</v>
      </c>
      <c r="E13" s="159" t="s">
        <v>137</v>
      </c>
    </row>
    <row r="14" spans="1:5" s="104" customFormat="1">
      <c r="B14" s="30"/>
      <c r="D14" s="36"/>
      <c r="E14" s="36"/>
    </row>
    <row r="15" spans="1:5" s="104" customFormat="1">
      <c r="A15" s="109">
        <v>1</v>
      </c>
      <c r="B15" s="30" t="s">
        <v>53</v>
      </c>
      <c r="C15" s="156">
        <f>+[8]Summary!$H$9</f>
        <v>631545</v>
      </c>
      <c r="D15" s="156">
        <f>+[8]Summary!$D$9</f>
        <v>630048</v>
      </c>
      <c r="E15" s="156">
        <f>+D15-C15</f>
        <v>-1497</v>
      </c>
    </row>
    <row r="16" spans="1:5" s="104" customFormat="1">
      <c r="A16" s="109">
        <v>2</v>
      </c>
      <c r="B16" s="30" t="s">
        <v>202</v>
      </c>
      <c r="C16" s="166">
        <f>+[8]Summary!$H$10</f>
        <v>181602</v>
      </c>
      <c r="D16" s="166">
        <f>+[8]Summary!$D$10</f>
        <v>180731</v>
      </c>
      <c r="E16" s="166">
        <f>+D16-C16</f>
        <v>-871</v>
      </c>
    </row>
    <row r="17" spans="1:5" s="104" customFormat="1">
      <c r="A17" s="109">
        <v>3</v>
      </c>
      <c r="B17" s="30" t="s">
        <v>203</v>
      </c>
      <c r="C17" s="158">
        <f>SUM(C15:C16)</f>
        <v>813147</v>
      </c>
      <c r="D17" s="158">
        <f>SUM(D15:D16)</f>
        <v>810779</v>
      </c>
      <c r="E17" s="158">
        <f>SUM(E15:E16)</f>
        <v>-2368</v>
      </c>
    </row>
    <row r="18" spans="1:5" s="104" customFormat="1">
      <c r="A18" s="109"/>
      <c r="B18" s="30"/>
      <c r="C18" s="30"/>
      <c r="D18" s="30"/>
      <c r="E18" s="30"/>
    </row>
    <row r="19" spans="1:5" s="104" customFormat="1">
      <c r="A19" s="109">
        <v>4</v>
      </c>
      <c r="B19" s="30" t="s">
        <v>204</v>
      </c>
      <c r="C19" s="156">
        <f>+[8]Summary!$H$13</f>
        <v>618681</v>
      </c>
      <c r="D19" s="156">
        <f>+[8]Summary!$D$13</f>
        <v>618238</v>
      </c>
      <c r="E19" s="156">
        <f>+D19-C19</f>
        <v>-443</v>
      </c>
    </row>
    <row r="20" spans="1:5" s="104" customFormat="1">
      <c r="A20" s="109">
        <v>5</v>
      </c>
      <c r="B20" s="30" t="s">
        <v>205</v>
      </c>
      <c r="C20" s="156">
        <f>+[8]Summary!$H$15</f>
        <v>274928</v>
      </c>
      <c r="D20" s="156">
        <f>+[8]Summary!$D$15</f>
        <v>273692</v>
      </c>
      <c r="E20" s="156">
        <f>+D20-C20</f>
        <v>-1236</v>
      </c>
    </row>
    <row r="21" spans="1:5" s="104" customFormat="1">
      <c r="A21" s="109">
        <v>6</v>
      </c>
      <c r="B21" s="30" t="s">
        <v>206</v>
      </c>
      <c r="C21" s="156">
        <f>+[8]Summary!$H$16</f>
        <v>16185</v>
      </c>
      <c r="D21" s="156">
        <f>+[8]Summary!$D$16</f>
        <v>16078</v>
      </c>
      <c r="E21" s="156">
        <f>+D21-C21</f>
        <v>-107</v>
      </c>
    </row>
    <row r="22" spans="1:5" s="104" customFormat="1">
      <c r="A22" s="109">
        <v>7</v>
      </c>
      <c r="B22" s="30" t="s">
        <v>207</v>
      </c>
      <c r="C22" s="156">
        <f>+[8]Summary!$H$17</f>
        <v>24115</v>
      </c>
      <c r="D22" s="156">
        <f>+[8]Summary!$D$17</f>
        <v>23954</v>
      </c>
      <c r="E22" s="156">
        <f>+D22-C22</f>
        <v>-161</v>
      </c>
    </row>
    <row r="23" spans="1:5" s="104" customFormat="1">
      <c r="A23" s="109">
        <v>8</v>
      </c>
      <c r="B23" s="30" t="s">
        <v>208</v>
      </c>
      <c r="C23" s="165">
        <f>+[8]Summary!$H$19</f>
        <v>594456</v>
      </c>
      <c r="D23" s="165">
        <f>+[8]Summary!$D$19</f>
        <v>590965</v>
      </c>
      <c r="E23" s="160">
        <f>+D23-C23</f>
        <v>-3491</v>
      </c>
    </row>
    <row r="24" spans="1:5" s="153" customFormat="1">
      <c r="A24" s="169">
        <v>9</v>
      </c>
      <c r="B24" s="36" t="s">
        <v>209</v>
      </c>
      <c r="C24" s="157">
        <f>SUM(C17:C23)</f>
        <v>2341512</v>
      </c>
      <c r="D24" s="157">
        <f>SUM(D17:D23)</f>
        <v>2333706</v>
      </c>
      <c r="E24" s="157">
        <f>SUM(E17:E23)</f>
        <v>-7806</v>
      </c>
    </row>
    <row r="25" spans="1:5" s="104" customFormat="1">
      <c r="A25" s="109"/>
      <c r="B25" s="111"/>
      <c r="D25" s="122"/>
      <c r="E25" s="122"/>
    </row>
    <row r="26" spans="1:5" s="104" customFormat="1">
      <c r="A26" s="109"/>
      <c r="B26" s="111"/>
      <c r="D26" s="122"/>
      <c r="E26" s="122"/>
    </row>
    <row r="27" spans="1:5" s="104" customFormat="1">
      <c r="A27" s="109"/>
      <c r="B27" s="111"/>
      <c r="C27" s="279" t="s">
        <v>214</v>
      </c>
      <c r="D27" s="279"/>
      <c r="E27" s="279"/>
    </row>
    <row r="28" spans="1:5" s="104" customFormat="1">
      <c r="A28" s="109"/>
      <c r="B28" s="111"/>
      <c r="C28" s="280" t="s">
        <v>210</v>
      </c>
      <c r="D28" s="280"/>
      <c r="E28" s="280"/>
    </row>
    <row r="29" spans="1:5" s="104" customFormat="1">
      <c r="A29" s="109"/>
      <c r="B29" s="111"/>
      <c r="C29" s="278" t="s">
        <v>211</v>
      </c>
      <c r="D29" s="278"/>
      <c r="E29" s="278"/>
    </row>
    <row r="30" spans="1:5" s="104" customFormat="1">
      <c r="A30" s="109"/>
      <c r="B30" s="111"/>
      <c r="C30" s="111" t="s">
        <v>218</v>
      </c>
      <c r="D30" s="159" t="s">
        <v>120</v>
      </c>
      <c r="E30" s="159" t="s">
        <v>137</v>
      </c>
    </row>
    <row r="31" spans="1:5" s="104" customFormat="1">
      <c r="A31" s="109"/>
      <c r="B31" s="111"/>
      <c r="C31" s="111"/>
      <c r="D31" s="159"/>
      <c r="E31" s="159"/>
    </row>
    <row r="32" spans="1:5" s="104" customFormat="1">
      <c r="A32" s="109">
        <v>10</v>
      </c>
      <c r="B32" s="163" t="s">
        <v>53</v>
      </c>
      <c r="C32" s="142">
        <f>+[8]Summary!$H$55</f>
        <v>24314</v>
      </c>
      <c r="D32" s="161">
        <f>+[8]Summary!$D$55</f>
        <v>24151</v>
      </c>
      <c r="E32" s="147">
        <f t="shared" ref="E32:E38" si="0">+D32-C32</f>
        <v>-163</v>
      </c>
    </row>
    <row r="33" spans="1:5" s="104" customFormat="1">
      <c r="A33" s="109">
        <v>11</v>
      </c>
      <c r="B33" s="164" t="s">
        <v>212</v>
      </c>
      <c r="C33" s="142">
        <f>+[8]Summary!$H$57</f>
        <v>862</v>
      </c>
      <c r="D33" s="161">
        <f>+[8]Summary!$D$57</f>
        <v>856</v>
      </c>
      <c r="E33" s="147">
        <f t="shared" si="0"/>
        <v>-6</v>
      </c>
    </row>
    <row r="34" spans="1:5" s="104" customFormat="1">
      <c r="A34" s="109">
        <v>12</v>
      </c>
      <c r="B34" s="30" t="s">
        <v>204</v>
      </c>
      <c r="C34" s="142">
        <f>+[8]Summary!$H$59</f>
        <v>280206</v>
      </c>
      <c r="D34" s="161">
        <f>+[8]Summary!$D$59</f>
        <v>280096</v>
      </c>
      <c r="E34" s="147">
        <f t="shared" si="0"/>
        <v>-110</v>
      </c>
    </row>
    <row r="35" spans="1:5" s="104" customFormat="1">
      <c r="A35" s="109">
        <v>13</v>
      </c>
      <c r="B35" s="30" t="s">
        <v>205</v>
      </c>
      <c r="C35" s="142">
        <f>+[8]Summary!$H$61</f>
        <v>160039</v>
      </c>
      <c r="D35" s="161">
        <f>+[8]Summary!$D$61</f>
        <v>159323</v>
      </c>
      <c r="E35" s="147">
        <f t="shared" si="0"/>
        <v>-716</v>
      </c>
    </row>
    <row r="36" spans="1:5" s="104" customFormat="1">
      <c r="A36" s="109">
        <v>14</v>
      </c>
      <c r="B36" s="30" t="s">
        <v>206</v>
      </c>
      <c r="C36" s="142">
        <f>+[8]Summary!$H$62</f>
        <v>9999</v>
      </c>
      <c r="D36" s="161">
        <f>+[8]Summary!$D$62</f>
        <v>9932</v>
      </c>
      <c r="E36" s="147">
        <f t="shared" si="0"/>
        <v>-67</v>
      </c>
    </row>
    <row r="37" spans="1:5" s="104" customFormat="1">
      <c r="A37" s="109">
        <v>15</v>
      </c>
      <c r="B37" s="30" t="s">
        <v>207</v>
      </c>
      <c r="C37" s="142">
        <f>+[8]Summary!$H$63</f>
        <v>14807</v>
      </c>
      <c r="D37" s="161">
        <f>+[8]Summary!$D$63</f>
        <v>14709</v>
      </c>
      <c r="E37" s="147">
        <f t="shared" si="0"/>
        <v>-98</v>
      </c>
    </row>
    <row r="38" spans="1:5" s="104" customFormat="1">
      <c r="A38" s="109">
        <v>16</v>
      </c>
      <c r="B38" s="30" t="s">
        <v>208</v>
      </c>
      <c r="C38" s="143">
        <f>+[8]Summary!$H$65</f>
        <v>143752</v>
      </c>
      <c r="D38" s="162">
        <f>+[8]Summary!$D$65</f>
        <v>142878</v>
      </c>
      <c r="E38" s="143">
        <f t="shared" si="0"/>
        <v>-874</v>
      </c>
    </row>
    <row r="39" spans="1:5" s="104" customFormat="1">
      <c r="A39" s="109">
        <v>17</v>
      </c>
      <c r="B39" s="30" t="s">
        <v>213</v>
      </c>
      <c r="C39" s="142">
        <f>SUM(C32:C38)</f>
        <v>633979</v>
      </c>
      <c r="D39" s="142">
        <f>SUM(D32:D38)</f>
        <v>631945</v>
      </c>
      <c r="E39" s="142">
        <f>SUM(E32:E38)</f>
        <v>-2034</v>
      </c>
    </row>
    <row r="40" spans="1:5" s="104" customFormat="1">
      <c r="B40" s="111"/>
      <c r="D40" s="111"/>
      <c r="E40" s="122"/>
    </row>
    <row r="41" spans="1:5" s="104" customFormat="1">
      <c r="B41" s="111"/>
      <c r="D41" s="122"/>
      <c r="E41" s="122"/>
    </row>
    <row r="42" spans="1:5" s="104" customFormat="1">
      <c r="A42" s="109"/>
      <c r="C42" s="122"/>
      <c r="D42" s="167" t="s">
        <v>124</v>
      </c>
      <c r="E42" s="168" t="s">
        <v>125</v>
      </c>
    </row>
    <row r="43" spans="1:5" s="104" customFormat="1">
      <c r="A43" s="109">
        <v>18</v>
      </c>
      <c r="B43" s="104" t="s">
        <v>126</v>
      </c>
      <c r="D43" s="123">
        <f>+E24</f>
        <v>-7806</v>
      </c>
      <c r="E43" s="123">
        <f>+E39</f>
        <v>-2034</v>
      </c>
    </row>
    <row r="44" spans="1:5" s="104" customFormat="1">
      <c r="E44" s="153"/>
    </row>
    <row r="45" spans="1:5" s="104" customFormat="1">
      <c r="A45" s="109">
        <v>19</v>
      </c>
      <c r="B45" s="104" t="s">
        <v>127</v>
      </c>
      <c r="C45" s="126">
        <v>0.34</v>
      </c>
      <c r="E45" s="153"/>
    </row>
    <row r="46" spans="1:5" s="104" customFormat="1">
      <c r="A46" s="109"/>
      <c r="E46" s="153"/>
    </row>
    <row r="47" spans="1:5" s="104" customFormat="1">
      <c r="A47" s="109">
        <v>20</v>
      </c>
      <c r="B47" s="104" t="s">
        <v>215</v>
      </c>
      <c r="D47" s="154">
        <f>-D43*C45</f>
        <v>2654.04</v>
      </c>
      <c r="E47" s="154">
        <f>-E43*C45</f>
        <v>691.56000000000006</v>
      </c>
    </row>
    <row r="48" spans="1:5" s="104" customFormat="1">
      <c r="E48" s="153"/>
    </row>
    <row r="49" spans="1:5" s="104" customFormat="1" ht="13.5" thickBot="1">
      <c r="A49" s="109">
        <v>21</v>
      </c>
      <c r="B49" s="104" t="s">
        <v>216</v>
      </c>
      <c r="D49" s="127">
        <f>+D43+D47</f>
        <v>-5151.96</v>
      </c>
      <c r="E49" s="127">
        <f>+E43+E47</f>
        <v>-1342.44</v>
      </c>
    </row>
    <row r="50" spans="1:5" s="104" customFormat="1" ht="13.5" thickTop="1">
      <c r="A50" s="109"/>
    </row>
    <row r="51" spans="1:5" s="104" customFormat="1">
      <c r="A51" s="109">
        <v>22</v>
      </c>
      <c r="B51" s="104" t="s">
        <v>36</v>
      </c>
      <c r="D51" s="104">
        <f>+'Conv Factor'!G29</f>
        <v>1.583608862800024</v>
      </c>
      <c r="E51" s="104">
        <f>+'Conv Factor'!G56</f>
        <v>1.5832618569768004</v>
      </c>
    </row>
    <row r="52" spans="1:5" s="104" customFormat="1"/>
    <row r="53" spans="1:5" s="104" customFormat="1" ht="13.5" thickBot="1">
      <c r="A53" s="109">
        <v>23</v>
      </c>
      <c r="B53" s="104" t="s">
        <v>217</v>
      </c>
      <c r="C53" s="122"/>
      <c r="D53" s="127">
        <f>+D49*D51</f>
        <v>-8158.6895167912116</v>
      </c>
      <c r="E53" s="127">
        <f>+E49*E51</f>
        <v>-2125.4340472799363</v>
      </c>
    </row>
    <row r="54" spans="1:5" ht="13.5" thickTop="1">
      <c r="A54" s="104"/>
    </row>
    <row r="55" spans="1:5">
      <c r="A55" s="109"/>
    </row>
    <row r="57" spans="1:5">
      <c r="A57" s="30" t="s">
        <v>219</v>
      </c>
    </row>
  </sheetData>
  <mergeCells count="10">
    <mergeCell ref="C29:E29"/>
    <mergeCell ref="C27:E27"/>
    <mergeCell ref="A6:E6"/>
    <mergeCell ref="A1:E1"/>
    <mergeCell ref="A2:E2"/>
    <mergeCell ref="A4:E4"/>
    <mergeCell ref="C10:E10"/>
    <mergeCell ref="C11:E11"/>
    <mergeCell ref="C12:E12"/>
    <mergeCell ref="C28:E28"/>
  </mergeCells>
  <phoneticPr fontId="0" type="noConversion"/>
  <printOptions horizontalCentered="1"/>
  <pageMargins left="0.75" right="0.51" top="1" bottom="0.67" header="0.5" footer="0.5"/>
  <pageSetup scale="94" orientation="portrait" r:id="rId1"/>
  <headerFooter alignWithMargins="0">
    <oddHeader>&amp;RDocket Nos. UE-080416 &amp;&amp; UG-080417
Exhibit No.___(MJM-4&amp;S&amp;KFF0000C&amp;S&amp;K000000)
 &amp;KFF0000REVISED 1/29/09 &amp;K000000Corrected
Schedule 5 (E &amp;&amp; G)
Page 13 of 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Layout" zoomScaleNormal="100" workbookViewId="0">
      <selection activeCell="G18" sqref="G18"/>
    </sheetView>
  </sheetViews>
  <sheetFormatPr defaultRowHeight="12.75"/>
  <cols>
    <col min="1" max="1" width="4.42578125" style="30" customWidth="1"/>
    <col min="2" max="2" width="32.5703125" style="30" bestFit="1" customWidth="1"/>
    <col min="3" max="3" width="11.5703125" style="30" bestFit="1" customWidth="1"/>
    <col min="4" max="4" width="12.28515625" style="30" bestFit="1" customWidth="1"/>
    <col min="5" max="5" width="11.28515625" style="30" customWidth="1"/>
    <col min="6" max="16384" width="9.140625" style="30"/>
  </cols>
  <sheetData>
    <row r="1" spans="1:5" s="104" customFormat="1">
      <c r="A1" s="269" t="s">
        <v>68</v>
      </c>
      <c r="B1" s="269"/>
      <c r="C1" s="269"/>
      <c r="D1" s="269"/>
      <c r="E1" s="269"/>
    </row>
    <row r="2" spans="1:5" s="104" customFormat="1">
      <c r="A2" s="269" t="s">
        <v>151</v>
      </c>
      <c r="B2" s="269"/>
      <c r="C2" s="269"/>
      <c r="D2" s="269"/>
      <c r="E2" s="269"/>
    </row>
    <row r="3" spans="1:5" s="104" customFormat="1">
      <c r="D3" s="105"/>
      <c r="E3" s="105"/>
    </row>
    <row r="4" spans="1:5" s="104" customFormat="1">
      <c r="A4" s="269" t="s">
        <v>279</v>
      </c>
      <c r="B4" s="269"/>
      <c r="C4" s="269"/>
      <c r="D4" s="269"/>
      <c r="E4" s="269"/>
    </row>
    <row r="5" spans="1:5" s="104" customFormat="1"/>
    <row r="6" spans="1:5" s="104" customFormat="1">
      <c r="A6" s="269" t="s">
        <v>220</v>
      </c>
      <c r="B6" s="269"/>
      <c r="C6" s="269"/>
      <c r="D6" s="269"/>
      <c r="E6" s="269"/>
    </row>
    <row r="7" spans="1:5" s="104" customFormat="1"/>
    <row r="8" spans="1:5" s="104" customFormat="1"/>
    <row r="9" spans="1:5" s="111" customFormat="1">
      <c r="A9" s="111" t="s">
        <v>4</v>
      </c>
      <c r="B9" s="111" t="s">
        <v>73</v>
      </c>
    </row>
    <row r="10" spans="1:5" s="104" customFormat="1">
      <c r="C10" s="279" t="s">
        <v>201</v>
      </c>
      <c r="D10" s="279"/>
      <c r="E10" s="279"/>
    </row>
    <row r="11" spans="1:5" s="104" customFormat="1">
      <c r="C11" s="280" t="s">
        <v>221</v>
      </c>
      <c r="D11" s="280"/>
      <c r="E11" s="280"/>
    </row>
    <row r="12" spans="1:5" s="104" customFormat="1">
      <c r="C12" s="278" t="s">
        <v>222</v>
      </c>
      <c r="D12" s="278"/>
      <c r="E12" s="278"/>
    </row>
    <row r="13" spans="1:5" s="104" customFormat="1">
      <c r="B13" s="111"/>
      <c r="C13" s="111" t="s">
        <v>218</v>
      </c>
      <c r="D13" s="159" t="s">
        <v>120</v>
      </c>
      <c r="E13" s="159" t="s">
        <v>137</v>
      </c>
    </row>
    <row r="14" spans="1:5" s="104" customFormat="1">
      <c r="B14" s="30"/>
      <c r="D14" s="36"/>
      <c r="E14" s="36"/>
    </row>
    <row r="15" spans="1:5" s="104" customFormat="1">
      <c r="A15" s="109">
        <v>1</v>
      </c>
      <c r="B15" s="30" t="s">
        <v>53</v>
      </c>
      <c r="C15" s="142">
        <f>+[8]Summary!$I$9</f>
        <v>38142</v>
      </c>
      <c r="D15" s="142">
        <f>+[8]Summary!$E$9</f>
        <v>32407</v>
      </c>
      <c r="E15" s="142">
        <f>+D15-C15</f>
        <v>-5735</v>
      </c>
    </row>
    <row r="16" spans="1:5" s="104" customFormat="1">
      <c r="A16" s="109">
        <v>2</v>
      </c>
      <c r="B16" s="30" t="s">
        <v>202</v>
      </c>
      <c r="C16" s="170">
        <f>+[8]Summary!$I$10</f>
        <v>0</v>
      </c>
      <c r="D16" s="170">
        <f>+[8]Summary!$E$10</f>
        <v>0</v>
      </c>
      <c r="E16" s="170">
        <f>+D16-C16</f>
        <v>0</v>
      </c>
    </row>
    <row r="17" spans="1:5" s="104" customFormat="1">
      <c r="A17" s="109">
        <v>3</v>
      </c>
      <c r="B17" s="30" t="s">
        <v>203</v>
      </c>
      <c r="C17" s="147">
        <f>SUM(C15:C16)</f>
        <v>38142</v>
      </c>
      <c r="D17" s="147">
        <f>SUM(D15:D16)</f>
        <v>32407</v>
      </c>
      <c r="E17" s="147">
        <f>SUM(E15:E16)</f>
        <v>-5735</v>
      </c>
    </row>
    <row r="18" spans="1:5" s="104" customFormat="1">
      <c r="A18" s="109"/>
      <c r="B18" s="30"/>
      <c r="C18" s="142"/>
      <c r="D18" s="142"/>
      <c r="E18" s="142"/>
    </row>
    <row r="19" spans="1:5" s="104" customFormat="1">
      <c r="A19" s="109">
        <v>4</v>
      </c>
      <c r="B19" s="30" t="s">
        <v>204</v>
      </c>
      <c r="C19" s="142">
        <f>+[8]Summary!$I$13</f>
        <v>0</v>
      </c>
      <c r="D19" s="142">
        <f>+[8]Summary!$E$13</f>
        <v>0</v>
      </c>
      <c r="E19" s="142">
        <f>+D19-C19</f>
        <v>0</v>
      </c>
    </row>
    <row r="20" spans="1:5" s="104" customFormat="1">
      <c r="A20" s="109">
        <v>5</v>
      </c>
      <c r="B20" s="30" t="s">
        <v>205</v>
      </c>
      <c r="C20" s="142">
        <f>+[8]Summary!$I$15</f>
        <v>0</v>
      </c>
      <c r="D20" s="142">
        <f>+[8]Summary!$E$15</f>
        <v>0</v>
      </c>
      <c r="E20" s="142">
        <f>+D20-C20</f>
        <v>0</v>
      </c>
    </row>
    <row r="21" spans="1:5" s="104" customFormat="1">
      <c r="A21" s="109">
        <v>6</v>
      </c>
      <c r="B21" s="30" t="s">
        <v>206</v>
      </c>
      <c r="C21" s="142">
        <f>+[8]Summary!$I$16</f>
        <v>0</v>
      </c>
      <c r="D21" s="142">
        <f>+[8]Summary!$E$16</f>
        <v>0</v>
      </c>
      <c r="E21" s="142">
        <f>+D21-C21</f>
        <v>0</v>
      </c>
    </row>
    <row r="22" spans="1:5" s="104" customFormat="1">
      <c r="A22" s="109">
        <v>7</v>
      </c>
      <c r="B22" s="30" t="s">
        <v>207</v>
      </c>
      <c r="C22" s="142">
        <f>+[8]Summary!$I$17</f>
        <v>0</v>
      </c>
      <c r="D22" s="142">
        <f>+[8]Summary!$E$17</f>
        <v>0</v>
      </c>
      <c r="E22" s="142">
        <f>+D22-C22</f>
        <v>0</v>
      </c>
    </row>
    <row r="23" spans="1:5" s="104" customFormat="1">
      <c r="A23" s="109">
        <v>8</v>
      </c>
      <c r="B23" s="30" t="s">
        <v>208</v>
      </c>
      <c r="C23" s="171">
        <f>+[8]Summary!$I$19</f>
        <v>208309</v>
      </c>
      <c r="D23" s="171">
        <f>+[8]Summary!$E$19</f>
        <v>-157974</v>
      </c>
      <c r="E23" s="143">
        <f>+D23-C23</f>
        <v>-366283</v>
      </c>
    </row>
    <row r="24" spans="1:5" s="153" customFormat="1">
      <c r="A24" s="169">
        <v>9</v>
      </c>
      <c r="B24" s="36" t="s">
        <v>209</v>
      </c>
      <c r="C24" s="172">
        <f>SUM(C17:C23)</f>
        <v>246451</v>
      </c>
      <c r="D24" s="172">
        <f>SUM(D17:D23)</f>
        <v>-125567</v>
      </c>
      <c r="E24" s="172">
        <f>SUM(E17:E23)</f>
        <v>-372018</v>
      </c>
    </row>
    <row r="25" spans="1:5" s="104" customFormat="1">
      <c r="A25" s="109"/>
      <c r="B25" s="111"/>
      <c r="D25" s="122"/>
      <c r="E25" s="122"/>
    </row>
    <row r="26" spans="1:5" s="104" customFormat="1">
      <c r="A26" s="109"/>
      <c r="B26" s="111"/>
      <c r="D26" s="122"/>
      <c r="E26" s="122"/>
    </row>
    <row r="27" spans="1:5" s="104" customFormat="1">
      <c r="A27" s="109"/>
      <c r="B27" s="111"/>
      <c r="C27" s="279" t="s">
        <v>214</v>
      </c>
      <c r="D27" s="279"/>
      <c r="E27" s="279"/>
    </row>
    <row r="28" spans="1:5" s="104" customFormat="1">
      <c r="A28" s="109"/>
      <c r="B28" s="111"/>
      <c r="C28" s="280" t="s">
        <v>221</v>
      </c>
      <c r="D28" s="280"/>
      <c r="E28" s="280"/>
    </row>
    <row r="29" spans="1:5" s="104" customFormat="1">
      <c r="A29" s="109"/>
      <c r="B29" s="111"/>
      <c r="C29" s="278" t="s">
        <v>222</v>
      </c>
      <c r="D29" s="278"/>
      <c r="E29" s="278"/>
    </row>
    <row r="30" spans="1:5" s="104" customFormat="1">
      <c r="A30" s="109"/>
      <c r="B30" s="111"/>
      <c r="C30" s="111" t="s">
        <v>218</v>
      </c>
      <c r="D30" s="159" t="s">
        <v>120</v>
      </c>
      <c r="E30" s="159" t="s">
        <v>137</v>
      </c>
    </row>
    <row r="31" spans="1:5" s="104" customFormat="1">
      <c r="A31" s="109"/>
      <c r="B31" s="111"/>
      <c r="C31" s="111"/>
      <c r="D31" s="159"/>
      <c r="E31" s="159"/>
    </row>
    <row r="32" spans="1:5" s="104" customFormat="1">
      <c r="A32" s="109">
        <v>10</v>
      </c>
      <c r="B32" s="163" t="s">
        <v>53</v>
      </c>
      <c r="C32" s="142">
        <f>+[8]Summary!$I$55</f>
        <v>12029</v>
      </c>
      <c r="D32" s="161">
        <f>+[8]Summary!$E$55</f>
        <v>10228</v>
      </c>
      <c r="E32" s="147">
        <f t="shared" ref="E32:E38" si="0">+D32-C32</f>
        <v>-1801</v>
      </c>
    </row>
    <row r="33" spans="1:5" s="104" customFormat="1">
      <c r="A33" s="109">
        <v>11</v>
      </c>
      <c r="B33" s="164" t="s">
        <v>212</v>
      </c>
      <c r="C33" s="142">
        <f>+[8]Summary!$I$57</f>
        <v>0</v>
      </c>
      <c r="D33" s="161">
        <f>+[8]Summary!$E$57</f>
        <v>0</v>
      </c>
      <c r="E33" s="147">
        <f t="shared" si="0"/>
        <v>0</v>
      </c>
    </row>
    <row r="34" spans="1:5" s="104" customFormat="1">
      <c r="A34" s="109">
        <v>12</v>
      </c>
      <c r="B34" s="30" t="s">
        <v>204</v>
      </c>
      <c r="C34" s="142">
        <f>+[8]Summary!$I$59</f>
        <v>0</v>
      </c>
      <c r="D34" s="161">
        <f>+[8]Summary!$E$59</f>
        <v>0</v>
      </c>
      <c r="E34" s="147">
        <f t="shared" si="0"/>
        <v>0</v>
      </c>
    </row>
    <row r="35" spans="1:5" s="104" customFormat="1">
      <c r="A35" s="109">
        <v>13</v>
      </c>
      <c r="B35" s="30" t="s">
        <v>205</v>
      </c>
      <c r="C35" s="142">
        <f>+[8]Summary!$I$61</f>
        <v>0</v>
      </c>
      <c r="D35" s="161">
        <f>+[8]Summary!$E$61</f>
        <v>0</v>
      </c>
      <c r="E35" s="147">
        <f t="shared" si="0"/>
        <v>0</v>
      </c>
    </row>
    <row r="36" spans="1:5" s="104" customFormat="1">
      <c r="A36" s="109">
        <v>14</v>
      </c>
      <c r="B36" s="30" t="s">
        <v>206</v>
      </c>
      <c r="C36" s="142">
        <f>+[8]Summary!$I$62</f>
        <v>0</v>
      </c>
      <c r="D36" s="161">
        <f>+[8]Summary!$E$62</f>
        <v>0</v>
      </c>
      <c r="E36" s="147">
        <f t="shared" si="0"/>
        <v>0</v>
      </c>
    </row>
    <row r="37" spans="1:5" s="104" customFormat="1">
      <c r="A37" s="109">
        <v>15</v>
      </c>
      <c r="B37" s="30" t="s">
        <v>207</v>
      </c>
      <c r="C37" s="142">
        <f>+[8]Summary!$I$63</f>
        <v>0</v>
      </c>
      <c r="D37" s="161">
        <f>+[8]Summary!$E$63</f>
        <v>0</v>
      </c>
      <c r="E37" s="147">
        <f t="shared" si="0"/>
        <v>0</v>
      </c>
    </row>
    <row r="38" spans="1:5" s="104" customFormat="1">
      <c r="A38" s="109">
        <v>16</v>
      </c>
      <c r="B38" s="30" t="s">
        <v>208</v>
      </c>
      <c r="C38" s="143">
        <f>+[8]Summary!$I$65</f>
        <v>54294</v>
      </c>
      <c r="D38" s="162">
        <f>+[8]Summary!$E$65</f>
        <v>-41174</v>
      </c>
      <c r="E38" s="143">
        <f t="shared" si="0"/>
        <v>-95468</v>
      </c>
    </row>
    <row r="39" spans="1:5" s="104" customFormat="1">
      <c r="A39" s="109">
        <v>17</v>
      </c>
      <c r="B39" s="30" t="s">
        <v>213</v>
      </c>
      <c r="C39" s="142">
        <f>SUM(C32:C38)</f>
        <v>66323</v>
      </c>
      <c r="D39" s="142">
        <f>SUM(D32:D38)</f>
        <v>-30946</v>
      </c>
      <c r="E39" s="142">
        <f>SUM(E32:E38)</f>
        <v>-97269</v>
      </c>
    </row>
    <row r="40" spans="1:5" s="104" customFormat="1">
      <c r="B40" s="111"/>
      <c r="D40" s="111"/>
      <c r="E40" s="122"/>
    </row>
    <row r="41" spans="1:5" s="104" customFormat="1">
      <c r="B41" s="111"/>
      <c r="D41" s="122"/>
      <c r="E41" s="122"/>
    </row>
    <row r="42" spans="1:5" s="104" customFormat="1">
      <c r="A42" s="109"/>
      <c r="C42" s="122"/>
      <c r="D42" s="167" t="s">
        <v>124</v>
      </c>
      <c r="E42" s="168" t="s">
        <v>125</v>
      </c>
    </row>
    <row r="43" spans="1:5" s="104" customFormat="1">
      <c r="A43" s="109">
        <v>18</v>
      </c>
      <c r="B43" s="104" t="s">
        <v>126</v>
      </c>
      <c r="D43" s="123">
        <f>+E24</f>
        <v>-372018</v>
      </c>
      <c r="E43" s="123">
        <f>+E39</f>
        <v>-97269</v>
      </c>
    </row>
    <row r="44" spans="1:5" s="104" customFormat="1">
      <c r="E44" s="153"/>
    </row>
    <row r="45" spans="1:5" s="104" customFormat="1">
      <c r="A45" s="109">
        <v>19</v>
      </c>
      <c r="B45" s="104" t="s">
        <v>127</v>
      </c>
      <c r="C45" s="126">
        <v>0.34</v>
      </c>
      <c r="E45" s="153"/>
    </row>
    <row r="46" spans="1:5" s="104" customFormat="1">
      <c r="A46" s="109"/>
      <c r="E46" s="153"/>
    </row>
    <row r="47" spans="1:5" s="104" customFormat="1">
      <c r="A47" s="109">
        <v>20</v>
      </c>
      <c r="B47" s="104" t="s">
        <v>215</v>
      </c>
      <c r="D47" s="154">
        <f>-D43*C45</f>
        <v>126486.12000000001</v>
      </c>
      <c r="E47" s="154">
        <f>-E43*C45</f>
        <v>33071.46</v>
      </c>
    </row>
    <row r="48" spans="1:5" s="104" customFormat="1">
      <c r="E48" s="153"/>
    </row>
    <row r="49" spans="1:5" s="104" customFormat="1" ht="13.5" thickBot="1">
      <c r="A49" s="109">
        <v>21</v>
      </c>
      <c r="B49" s="104" t="s">
        <v>216</v>
      </c>
      <c r="D49" s="127">
        <f>+D43+D47</f>
        <v>-245531.88</v>
      </c>
      <c r="E49" s="127">
        <f>+E43+E47</f>
        <v>-64197.54</v>
      </c>
    </row>
    <row r="50" spans="1:5" s="104" customFormat="1" ht="13.5" thickTop="1">
      <c r="A50" s="109"/>
    </row>
    <row r="51" spans="1:5" s="104" customFormat="1">
      <c r="A51" s="109">
        <v>22</v>
      </c>
      <c r="B51" s="104" t="s">
        <v>36</v>
      </c>
      <c r="D51" s="104">
        <f>+'Conv Factor'!G29</f>
        <v>1.583608862800024</v>
      </c>
      <c r="E51" s="104">
        <f>+'Conv Factor'!G56</f>
        <v>1.5832618569768004</v>
      </c>
    </row>
    <row r="52" spans="1:5" s="104" customFormat="1"/>
    <row r="53" spans="1:5" s="104" customFormat="1" ht="13.5" thickBot="1">
      <c r="A53" s="109">
        <v>23</v>
      </c>
      <c r="B53" s="104" t="s">
        <v>217</v>
      </c>
      <c r="C53" s="122"/>
      <c r="D53" s="127">
        <f>+D49*D51</f>
        <v>-388826.46126795199</v>
      </c>
      <c r="E53" s="127">
        <f>+E49*E51</f>
        <v>-101641.51639374242</v>
      </c>
    </row>
    <row r="54" spans="1:5" ht="13.5" thickTop="1">
      <c r="A54" s="104"/>
    </row>
    <row r="55" spans="1:5">
      <c r="A55" s="109"/>
    </row>
    <row r="57" spans="1:5">
      <c r="A57" s="30" t="s">
        <v>219</v>
      </c>
    </row>
  </sheetData>
  <mergeCells count="10">
    <mergeCell ref="C29:E29"/>
    <mergeCell ref="C27:E27"/>
    <mergeCell ref="A6:E6"/>
    <mergeCell ref="A1:E1"/>
    <mergeCell ref="A2:E2"/>
    <mergeCell ref="A4:E4"/>
    <mergeCell ref="C10:E10"/>
    <mergeCell ref="C11:E11"/>
    <mergeCell ref="C12:E12"/>
    <mergeCell ref="C28:E28"/>
  </mergeCells>
  <phoneticPr fontId="0" type="noConversion"/>
  <printOptions horizontalCentered="1"/>
  <pageMargins left="0.75" right="0.51" top="1" bottom="0.62" header="0.5" footer="0.5"/>
  <pageSetup scale="95" orientation="portrait" r:id="rId1"/>
  <headerFooter alignWithMargins="0">
    <oddHeader>&amp;RDocket Nos. UE-080416 &amp;&amp; UG-080417
Exhibit No.___(MJM-4&amp;S&amp;KFF0000C&amp;S&amp;K000000)
 &amp;KFF0000REVISED 1/29/09 &amp;K000000Corrected
Schedule 5 (E &amp;&amp; G)
Page 14 of 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Layout" zoomScaleNormal="100" workbookViewId="0">
      <selection activeCell="E9" sqref="E9"/>
    </sheetView>
  </sheetViews>
  <sheetFormatPr defaultRowHeight="12.75"/>
  <cols>
    <col min="1" max="1" width="4.42578125" customWidth="1"/>
    <col min="2" max="2" width="49.5703125" customWidth="1"/>
    <col min="3" max="3" width="9.28515625" bestFit="1" customWidth="1"/>
    <col min="4" max="4" width="12" bestFit="1" customWidth="1"/>
    <col min="5" max="5" width="3" customWidth="1"/>
    <col min="6" max="6" width="11.42578125" bestFit="1" customWidth="1"/>
    <col min="7" max="7" width="2.5703125" customWidth="1"/>
  </cols>
  <sheetData>
    <row r="1" spans="1:7" s="104" customFormat="1">
      <c r="A1" s="269" t="s">
        <v>68</v>
      </c>
      <c r="B1" s="269"/>
      <c r="C1" s="269"/>
      <c r="D1" s="269"/>
      <c r="E1" s="269"/>
      <c r="F1" s="269"/>
      <c r="G1" s="269"/>
    </row>
    <row r="2" spans="1:7" s="104" customFormat="1">
      <c r="A2" s="269" t="s">
        <v>151</v>
      </c>
      <c r="B2" s="269"/>
      <c r="C2" s="269"/>
      <c r="D2" s="269"/>
      <c r="E2" s="269"/>
      <c r="F2" s="269"/>
      <c r="G2" s="269"/>
    </row>
    <row r="3" spans="1:7" s="104" customFormat="1">
      <c r="D3" s="105"/>
      <c r="E3" s="105"/>
      <c r="F3" s="105"/>
      <c r="G3" s="105"/>
    </row>
    <row r="4" spans="1:7" s="104" customFormat="1">
      <c r="A4" s="269" t="s">
        <v>280</v>
      </c>
      <c r="B4" s="269"/>
      <c r="C4" s="269"/>
      <c r="D4" s="269"/>
      <c r="E4" s="269"/>
      <c r="F4" s="269"/>
      <c r="G4" s="269"/>
    </row>
    <row r="5" spans="1:7" s="104" customFormat="1"/>
    <row r="6" spans="1:7" s="104" customFormat="1">
      <c r="A6" s="269" t="s">
        <v>189</v>
      </c>
      <c r="B6" s="269"/>
      <c r="C6" s="269"/>
      <c r="D6" s="269"/>
      <c r="E6" s="269"/>
      <c r="F6" s="269"/>
      <c r="G6" s="270"/>
    </row>
    <row r="7" spans="1:7" s="104" customFormat="1"/>
    <row r="8" spans="1:7" s="104" customFormat="1"/>
    <row r="9" spans="1:7" s="104" customFormat="1">
      <c r="D9" s="109"/>
      <c r="E9" s="109"/>
      <c r="F9" s="109"/>
    </row>
    <row r="10" spans="1:7" s="104" customFormat="1"/>
    <row r="11" spans="1:7" s="111" customFormat="1">
      <c r="A11" s="111" t="s">
        <v>4</v>
      </c>
      <c r="B11" s="111" t="s">
        <v>73</v>
      </c>
      <c r="D11" s="111" t="s">
        <v>124</v>
      </c>
      <c r="E11" s="109"/>
      <c r="F11" s="111" t="s">
        <v>125</v>
      </c>
      <c r="G11" s="109"/>
    </row>
    <row r="12" spans="1:7" s="104" customFormat="1"/>
    <row r="13" spans="1:7" s="104" customFormat="1">
      <c r="B13" s="111" t="s">
        <v>160</v>
      </c>
      <c r="D13" s="122"/>
    </row>
    <row r="14" spans="1:7" s="104" customFormat="1">
      <c r="A14" s="109">
        <v>1</v>
      </c>
      <c r="B14" s="104" t="s">
        <v>190</v>
      </c>
      <c r="C14" s="122"/>
      <c r="D14" s="146">
        <v>366047</v>
      </c>
      <c r="E14" s="122"/>
      <c r="F14" s="149">
        <v>95407</v>
      </c>
    </row>
    <row r="15" spans="1:7" s="104" customFormat="1">
      <c r="A15" s="109"/>
      <c r="D15" s="155"/>
      <c r="F15" s="155"/>
    </row>
    <row r="16" spans="1:7" s="104" customFormat="1">
      <c r="A16" s="109">
        <v>2</v>
      </c>
      <c r="B16" s="104" t="s">
        <v>126</v>
      </c>
      <c r="D16" s="123">
        <f>-D14</f>
        <v>-366047</v>
      </c>
      <c r="E16" s="152"/>
      <c r="F16" s="123">
        <f>-F14</f>
        <v>-95407</v>
      </c>
    </row>
    <row r="17" spans="1:6" s="104" customFormat="1">
      <c r="F17" s="153"/>
    </row>
    <row r="18" spans="1:6" s="104" customFormat="1">
      <c r="A18" s="109">
        <v>3</v>
      </c>
      <c r="B18" s="104" t="s">
        <v>127</v>
      </c>
      <c r="C18" s="126">
        <v>0.34</v>
      </c>
      <c r="F18" s="153"/>
    </row>
    <row r="19" spans="1:6" s="104" customFormat="1">
      <c r="A19" s="109"/>
      <c r="F19" s="153"/>
    </row>
    <row r="20" spans="1:6" s="104" customFormat="1">
      <c r="A20" s="109">
        <v>4</v>
      </c>
      <c r="B20" s="104" t="s">
        <v>165</v>
      </c>
      <c r="D20" s="154">
        <f>-D16*C18</f>
        <v>124455.98000000001</v>
      </c>
      <c r="F20" s="154">
        <f>-F16*C18</f>
        <v>32438.38</v>
      </c>
    </row>
    <row r="21" spans="1:6" s="104" customFormat="1">
      <c r="F21" s="153"/>
    </row>
    <row r="22" spans="1:6" s="104" customFormat="1" ht="13.5" thickBot="1">
      <c r="A22" s="109">
        <v>5</v>
      </c>
      <c r="B22" s="104" t="s">
        <v>173</v>
      </c>
      <c r="D22" s="127">
        <f>+D16+D20</f>
        <v>-241591.02</v>
      </c>
      <c r="F22" s="127">
        <f>+F16+F20</f>
        <v>-62968.619999999995</v>
      </c>
    </row>
    <row r="23" spans="1:6" s="104" customFormat="1" ht="13.5" thickTop="1">
      <c r="A23" s="109"/>
    </row>
    <row r="24" spans="1:6" s="104" customFormat="1">
      <c r="A24" s="109">
        <v>6</v>
      </c>
      <c r="B24" s="104" t="s">
        <v>36</v>
      </c>
      <c r="D24" s="104">
        <f>+'Conv Factor'!G29</f>
        <v>1.583608862800024</v>
      </c>
      <c r="F24" s="104">
        <f>+'Conv Factor'!G56</f>
        <v>1.5832618569768004</v>
      </c>
    </row>
    <row r="25" spans="1:6" s="104" customFormat="1"/>
    <row r="26" spans="1:6" s="104" customFormat="1" ht="13.5" thickBot="1">
      <c r="A26" s="109">
        <v>7</v>
      </c>
      <c r="B26" s="104" t="s">
        <v>167</v>
      </c>
      <c r="C26" s="122"/>
      <c r="D26" s="127">
        <f>+D22*D24</f>
        <v>-382585.68044489785</v>
      </c>
      <c r="F26" s="127">
        <f>+F22*F24</f>
        <v>-99695.814232466495</v>
      </c>
    </row>
    <row r="27" spans="1:6" ht="13.5" thickTop="1">
      <c r="A27" s="104"/>
    </row>
    <row r="28" spans="1:6">
      <c r="A28" s="109"/>
    </row>
    <row r="30" spans="1:6">
      <c r="A30" t="s">
        <v>191</v>
      </c>
    </row>
  </sheetData>
  <mergeCells count="4">
    <mergeCell ref="A6:G6"/>
    <mergeCell ref="A1:G1"/>
    <mergeCell ref="A2:G2"/>
    <mergeCell ref="A4:G4"/>
  </mergeCells>
  <phoneticPr fontId="0" type="noConversion"/>
  <printOptions horizontalCentered="1"/>
  <pageMargins left="0.75" right="0.51" top="1.34" bottom="1" header="0.5" footer="0.5"/>
  <pageSetup orientation="portrait" r:id="rId1"/>
  <headerFooter alignWithMargins="0">
    <oddHeader>&amp;RDocket Nos. UE-080416 &amp;&amp; UG-080417
Exhibit No.___(MJM-4&amp;S&amp;KFF0000C&amp;S&amp;K000000)
&amp;KFF0000REVISED 1/29/09 &amp;K000000Corrected
Schedule 5 (E &amp;&amp; G)
Page 15 of 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Layout" zoomScaleNormal="100" workbookViewId="0">
      <selection activeCell="E17" sqref="E17"/>
    </sheetView>
  </sheetViews>
  <sheetFormatPr defaultRowHeight="12.75"/>
  <cols>
    <col min="1" max="1" width="4.42578125" customWidth="1"/>
    <col min="2" max="2" width="45.5703125" customWidth="1"/>
    <col min="4" max="4" width="11.28515625" bestFit="1" customWidth="1"/>
    <col min="5" max="5" width="3" customWidth="1"/>
    <col min="6" max="6" width="11.28515625" bestFit="1" customWidth="1"/>
    <col min="7" max="7" width="2.5703125" customWidth="1"/>
  </cols>
  <sheetData>
    <row r="1" spans="1:7" s="104" customFormat="1">
      <c r="A1" s="269" t="s">
        <v>68</v>
      </c>
      <c r="B1" s="269"/>
      <c r="C1" s="269"/>
      <c r="D1" s="269"/>
      <c r="E1" s="269"/>
      <c r="F1" s="269"/>
      <c r="G1" s="269"/>
    </row>
    <row r="2" spans="1:7" s="104" customFormat="1">
      <c r="A2" s="269" t="s">
        <v>151</v>
      </c>
      <c r="B2" s="269"/>
      <c r="C2" s="269"/>
      <c r="D2" s="269"/>
      <c r="E2" s="269"/>
      <c r="F2" s="269"/>
      <c r="G2" s="269"/>
    </row>
    <row r="3" spans="1:7" s="104" customFormat="1">
      <c r="D3" s="105"/>
      <c r="E3" s="105"/>
      <c r="F3" s="105"/>
      <c r="G3" s="105"/>
    </row>
    <row r="4" spans="1:7" s="104" customFormat="1">
      <c r="A4" s="269" t="s">
        <v>281</v>
      </c>
      <c r="B4" s="269"/>
      <c r="C4" s="269"/>
      <c r="D4" s="269"/>
      <c r="E4" s="269"/>
      <c r="F4" s="269"/>
      <c r="G4" s="269"/>
    </row>
    <row r="5" spans="1:7" s="104" customFormat="1"/>
    <row r="6" spans="1:7" s="104" customFormat="1">
      <c r="A6" s="269" t="s">
        <v>289</v>
      </c>
      <c r="B6" s="269"/>
      <c r="C6" s="269"/>
      <c r="D6" s="269"/>
      <c r="E6" s="269"/>
      <c r="F6" s="269"/>
      <c r="G6" s="270"/>
    </row>
    <row r="7" spans="1:7" s="104" customFormat="1"/>
    <row r="8" spans="1:7" s="104" customFormat="1"/>
    <row r="9" spans="1:7" s="104" customFormat="1">
      <c r="D9" s="109"/>
      <c r="E9" s="109"/>
      <c r="F9" s="109"/>
    </row>
    <row r="10" spans="1:7" s="104" customFormat="1"/>
    <row r="11" spans="1:7" s="111" customFormat="1">
      <c r="A11" s="111" t="s">
        <v>4</v>
      </c>
      <c r="B11" s="111" t="s">
        <v>73</v>
      </c>
      <c r="D11" s="111" t="s">
        <v>124</v>
      </c>
      <c r="E11" s="109"/>
      <c r="F11" s="111" t="s">
        <v>125</v>
      </c>
      <c r="G11" s="109"/>
    </row>
    <row r="12" spans="1:7" s="104" customFormat="1"/>
    <row r="13" spans="1:7" s="104" customFormat="1">
      <c r="B13" s="111" t="s">
        <v>160</v>
      </c>
    </row>
    <row r="14" spans="1:7" s="104" customFormat="1">
      <c r="A14" s="109">
        <v>1</v>
      </c>
      <c r="B14" s="104" t="s">
        <v>181</v>
      </c>
      <c r="D14" s="149">
        <f>+'[5]Detail-Pivot'!$L$196+'[6]Detail-Pivot'!$O$441</f>
        <v>27912.332381687716</v>
      </c>
      <c r="F14" s="149">
        <f>+'[5]Detail-Pivot'!$L$197+'[6]Detail-Pivot'!$O$442</f>
        <v>30079.920366127724</v>
      </c>
    </row>
    <row r="15" spans="1:7" s="104" customFormat="1">
      <c r="A15" s="109"/>
      <c r="D15" s="155"/>
      <c r="F15" s="155"/>
    </row>
    <row r="16" spans="1:7" s="104" customFormat="1">
      <c r="A16" s="109">
        <v>2</v>
      </c>
      <c r="B16" s="104" t="s">
        <v>126</v>
      </c>
      <c r="D16" s="123">
        <f>-D14</f>
        <v>-27912.332381687716</v>
      </c>
      <c r="E16" s="152"/>
      <c r="F16" s="123">
        <f>-F14</f>
        <v>-30079.920366127724</v>
      </c>
    </row>
    <row r="17" spans="1:6" s="104" customFormat="1">
      <c r="A17" s="109"/>
      <c r="F17" s="153"/>
    </row>
    <row r="18" spans="1:6" s="104" customFormat="1">
      <c r="A18" s="109">
        <v>3</v>
      </c>
      <c r="B18" s="104" t="s">
        <v>127</v>
      </c>
      <c r="C18" s="126">
        <v>0.34</v>
      </c>
      <c r="F18" s="153"/>
    </row>
    <row r="19" spans="1:6" s="104" customFormat="1">
      <c r="F19" s="153"/>
    </row>
    <row r="20" spans="1:6" s="104" customFormat="1">
      <c r="A20" s="109">
        <v>4</v>
      </c>
      <c r="B20" s="104" t="s">
        <v>165</v>
      </c>
      <c r="D20" s="154">
        <f>-D16*C18</f>
        <v>9490.1930097738241</v>
      </c>
      <c r="F20" s="154">
        <f>-F16*C18</f>
        <v>10227.172924483428</v>
      </c>
    </row>
    <row r="21" spans="1:6" s="104" customFormat="1">
      <c r="A21" s="109"/>
      <c r="F21" s="153"/>
    </row>
    <row r="22" spans="1:6" s="104" customFormat="1" ht="13.5" thickBot="1">
      <c r="A22" s="109">
        <v>5</v>
      </c>
      <c r="B22" s="104" t="s">
        <v>173</v>
      </c>
      <c r="D22" s="127">
        <f>+D16+D20</f>
        <v>-18422.139371913894</v>
      </c>
      <c r="F22" s="127">
        <f>+F16+F20</f>
        <v>-19852.747441644296</v>
      </c>
    </row>
    <row r="23" spans="1:6" s="104" customFormat="1" ht="13.5" thickTop="1"/>
    <row r="24" spans="1:6" s="104" customFormat="1">
      <c r="A24" s="109">
        <v>6</v>
      </c>
      <c r="B24" s="104" t="s">
        <v>36</v>
      </c>
      <c r="D24" s="104">
        <f>+'Conv Factor'!G29</f>
        <v>1.583608862800024</v>
      </c>
      <c r="F24" s="104">
        <f>+'Conv Factor'!G56</f>
        <v>1.5832618569768004</v>
      </c>
    </row>
    <row r="25" spans="1:6" s="104" customFormat="1"/>
    <row r="26" spans="1:6" s="104" customFormat="1" ht="13.5" thickBot="1">
      <c r="A26" s="109">
        <v>7</v>
      </c>
      <c r="B26" s="104" t="s">
        <v>167</v>
      </c>
      <c r="C26" s="122"/>
      <c r="D26" s="127">
        <f>+D22*D24</f>
        <v>-29173.463181100109</v>
      </c>
      <c r="F26" s="127">
        <f>+F22*F24</f>
        <v>-31432.097780549175</v>
      </c>
    </row>
    <row r="27" spans="1:6" ht="13.5" thickTop="1"/>
    <row r="30" spans="1:6">
      <c r="B30" t="s">
        <v>180</v>
      </c>
    </row>
  </sheetData>
  <mergeCells count="4">
    <mergeCell ref="A6:G6"/>
    <mergeCell ref="A1:G1"/>
    <mergeCell ref="A2:G2"/>
    <mergeCell ref="A4:G4"/>
  </mergeCells>
  <phoneticPr fontId="0" type="noConversion"/>
  <printOptions horizontalCentered="1"/>
  <pageMargins left="0.75" right="0.51" top="1.38" bottom="1" header="0.5" footer="0.5"/>
  <pageSetup orientation="portrait" r:id="rId1"/>
  <headerFooter alignWithMargins="0">
    <oddHeader>&amp;RDocket Nos. UE-080416 &amp;&amp; UG-080417
Exhibit No.___(MJM-4&amp;S&amp;KFF0000C&amp;S&amp;K000000)
 &amp;KFF0000REVISED 1/29/09 &amp;K000000Corrected
Schedule 5 (E &amp;&amp; G)
Page 16 of 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Layout" zoomScaleNormal="100" workbookViewId="0">
      <selection activeCell="E17" sqref="E17"/>
    </sheetView>
  </sheetViews>
  <sheetFormatPr defaultRowHeight="12.75"/>
  <cols>
    <col min="1" max="1" width="4.42578125" customWidth="1"/>
    <col min="2" max="2" width="45.5703125" customWidth="1"/>
    <col min="4" max="4" width="11.28515625" bestFit="1" customWidth="1"/>
    <col min="5" max="5" width="3" customWidth="1"/>
    <col min="6" max="6" width="11.28515625" bestFit="1" customWidth="1"/>
    <col min="7" max="7" width="2.5703125" customWidth="1"/>
  </cols>
  <sheetData>
    <row r="1" spans="1:7" s="104" customFormat="1">
      <c r="A1" s="269" t="s">
        <v>68</v>
      </c>
      <c r="B1" s="269"/>
      <c r="C1" s="269"/>
      <c r="D1" s="269"/>
      <c r="E1" s="269"/>
      <c r="F1" s="269"/>
      <c r="G1" s="269"/>
    </row>
    <row r="2" spans="1:7" s="104" customFormat="1">
      <c r="A2" s="269" t="s">
        <v>151</v>
      </c>
      <c r="B2" s="269"/>
      <c r="C2" s="269"/>
      <c r="D2" s="269"/>
      <c r="E2" s="269"/>
      <c r="F2" s="269"/>
      <c r="G2" s="269"/>
    </row>
    <row r="3" spans="1:7" s="104" customFormat="1">
      <c r="D3" s="105"/>
      <c r="E3" s="105"/>
      <c r="F3" s="105"/>
      <c r="G3" s="105"/>
    </row>
    <row r="4" spans="1:7" s="104" customFormat="1">
      <c r="A4" s="269" t="s">
        <v>282</v>
      </c>
      <c r="B4" s="269"/>
      <c r="C4" s="269"/>
      <c r="D4" s="269"/>
      <c r="E4" s="269"/>
      <c r="F4" s="269"/>
      <c r="G4" s="269"/>
    </row>
    <row r="5" spans="1:7" s="104" customFormat="1"/>
    <row r="6" spans="1:7" s="104" customFormat="1">
      <c r="A6" s="269" t="s">
        <v>176</v>
      </c>
      <c r="B6" s="269"/>
      <c r="C6" s="269"/>
      <c r="D6" s="269"/>
      <c r="E6" s="269"/>
      <c r="F6" s="269"/>
      <c r="G6" s="270"/>
    </row>
    <row r="7" spans="1:7" s="104" customFormat="1"/>
    <row r="8" spans="1:7" s="104" customFormat="1"/>
    <row r="9" spans="1:7" s="104" customFormat="1">
      <c r="D9" s="109"/>
      <c r="E9" s="109"/>
      <c r="F9" s="109"/>
    </row>
    <row r="10" spans="1:7" s="104" customFormat="1"/>
    <row r="11" spans="1:7" s="111" customFormat="1">
      <c r="A11" s="111" t="s">
        <v>4</v>
      </c>
      <c r="B11" s="111" t="s">
        <v>73</v>
      </c>
      <c r="D11" s="111" t="s">
        <v>124</v>
      </c>
      <c r="E11" s="109"/>
      <c r="F11" s="111" t="s">
        <v>125</v>
      </c>
      <c r="G11" s="109"/>
    </row>
    <row r="12" spans="1:7" s="104" customFormat="1"/>
    <row r="13" spans="1:7" s="104" customFormat="1">
      <c r="B13" s="111" t="s">
        <v>160</v>
      </c>
    </row>
    <row r="14" spans="1:7" s="104" customFormat="1">
      <c r="A14" s="109">
        <v>1</v>
      </c>
      <c r="B14" s="104" t="s">
        <v>177</v>
      </c>
      <c r="D14" s="149">
        <v>105364.61</v>
      </c>
      <c r="F14" s="149">
        <v>65199.8</v>
      </c>
    </row>
    <row r="15" spans="1:7" s="104" customFormat="1">
      <c r="A15" s="109"/>
      <c r="D15" s="155"/>
      <c r="F15" s="155"/>
    </row>
    <row r="16" spans="1:7" s="104" customFormat="1">
      <c r="A16" s="109">
        <v>2</v>
      </c>
      <c r="B16" s="104" t="s">
        <v>126</v>
      </c>
      <c r="D16" s="123">
        <f>-D14</f>
        <v>-105364.61</v>
      </c>
      <c r="E16" s="152"/>
      <c r="F16" s="123">
        <f>-F14</f>
        <v>-65199.8</v>
      </c>
    </row>
    <row r="17" spans="1:6" s="104" customFormat="1">
      <c r="A17" s="109"/>
      <c r="F17" s="153"/>
    </row>
    <row r="18" spans="1:6" s="104" customFormat="1">
      <c r="A18" s="109">
        <v>3</v>
      </c>
      <c r="B18" s="104" t="s">
        <v>127</v>
      </c>
      <c r="C18" s="126">
        <v>0.34</v>
      </c>
      <c r="F18" s="153"/>
    </row>
    <row r="19" spans="1:6" s="104" customFormat="1">
      <c r="F19" s="153"/>
    </row>
    <row r="20" spans="1:6" s="104" customFormat="1">
      <c r="A20" s="109">
        <v>4</v>
      </c>
      <c r="B20" s="104" t="s">
        <v>165</v>
      </c>
      <c r="D20" s="154">
        <f>-D16*C18</f>
        <v>35823.967400000001</v>
      </c>
      <c r="F20" s="154">
        <f>-F16*C18</f>
        <v>22167.932000000004</v>
      </c>
    </row>
    <row r="21" spans="1:6" s="104" customFormat="1">
      <c r="A21" s="109"/>
      <c r="F21" s="153"/>
    </row>
    <row r="22" spans="1:6" s="104" customFormat="1" ht="13.5" thickBot="1">
      <c r="A22" s="109">
        <v>5</v>
      </c>
      <c r="B22" s="104" t="s">
        <v>173</v>
      </c>
      <c r="D22" s="127">
        <f>+D16+D20</f>
        <v>-69540.642599999992</v>
      </c>
      <c r="F22" s="127">
        <f>+F16+F20</f>
        <v>-43031.868000000002</v>
      </c>
    </row>
    <row r="23" spans="1:6" s="104" customFormat="1" ht="13.5" thickTop="1"/>
    <row r="24" spans="1:6" s="104" customFormat="1">
      <c r="A24" s="109">
        <v>6</v>
      </c>
      <c r="B24" s="104" t="s">
        <v>36</v>
      </c>
      <c r="D24" s="104">
        <f>+'Conv Factor'!G29</f>
        <v>1.583608862800024</v>
      </c>
      <c r="F24" s="104">
        <f>+'Conv Factor'!G56</f>
        <v>1.5832618569768004</v>
      </c>
    </row>
    <row r="25" spans="1:6" s="104" customFormat="1"/>
    <row r="26" spans="1:6" s="104" customFormat="1" ht="13.5" thickBot="1">
      <c r="A26" s="109">
        <v>7</v>
      </c>
      <c r="B26" s="104" t="s">
        <v>167</v>
      </c>
      <c r="C26" s="122"/>
      <c r="D26" s="127">
        <f>+D22*D24</f>
        <v>-110125.17794616889</v>
      </c>
      <c r="F26" s="127">
        <f>+F22*F24</f>
        <v>-68130.715238860561</v>
      </c>
    </row>
    <row r="27" spans="1:6" ht="13.5" thickTop="1"/>
    <row r="30" spans="1:6">
      <c r="B30" t="s">
        <v>180</v>
      </c>
    </row>
  </sheetData>
  <mergeCells count="4">
    <mergeCell ref="A6:G6"/>
    <mergeCell ref="A1:G1"/>
    <mergeCell ref="A2:G2"/>
    <mergeCell ref="A4:G4"/>
  </mergeCells>
  <phoneticPr fontId="0" type="noConversion"/>
  <printOptions horizontalCentered="1"/>
  <pageMargins left="0.75" right="0.51" top="1.36" bottom="1" header="0.5" footer="0.5"/>
  <pageSetup orientation="portrait" r:id="rId1"/>
  <headerFooter alignWithMargins="0">
    <oddHeader>&amp;RDocket Nos. UE-080416 &amp;&amp; UG-080417
Exhibit No.___(MJM-4&amp;S&amp;KFF0000C&amp;S&amp;K000000)
 &amp;KFF0000REVISED 1/29/09 &amp;K000000Corrected
Schedule 5 (E &amp;&amp; G)
Page 17 of 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Layout" zoomScaleNormal="100" workbookViewId="0">
      <selection activeCell="C14" sqref="C14"/>
    </sheetView>
  </sheetViews>
  <sheetFormatPr defaultRowHeight="12.75"/>
  <cols>
    <col min="1" max="1" width="4.42578125" customWidth="1"/>
    <col min="2" max="2" width="45.5703125" customWidth="1"/>
    <col min="4" max="4" width="11.28515625" bestFit="1" customWidth="1"/>
    <col min="5" max="5" width="3" customWidth="1"/>
    <col min="6" max="6" width="11.28515625" bestFit="1" customWidth="1"/>
    <col min="7" max="7" width="2.5703125" customWidth="1"/>
  </cols>
  <sheetData>
    <row r="1" spans="1:7" s="104" customFormat="1">
      <c r="A1" s="269" t="s">
        <v>68</v>
      </c>
      <c r="B1" s="269"/>
      <c r="C1" s="269"/>
      <c r="D1" s="269"/>
      <c r="E1" s="269"/>
      <c r="F1" s="269"/>
      <c r="G1" s="269"/>
    </row>
    <row r="2" spans="1:7" s="104" customFormat="1">
      <c r="A2" s="269" t="s">
        <v>151</v>
      </c>
      <c r="B2" s="269"/>
      <c r="C2" s="269"/>
      <c r="D2" s="269"/>
      <c r="E2" s="269"/>
      <c r="F2" s="269"/>
      <c r="G2" s="269"/>
    </row>
    <row r="3" spans="1:7" s="104" customFormat="1">
      <c r="D3" s="105"/>
      <c r="E3" s="105"/>
      <c r="F3" s="105"/>
      <c r="G3" s="105"/>
    </row>
    <row r="4" spans="1:7" s="104" customFormat="1">
      <c r="A4" s="269" t="s">
        <v>283</v>
      </c>
      <c r="B4" s="269"/>
      <c r="C4" s="269"/>
      <c r="D4" s="269"/>
      <c r="E4" s="269"/>
      <c r="F4" s="269"/>
      <c r="G4" s="269"/>
    </row>
    <row r="5" spans="1:7" s="104" customFormat="1"/>
    <row r="6" spans="1:7" s="104" customFormat="1">
      <c r="A6" s="269" t="s">
        <v>162</v>
      </c>
      <c r="B6" s="269"/>
      <c r="C6" s="269"/>
      <c r="D6" s="269"/>
      <c r="E6" s="269"/>
      <c r="F6" s="269"/>
      <c r="G6" s="270"/>
    </row>
    <row r="7" spans="1:7" s="104" customFormat="1"/>
    <row r="8" spans="1:7" s="104" customFormat="1"/>
    <row r="9" spans="1:7" s="104" customFormat="1">
      <c r="D9" s="109"/>
      <c r="E9" s="109"/>
      <c r="F9" s="109"/>
    </row>
    <row r="10" spans="1:7" s="104" customFormat="1"/>
    <row r="11" spans="1:7" s="111" customFormat="1">
      <c r="A11" s="111" t="s">
        <v>4</v>
      </c>
      <c r="B11" s="111" t="s">
        <v>73</v>
      </c>
      <c r="D11" s="111" t="s">
        <v>124</v>
      </c>
      <c r="E11" s="109"/>
      <c r="F11" s="111" t="s">
        <v>125</v>
      </c>
      <c r="G11" s="109"/>
    </row>
    <row r="12" spans="1:7" s="104" customFormat="1"/>
    <row r="13" spans="1:7" s="104" customFormat="1">
      <c r="B13" s="111" t="s">
        <v>160</v>
      </c>
    </row>
    <row r="14" spans="1:7" s="104" customFormat="1">
      <c r="A14" s="109">
        <v>1</v>
      </c>
      <c r="B14" s="104" t="s">
        <v>163</v>
      </c>
      <c r="D14" s="149">
        <f>+'[4]Detail-Pivot'!$V$426</f>
        <v>152331.09494091762</v>
      </c>
      <c r="F14" s="149">
        <f>+'[4]Detail-Pivot'!$V$427</f>
        <v>37530.251986957825</v>
      </c>
    </row>
    <row r="15" spans="1:7" s="104" customFormat="1">
      <c r="A15" s="109"/>
      <c r="B15" s="104" t="s">
        <v>164</v>
      </c>
      <c r="D15" s="150"/>
      <c r="F15" s="150"/>
    </row>
    <row r="16" spans="1:7" s="104" customFormat="1">
      <c r="A16" s="109"/>
      <c r="D16" s="151"/>
      <c r="F16" s="122"/>
    </row>
    <row r="17" spans="1:6" s="104" customFormat="1">
      <c r="A17" s="109">
        <v>2</v>
      </c>
      <c r="B17" s="104" t="s">
        <v>126</v>
      </c>
      <c r="D17" s="124">
        <f>-D14</f>
        <v>-152331.09494091762</v>
      </c>
      <c r="E17" s="152"/>
      <c r="F17" s="124">
        <f>-F14</f>
        <v>-37530.251986957825</v>
      </c>
    </row>
    <row r="18" spans="1:6" s="104" customFormat="1">
      <c r="A18" s="109"/>
      <c r="F18" s="153"/>
    </row>
    <row r="19" spans="1:6" s="104" customFormat="1">
      <c r="A19" s="109">
        <v>3</v>
      </c>
      <c r="B19" s="104" t="s">
        <v>127</v>
      </c>
      <c r="C19" s="126">
        <v>0.34</v>
      </c>
      <c r="F19" s="153"/>
    </row>
    <row r="20" spans="1:6" s="104" customFormat="1">
      <c r="A20" s="109"/>
      <c r="F20" s="153"/>
    </row>
    <row r="21" spans="1:6" s="104" customFormat="1">
      <c r="A21" s="109">
        <v>4</v>
      </c>
      <c r="B21" s="104" t="s">
        <v>165</v>
      </c>
      <c r="D21" s="154">
        <f>-D17*C19</f>
        <v>51792.572279911998</v>
      </c>
      <c r="F21" s="154">
        <f>-F17*C19</f>
        <v>12760.285675565661</v>
      </c>
    </row>
    <row r="22" spans="1:6" s="104" customFormat="1">
      <c r="F22" s="153"/>
    </row>
    <row r="23" spans="1:6" s="104" customFormat="1" ht="13.5" thickBot="1">
      <c r="A23" s="109">
        <v>5</v>
      </c>
      <c r="B23" s="104" t="s">
        <v>166</v>
      </c>
      <c r="D23" s="127">
        <f>+D17+D21</f>
        <v>-100538.52266100563</v>
      </c>
      <c r="F23" s="127">
        <f>+F17+F21</f>
        <v>-24769.966311392163</v>
      </c>
    </row>
    <row r="24" spans="1:6" s="104" customFormat="1" ht="13.5" thickTop="1">
      <c r="A24" s="109"/>
    </row>
    <row r="25" spans="1:6" s="104" customFormat="1">
      <c r="A25" s="109">
        <v>6</v>
      </c>
      <c r="B25" s="104" t="s">
        <v>36</v>
      </c>
      <c r="D25" s="104">
        <f>+'Conv Factor'!G29</f>
        <v>1.583608862800024</v>
      </c>
      <c r="F25" s="104">
        <f>+'Conv Factor'!G56</f>
        <v>1.5832618569768004</v>
      </c>
    </row>
    <row r="26" spans="1:6" s="104" customFormat="1"/>
    <row r="27" spans="1:6" s="104" customFormat="1" ht="13.5" thickBot="1">
      <c r="A27" s="109">
        <v>7</v>
      </c>
      <c r="B27" s="104" t="s">
        <v>167</v>
      </c>
      <c r="C27" s="122"/>
      <c r="D27" s="127">
        <f>+D23*D25</f>
        <v>-159213.69553878956</v>
      </c>
      <c r="F27" s="127">
        <f>+F23*F25</f>
        <v>-39217.342859427547</v>
      </c>
    </row>
    <row r="28" spans="1:6" ht="13.5" thickTop="1"/>
  </sheetData>
  <mergeCells count="4">
    <mergeCell ref="A6:G6"/>
    <mergeCell ref="A1:G1"/>
    <mergeCell ref="A2:G2"/>
    <mergeCell ref="A4:G4"/>
  </mergeCells>
  <phoneticPr fontId="0" type="noConversion"/>
  <printOptions horizontalCentered="1"/>
  <pageMargins left="0.75" right="0.51" top="1.39" bottom="1" header="0.5" footer="0.5"/>
  <pageSetup orientation="portrait" r:id="rId1"/>
  <headerFooter alignWithMargins="0">
    <oddHeader>&amp;RDocket Nos. UE-080416 &amp;&amp; UG-080417
Exhibit No.___(MJM-4&amp;S&amp;KFF0000C&amp;S&amp;K000000)
 &amp;KFF0000 REVISED 1/29/09 &amp;K000000Corrected
Schedule 5 (E &amp;&amp; G)
Page 18 of 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Layout" zoomScaleNormal="100" workbookViewId="0">
      <selection activeCell="E17" sqref="E17"/>
    </sheetView>
  </sheetViews>
  <sheetFormatPr defaultRowHeight="12.75"/>
  <cols>
    <col min="1" max="1" width="4.42578125" customWidth="1"/>
    <col min="2" max="2" width="45.5703125" customWidth="1"/>
    <col min="4" max="4" width="11.28515625" bestFit="1" customWidth="1"/>
    <col min="5" max="5" width="3" customWidth="1"/>
    <col min="6" max="6" width="11.28515625" bestFit="1" customWidth="1"/>
    <col min="7" max="7" width="2.5703125" customWidth="1"/>
  </cols>
  <sheetData>
    <row r="1" spans="1:7" s="104" customFormat="1">
      <c r="A1" s="269" t="s">
        <v>68</v>
      </c>
      <c r="B1" s="269"/>
      <c r="C1" s="269"/>
      <c r="D1" s="269"/>
      <c r="E1" s="269"/>
      <c r="F1" s="269"/>
      <c r="G1" s="269"/>
    </row>
    <row r="2" spans="1:7" s="104" customFormat="1">
      <c r="A2" s="269" t="s">
        <v>151</v>
      </c>
      <c r="B2" s="269"/>
      <c r="C2" s="269"/>
      <c r="D2" s="269"/>
      <c r="E2" s="269"/>
      <c r="F2" s="269"/>
      <c r="G2" s="269"/>
    </row>
    <row r="3" spans="1:7" s="104" customFormat="1">
      <c r="D3" s="105"/>
      <c r="E3" s="105"/>
      <c r="F3" s="105"/>
      <c r="G3" s="105"/>
    </row>
    <row r="4" spans="1:7" s="104" customFormat="1">
      <c r="A4" s="269" t="s">
        <v>284</v>
      </c>
      <c r="B4" s="269"/>
      <c r="C4" s="269"/>
      <c r="D4" s="269"/>
      <c r="E4" s="269"/>
      <c r="F4" s="269"/>
      <c r="G4" s="269"/>
    </row>
    <row r="5" spans="1:7" s="104" customFormat="1"/>
    <row r="6" spans="1:7" s="104" customFormat="1">
      <c r="A6" s="269" t="s">
        <v>171</v>
      </c>
      <c r="B6" s="269"/>
      <c r="C6" s="269"/>
      <c r="D6" s="269"/>
      <c r="E6" s="269"/>
      <c r="F6" s="269"/>
      <c r="G6" s="270"/>
    </row>
    <row r="7" spans="1:7" s="104" customFormat="1"/>
    <row r="8" spans="1:7" s="104" customFormat="1"/>
    <row r="9" spans="1:7" s="104" customFormat="1">
      <c r="D9" s="109"/>
      <c r="E9" s="109"/>
      <c r="F9" s="109"/>
    </row>
    <row r="10" spans="1:7" s="104" customFormat="1"/>
    <row r="11" spans="1:7" s="111" customFormat="1">
      <c r="A11" s="111" t="s">
        <v>4</v>
      </c>
      <c r="B11" s="111" t="s">
        <v>73</v>
      </c>
      <c r="D11" s="111" t="s">
        <v>124</v>
      </c>
      <c r="E11" s="109"/>
      <c r="F11" s="111" t="s">
        <v>125</v>
      </c>
      <c r="G11" s="109"/>
    </row>
    <row r="12" spans="1:7" s="104" customFormat="1"/>
    <row r="13" spans="1:7" s="104" customFormat="1">
      <c r="B13" s="111" t="s">
        <v>160</v>
      </c>
    </row>
    <row r="14" spans="1:7" s="104" customFormat="1">
      <c r="A14" s="109">
        <v>1</v>
      </c>
      <c r="B14" s="104" t="s">
        <v>172</v>
      </c>
      <c r="D14" s="149">
        <v>14993</v>
      </c>
      <c r="F14" s="149">
        <v>7927</v>
      </c>
    </row>
    <row r="15" spans="1:7" s="104" customFormat="1">
      <c r="A15" s="109"/>
      <c r="D15" s="155"/>
      <c r="F15" s="155"/>
    </row>
    <row r="16" spans="1:7" s="104" customFormat="1">
      <c r="A16" s="109">
        <v>2</v>
      </c>
      <c r="B16" s="104" t="s">
        <v>126</v>
      </c>
      <c r="D16" s="123">
        <f>-D14</f>
        <v>-14993</v>
      </c>
      <c r="E16" s="152"/>
      <c r="F16" s="123">
        <f>-F14</f>
        <v>-7927</v>
      </c>
    </row>
    <row r="17" spans="1:6" s="104" customFormat="1">
      <c r="F17" s="153"/>
    </row>
    <row r="18" spans="1:6" s="104" customFormat="1">
      <c r="A18" s="109">
        <v>3</v>
      </c>
      <c r="B18" s="104" t="s">
        <v>127</v>
      </c>
      <c r="C18" s="126">
        <v>0.34</v>
      </c>
      <c r="F18" s="153"/>
    </row>
    <row r="19" spans="1:6" s="104" customFormat="1">
      <c r="A19" s="109"/>
      <c r="F19" s="153"/>
    </row>
    <row r="20" spans="1:6" s="104" customFormat="1">
      <c r="A20" s="109">
        <v>4</v>
      </c>
      <c r="B20" s="104" t="s">
        <v>165</v>
      </c>
      <c r="D20" s="154">
        <f>-D16*C18</f>
        <v>5097.6200000000008</v>
      </c>
      <c r="F20" s="154">
        <f>-F16*C18</f>
        <v>2695.1800000000003</v>
      </c>
    </row>
    <row r="21" spans="1:6" s="104" customFormat="1">
      <c r="F21" s="153"/>
    </row>
    <row r="22" spans="1:6" s="104" customFormat="1" ht="13.5" thickBot="1">
      <c r="A22" s="109">
        <v>5</v>
      </c>
      <c r="B22" s="104" t="s">
        <v>173</v>
      </c>
      <c r="D22" s="127">
        <f>+D16+D20</f>
        <v>-9895.3799999999992</v>
      </c>
      <c r="F22" s="127">
        <f>+F16+F20</f>
        <v>-5231.82</v>
      </c>
    </row>
    <row r="23" spans="1:6" s="104" customFormat="1" ht="13.5" thickTop="1">
      <c r="A23" s="109"/>
    </row>
    <row r="24" spans="1:6" s="104" customFormat="1">
      <c r="A24" s="109">
        <v>6</v>
      </c>
      <c r="B24" s="104" t="s">
        <v>36</v>
      </c>
      <c r="D24" s="104">
        <f>+'Conv Factor'!G29</f>
        <v>1.583608862800024</v>
      </c>
      <c r="F24" s="104">
        <f>+'Conv Factor'!G56</f>
        <v>1.5832618569768004</v>
      </c>
    </row>
    <row r="25" spans="1:6" s="104" customFormat="1"/>
    <row r="26" spans="1:6" s="104" customFormat="1" ht="13.5" thickBot="1">
      <c r="A26" s="109">
        <v>7</v>
      </c>
      <c r="B26" s="104" t="s">
        <v>167</v>
      </c>
      <c r="C26" s="122"/>
      <c r="D26" s="127">
        <f>+D22*D24</f>
        <v>-15670.4114687741</v>
      </c>
      <c r="F26" s="127">
        <f>+F22*F24</f>
        <v>-8283.3410485683635</v>
      </c>
    </row>
    <row r="27" spans="1:6" ht="13.5" thickTop="1">
      <c r="A27" s="104"/>
    </row>
    <row r="28" spans="1:6">
      <c r="A28" s="109"/>
    </row>
  </sheetData>
  <mergeCells count="4">
    <mergeCell ref="A6:G6"/>
    <mergeCell ref="A1:G1"/>
    <mergeCell ref="A2:G2"/>
    <mergeCell ref="A4:G4"/>
  </mergeCells>
  <phoneticPr fontId="0" type="noConversion"/>
  <printOptions horizontalCentered="1"/>
  <pageMargins left="0.75" right="0.51" top="1.43" bottom="1" header="0.5" footer="0.5"/>
  <pageSetup orientation="portrait" r:id="rId1"/>
  <headerFooter alignWithMargins="0">
    <oddHeader>&amp;RDocket Nos. UE-080416 &amp;&amp; UG-080417
Exhibit No.___(MJM-4&amp;S&amp;KFF0000C&amp;S&amp;K000000)
&amp;KFF0000REVISED 1/29/08 &amp;K000000Corrected
Schedule 5 (E &amp;&amp; G)
Page 19 of 22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Layout" topLeftCell="A10" zoomScaleNormal="100" workbookViewId="0">
      <selection activeCell="E17" sqref="E17"/>
    </sheetView>
  </sheetViews>
  <sheetFormatPr defaultRowHeight="12.75"/>
  <cols>
    <col min="1" max="1" width="4.42578125" customWidth="1"/>
    <col min="2" max="2" width="45.5703125" customWidth="1"/>
    <col min="4" max="4" width="11.28515625" bestFit="1" customWidth="1"/>
    <col min="5" max="5" width="3" customWidth="1"/>
    <col min="6" max="6" width="11.28515625" bestFit="1" customWidth="1"/>
    <col min="7" max="7" width="2.5703125" customWidth="1"/>
  </cols>
  <sheetData>
    <row r="1" spans="1:7" s="104" customFormat="1">
      <c r="A1" s="269" t="s">
        <v>68</v>
      </c>
      <c r="B1" s="269"/>
      <c r="C1" s="269"/>
      <c r="D1" s="269"/>
      <c r="E1" s="269"/>
      <c r="F1" s="269"/>
      <c r="G1" s="269"/>
    </row>
    <row r="2" spans="1:7" s="104" customFormat="1">
      <c r="A2" s="269" t="s">
        <v>151</v>
      </c>
      <c r="B2" s="269"/>
      <c r="C2" s="269"/>
      <c r="D2" s="269"/>
      <c r="E2" s="269"/>
      <c r="F2" s="269"/>
      <c r="G2" s="269"/>
    </row>
    <row r="3" spans="1:7" s="104" customFormat="1">
      <c r="D3" s="105"/>
      <c r="E3" s="105"/>
      <c r="F3" s="105"/>
      <c r="G3" s="105"/>
    </row>
    <row r="4" spans="1:7" s="104" customFormat="1">
      <c r="A4" s="269" t="s">
        <v>285</v>
      </c>
      <c r="B4" s="269"/>
      <c r="C4" s="269"/>
      <c r="D4" s="269"/>
      <c r="E4" s="269"/>
      <c r="F4" s="269"/>
      <c r="G4" s="269"/>
    </row>
    <row r="5" spans="1:7" s="104" customFormat="1"/>
    <row r="6" spans="1:7" s="104" customFormat="1">
      <c r="A6" s="269" t="s">
        <v>193</v>
      </c>
      <c r="B6" s="269"/>
      <c r="C6" s="269"/>
      <c r="D6" s="269"/>
      <c r="E6" s="269"/>
      <c r="F6" s="269"/>
      <c r="G6" s="270"/>
    </row>
    <row r="7" spans="1:7" s="104" customFormat="1"/>
    <row r="8" spans="1:7" s="104" customFormat="1"/>
    <row r="9" spans="1:7" s="104" customFormat="1">
      <c r="D9" s="109"/>
      <c r="E9" s="109"/>
      <c r="F9" s="109"/>
    </row>
    <row r="10" spans="1:7" s="104" customFormat="1"/>
    <row r="11" spans="1:7" s="111" customFormat="1">
      <c r="A11" s="111" t="s">
        <v>4</v>
      </c>
      <c r="B11" s="111" t="s">
        <v>73</v>
      </c>
      <c r="D11" s="111" t="s">
        <v>124</v>
      </c>
      <c r="E11" s="109"/>
      <c r="F11" s="111" t="s">
        <v>125</v>
      </c>
      <c r="G11" s="109"/>
    </row>
    <row r="12" spans="1:7" s="104" customFormat="1"/>
    <row r="13" spans="1:7" s="104" customFormat="1">
      <c r="B13" s="111" t="s">
        <v>160</v>
      </c>
    </row>
    <row r="14" spans="1:7" s="104" customFormat="1">
      <c r="A14" s="109">
        <v>1</v>
      </c>
      <c r="B14" s="104" t="s">
        <v>194</v>
      </c>
      <c r="D14" s="149">
        <f>+[7]Sheet1!$H$13</f>
        <v>138644.98778316032</v>
      </c>
      <c r="F14" s="149">
        <f>+[7]Sheet1!$I$13</f>
        <v>36136.490729285964</v>
      </c>
    </row>
    <row r="15" spans="1:7" s="104" customFormat="1">
      <c r="A15" s="109"/>
      <c r="D15" s="149"/>
      <c r="F15" s="149"/>
    </row>
    <row r="16" spans="1:7" s="104" customFormat="1">
      <c r="A16" s="109">
        <v>2</v>
      </c>
      <c r="B16" s="104" t="s">
        <v>195</v>
      </c>
      <c r="D16" s="150">
        <f>+[7]Sheet1!$H$16</f>
        <v>239860.66412967301</v>
      </c>
      <c r="F16" s="150">
        <f>+[7]Sheet1!$I$16</f>
        <v>62517.389227215004</v>
      </c>
    </row>
    <row r="17" spans="1:6" s="104" customFormat="1">
      <c r="A17" s="109"/>
      <c r="D17" s="151"/>
      <c r="F17" s="122"/>
    </row>
    <row r="18" spans="1:6" s="104" customFormat="1">
      <c r="A18" s="109">
        <v>3</v>
      </c>
      <c r="B18" s="104" t="s">
        <v>126</v>
      </c>
      <c r="D18" s="124">
        <f>-D14-D16</f>
        <v>-378505.65191283333</v>
      </c>
      <c r="E18" s="152"/>
      <c r="F18" s="124">
        <f>-F14-F16</f>
        <v>-98653.879956500969</v>
      </c>
    </row>
    <row r="19" spans="1:6" s="104" customFormat="1">
      <c r="A19" s="109"/>
      <c r="F19" s="153"/>
    </row>
    <row r="20" spans="1:6" s="104" customFormat="1">
      <c r="A20" s="109">
        <v>4</v>
      </c>
      <c r="B20" s="104" t="s">
        <v>127</v>
      </c>
      <c r="C20" s="126">
        <v>0.34</v>
      </c>
      <c r="F20" s="153"/>
    </row>
    <row r="21" spans="1:6" s="104" customFormat="1">
      <c r="F21" s="153"/>
    </row>
    <row r="22" spans="1:6" s="104" customFormat="1">
      <c r="A22" s="109">
        <v>5</v>
      </c>
      <c r="B22" s="104" t="s">
        <v>128</v>
      </c>
      <c r="D22" s="154">
        <f>-D18*C20</f>
        <v>128691.92165036334</v>
      </c>
      <c r="F22" s="154">
        <f>-F18*C20</f>
        <v>33542.319185210334</v>
      </c>
    </row>
    <row r="23" spans="1:6" s="104" customFormat="1">
      <c r="A23" s="109"/>
      <c r="F23" s="153"/>
    </row>
    <row r="24" spans="1:6" s="104" customFormat="1" ht="13.5" thickBot="1">
      <c r="A24" s="109">
        <v>6</v>
      </c>
      <c r="B24" s="104" t="s">
        <v>161</v>
      </c>
      <c r="D24" s="127">
        <f>+D18+D22</f>
        <v>-249813.73026247</v>
      </c>
      <c r="F24" s="127">
        <f>+F18+F22</f>
        <v>-65111.560771290635</v>
      </c>
    </row>
    <row r="25" spans="1:6" s="104" customFormat="1" ht="13.5" thickTop="1"/>
    <row r="26" spans="1:6" s="104" customFormat="1">
      <c r="A26" s="109">
        <v>7</v>
      </c>
      <c r="B26" s="104" t="s">
        <v>36</v>
      </c>
      <c r="D26" s="104">
        <f>+'Conv Factor'!G29</f>
        <v>1.583608862800024</v>
      </c>
      <c r="F26" s="104">
        <f>+'Conv Factor'!G56</f>
        <v>1.5832618569768004</v>
      </c>
    </row>
    <row r="27" spans="1:6" s="104" customFormat="1"/>
    <row r="28" spans="1:6" s="104" customFormat="1" ht="13.5" thickBot="1">
      <c r="A28" s="109">
        <v>8</v>
      </c>
      <c r="B28" s="104" t="s">
        <v>129</v>
      </c>
      <c r="C28" s="122"/>
      <c r="D28" s="127">
        <f>+D24*D26</f>
        <v>-395607.23729278205</v>
      </c>
      <c r="F28" s="127">
        <f>+F24*F26</f>
        <v>-103088.6506174114</v>
      </c>
    </row>
    <row r="29" spans="1:6" ht="13.5" thickTop="1"/>
    <row r="33" spans="1:1">
      <c r="A33" t="s">
        <v>196</v>
      </c>
    </row>
  </sheetData>
  <mergeCells count="4">
    <mergeCell ref="A6:G6"/>
    <mergeCell ref="A1:G1"/>
    <mergeCell ref="A2:G2"/>
    <mergeCell ref="A4:G4"/>
  </mergeCells>
  <phoneticPr fontId="0" type="noConversion"/>
  <printOptions horizontalCentered="1"/>
  <pageMargins left="0.75" right="0.51" top="1.38" bottom="1" header="0.5" footer="0.5"/>
  <pageSetup orientation="portrait" r:id="rId1"/>
  <headerFooter alignWithMargins="0">
    <oddHeader>&amp;RDocket Nos. UE-080416 &amp;&amp; UG-080417
Exhibit No.___(MJM-4&amp;S&amp;KFF0000C&amp;S&amp;K000000)
&amp;KFF0000REVISED 1/29/09 &amp;K000000Corrected
Schedule 5 (E &amp;&amp; G)
Page 20 of 22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Layout" zoomScaleNormal="100" workbookViewId="0">
      <selection activeCell="E17" sqref="E17"/>
    </sheetView>
  </sheetViews>
  <sheetFormatPr defaultRowHeight="12.75"/>
  <cols>
    <col min="1" max="1" width="4.42578125" customWidth="1"/>
    <col min="2" max="2" width="45.5703125" customWidth="1"/>
    <col min="4" max="4" width="11.28515625" bestFit="1" customWidth="1"/>
    <col min="5" max="5" width="3" customWidth="1"/>
    <col min="6" max="6" width="11.28515625" bestFit="1" customWidth="1"/>
    <col min="7" max="7" width="2.5703125" customWidth="1"/>
  </cols>
  <sheetData>
    <row r="1" spans="1:7" s="104" customFormat="1">
      <c r="A1" s="269" t="s">
        <v>68</v>
      </c>
      <c r="B1" s="269"/>
      <c r="C1" s="269"/>
      <c r="D1" s="269"/>
      <c r="E1" s="269"/>
      <c r="F1" s="269"/>
      <c r="G1" s="269"/>
    </row>
    <row r="2" spans="1:7" s="104" customFormat="1">
      <c r="A2" s="269" t="s">
        <v>151</v>
      </c>
      <c r="B2" s="269"/>
      <c r="C2" s="269"/>
      <c r="D2" s="269"/>
      <c r="E2" s="269"/>
      <c r="F2" s="269"/>
      <c r="G2" s="269"/>
    </row>
    <row r="3" spans="1:7" s="104" customFormat="1">
      <c r="D3" s="105"/>
      <c r="E3" s="105"/>
      <c r="F3" s="105"/>
      <c r="G3" s="105"/>
    </row>
    <row r="4" spans="1:7" s="104" customFormat="1">
      <c r="A4" s="269" t="s">
        <v>286</v>
      </c>
      <c r="B4" s="269"/>
      <c r="C4" s="269"/>
      <c r="D4" s="269"/>
      <c r="E4" s="269"/>
      <c r="F4" s="269"/>
      <c r="G4" s="269"/>
    </row>
    <row r="5" spans="1:7" s="104" customFormat="1"/>
    <row r="6" spans="1:7" s="104" customFormat="1">
      <c r="A6" s="269" t="s">
        <v>183</v>
      </c>
      <c r="B6" s="269"/>
      <c r="C6" s="269"/>
      <c r="D6" s="269"/>
      <c r="E6" s="269"/>
      <c r="F6" s="269"/>
      <c r="G6" s="270"/>
    </row>
    <row r="7" spans="1:7" s="104" customFormat="1"/>
    <row r="8" spans="1:7" s="104" customFormat="1"/>
    <row r="9" spans="1:7" s="104" customFormat="1">
      <c r="D9" s="109"/>
      <c r="E9" s="109"/>
      <c r="F9" s="109"/>
    </row>
    <row r="10" spans="1:7" s="104" customFormat="1"/>
    <row r="11" spans="1:7" s="111" customFormat="1">
      <c r="A11" s="111" t="s">
        <v>4</v>
      </c>
      <c r="B11" s="111" t="s">
        <v>73</v>
      </c>
      <c r="D11" s="111" t="s">
        <v>124</v>
      </c>
      <c r="E11" s="109"/>
      <c r="F11" s="111" t="s">
        <v>125</v>
      </c>
      <c r="G11" s="109"/>
    </row>
    <row r="12" spans="1:7" s="104" customFormat="1"/>
    <row r="13" spans="1:7" s="104" customFormat="1">
      <c r="B13" s="111" t="s">
        <v>160</v>
      </c>
    </row>
    <row r="14" spans="1:7" s="104" customFormat="1">
      <c r="A14" s="109">
        <v>1</v>
      </c>
      <c r="B14" s="104" t="s">
        <v>185</v>
      </c>
      <c r="D14" s="149">
        <v>777256</v>
      </c>
      <c r="F14" s="149">
        <v>202584</v>
      </c>
    </row>
    <row r="15" spans="1:7" s="104" customFormat="1">
      <c r="A15" s="109"/>
      <c r="D15" s="149"/>
      <c r="F15" s="149"/>
    </row>
    <row r="16" spans="1:7" s="104" customFormat="1">
      <c r="A16" s="109">
        <v>2</v>
      </c>
      <c r="B16" s="104" t="s">
        <v>184</v>
      </c>
      <c r="D16" s="150">
        <f>-D14/2</f>
        <v>-388628</v>
      </c>
      <c r="F16" s="150">
        <f>-F14/2</f>
        <v>-101292</v>
      </c>
    </row>
    <row r="17" spans="1:6" s="104" customFormat="1">
      <c r="A17" s="109"/>
      <c r="D17" s="151"/>
      <c r="F17" s="122"/>
    </row>
    <row r="18" spans="1:6" s="104" customFormat="1">
      <c r="A18" s="109">
        <v>3</v>
      </c>
      <c r="B18" s="104" t="s">
        <v>126</v>
      </c>
      <c r="D18" s="124">
        <f>-D14-D16</f>
        <v>-388628</v>
      </c>
      <c r="E18" s="152"/>
      <c r="F18" s="124">
        <f>-F14-F16</f>
        <v>-101292</v>
      </c>
    </row>
    <row r="19" spans="1:6" s="104" customFormat="1">
      <c r="A19" s="109"/>
      <c r="F19" s="153"/>
    </row>
    <row r="20" spans="1:6" s="104" customFormat="1">
      <c r="A20" s="109">
        <v>4</v>
      </c>
      <c r="B20" s="104" t="s">
        <v>127</v>
      </c>
      <c r="C20" s="126">
        <v>0.34</v>
      </c>
      <c r="F20" s="153"/>
    </row>
    <row r="21" spans="1:6" s="104" customFormat="1">
      <c r="F21" s="153"/>
    </row>
    <row r="22" spans="1:6" s="104" customFormat="1">
      <c r="A22" s="109">
        <v>5</v>
      </c>
      <c r="B22" s="104" t="s">
        <v>128</v>
      </c>
      <c r="D22" s="154">
        <f>-D18*C20</f>
        <v>132133.52000000002</v>
      </c>
      <c r="F22" s="154">
        <f>-F18*C20</f>
        <v>34439.279999999999</v>
      </c>
    </row>
    <row r="23" spans="1:6" s="104" customFormat="1">
      <c r="A23" s="109"/>
      <c r="F23" s="153"/>
    </row>
    <row r="24" spans="1:6" s="104" customFormat="1" ht="13.5" thickBot="1">
      <c r="A24" s="109">
        <v>6</v>
      </c>
      <c r="B24" s="104" t="s">
        <v>161</v>
      </c>
      <c r="D24" s="127">
        <f>+D18+D22</f>
        <v>-256494.47999999998</v>
      </c>
      <c r="F24" s="127">
        <f>+F18+F22</f>
        <v>-66852.72</v>
      </c>
    </row>
    <row r="25" spans="1:6" s="104" customFormat="1" ht="13.5" thickTop="1"/>
    <row r="26" spans="1:6" s="104" customFormat="1">
      <c r="A26" s="109">
        <v>7</v>
      </c>
      <c r="B26" s="104" t="s">
        <v>36</v>
      </c>
      <c r="D26" s="104">
        <f>+'Conv Factor'!G29</f>
        <v>1.583608862800024</v>
      </c>
      <c r="F26" s="104">
        <f>+'Conv Factor'!G56</f>
        <v>1.5832618569768004</v>
      </c>
    </row>
    <row r="27" spans="1:6" s="104" customFormat="1"/>
    <row r="28" spans="1:6" s="104" customFormat="1" ht="13.5" thickBot="1">
      <c r="A28" s="109">
        <v>8</v>
      </c>
      <c r="B28" s="104" t="s">
        <v>129</v>
      </c>
      <c r="C28" s="122"/>
      <c r="D28" s="127">
        <f>+D24*D26</f>
        <v>-406186.93178728345</v>
      </c>
      <c r="F28" s="127">
        <f>+F24*F26</f>
        <v>-105845.36161115009</v>
      </c>
    </row>
    <row r="29" spans="1:6" ht="13.5" thickTop="1"/>
    <row r="31" spans="1:6">
      <c r="B31" t="s">
        <v>186</v>
      </c>
    </row>
  </sheetData>
  <mergeCells count="4">
    <mergeCell ref="A6:G6"/>
    <mergeCell ref="A1:G1"/>
    <mergeCell ref="A2:G2"/>
    <mergeCell ref="A4:G4"/>
  </mergeCells>
  <phoneticPr fontId="0" type="noConversion"/>
  <printOptions horizontalCentered="1"/>
  <pageMargins left="0.75" right="0.51" top="1.43" bottom="1" header="0.5" footer="0.5"/>
  <pageSetup orientation="portrait" r:id="rId1"/>
  <headerFooter alignWithMargins="0">
    <oddHeader>&amp;RDocket Nos. UE-080416 &amp;&amp; UG-080417
Exhibit No.___(MJM-4&amp;S&amp;KFF0000C&amp;S&amp;K000000)
&amp;KFF0000REVISED 1/29/09 &amp;K000000Corrected
Schedule 5 (E &amp;&amp; G)
Page 21 of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I49"/>
  <sheetViews>
    <sheetView view="pageLayout" zoomScaleNormal="100" workbookViewId="0">
      <selection activeCell="E17" sqref="E17"/>
    </sheetView>
  </sheetViews>
  <sheetFormatPr defaultRowHeight="12.75"/>
  <cols>
    <col min="1" max="1" width="10.7109375" style="30" customWidth="1"/>
    <col min="2" max="2" width="1.140625" style="30" customWidth="1"/>
    <col min="3" max="3" width="30.7109375" style="30" bestFit="1" customWidth="1"/>
    <col min="4" max="4" width="2.140625" style="30" customWidth="1"/>
    <col min="5" max="5" width="12.28515625" style="30" bestFit="1" customWidth="1"/>
    <col min="6" max="6" width="1.85546875" style="30" customWidth="1"/>
    <col min="7" max="7" width="12" style="30" bestFit="1" customWidth="1"/>
    <col min="8" max="8" width="1.85546875" style="30" customWidth="1"/>
    <col min="9" max="9" width="10.28515625" style="30" bestFit="1" customWidth="1"/>
    <col min="10" max="16384" width="9.140625" style="30"/>
  </cols>
  <sheetData>
    <row r="1" spans="1:9">
      <c r="A1" s="266" t="s">
        <v>68</v>
      </c>
      <c r="B1" s="266"/>
      <c r="C1" s="266"/>
      <c r="D1" s="266"/>
      <c r="E1" s="266"/>
      <c r="F1" s="266"/>
      <c r="G1" s="266"/>
      <c r="H1" s="266"/>
      <c r="I1" s="266"/>
    </row>
    <row r="2" spans="1:9">
      <c r="A2" s="266" t="s">
        <v>69</v>
      </c>
      <c r="B2" s="266"/>
      <c r="C2" s="266"/>
      <c r="D2" s="266"/>
      <c r="E2" s="266"/>
      <c r="F2" s="266"/>
      <c r="G2" s="266"/>
      <c r="H2" s="266"/>
      <c r="I2" s="266"/>
    </row>
    <row r="3" spans="1:9">
      <c r="A3" s="266" t="s">
        <v>85</v>
      </c>
      <c r="B3" s="266"/>
      <c r="C3" s="266"/>
      <c r="D3" s="266"/>
      <c r="E3" s="266"/>
      <c r="F3" s="266"/>
      <c r="G3" s="266"/>
      <c r="H3" s="266"/>
      <c r="I3" s="266"/>
    </row>
    <row r="4" spans="1:9">
      <c r="A4" s="266" t="s">
        <v>112</v>
      </c>
      <c r="B4" s="266"/>
      <c r="C4" s="266"/>
      <c r="D4" s="266"/>
      <c r="E4" s="266"/>
      <c r="F4" s="266"/>
      <c r="G4" s="266"/>
      <c r="H4" s="266"/>
      <c r="I4" s="266"/>
    </row>
    <row r="5" spans="1:9">
      <c r="A5" s="265" t="s">
        <v>3</v>
      </c>
      <c r="B5" s="265"/>
      <c r="C5" s="265"/>
      <c r="D5" s="265"/>
      <c r="E5" s="265"/>
      <c r="F5" s="265"/>
      <c r="G5" s="265"/>
      <c r="H5" s="265"/>
      <c r="I5" s="265"/>
    </row>
    <row r="6" spans="1:9">
      <c r="A6" s="27"/>
      <c r="B6" s="49"/>
      <c r="C6" s="49"/>
      <c r="D6" s="49"/>
      <c r="E6" s="49"/>
    </row>
    <row r="7" spans="1:9">
      <c r="A7" s="27"/>
      <c r="B7" s="49"/>
      <c r="C7" s="49"/>
      <c r="D7" s="49"/>
      <c r="E7" s="49"/>
    </row>
    <row r="9" spans="1:9" s="31" customFormat="1">
      <c r="E9" s="38"/>
      <c r="F9" s="34"/>
    </row>
    <row r="10" spans="1:9" s="31" customFormat="1">
      <c r="A10" s="38" t="s">
        <v>71</v>
      </c>
      <c r="B10" s="38"/>
      <c r="D10" s="38"/>
      <c r="E10" s="38"/>
      <c r="F10" s="34"/>
    </row>
    <row r="11" spans="1:9" s="31" customFormat="1">
      <c r="A11" s="40" t="s">
        <v>7</v>
      </c>
      <c r="B11" s="38"/>
      <c r="C11" s="40" t="s">
        <v>73</v>
      </c>
      <c r="D11" s="38"/>
      <c r="E11" s="40" t="s">
        <v>67</v>
      </c>
      <c r="F11" s="38"/>
      <c r="G11" s="40" t="s">
        <v>120</v>
      </c>
      <c r="H11" s="39"/>
      <c r="I11" s="40" t="s">
        <v>137</v>
      </c>
    </row>
    <row r="12" spans="1:9" s="31" customFormat="1">
      <c r="E12" s="38" t="s">
        <v>259</v>
      </c>
      <c r="F12" s="38"/>
      <c r="G12" s="38" t="s">
        <v>12</v>
      </c>
      <c r="H12" s="39"/>
      <c r="I12" s="38" t="s">
        <v>147</v>
      </c>
    </row>
    <row r="13" spans="1:9" s="31" customFormat="1">
      <c r="E13" s="38"/>
      <c r="F13" s="38"/>
      <c r="G13" s="38"/>
      <c r="H13" s="39"/>
      <c r="I13" s="38"/>
    </row>
    <row r="14" spans="1:9">
      <c r="A14" s="29">
        <v>1</v>
      </c>
      <c r="C14" s="30" t="s">
        <v>87</v>
      </c>
      <c r="E14" s="141">
        <v>172957</v>
      </c>
      <c r="F14" s="28"/>
      <c r="G14" s="141">
        <f>+'Detail Gas'!X51</f>
        <v>173565.78200681999</v>
      </c>
      <c r="I14" s="215">
        <f>+G14-E14</f>
        <v>608.78200681999442</v>
      </c>
    </row>
    <row r="15" spans="1:9">
      <c r="A15" s="29"/>
      <c r="E15" s="33"/>
      <c r="F15" s="28"/>
      <c r="G15" s="33"/>
    </row>
    <row r="16" spans="1:9">
      <c r="A16" s="29">
        <v>2</v>
      </c>
      <c r="C16" s="30" t="s">
        <v>76</v>
      </c>
      <c r="E16" s="50">
        <v>8.43E-2</v>
      </c>
      <c r="F16" s="28"/>
      <c r="G16" s="41">
        <f>+ROR!H14</f>
        <v>8.2184699999999999E-2</v>
      </c>
    </row>
    <row r="17" spans="1:9">
      <c r="A17" s="29"/>
      <c r="E17" s="32"/>
      <c r="F17" s="28"/>
      <c r="G17" s="32"/>
    </row>
    <row r="18" spans="1:9">
      <c r="A18" s="29">
        <v>3</v>
      </c>
      <c r="C18" s="30" t="s">
        <v>77</v>
      </c>
      <c r="E18" s="141">
        <f>+E14*E16</f>
        <v>14580.275100000001</v>
      </c>
      <c r="F18" s="28"/>
      <c r="G18" s="141">
        <f>+G14*G16</f>
        <v>14264.451724495899</v>
      </c>
      <c r="I18" s="215">
        <f>+G18-E18</f>
        <v>-315.82337550410193</v>
      </c>
    </row>
    <row r="19" spans="1:9">
      <c r="A19" s="29"/>
      <c r="E19" s="33"/>
      <c r="F19" s="28"/>
      <c r="G19" s="33"/>
    </row>
    <row r="20" spans="1:9">
      <c r="A20" s="29">
        <v>4</v>
      </c>
      <c r="C20" s="30" t="s">
        <v>78</v>
      </c>
      <c r="E20" s="139">
        <f>+'Detail Gas'!F41</f>
        <v>10482.514255</v>
      </c>
      <c r="F20" s="28"/>
      <c r="G20" s="139">
        <f>+'Detail Gas'!X41</f>
        <v>12154.454579826721</v>
      </c>
      <c r="I20" s="215">
        <f>+G20-E20</f>
        <v>1671.9403248267208</v>
      </c>
    </row>
    <row r="21" spans="1:9">
      <c r="A21" s="29"/>
      <c r="F21" s="28"/>
    </row>
    <row r="22" spans="1:9">
      <c r="A22" s="29">
        <v>5</v>
      </c>
      <c r="C22" s="30" t="s">
        <v>79</v>
      </c>
      <c r="E22" s="141">
        <f>E18-E20</f>
        <v>4097.7608450000007</v>
      </c>
      <c r="F22" s="28"/>
      <c r="G22" s="141">
        <f>G18-G20</f>
        <v>2109.9971446691779</v>
      </c>
      <c r="I22" s="215">
        <f>+G22-E22</f>
        <v>-1987.7637003308228</v>
      </c>
    </row>
    <row r="23" spans="1:9">
      <c r="A23" s="29"/>
      <c r="F23" s="28"/>
    </row>
    <row r="24" spans="1:9">
      <c r="A24" s="29">
        <v>6</v>
      </c>
      <c r="C24" s="30" t="s">
        <v>80</v>
      </c>
      <c r="E24" s="30">
        <f>+'Conv Factor'!E54</f>
        <v>0.62203765</v>
      </c>
      <c r="F24" s="28"/>
      <c r="G24" s="30">
        <f>+'Conv Factor'!G54</f>
        <v>0.6316074599999999</v>
      </c>
    </row>
    <row r="25" spans="1:9" ht="13.5" thickBot="1">
      <c r="A25" s="29"/>
      <c r="F25" s="28"/>
    </row>
    <row r="26" spans="1:9" ht="13.5" thickBot="1">
      <c r="A26" s="29">
        <v>7</v>
      </c>
      <c r="C26" s="30" t="s">
        <v>37</v>
      </c>
      <c r="D26" s="51"/>
      <c r="E26" s="214">
        <f>ROUND(E22/E24,0)</f>
        <v>6588</v>
      </c>
      <c r="F26" s="28"/>
      <c r="G26" s="214">
        <f>ROUND(G22/G24,0)</f>
        <v>3341</v>
      </c>
      <c r="I26" s="215">
        <f>+G26-E26</f>
        <v>-3247</v>
      </c>
    </row>
    <row r="27" spans="1:9">
      <c r="D27" s="51"/>
      <c r="F27" s="28"/>
    </row>
    <row r="28" spans="1:9">
      <c r="A28" s="29">
        <v>8</v>
      </c>
      <c r="C28" s="30" t="s">
        <v>81</v>
      </c>
      <c r="E28" s="146">
        <f>+'Detail Gas'!F13+'Detail Gas'!F14</f>
        <v>197946</v>
      </c>
      <c r="F28" s="28"/>
      <c r="G28" s="146">
        <f>+'Detail Gas'!X13+'Detail Gas'!X14</f>
        <v>197946</v>
      </c>
      <c r="I28" s="215">
        <f>+G28-E28</f>
        <v>0</v>
      </c>
    </row>
    <row r="29" spans="1:9">
      <c r="F29" s="28"/>
    </row>
    <row r="30" spans="1:9" ht="13.5" thickBot="1">
      <c r="A30" s="29">
        <v>9</v>
      </c>
      <c r="C30" s="30" t="s">
        <v>82</v>
      </c>
      <c r="E30" s="45">
        <f>ROUND(E26/E28,4)</f>
        <v>3.3300000000000003E-2</v>
      </c>
      <c r="G30" s="45">
        <f>ROUND(G26/G28,4)</f>
        <v>1.6899999999999998E-2</v>
      </c>
    </row>
    <row r="31" spans="1:9" ht="13.5" thickTop="1">
      <c r="C31" s="28"/>
      <c r="D31" s="28"/>
      <c r="E31" s="28"/>
    </row>
    <row r="32" spans="1:9" ht="18.75" customHeight="1"/>
    <row r="33" ht="17.25" customHeight="1"/>
    <row r="34" ht="6.75" customHeight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7:7">
      <c r="G49" s="215"/>
    </row>
  </sheetData>
  <mergeCells count="5">
    <mergeCell ref="A5:I5"/>
    <mergeCell ref="A1:I1"/>
    <mergeCell ref="A2:I2"/>
    <mergeCell ref="A3:I3"/>
    <mergeCell ref="A4:I4"/>
  </mergeCells>
  <phoneticPr fontId="0" type="noConversion"/>
  <pageMargins left="0.75" right="0.75" top="1.41" bottom="1" header="0.5" footer="0.5"/>
  <pageSetup orientation="portrait" r:id="rId1"/>
  <headerFooter alignWithMargins="0">
    <oddHeader>&amp;RDocket Nos. UE-080416 &amp;&amp; UG-080417
Exhibit No.___(MJM-4&amp;S&amp;KFF0000C&amp;S&amp;K000000)
 &amp;KFF0000REVISED 1/29/09&amp;K000000 Corrected
Schedule 1(G)
Page 2 of 22</oddHeader>
    <oddFooter xml:space="preserve">&amp;R&amp;"Times,Regular"                                                                
           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Layout" zoomScaleNormal="100" workbookViewId="0">
      <selection activeCell="E17" sqref="E17"/>
    </sheetView>
  </sheetViews>
  <sheetFormatPr defaultColWidth="8" defaultRowHeight="11.25"/>
  <cols>
    <col min="1" max="1" width="5.140625" style="229" bestFit="1" customWidth="1"/>
    <col min="2" max="2" width="36" style="216" bestFit="1" customWidth="1"/>
    <col min="3" max="3" width="10.42578125" style="216" bestFit="1" customWidth="1"/>
    <col min="4" max="4" width="1" style="216" customWidth="1"/>
    <col min="5" max="5" width="9.85546875" style="216" bestFit="1" customWidth="1"/>
    <col min="6" max="6" width="3.140625" style="216" customWidth="1"/>
    <col min="7" max="7" width="9.42578125" style="216" bestFit="1" customWidth="1"/>
    <col min="8" max="8" width="3.7109375" style="216" bestFit="1" customWidth="1"/>
    <col min="9" max="9" width="9.7109375" style="216" bestFit="1" customWidth="1"/>
    <col min="10" max="16384" width="8" style="216"/>
  </cols>
  <sheetData>
    <row r="1" spans="1:11" ht="12.75">
      <c r="A1" s="269" t="s">
        <v>68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269" t="s">
        <v>151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</row>
    <row r="4" spans="1:11" ht="12.75">
      <c r="A4" s="269" t="s">
        <v>287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1" ht="12.75">
      <c r="A5" s="104"/>
      <c r="B5" s="104"/>
      <c r="C5" s="104"/>
      <c r="D5" s="104"/>
      <c r="E5" s="105"/>
      <c r="F5" s="105"/>
      <c r="G5" s="105"/>
      <c r="H5" s="105"/>
      <c r="I5" s="105"/>
      <c r="J5" s="105"/>
      <c r="K5" s="105"/>
    </row>
    <row r="6" spans="1:11" ht="12.75">
      <c r="A6" s="269" t="s">
        <v>260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9" spans="1:11" s="218" customFormat="1" ht="12.75">
      <c r="A9" s="217"/>
      <c r="C9" s="283" t="s">
        <v>124</v>
      </c>
      <c r="D9" s="283"/>
      <c r="E9" s="283"/>
      <c r="G9" s="283" t="s">
        <v>125</v>
      </c>
      <c r="H9" s="283"/>
      <c r="I9" s="283"/>
    </row>
    <row r="10" spans="1:11" s="219" customFormat="1" ht="12.75">
      <c r="A10" s="219" t="s">
        <v>4</v>
      </c>
      <c r="B10" s="219" t="s">
        <v>73</v>
      </c>
      <c r="C10" s="220" t="s">
        <v>261</v>
      </c>
      <c r="D10" s="220"/>
      <c r="E10" s="220" t="s">
        <v>120</v>
      </c>
      <c r="G10" s="220" t="s">
        <v>261</v>
      </c>
      <c r="H10" s="220"/>
      <c r="I10" s="220" t="s">
        <v>120</v>
      </c>
    </row>
    <row r="11" spans="1:11" s="218" customFormat="1" ht="12.75">
      <c r="A11" s="217"/>
    </row>
    <row r="12" spans="1:11" s="218" customFormat="1" ht="12.75">
      <c r="A12" s="217">
        <v>1</v>
      </c>
      <c r="B12" s="218" t="s">
        <v>262</v>
      </c>
      <c r="C12" s="221">
        <f>+'Summary Electric'!E13</f>
        <v>950944</v>
      </c>
      <c r="D12" s="221"/>
      <c r="E12" s="221">
        <f>+'Summary Electric'!G13</f>
        <v>937414.73507704993</v>
      </c>
      <c r="G12" s="221">
        <f>+'Summary Gas'!E14</f>
        <v>172957</v>
      </c>
      <c r="H12" s="221"/>
      <c r="I12" s="221">
        <f>+'Summary Gas'!G14</f>
        <v>173565.78200681999</v>
      </c>
    </row>
    <row r="13" spans="1:11" s="218" customFormat="1" ht="12.75">
      <c r="A13" s="217"/>
    </row>
    <row r="14" spans="1:11" s="218" customFormat="1" ht="12.75">
      <c r="A14" s="217">
        <v>2</v>
      </c>
      <c r="B14" s="218" t="s">
        <v>263</v>
      </c>
      <c r="C14" s="222">
        <v>3.4299999999999997E-2</v>
      </c>
      <c r="E14" s="222">
        <f>+ROR!H10</f>
        <v>3.4958700000000002E-2</v>
      </c>
      <c r="G14" s="222">
        <v>3.4299999999999997E-2</v>
      </c>
      <c r="I14" s="222">
        <f>+ROR!H10</f>
        <v>3.4958700000000002E-2</v>
      </c>
    </row>
    <row r="15" spans="1:11" s="218" customFormat="1" ht="12.75">
      <c r="A15" s="217"/>
      <c r="C15" s="222"/>
      <c r="E15" s="222"/>
      <c r="G15" s="222"/>
      <c r="I15" s="222"/>
    </row>
    <row r="16" spans="1:11" s="218" customFormat="1" ht="12.75">
      <c r="A16" s="217">
        <v>3</v>
      </c>
      <c r="B16" s="218" t="s">
        <v>269</v>
      </c>
      <c r="C16" s="223">
        <f>+C14*C12</f>
        <v>32617.379199999996</v>
      </c>
      <c r="E16" s="223">
        <f>+E14*E12</f>
        <v>32770.800499138066</v>
      </c>
      <c r="G16" s="223">
        <f>+G14*G12</f>
        <v>5932.4250999999995</v>
      </c>
      <c r="I16" s="223">
        <f>+I14*I12</f>
        <v>6067.6341034418183</v>
      </c>
    </row>
    <row r="17" spans="1:9" s="218" customFormat="1" ht="12.75">
      <c r="A17" s="217"/>
      <c r="C17" s="223"/>
      <c r="E17" s="223"/>
      <c r="G17" s="223"/>
      <c r="I17" s="223"/>
    </row>
    <row r="18" spans="1:9" s="218" customFormat="1" ht="12.75">
      <c r="A18" s="217">
        <v>4</v>
      </c>
      <c r="B18" s="218" t="s">
        <v>264</v>
      </c>
      <c r="C18" s="224">
        <v>40080</v>
      </c>
      <c r="E18" s="224">
        <v>40080</v>
      </c>
      <c r="G18" s="224">
        <v>6825</v>
      </c>
      <c r="I18" s="224">
        <v>6825</v>
      </c>
    </row>
    <row r="19" spans="1:9" s="218" customFormat="1" ht="12.75">
      <c r="A19" s="217"/>
      <c r="C19" s="225"/>
      <c r="E19" s="225"/>
      <c r="G19" s="225"/>
      <c r="I19" s="225"/>
    </row>
    <row r="20" spans="1:9" s="218" customFormat="1" ht="12.75">
      <c r="A20" s="217">
        <v>5</v>
      </c>
      <c r="B20" s="218" t="s">
        <v>270</v>
      </c>
      <c r="C20" s="226">
        <f>+C18-C16</f>
        <v>7462.6208000000042</v>
      </c>
      <c r="D20" s="226"/>
      <c r="E20" s="226">
        <f>+E18-E16</f>
        <v>7309.1995008619342</v>
      </c>
      <c r="F20" s="226"/>
      <c r="G20" s="226">
        <v>979</v>
      </c>
      <c r="H20" s="226" t="s">
        <v>133</v>
      </c>
      <c r="I20" s="226">
        <f>+I18-I16</f>
        <v>757.3658965581817</v>
      </c>
    </row>
    <row r="21" spans="1:9" s="218" customFormat="1" ht="12.75">
      <c r="A21" s="217"/>
      <c r="B21" s="218" t="s">
        <v>265</v>
      </c>
    </row>
    <row r="22" spans="1:9" s="218" customFormat="1" ht="12.75">
      <c r="A22" s="217">
        <v>6</v>
      </c>
      <c r="B22" s="218" t="s">
        <v>127</v>
      </c>
      <c r="C22" s="227">
        <v>0.35</v>
      </c>
      <c r="E22" s="227">
        <f>+'Conv Factor'!F52</f>
        <v>0.34</v>
      </c>
      <c r="G22" s="227">
        <v>0.35</v>
      </c>
      <c r="I22" s="227">
        <f>+E22</f>
        <v>0.34</v>
      </c>
    </row>
    <row r="23" spans="1:9" s="218" customFormat="1" ht="12.75">
      <c r="A23" s="217"/>
    </row>
    <row r="24" spans="1:9" s="218" customFormat="1" ht="12.75">
      <c r="A24" s="217">
        <v>7</v>
      </c>
      <c r="B24" s="218" t="s">
        <v>140</v>
      </c>
      <c r="C24" s="226">
        <f>+C22*C20</f>
        <v>2611.9172800000015</v>
      </c>
      <c r="D24" s="226"/>
      <c r="E24" s="226">
        <f>+E22*E20</f>
        <v>2485.1278302930577</v>
      </c>
      <c r="G24" s="226">
        <v>342</v>
      </c>
      <c r="H24" s="226" t="s">
        <v>133</v>
      </c>
      <c r="I24" s="226">
        <f>+I22*I20</f>
        <v>257.50440482978178</v>
      </c>
    </row>
    <row r="25" spans="1:9" s="218" customFormat="1" ht="12.75">
      <c r="A25" s="217"/>
    </row>
    <row r="26" spans="1:9" s="218" customFormat="1" ht="12.75">
      <c r="A26" s="217">
        <v>8</v>
      </c>
      <c r="B26" s="218" t="s">
        <v>266</v>
      </c>
      <c r="E26" s="228">
        <f>+E24-C24</f>
        <v>-126.78944970694374</v>
      </c>
      <c r="I26" s="228">
        <f>+I24-G24</f>
        <v>-84.495595170218223</v>
      </c>
    </row>
    <row r="28" spans="1:9" s="218" customFormat="1" ht="12.75">
      <c r="A28" s="217"/>
    </row>
    <row r="29" spans="1:9" s="218" customFormat="1" ht="12.75">
      <c r="A29" s="230" t="s">
        <v>132</v>
      </c>
      <c r="B29" s="230"/>
    </row>
    <row r="30" spans="1:9" s="218" customFormat="1" ht="12.75">
      <c r="A30" s="230" t="s">
        <v>228</v>
      </c>
      <c r="B30" s="230" t="s">
        <v>267</v>
      </c>
    </row>
    <row r="31" spans="1:9" s="218" customFormat="1" ht="12.75">
      <c r="A31" s="230"/>
      <c r="B31" s="230"/>
    </row>
    <row r="32" spans="1:9" s="218" customFormat="1" ht="12.75">
      <c r="A32" s="281" t="s">
        <v>268</v>
      </c>
      <c r="B32" s="282"/>
      <c r="C32" s="282"/>
      <c r="D32" s="282"/>
      <c r="E32" s="282"/>
      <c r="F32" s="282"/>
      <c r="G32" s="282"/>
      <c r="H32" s="282"/>
      <c r="I32" s="282"/>
    </row>
    <row r="33" spans="1:2" s="218" customFormat="1" ht="12.75">
      <c r="A33" s="230"/>
      <c r="B33" s="230"/>
    </row>
  </sheetData>
  <mergeCells count="7">
    <mergeCell ref="A32:I32"/>
    <mergeCell ref="A1:K1"/>
    <mergeCell ref="A2:K2"/>
    <mergeCell ref="A4:K4"/>
    <mergeCell ref="A6:K6"/>
    <mergeCell ref="C9:E9"/>
    <mergeCell ref="G9:I9"/>
  </mergeCells>
  <phoneticPr fontId="39" type="noConversion"/>
  <printOptions horizontalCentered="1"/>
  <pageMargins left="0.75" right="0.51" top="1.41" bottom="1" header="0.5" footer="0.5"/>
  <pageSetup orientation="portrait" r:id="rId1"/>
  <headerFooter alignWithMargins="0">
    <oddHeader>&amp;RDocket Nos. UE-080416 &amp;&amp; UG-080417
Exhibit No.___(MJM-4&amp;S&amp;KFF0000C&amp;S&amp;K000000)
 &amp;KFF0000REVISED 1/29/09 &amp;K000000Corrected
Schedule 5 (E &amp;&amp; G)
Page 22 of 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X54"/>
  <sheetViews>
    <sheetView showGridLines="0" view="pageLayout" topLeftCell="H1" zoomScaleNormal="100" workbookViewId="0">
      <selection activeCell="Q1" sqref="Q1"/>
    </sheetView>
  </sheetViews>
  <sheetFormatPr defaultColWidth="10.7109375" defaultRowHeight="12.75"/>
  <cols>
    <col min="1" max="1" width="4.7109375" style="3" customWidth="1"/>
    <col min="2" max="3" width="1.7109375" style="2" customWidth="1"/>
    <col min="4" max="4" width="43" style="2" customWidth="1"/>
    <col min="5" max="5" width="12.42578125" style="4" customWidth="1"/>
    <col min="6" max="6" width="1" style="208" customWidth="1"/>
    <col min="7" max="7" width="12" style="2" customWidth="1"/>
    <col min="8" max="8" width="9.7109375" style="48" customWidth="1"/>
    <col min="9" max="9" width="12.5703125" style="2" bestFit="1" customWidth="1"/>
    <col min="10" max="10" width="22.42578125" style="2" bestFit="1" customWidth="1"/>
    <col min="11" max="11" width="14.140625" style="2" bestFit="1" customWidth="1"/>
    <col min="12" max="13" width="9.7109375" style="2" customWidth="1"/>
    <col min="14" max="14" width="11.140625" style="2" bestFit="1" customWidth="1"/>
    <col min="15" max="15" width="9.7109375" style="2" customWidth="1"/>
    <col min="16" max="16" width="12.140625" style="2" bestFit="1" customWidth="1"/>
    <col min="17" max="17" width="13.140625" style="2" bestFit="1" customWidth="1"/>
    <col min="18" max="18" width="13.28515625" style="2" bestFit="1" customWidth="1"/>
    <col min="19" max="20" width="9.7109375" style="2" customWidth="1"/>
    <col min="21" max="21" width="1.7109375" style="206" customWidth="1"/>
    <col min="22" max="22" width="12" style="2" bestFit="1" customWidth="1"/>
    <col min="23" max="23" width="1.28515625" style="2" customWidth="1"/>
    <col min="24" max="24" width="12" style="2" bestFit="1" customWidth="1"/>
    <col min="25" max="16384" width="10.7109375" style="2"/>
  </cols>
  <sheetData>
    <row r="1" spans="1:24">
      <c r="A1" s="1" t="s">
        <v>0</v>
      </c>
      <c r="D1" s="3"/>
    </row>
    <row r="2" spans="1:24">
      <c r="A2" s="1" t="s">
        <v>1</v>
      </c>
      <c r="D2" s="3"/>
    </row>
    <row r="3" spans="1:24">
      <c r="A3" s="1" t="s">
        <v>2</v>
      </c>
      <c r="D3" s="3"/>
    </row>
    <row r="4" spans="1:24">
      <c r="A4" s="1" t="s">
        <v>112</v>
      </c>
      <c r="D4" s="3"/>
    </row>
    <row r="5" spans="1:24">
      <c r="A5" s="1" t="s">
        <v>3</v>
      </c>
      <c r="D5" s="3"/>
    </row>
    <row r="6" spans="1:24" s="6" customFormat="1">
      <c r="A6" s="5"/>
      <c r="D6" s="5"/>
      <c r="E6" s="7"/>
      <c r="F6" s="210"/>
      <c r="H6" s="243"/>
      <c r="J6" s="6" t="s">
        <v>265</v>
      </c>
      <c r="U6" s="15"/>
    </row>
    <row r="7" spans="1:24" s="6" customFormat="1" ht="12" customHeight="1">
      <c r="A7" s="8"/>
      <c r="B7" s="9"/>
      <c r="C7" s="10"/>
      <c r="D7" s="11"/>
      <c r="E7" s="12" t="s">
        <v>67</v>
      </c>
      <c r="F7" s="212"/>
      <c r="G7" s="99" t="s">
        <v>117</v>
      </c>
      <c r="H7" s="244"/>
      <c r="I7" s="96"/>
      <c r="J7" s="264" t="s">
        <v>291</v>
      </c>
      <c r="K7" s="96"/>
      <c r="L7" s="96"/>
      <c r="M7" s="96"/>
      <c r="N7" s="96"/>
      <c r="O7" s="96"/>
      <c r="P7" s="96" t="s">
        <v>168</v>
      </c>
      <c r="Q7" s="96"/>
      <c r="R7" s="96"/>
      <c r="S7" s="96"/>
      <c r="T7" s="96"/>
      <c r="U7" s="97"/>
      <c r="V7" s="100" t="s">
        <v>41</v>
      </c>
      <c r="W7" s="57"/>
      <c r="X7" s="100" t="s">
        <v>258</v>
      </c>
    </row>
    <row r="8" spans="1:24" s="6" customFormat="1">
      <c r="A8" s="13" t="s">
        <v>4</v>
      </c>
      <c r="B8" s="14"/>
      <c r="C8" s="15"/>
      <c r="D8" s="16"/>
      <c r="E8" s="17" t="s">
        <v>6</v>
      </c>
      <c r="F8" s="210"/>
      <c r="G8" s="203" t="s">
        <v>116</v>
      </c>
      <c r="H8" s="245" t="s">
        <v>251</v>
      </c>
      <c r="I8" s="97" t="s">
        <v>154</v>
      </c>
      <c r="J8" s="245" t="s">
        <v>242</v>
      </c>
      <c r="K8" s="97" t="s">
        <v>200</v>
      </c>
      <c r="L8" s="97" t="s">
        <v>223</v>
      </c>
      <c r="M8" s="97"/>
      <c r="N8" s="97"/>
      <c r="O8" s="97" t="s">
        <v>178</v>
      </c>
      <c r="P8" s="97" t="s">
        <v>169</v>
      </c>
      <c r="Q8" s="97" t="s">
        <v>174</v>
      </c>
      <c r="R8" s="97" t="s">
        <v>198</v>
      </c>
      <c r="S8" s="97" t="s">
        <v>187</v>
      </c>
      <c r="T8" s="101" t="s">
        <v>253</v>
      </c>
      <c r="U8" s="97"/>
      <c r="V8" s="101" t="s">
        <v>120</v>
      </c>
      <c r="W8" s="57"/>
      <c r="X8" s="101" t="s">
        <v>256</v>
      </c>
    </row>
    <row r="9" spans="1:24" s="6" customFormat="1">
      <c r="A9" s="18" t="s">
        <v>7</v>
      </c>
      <c r="B9" s="19"/>
      <c r="C9" s="20"/>
      <c r="D9" s="21" t="s">
        <v>8</v>
      </c>
      <c r="E9" s="22" t="s">
        <v>10</v>
      </c>
      <c r="F9" s="210"/>
      <c r="G9" s="204" t="s">
        <v>118</v>
      </c>
      <c r="H9" s="246" t="s">
        <v>252</v>
      </c>
      <c r="I9" s="98" t="s">
        <v>5</v>
      </c>
      <c r="J9" s="246" t="s">
        <v>243</v>
      </c>
      <c r="K9" s="98" t="s">
        <v>224</v>
      </c>
      <c r="L9" s="98" t="s">
        <v>224</v>
      </c>
      <c r="M9" s="98" t="s">
        <v>192</v>
      </c>
      <c r="N9" s="98" t="s">
        <v>182</v>
      </c>
      <c r="O9" s="98" t="s">
        <v>179</v>
      </c>
      <c r="P9" s="98" t="s">
        <v>170</v>
      </c>
      <c r="Q9" s="98" t="s">
        <v>175</v>
      </c>
      <c r="R9" s="98" t="s">
        <v>197</v>
      </c>
      <c r="S9" s="98" t="s">
        <v>188</v>
      </c>
      <c r="T9" s="102" t="s">
        <v>254</v>
      </c>
      <c r="U9" s="97"/>
      <c r="V9" s="102" t="s">
        <v>255</v>
      </c>
      <c r="W9" s="57"/>
      <c r="X9" s="102" t="s">
        <v>257</v>
      </c>
    </row>
    <row r="10" spans="1:24" s="23" customFormat="1">
      <c r="A10" s="3"/>
      <c r="E10" s="24"/>
      <c r="F10" s="211"/>
      <c r="G10" s="23">
        <v>1</v>
      </c>
      <c r="H10" s="247">
        <v>2</v>
      </c>
      <c r="I10" s="23">
        <v>3</v>
      </c>
      <c r="J10" s="247">
        <v>4</v>
      </c>
      <c r="K10" s="23">
        <v>5</v>
      </c>
      <c r="L10" s="23">
        <v>6</v>
      </c>
      <c r="M10" s="23">
        <v>7</v>
      </c>
      <c r="N10" s="23">
        <v>8</v>
      </c>
      <c r="O10" s="23">
        <v>9</v>
      </c>
      <c r="P10" s="23">
        <v>10</v>
      </c>
      <c r="Q10" s="23">
        <v>11</v>
      </c>
      <c r="R10" s="23">
        <v>12</v>
      </c>
      <c r="S10" s="23">
        <v>13</v>
      </c>
      <c r="T10" s="23">
        <v>14</v>
      </c>
      <c r="U10" s="207"/>
      <c r="V10" s="23">
        <v>15</v>
      </c>
      <c r="X10" s="23">
        <v>16</v>
      </c>
    </row>
    <row r="11" spans="1:24">
      <c r="J11" s="48"/>
    </row>
    <row r="12" spans="1:24">
      <c r="B12" s="2" t="s">
        <v>13</v>
      </c>
      <c r="J12" s="48"/>
    </row>
    <row r="13" spans="1:24" s="26" customFormat="1">
      <c r="A13" s="25">
        <v>1</v>
      </c>
      <c r="B13" s="26" t="s">
        <v>14</v>
      </c>
      <c r="E13" s="141">
        <v>355260</v>
      </c>
      <c r="F13" s="146"/>
      <c r="G13" s="141">
        <v>0</v>
      </c>
      <c r="H13" s="238">
        <v>0</v>
      </c>
      <c r="I13" s="141">
        <v>0</v>
      </c>
      <c r="J13" s="238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6"/>
      <c r="V13" s="141">
        <f>SUM(G13:U13)</f>
        <v>0</v>
      </c>
      <c r="X13" s="141">
        <f>+V13+E13</f>
        <v>355260</v>
      </c>
    </row>
    <row r="14" spans="1:24" s="28" customFormat="1">
      <c r="A14" s="25">
        <v>2</v>
      </c>
      <c r="B14" s="28" t="s">
        <v>15</v>
      </c>
      <c r="E14" s="142">
        <v>739</v>
      </c>
      <c r="F14" s="147"/>
      <c r="G14" s="142">
        <v>0</v>
      </c>
      <c r="H14" s="172">
        <v>0</v>
      </c>
      <c r="I14" s="142">
        <v>0</v>
      </c>
      <c r="J14" s="17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7"/>
      <c r="V14" s="142">
        <f>SUM(G14:U14)</f>
        <v>0</v>
      </c>
      <c r="X14" s="142">
        <f>+V14+E14</f>
        <v>739</v>
      </c>
    </row>
    <row r="15" spans="1:24" s="28" customFormat="1">
      <c r="A15" s="25">
        <v>3</v>
      </c>
      <c r="B15" s="28" t="s">
        <v>16</v>
      </c>
      <c r="E15" s="143">
        <v>47048</v>
      </c>
      <c r="F15" s="147"/>
      <c r="G15" s="143">
        <v>0</v>
      </c>
      <c r="H15" s="171">
        <v>0</v>
      </c>
      <c r="I15" s="143">
        <v>0</v>
      </c>
      <c r="J15" s="171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7"/>
      <c r="V15" s="143">
        <f>SUM(G15:U15)</f>
        <v>0</v>
      </c>
      <c r="X15" s="143">
        <f>+V15+E15</f>
        <v>47048</v>
      </c>
    </row>
    <row r="16" spans="1:24" s="28" customFormat="1">
      <c r="A16" s="25">
        <v>4</v>
      </c>
      <c r="C16" s="28" t="s">
        <v>17</v>
      </c>
      <c r="E16" s="142">
        <f>SUM(E13:E15)</f>
        <v>403047</v>
      </c>
      <c r="F16" s="147"/>
      <c r="G16" s="142">
        <f>SUM(G13:G15)</f>
        <v>0</v>
      </c>
      <c r="H16" s="172">
        <f t="shared" ref="H16:O16" si="0">SUM(H13:H15)</f>
        <v>0</v>
      </c>
      <c r="I16" s="142">
        <f t="shared" si="0"/>
        <v>0</v>
      </c>
      <c r="J16" s="172">
        <f t="shared" si="0"/>
        <v>0</v>
      </c>
      <c r="K16" s="142">
        <f>SUM(K13:K15)</f>
        <v>0</v>
      </c>
      <c r="L16" s="142">
        <f>SUM(L13:L15)</f>
        <v>0</v>
      </c>
      <c r="M16" s="142">
        <f>SUM(M13:M15)</f>
        <v>0</v>
      </c>
      <c r="N16" s="142">
        <f t="shared" si="0"/>
        <v>0</v>
      </c>
      <c r="O16" s="142">
        <f t="shared" si="0"/>
        <v>0</v>
      </c>
      <c r="P16" s="142">
        <f t="shared" ref="P16:X16" si="1">SUM(P13:P15)</f>
        <v>0</v>
      </c>
      <c r="Q16" s="142">
        <f t="shared" si="1"/>
        <v>0</v>
      </c>
      <c r="R16" s="142">
        <f t="shared" si="1"/>
        <v>0</v>
      </c>
      <c r="S16" s="142">
        <f t="shared" si="1"/>
        <v>0</v>
      </c>
      <c r="T16" s="142">
        <f t="shared" si="1"/>
        <v>0</v>
      </c>
      <c r="U16" s="147"/>
      <c r="V16" s="142">
        <f t="shared" si="1"/>
        <v>0</v>
      </c>
      <c r="X16" s="142">
        <f t="shared" si="1"/>
        <v>403047</v>
      </c>
    </row>
    <row r="17" spans="1:24" s="28" customFormat="1">
      <c r="A17" s="25">
        <v>5</v>
      </c>
      <c r="B17" s="28" t="s">
        <v>18</v>
      </c>
      <c r="E17" s="143">
        <v>8104</v>
      </c>
      <c r="F17" s="147"/>
      <c r="G17" s="143">
        <v>0</v>
      </c>
      <c r="H17" s="171">
        <v>0</v>
      </c>
      <c r="I17" s="143">
        <v>0</v>
      </c>
      <c r="J17" s="171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7"/>
      <c r="V17" s="143">
        <f>SUM(G17:U17)</f>
        <v>0</v>
      </c>
      <c r="X17" s="143">
        <f>+V17+E17</f>
        <v>8104</v>
      </c>
    </row>
    <row r="18" spans="1:24" s="28" customFormat="1">
      <c r="A18" s="25">
        <v>6</v>
      </c>
      <c r="C18" s="28" t="s">
        <v>19</v>
      </c>
      <c r="E18" s="142">
        <f>SUM(E16:E17)</f>
        <v>411151</v>
      </c>
      <c r="F18" s="147"/>
      <c r="G18" s="142">
        <f>SUM(G16:G17)</f>
        <v>0</v>
      </c>
      <c r="H18" s="172">
        <f t="shared" ref="H18:O18" si="2">SUM(H16:H17)</f>
        <v>0</v>
      </c>
      <c r="I18" s="142">
        <f t="shared" si="2"/>
        <v>0</v>
      </c>
      <c r="J18" s="172">
        <f t="shared" si="2"/>
        <v>0</v>
      </c>
      <c r="K18" s="142">
        <f>SUM(K16:K17)</f>
        <v>0</v>
      </c>
      <c r="L18" s="142">
        <f>SUM(L16:L17)</f>
        <v>0</v>
      </c>
      <c r="M18" s="142">
        <f>SUM(M16:M17)</f>
        <v>0</v>
      </c>
      <c r="N18" s="142">
        <f t="shared" si="2"/>
        <v>0</v>
      </c>
      <c r="O18" s="142">
        <f t="shared" si="2"/>
        <v>0</v>
      </c>
      <c r="P18" s="142">
        <f t="shared" ref="P18:X18" si="3">SUM(P16:P17)</f>
        <v>0</v>
      </c>
      <c r="Q18" s="142">
        <f t="shared" si="3"/>
        <v>0</v>
      </c>
      <c r="R18" s="142">
        <f t="shared" si="3"/>
        <v>0</v>
      </c>
      <c r="S18" s="142">
        <f t="shared" si="3"/>
        <v>0</v>
      </c>
      <c r="T18" s="142">
        <f t="shared" si="3"/>
        <v>0</v>
      </c>
      <c r="U18" s="147"/>
      <c r="V18" s="142">
        <f t="shared" si="3"/>
        <v>0</v>
      </c>
      <c r="X18" s="142">
        <f t="shared" si="3"/>
        <v>411151</v>
      </c>
    </row>
    <row r="19" spans="1:24" s="28" customFormat="1">
      <c r="A19" s="25"/>
      <c r="E19" s="142"/>
      <c r="F19" s="147"/>
      <c r="G19" s="142"/>
      <c r="H19" s="172"/>
      <c r="I19" s="142"/>
      <c r="J19" s="17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7"/>
      <c r="V19" s="142"/>
      <c r="X19" s="142"/>
    </row>
    <row r="20" spans="1:24" s="28" customFormat="1">
      <c r="A20" s="25"/>
      <c r="B20" s="28" t="s">
        <v>20</v>
      </c>
      <c r="E20" s="142"/>
      <c r="F20" s="147"/>
      <c r="G20" s="142"/>
      <c r="H20" s="172"/>
      <c r="I20" s="142"/>
      <c r="J20" s="17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7"/>
      <c r="V20" s="142"/>
      <c r="X20" s="142"/>
    </row>
    <row r="21" spans="1:24" s="28" customFormat="1">
      <c r="A21" s="25">
        <v>7</v>
      </c>
      <c r="C21" s="28" t="s">
        <v>105</v>
      </c>
      <c r="E21" s="142">
        <v>111740</v>
      </c>
      <c r="F21" s="147"/>
      <c r="G21" s="142">
        <v>0</v>
      </c>
      <c r="H21" s="172">
        <v>0</v>
      </c>
      <c r="I21" s="142">
        <v>0</v>
      </c>
      <c r="J21" s="172">
        <v>0</v>
      </c>
      <c r="K21" s="142">
        <f>+'Non-Exec Comp'!E17/1000</f>
        <v>-2.3679999999999999</v>
      </c>
      <c r="L21" s="142">
        <f>+'Exec Comp'!E17/1000</f>
        <v>-5.7350000000000003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7"/>
      <c r="V21" s="142">
        <f t="shared" ref="V21:V29" si="4">SUM(G21:U21)</f>
        <v>-8.1029999999999998</v>
      </c>
      <c r="X21" s="142">
        <f t="shared" ref="X21:X29" si="5">+V21+E21</f>
        <v>111731.897</v>
      </c>
    </row>
    <row r="22" spans="1:24" s="28" customFormat="1">
      <c r="A22" s="25">
        <v>8</v>
      </c>
      <c r="C22" s="28" t="s">
        <v>21</v>
      </c>
      <c r="E22" s="142">
        <v>89119</v>
      </c>
      <c r="F22" s="147"/>
      <c r="G22" s="142">
        <v>0</v>
      </c>
      <c r="H22" s="172">
        <v>0</v>
      </c>
      <c r="I22" s="142">
        <v>0</v>
      </c>
      <c r="J22" s="17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7"/>
      <c r="V22" s="142">
        <f t="shared" si="4"/>
        <v>0</v>
      </c>
      <c r="X22" s="142">
        <f t="shared" si="5"/>
        <v>89119</v>
      </c>
    </row>
    <row r="23" spans="1:24" s="28" customFormat="1">
      <c r="A23" s="25">
        <v>9</v>
      </c>
      <c r="C23" s="28" t="s">
        <v>106</v>
      </c>
      <c r="E23" s="142">
        <v>15716</v>
      </c>
      <c r="F23" s="147"/>
      <c r="G23" s="142">
        <v>0</v>
      </c>
      <c r="H23" s="172">
        <v>0</v>
      </c>
      <c r="I23" s="142">
        <v>0</v>
      </c>
      <c r="J23" s="172">
        <v>0</v>
      </c>
      <c r="K23" s="142">
        <f>+'Non-Exec Comp'!E19/1000</f>
        <v>-0.443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7"/>
      <c r="V23" s="142">
        <f t="shared" si="4"/>
        <v>-0.443</v>
      </c>
      <c r="X23" s="142">
        <f t="shared" si="5"/>
        <v>15715.557000000001</v>
      </c>
    </row>
    <row r="24" spans="1:24" s="28" customFormat="1">
      <c r="A24" s="25">
        <v>10</v>
      </c>
      <c r="C24" s="28" t="s">
        <v>24</v>
      </c>
      <c r="E24" s="142">
        <v>7867</v>
      </c>
      <c r="F24" s="147"/>
      <c r="G24" s="142">
        <v>0</v>
      </c>
      <c r="H24" s="172">
        <v>0</v>
      </c>
      <c r="I24" s="142">
        <v>0</v>
      </c>
      <c r="J24" s="172">
        <v>0</v>
      </c>
      <c r="K24" s="142">
        <f>+'Non-Exec Comp'!E20/1000</f>
        <v>-1.236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7"/>
      <c r="V24" s="142">
        <f t="shared" si="4"/>
        <v>-1.236</v>
      </c>
      <c r="X24" s="142">
        <f t="shared" si="5"/>
        <v>7865.7640000000001</v>
      </c>
    </row>
    <row r="25" spans="1:24" s="28" customFormat="1">
      <c r="A25" s="25">
        <v>11</v>
      </c>
      <c r="C25" s="28" t="s">
        <v>25</v>
      </c>
      <c r="E25" s="142">
        <v>820</v>
      </c>
      <c r="F25" s="147"/>
      <c r="G25" s="142">
        <v>0</v>
      </c>
      <c r="H25" s="172">
        <v>0</v>
      </c>
      <c r="I25" s="142">
        <v>0</v>
      </c>
      <c r="J25" s="172">
        <v>0</v>
      </c>
      <c r="K25" s="142">
        <f>+'Non-Exec Comp'!E21/1000</f>
        <v>-0.107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7"/>
      <c r="V25" s="142">
        <f t="shared" si="4"/>
        <v>-0.107</v>
      </c>
      <c r="X25" s="142">
        <f t="shared" si="5"/>
        <v>819.89300000000003</v>
      </c>
    </row>
    <row r="26" spans="1:24" s="28" customFormat="1">
      <c r="A26" s="25">
        <v>12</v>
      </c>
      <c r="C26" s="28" t="s">
        <v>26</v>
      </c>
      <c r="E26" s="142">
        <v>706</v>
      </c>
      <c r="F26" s="147"/>
      <c r="G26" s="142">
        <v>0</v>
      </c>
      <c r="H26" s="172">
        <v>0</v>
      </c>
      <c r="I26" s="142">
        <v>0</v>
      </c>
      <c r="J26" s="172">
        <v>0</v>
      </c>
      <c r="K26" s="142">
        <f>+'Non-Exec Comp'!E22/1000</f>
        <v>-0.161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7"/>
      <c r="V26" s="142">
        <f t="shared" si="4"/>
        <v>-0.161</v>
      </c>
      <c r="X26" s="142">
        <f t="shared" si="5"/>
        <v>705.83900000000006</v>
      </c>
    </row>
    <row r="27" spans="1:24" s="28" customFormat="1">
      <c r="A27" s="25">
        <v>13</v>
      </c>
      <c r="C27" s="28" t="s">
        <v>107</v>
      </c>
      <c r="E27" s="142">
        <v>37103</v>
      </c>
      <c r="F27" s="147"/>
      <c r="G27" s="142">
        <v>0</v>
      </c>
      <c r="H27" s="172">
        <v>0</v>
      </c>
      <c r="I27" s="142">
        <v>0</v>
      </c>
      <c r="J27" s="172">
        <v>0</v>
      </c>
      <c r="K27" s="142">
        <f>+'Non-Exec Comp'!E23/1000</f>
        <v>-3.4910000000000001</v>
      </c>
      <c r="L27" s="142">
        <f>+'Exec Comp'!E23/1000</f>
        <v>-366.28300000000002</v>
      </c>
      <c r="M27" s="142">
        <f>+Incentive!D16/1000</f>
        <v>-366.04700000000003</v>
      </c>
      <c r="N27" s="142">
        <f>+Advertising!D16/1000</f>
        <v>-27.912332381687715</v>
      </c>
      <c r="O27" s="142">
        <f>+'Sporting Events'!D16/1000</f>
        <v>-105.36461</v>
      </c>
      <c r="P27" s="142">
        <f>+Dues!D17/1000</f>
        <v>-152.33109494091764</v>
      </c>
      <c r="Q27" s="142">
        <f>+Contributions!D16/1000</f>
        <v>-14.993</v>
      </c>
      <c r="R27" s="142">
        <f>+Shareholders!D18/1000</f>
        <v>-378.50565191283334</v>
      </c>
      <c r="S27" s="142">
        <f>+'D&amp;O'!D18/1000</f>
        <v>-388.62799999999999</v>
      </c>
      <c r="T27" s="142">
        <v>0</v>
      </c>
      <c r="U27" s="147"/>
      <c r="V27" s="142">
        <f t="shared" si="4"/>
        <v>-1803.5556892354386</v>
      </c>
      <c r="X27" s="142">
        <f t="shared" si="5"/>
        <v>35299.444310764564</v>
      </c>
    </row>
    <row r="28" spans="1:24" s="28" customFormat="1">
      <c r="A28" s="25">
        <v>14</v>
      </c>
      <c r="C28" s="28" t="s">
        <v>22</v>
      </c>
      <c r="E28" s="142">
        <f>30190+15448+6971</f>
        <v>52609</v>
      </c>
      <c r="F28" s="147"/>
      <c r="G28" s="142">
        <v>0</v>
      </c>
      <c r="H28" s="172">
        <v>0</v>
      </c>
      <c r="I28" s="142">
        <f>+'King Depr'!K22/1000</f>
        <v>-3109.8921541</v>
      </c>
      <c r="J28" s="172">
        <f>+'CDA settlement'!D16/1000</f>
        <v>-510.03199999999998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7"/>
      <c r="V28" s="142">
        <f t="shared" si="4"/>
        <v>-3619.9241541000001</v>
      </c>
      <c r="X28" s="142">
        <f t="shared" si="5"/>
        <v>48989.075845899999</v>
      </c>
    </row>
    <row r="29" spans="1:24" s="28" customFormat="1">
      <c r="A29" s="25">
        <v>15</v>
      </c>
      <c r="C29" s="28" t="s">
        <v>23</v>
      </c>
      <c r="E29" s="143">
        <f>8624+17666+188</f>
        <v>26478</v>
      </c>
      <c r="F29" s="147"/>
      <c r="G29" s="143">
        <v>0</v>
      </c>
      <c r="H29" s="171">
        <v>0</v>
      </c>
      <c r="I29" s="143">
        <v>0</v>
      </c>
      <c r="J29" s="171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7"/>
      <c r="V29" s="143">
        <f t="shared" si="4"/>
        <v>0</v>
      </c>
      <c r="X29" s="143">
        <f t="shared" si="5"/>
        <v>26478</v>
      </c>
    </row>
    <row r="30" spans="1:24" s="28" customFormat="1" ht="18" customHeight="1">
      <c r="A30" s="25">
        <v>16</v>
      </c>
      <c r="B30" s="28" t="s">
        <v>27</v>
      </c>
      <c r="E30" s="143">
        <f>SUM(E21:E29)</f>
        <v>342158</v>
      </c>
      <c r="F30" s="147"/>
      <c r="G30" s="143">
        <f>SUM(G21:G29)</f>
        <v>0</v>
      </c>
      <c r="H30" s="171">
        <f t="shared" ref="H30:O30" si="6">SUM(H21:H29)</f>
        <v>0</v>
      </c>
      <c r="I30" s="143">
        <f t="shared" si="6"/>
        <v>-3109.8921541</v>
      </c>
      <c r="J30" s="171">
        <f t="shared" si="6"/>
        <v>-510.03199999999998</v>
      </c>
      <c r="K30" s="143">
        <f>SUM(K21:K29)</f>
        <v>-7.8059999999999992</v>
      </c>
      <c r="L30" s="143">
        <f>SUM(L21:L29)</f>
        <v>-372.01800000000003</v>
      </c>
      <c r="M30" s="143">
        <f>SUM(M21:M29)</f>
        <v>-366.04700000000003</v>
      </c>
      <c r="N30" s="143">
        <f t="shared" si="6"/>
        <v>-27.912332381687715</v>
      </c>
      <c r="O30" s="143">
        <f t="shared" si="6"/>
        <v>-105.36461</v>
      </c>
      <c r="P30" s="143">
        <f t="shared" ref="P30:X30" si="7">SUM(P21:P29)</f>
        <v>-152.33109494091764</v>
      </c>
      <c r="Q30" s="143">
        <f t="shared" si="7"/>
        <v>-14.993</v>
      </c>
      <c r="R30" s="143">
        <f t="shared" si="7"/>
        <v>-378.50565191283334</v>
      </c>
      <c r="S30" s="143">
        <f t="shared" si="7"/>
        <v>-388.62799999999999</v>
      </c>
      <c r="T30" s="143">
        <f t="shared" si="7"/>
        <v>0</v>
      </c>
      <c r="U30" s="147"/>
      <c r="V30" s="143">
        <f t="shared" si="7"/>
        <v>-5433.5298433354383</v>
      </c>
      <c r="X30" s="143">
        <f t="shared" si="7"/>
        <v>336724.47015666455</v>
      </c>
    </row>
    <row r="31" spans="1:24" s="28" customFormat="1">
      <c r="A31" s="25"/>
      <c r="E31" s="142"/>
      <c r="F31" s="147"/>
      <c r="G31" s="142"/>
      <c r="H31" s="172"/>
      <c r="I31" s="142"/>
      <c r="J31" s="17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7"/>
      <c r="V31" s="142"/>
      <c r="X31" s="142"/>
    </row>
    <row r="32" spans="1:24" s="28" customFormat="1">
      <c r="A32" s="25">
        <v>17</v>
      </c>
      <c r="B32" s="28" t="s">
        <v>28</v>
      </c>
      <c r="E32" s="142">
        <f>+E18-E30</f>
        <v>68993</v>
      </c>
      <c r="F32" s="147"/>
      <c r="G32" s="142">
        <f>+G18-G30</f>
        <v>0</v>
      </c>
      <c r="H32" s="172">
        <f t="shared" ref="H32:O32" si="8">+H18-H30</f>
        <v>0</v>
      </c>
      <c r="I32" s="142">
        <f t="shared" si="8"/>
        <v>3109.8921541</v>
      </c>
      <c r="J32" s="172">
        <f t="shared" si="8"/>
        <v>510.03199999999998</v>
      </c>
      <c r="K32" s="142">
        <f>+K18-K30</f>
        <v>7.8059999999999992</v>
      </c>
      <c r="L32" s="142">
        <f>+L18-L30</f>
        <v>372.01800000000003</v>
      </c>
      <c r="M32" s="142">
        <f>+M18-M30</f>
        <v>366.04700000000003</v>
      </c>
      <c r="N32" s="142">
        <f t="shared" si="8"/>
        <v>27.912332381687715</v>
      </c>
      <c r="O32" s="142">
        <f t="shared" si="8"/>
        <v>105.36461</v>
      </c>
      <c r="P32" s="142">
        <f t="shared" ref="P32:V32" si="9">+P18-P30</f>
        <v>152.33109494091764</v>
      </c>
      <c r="Q32" s="142">
        <f t="shared" si="9"/>
        <v>14.993</v>
      </c>
      <c r="R32" s="142">
        <f>+R18-R30</f>
        <v>378.50565191283334</v>
      </c>
      <c r="S32" s="142">
        <f t="shared" si="9"/>
        <v>388.62799999999999</v>
      </c>
      <c r="T32" s="142">
        <f t="shared" si="9"/>
        <v>0</v>
      </c>
      <c r="U32" s="147"/>
      <c r="V32" s="142">
        <f t="shared" si="9"/>
        <v>5433.5298433354383</v>
      </c>
      <c r="X32" s="142">
        <f>+X18-X30</f>
        <v>74426.529843335447</v>
      </c>
    </row>
    <row r="33" spans="1:24" s="28" customFormat="1">
      <c r="A33" s="25"/>
      <c r="E33" s="142"/>
      <c r="F33" s="147"/>
      <c r="G33" s="142"/>
      <c r="H33" s="172"/>
      <c r="I33" s="142"/>
      <c r="J33" s="17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7"/>
      <c r="V33" s="142"/>
      <c r="X33" s="142"/>
    </row>
    <row r="34" spans="1:24" s="28" customFormat="1">
      <c r="A34" s="25"/>
      <c r="B34" s="28" t="s">
        <v>29</v>
      </c>
      <c r="E34" s="142"/>
      <c r="F34" s="147"/>
      <c r="G34" s="142"/>
      <c r="H34" s="172"/>
      <c r="I34" s="142"/>
      <c r="J34" s="17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7"/>
      <c r="V34" s="142"/>
      <c r="X34" s="142"/>
    </row>
    <row r="35" spans="1:24" s="28" customFormat="1">
      <c r="A35" s="25">
        <v>18</v>
      </c>
      <c r="B35" s="28" t="s">
        <v>30</v>
      </c>
      <c r="E35" s="142">
        <v>5102.9172800000015</v>
      </c>
      <c r="F35" s="147"/>
      <c r="G35" s="142">
        <v>0</v>
      </c>
      <c r="H35" s="172">
        <f>+'Income Tax'!D18</f>
        <v>-478.5428018702159</v>
      </c>
      <c r="I35" s="142">
        <f>+'King Depr'!K26/1000</f>
        <v>1057.3633323940001</v>
      </c>
      <c r="J35" s="172">
        <f>+'CDA settlement'!D20/1000</f>
        <v>173.41087999999999</v>
      </c>
      <c r="K35" s="142">
        <f>+'Non-Exec Comp'!D47/1000</f>
        <v>2.6540400000000002</v>
      </c>
      <c r="L35" s="142">
        <f>+'Exec Comp'!D47/1000</f>
        <v>126.48612000000001</v>
      </c>
      <c r="M35" s="142">
        <f>+Incentive!D20/1000</f>
        <v>124.45598000000001</v>
      </c>
      <c r="N35" s="142">
        <f>+Advertising!D20/1000</f>
        <v>9.4901930097738241</v>
      </c>
      <c r="O35" s="142">
        <f>+'Sporting Events'!D20/1000</f>
        <v>35.823967400000001</v>
      </c>
      <c r="P35" s="142">
        <f>+Dues!D21/1000</f>
        <v>51.792572279912001</v>
      </c>
      <c r="Q35" s="142">
        <f>+Contributions!D20/1000</f>
        <v>5.0976200000000009</v>
      </c>
      <c r="R35" s="142">
        <f>+Shareholders!D22/1000</f>
        <v>128.69192165036333</v>
      </c>
      <c r="S35" s="142">
        <f>+'D&amp;O'!D22/1000</f>
        <v>132.13352000000003</v>
      </c>
      <c r="T35" s="142">
        <f>+'Int. Sync'!E26</f>
        <v>-126.78944970694374</v>
      </c>
      <c r="U35" s="147"/>
      <c r="V35" s="142">
        <f>SUM(G35:U35)</f>
        <v>1242.0678951568898</v>
      </c>
      <c r="X35" s="142">
        <f>+V35+E35</f>
        <v>6344.9851751568913</v>
      </c>
    </row>
    <row r="36" spans="1:24" s="28" customFormat="1">
      <c r="A36" s="25">
        <v>19</v>
      </c>
      <c r="B36" s="28" t="s">
        <v>31</v>
      </c>
      <c r="E36" s="143">
        <v>6497</v>
      </c>
      <c r="F36" s="147"/>
      <c r="G36" s="143">
        <v>0</v>
      </c>
      <c r="H36" s="171">
        <v>0</v>
      </c>
      <c r="I36" s="143">
        <v>0</v>
      </c>
      <c r="J36" s="171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7"/>
      <c r="V36" s="143">
        <f>SUM(G36:U36)</f>
        <v>0</v>
      </c>
      <c r="X36" s="143">
        <f>+V36+E36</f>
        <v>6497</v>
      </c>
    </row>
    <row r="37" spans="1:24">
      <c r="G37" s="4"/>
      <c r="H37" s="248"/>
      <c r="I37" s="4"/>
      <c r="J37" s="248"/>
      <c r="K37" s="4"/>
      <c r="L37" s="4"/>
      <c r="M37" s="4"/>
      <c r="N37" s="4"/>
      <c r="O37" s="4"/>
      <c r="P37" s="4"/>
      <c r="Q37" s="4"/>
      <c r="R37" s="4"/>
      <c r="S37" s="4"/>
      <c r="T37" s="4"/>
      <c r="U37" s="208"/>
      <c r="V37" s="4"/>
      <c r="X37" s="4"/>
    </row>
    <row r="38" spans="1:24" s="26" customFormat="1" ht="13.5" thickBot="1">
      <c r="A38" s="25">
        <v>20</v>
      </c>
      <c r="B38" s="26" t="s">
        <v>32</v>
      </c>
      <c r="E38" s="144">
        <f>+E32-E35-E36</f>
        <v>57393.082719999999</v>
      </c>
      <c r="F38" s="146"/>
      <c r="G38" s="144">
        <f>+G32-G35-G36</f>
        <v>0</v>
      </c>
      <c r="H38" s="240">
        <f t="shared" ref="H38:O38" si="10">+H32-H35-H36</f>
        <v>478.5428018702159</v>
      </c>
      <c r="I38" s="144">
        <f t="shared" si="10"/>
        <v>2052.5288217059997</v>
      </c>
      <c r="J38" s="240">
        <f t="shared" si="10"/>
        <v>336.62112000000002</v>
      </c>
      <c r="K38" s="144">
        <f>+K32-K35-K36</f>
        <v>5.151959999999999</v>
      </c>
      <c r="L38" s="144">
        <f>+L32-L35-L36</f>
        <v>245.53188</v>
      </c>
      <c r="M38" s="144">
        <f>+M32-M35-M36</f>
        <v>241.59102000000001</v>
      </c>
      <c r="N38" s="144">
        <f t="shared" si="10"/>
        <v>18.422139371913893</v>
      </c>
      <c r="O38" s="144">
        <f t="shared" si="10"/>
        <v>69.540642599999998</v>
      </c>
      <c r="P38" s="144">
        <f t="shared" ref="P38:V38" si="11">+P32-P35-P36</f>
        <v>100.53852266100563</v>
      </c>
      <c r="Q38" s="144">
        <f t="shared" si="11"/>
        <v>9.8953799999999994</v>
      </c>
      <c r="R38" s="144">
        <f>+R32-R35-R36</f>
        <v>249.81373026247002</v>
      </c>
      <c r="S38" s="144">
        <f t="shared" si="11"/>
        <v>256.49447999999995</v>
      </c>
      <c r="T38" s="144">
        <f t="shared" si="11"/>
        <v>126.78944970694374</v>
      </c>
      <c r="U38" s="146"/>
      <c r="V38" s="144">
        <f t="shared" si="11"/>
        <v>4191.4619481785485</v>
      </c>
      <c r="X38" s="144">
        <f>+X32-X35-X36</f>
        <v>61584.544668178554</v>
      </c>
    </row>
    <row r="39" spans="1:24" ht="13.5" thickTop="1">
      <c r="G39" s="4"/>
      <c r="H39" s="248"/>
      <c r="I39" s="4"/>
      <c r="J39" s="248"/>
      <c r="K39" s="4"/>
      <c r="L39" s="4"/>
      <c r="M39" s="4"/>
      <c r="N39" s="4"/>
      <c r="O39" s="4"/>
      <c r="P39" s="4"/>
      <c r="Q39" s="4"/>
      <c r="R39" s="4"/>
      <c r="S39" s="4"/>
      <c r="T39" s="4"/>
      <c r="U39" s="208"/>
      <c r="V39" s="4"/>
      <c r="X39" s="4"/>
    </row>
    <row r="40" spans="1:24">
      <c r="B40" s="2" t="s">
        <v>33</v>
      </c>
      <c r="G40" s="4"/>
      <c r="H40" s="248"/>
      <c r="I40" s="4"/>
      <c r="J40" s="248"/>
      <c r="K40" s="4"/>
      <c r="L40" s="4"/>
      <c r="M40" s="4"/>
      <c r="N40" s="4"/>
      <c r="O40" s="4"/>
      <c r="P40" s="4"/>
      <c r="Q40" s="4"/>
      <c r="R40" s="4"/>
      <c r="S40" s="4"/>
      <c r="T40" s="4"/>
      <c r="U40" s="208"/>
      <c r="V40" s="4"/>
      <c r="X40" s="4"/>
    </row>
    <row r="41" spans="1:24" s="28" customFormat="1">
      <c r="A41" s="25">
        <v>21</v>
      </c>
      <c r="B41" s="2" t="s">
        <v>155</v>
      </c>
      <c r="E41" s="141">
        <v>1746221</v>
      </c>
      <c r="F41" s="146"/>
      <c r="G41" s="141">
        <v>0</v>
      </c>
      <c r="H41" s="238">
        <v>0</v>
      </c>
      <c r="I41" s="141">
        <v>0</v>
      </c>
      <c r="J41" s="238">
        <f>-'CDA settlement'!D30/1000</f>
        <v>-23206.478999999999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6"/>
      <c r="V41" s="141">
        <f>SUM(G41:U41)</f>
        <v>-23206.478999999999</v>
      </c>
      <c r="X41" s="141">
        <f>+V41+E41</f>
        <v>1723014.5209999999</v>
      </c>
    </row>
    <row r="42" spans="1:24" s="28" customFormat="1">
      <c r="A42" s="25">
        <v>22</v>
      </c>
      <c r="B42" s="28" t="s">
        <v>34</v>
      </c>
      <c r="E42" s="142">
        <v>631710</v>
      </c>
      <c r="F42" s="147"/>
      <c r="G42" s="142">
        <v>0</v>
      </c>
      <c r="H42" s="172">
        <v>0</v>
      </c>
      <c r="I42" s="142">
        <f>+'King Depr'!K39/1000</f>
        <v>-1554.94607705</v>
      </c>
      <c r="J42" s="172"/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7"/>
      <c r="V42" s="142">
        <f>SUM(G42:U42)</f>
        <v>-1554.94607705</v>
      </c>
      <c r="X42" s="142">
        <f>+V42+E42</f>
        <v>630155.05392295006</v>
      </c>
    </row>
    <row r="43" spans="1:24" s="28" customFormat="1">
      <c r="A43" s="25">
        <v>23</v>
      </c>
      <c r="B43" s="28" t="s">
        <v>156</v>
      </c>
      <c r="E43" s="142">
        <v>-323</v>
      </c>
      <c r="F43" s="147"/>
      <c r="G43" s="142">
        <v>0</v>
      </c>
      <c r="H43" s="172">
        <v>0</v>
      </c>
      <c r="I43" s="142">
        <v>0</v>
      </c>
      <c r="J43" s="17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7"/>
      <c r="V43" s="142">
        <f>SUM(G43:U43)</f>
        <v>0</v>
      </c>
      <c r="X43" s="142">
        <f>+V43+E43</f>
        <v>-323</v>
      </c>
    </row>
    <row r="44" spans="1:24" s="28" customFormat="1">
      <c r="A44" s="25">
        <v>24</v>
      </c>
      <c r="B44" s="28" t="s">
        <v>157</v>
      </c>
      <c r="E44" s="143">
        <v>-163244</v>
      </c>
      <c r="F44" s="147"/>
      <c r="G44" s="143">
        <v>0</v>
      </c>
      <c r="H44" s="171">
        <v>0</v>
      </c>
      <c r="I44" s="143">
        <v>0</v>
      </c>
      <c r="J44" s="171">
        <f>-'CDA settlement'!D31/1000</f>
        <v>8122.268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7"/>
      <c r="V44" s="143">
        <f>SUM(G44:U44)</f>
        <v>8122.268</v>
      </c>
      <c r="X44" s="143">
        <f>+V44+E44</f>
        <v>-155121.73199999999</v>
      </c>
    </row>
    <row r="45" spans="1:24" s="28" customFormat="1">
      <c r="A45" s="25"/>
      <c r="F45" s="34"/>
      <c r="H45" s="249"/>
      <c r="J45" s="249"/>
      <c r="U45" s="34"/>
    </row>
    <row r="46" spans="1:24" s="26" customFormat="1" ht="13.5" thickBot="1">
      <c r="A46" s="35">
        <v>25</v>
      </c>
      <c r="B46" s="26" t="s">
        <v>35</v>
      </c>
      <c r="E46" s="144">
        <f t="shared" ref="E46:O46" si="12">+E41-E42+E43+E44</f>
        <v>950944</v>
      </c>
      <c r="F46" s="146"/>
      <c r="G46" s="144">
        <f t="shared" si="12"/>
        <v>0</v>
      </c>
      <c r="H46" s="240">
        <f t="shared" si="12"/>
        <v>0</v>
      </c>
      <c r="I46" s="144">
        <f t="shared" si="12"/>
        <v>1554.94607705</v>
      </c>
      <c r="J46" s="240">
        <f>+J41-J42+J43+J44</f>
        <v>-15084.210999999999</v>
      </c>
      <c r="K46" s="144">
        <f>+K41-K42+K43+K44</f>
        <v>0</v>
      </c>
      <c r="L46" s="144">
        <f>+L41-L42+L43+L44</f>
        <v>0</v>
      </c>
      <c r="M46" s="144">
        <f>+M41-M42+M43+M44</f>
        <v>0</v>
      </c>
      <c r="N46" s="144">
        <f t="shared" si="12"/>
        <v>0</v>
      </c>
      <c r="O46" s="144">
        <f t="shared" si="12"/>
        <v>0</v>
      </c>
      <c r="P46" s="144">
        <f>+P41-P42+P43+P44</f>
        <v>0</v>
      </c>
      <c r="Q46" s="144">
        <f>+Q41-Q42+Q43+Q44</f>
        <v>0</v>
      </c>
      <c r="R46" s="144">
        <f>+R41-R42+R43+R44</f>
        <v>0</v>
      </c>
      <c r="S46" s="144">
        <f>+S41-S42+S43+S44</f>
        <v>0</v>
      </c>
      <c r="T46" s="144">
        <f>+T41-T42+T43+T44</f>
        <v>0</v>
      </c>
      <c r="U46" s="146"/>
      <c r="V46" s="144">
        <f>+V41-V42+V43+V44</f>
        <v>-13529.264922949998</v>
      </c>
      <c r="X46" s="144">
        <f>+X41-X42+X43+X44</f>
        <v>937414.73507704993</v>
      </c>
    </row>
    <row r="47" spans="1:24" ht="13.5" thickTop="1">
      <c r="G47" s="4"/>
      <c r="H47" s="248"/>
      <c r="I47" s="4"/>
      <c r="J47" s="248"/>
      <c r="K47" s="4"/>
      <c r="L47" s="4"/>
      <c r="M47" s="4"/>
      <c r="N47" s="4"/>
      <c r="O47" s="4"/>
      <c r="P47" s="4"/>
      <c r="Q47" s="4"/>
      <c r="R47" s="4"/>
      <c r="S47" s="4"/>
      <c r="T47" s="4"/>
      <c r="U47" s="208"/>
      <c r="V47" s="4"/>
      <c r="X47" s="4"/>
    </row>
    <row r="48" spans="1:24">
      <c r="A48" s="91">
        <v>26</v>
      </c>
      <c r="B48" s="92" t="s">
        <v>111</v>
      </c>
      <c r="E48" s="93">
        <v>8.43E-2</v>
      </c>
      <c r="F48" s="198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198"/>
      <c r="V48" s="93"/>
      <c r="X48" s="93"/>
    </row>
    <row r="49" spans="1:24">
      <c r="A49" s="91">
        <v>27</v>
      </c>
      <c r="B49" s="92" t="s">
        <v>109</v>
      </c>
      <c r="E49" s="94">
        <f>+ROR!$H$14</f>
        <v>8.2184699999999999E-2</v>
      </c>
      <c r="F49" s="199"/>
      <c r="G49" s="94">
        <f>+ROR!$H$14</f>
        <v>8.2184699999999999E-2</v>
      </c>
      <c r="H49" s="94">
        <f>+ROR!$H$14</f>
        <v>8.2184699999999999E-2</v>
      </c>
      <c r="I49" s="94">
        <f>+ROR!$H$14</f>
        <v>8.2184699999999999E-2</v>
      </c>
      <c r="J49" s="94">
        <f>+ROR!$H$14</f>
        <v>8.2184699999999999E-2</v>
      </c>
      <c r="K49" s="94">
        <f>+ROR!$H$14</f>
        <v>8.2184699999999999E-2</v>
      </c>
      <c r="L49" s="94">
        <f>+ROR!$H$14</f>
        <v>8.2184699999999999E-2</v>
      </c>
      <c r="M49" s="94">
        <f>+ROR!$H$14</f>
        <v>8.2184699999999999E-2</v>
      </c>
      <c r="N49" s="94">
        <f>+ROR!$H$14</f>
        <v>8.2184699999999999E-2</v>
      </c>
      <c r="O49" s="94">
        <f>+ROR!$H$14</f>
        <v>8.2184699999999999E-2</v>
      </c>
      <c r="P49" s="94">
        <f>+ROR!$H$14</f>
        <v>8.2184699999999999E-2</v>
      </c>
      <c r="Q49" s="94">
        <f>+ROR!$H$14</f>
        <v>8.2184699999999999E-2</v>
      </c>
      <c r="R49" s="94">
        <f>+ROR!$H$14</f>
        <v>8.2184699999999999E-2</v>
      </c>
      <c r="S49" s="94">
        <f>+ROR!$H$14</f>
        <v>8.2184699999999999E-2</v>
      </c>
      <c r="T49" s="94">
        <f>+ROR!$H$14</f>
        <v>8.2184699999999999E-2</v>
      </c>
      <c r="U49" s="199"/>
      <c r="V49" s="94"/>
      <c r="X49" s="199"/>
    </row>
    <row r="50" spans="1:24">
      <c r="A50" s="91">
        <v>28</v>
      </c>
      <c r="B50" s="92" t="s">
        <v>108</v>
      </c>
      <c r="E50" s="95">
        <f>E46*(E49-E48)</f>
        <v>-2011.5318432000006</v>
      </c>
      <c r="F50" s="209"/>
      <c r="G50" s="95">
        <f>+G46*G49</f>
        <v>0</v>
      </c>
      <c r="H50" s="95">
        <f t="shared" ref="H50:T50" si="13">+H46*H49</f>
        <v>0</v>
      </c>
      <c r="I50" s="95">
        <f t="shared" si="13"/>
        <v>127.79277685853113</v>
      </c>
      <c r="J50" s="95">
        <f t="shared" si="13"/>
        <v>-1239.6913557717</v>
      </c>
      <c r="K50" s="95">
        <f t="shared" si="13"/>
        <v>0</v>
      </c>
      <c r="L50" s="95">
        <f t="shared" si="13"/>
        <v>0</v>
      </c>
      <c r="M50" s="95">
        <f t="shared" si="13"/>
        <v>0</v>
      </c>
      <c r="N50" s="95">
        <f t="shared" si="13"/>
        <v>0</v>
      </c>
      <c r="O50" s="95">
        <f t="shared" si="13"/>
        <v>0</v>
      </c>
      <c r="P50" s="95">
        <f t="shared" si="13"/>
        <v>0</v>
      </c>
      <c r="Q50" s="95">
        <f t="shared" si="13"/>
        <v>0</v>
      </c>
      <c r="R50" s="95">
        <f t="shared" si="13"/>
        <v>0</v>
      </c>
      <c r="S50" s="95">
        <f t="shared" si="13"/>
        <v>0</v>
      </c>
      <c r="T50" s="95">
        <f t="shared" si="13"/>
        <v>0</v>
      </c>
      <c r="U50" s="209"/>
      <c r="V50" s="95" t="s">
        <v>265</v>
      </c>
      <c r="X50" s="209"/>
    </row>
    <row r="51" spans="1:24" ht="18.75" customHeight="1">
      <c r="A51" s="91">
        <v>29</v>
      </c>
      <c r="B51" s="92" t="s">
        <v>36</v>
      </c>
      <c r="E51" s="145">
        <f>+'Conv Factor'!$G$29</f>
        <v>1.583608862800024</v>
      </c>
      <c r="F51" s="201"/>
      <c r="G51" s="145">
        <f>+'Conv Factor'!$G$29</f>
        <v>1.583608862800024</v>
      </c>
      <c r="H51" s="145">
        <f>+'Conv Factor'!$G$29</f>
        <v>1.583608862800024</v>
      </c>
      <c r="I51" s="145">
        <f>+'Conv Factor'!$G$29</f>
        <v>1.583608862800024</v>
      </c>
      <c r="J51" s="145">
        <f>+'Conv Factor'!$G$29</f>
        <v>1.583608862800024</v>
      </c>
      <c r="K51" s="145">
        <f>+'Conv Factor'!$G$29</f>
        <v>1.583608862800024</v>
      </c>
      <c r="L51" s="145">
        <f>+'Conv Factor'!$G$29</f>
        <v>1.583608862800024</v>
      </c>
      <c r="M51" s="145">
        <f>+'Conv Factor'!$G$29</f>
        <v>1.583608862800024</v>
      </c>
      <c r="N51" s="145">
        <f>+'Conv Factor'!$G$29</f>
        <v>1.583608862800024</v>
      </c>
      <c r="O51" s="145">
        <f>+'Conv Factor'!$G$29</f>
        <v>1.583608862800024</v>
      </c>
      <c r="P51" s="145">
        <f>+'Conv Factor'!$G$29</f>
        <v>1.583608862800024</v>
      </c>
      <c r="Q51" s="145">
        <f>+'Conv Factor'!$G$29</f>
        <v>1.583608862800024</v>
      </c>
      <c r="R51" s="145">
        <f>+'Conv Factor'!$G$29</f>
        <v>1.583608862800024</v>
      </c>
      <c r="S51" s="145">
        <f>+'Conv Factor'!$G$29</f>
        <v>1.583608862800024</v>
      </c>
      <c r="T51" s="145">
        <f>+'Conv Factor'!$G$29</f>
        <v>1.583608862800024</v>
      </c>
      <c r="U51" s="201"/>
      <c r="V51" s="145"/>
      <c r="X51" s="201"/>
    </row>
    <row r="52" spans="1:24">
      <c r="A52" s="91">
        <v>30</v>
      </c>
      <c r="B52" s="92" t="s">
        <v>110</v>
      </c>
      <c r="E52" s="95">
        <f>+E50*E51</f>
        <v>-3185.4796546959892</v>
      </c>
      <c r="F52" s="209"/>
      <c r="G52" s="250">
        <f>+(-G38+G50)*G51</f>
        <v>0</v>
      </c>
      <c r="H52" s="250">
        <f>+(-H38+H50)*H51</f>
        <v>-757.82462227082976</v>
      </c>
      <c r="I52" s="250">
        <f>+(-I38+I50)*I51</f>
        <v>-3048.0290591711155</v>
      </c>
      <c r="J52" s="250">
        <f t="shared" ref="J52:T52" si="14">+(-J38+J50)*J51</f>
        <v>-2496.2624071743121</v>
      </c>
      <c r="K52" s="250">
        <f t="shared" si="14"/>
        <v>-8.1586895167912097</v>
      </c>
      <c r="L52" s="250">
        <f t="shared" si="14"/>
        <v>-388.82646126795197</v>
      </c>
      <c r="M52" s="250">
        <f t="shared" si="14"/>
        <v>-382.58568044489789</v>
      </c>
      <c r="N52" s="250">
        <f t="shared" si="14"/>
        <v>-29.173463181100107</v>
      </c>
      <c r="O52" s="250">
        <f t="shared" si="14"/>
        <v>-110.1251779461689</v>
      </c>
      <c r="P52" s="250">
        <f t="shared" si="14"/>
        <v>-159.21369553878958</v>
      </c>
      <c r="Q52" s="250">
        <f t="shared" si="14"/>
        <v>-15.6704114687741</v>
      </c>
      <c r="R52" s="250">
        <f t="shared" si="14"/>
        <v>-395.60723729278209</v>
      </c>
      <c r="S52" s="250">
        <f t="shared" si="14"/>
        <v>-406.18693178728341</v>
      </c>
      <c r="T52" s="250">
        <f t="shared" si="14"/>
        <v>-200.78489626545402</v>
      </c>
      <c r="U52" s="209"/>
      <c r="V52" s="95" t="s">
        <v>265</v>
      </c>
      <c r="X52" s="209"/>
    </row>
    <row r="53" spans="1:24">
      <c r="J53" s="264" t="s">
        <v>292</v>
      </c>
      <c r="V53" s="213"/>
    </row>
    <row r="54" spans="1:24">
      <c r="V54" s="213"/>
    </row>
  </sheetData>
  <phoneticPr fontId="0" type="noConversion"/>
  <pageMargins left="0.75" right="0.51" top="0.75" bottom="0.5" header="0.5" footer="0.5"/>
  <pageSetup scale="74" firstPageNumber="3" fitToWidth="0" orientation="landscape" useFirstPageNumber="1" horizontalDpi="300" verticalDpi="300" r:id="rId1"/>
  <headerFooter alignWithMargins="0">
    <oddHeader>&amp;RDocket Nos. UE-080416 &amp;&amp; UG-080417
Exhibit No.___(MJM-4&amp;S&amp;KFF0000C&amp;S&amp;K000000)
 &amp;KFF0000REVISED 1/29/09 &amp;K000000Corrected
Schedule 2(E)
Page &amp;P of 22</oddHeader>
    <oddFooter xml:space="preserve">&amp;R          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58"/>
  <sheetViews>
    <sheetView showGridLines="0" view="pageLayout" topLeftCell="J1" zoomScaleNormal="100" workbookViewId="0">
      <selection activeCell="S1" sqref="S1"/>
    </sheetView>
  </sheetViews>
  <sheetFormatPr defaultColWidth="10.7109375" defaultRowHeight="12.75"/>
  <cols>
    <col min="1" max="1" width="5.7109375" style="74" customWidth="1"/>
    <col min="2" max="4" width="1.7109375" style="52" customWidth="1"/>
    <col min="5" max="5" width="36.140625" style="52" customWidth="1"/>
    <col min="6" max="6" width="12.28515625" style="55" bestFit="1" customWidth="1"/>
    <col min="7" max="7" width="2.140625" style="196" customWidth="1"/>
    <col min="8" max="8" width="11.7109375" style="52" customWidth="1"/>
    <col min="9" max="9" width="10.7109375" style="232" customWidth="1"/>
    <col min="10" max="10" width="12.5703125" style="30" bestFit="1" customWidth="1"/>
    <col min="11" max="11" width="9.5703125" style="52" bestFit="1" customWidth="1"/>
    <col min="12" max="12" width="9.85546875" style="52" bestFit="1" customWidth="1"/>
    <col min="13" max="13" width="10.7109375" style="52" customWidth="1"/>
    <col min="14" max="14" width="11.140625" style="52" bestFit="1" customWidth="1"/>
    <col min="15" max="15" width="10.7109375" style="52" customWidth="1"/>
    <col min="16" max="16" width="12.140625" style="52" bestFit="1" customWidth="1"/>
    <col min="17" max="17" width="13.140625" style="52" bestFit="1" customWidth="1"/>
    <col min="18" max="18" width="13.7109375" style="52" bestFit="1" customWidth="1"/>
    <col min="19" max="20" width="10.7109375" style="52" customWidth="1"/>
    <col min="21" max="21" width="1.85546875" style="80" customWidth="1"/>
    <col min="22" max="22" width="11.85546875" style="52" customWidth="1"/>
    <col min="23" max="23" width="2" style="52" customWidth="1"/>
    <col min="24" max="24" width="12" style="52" bestFit="1" customWidth="1"/>
    <col min="25" max="16384" width="10.7109375" style="52"/>
  </cols>
  <sheetData>
    <row r="1" spans="1:24">
      <c r="A1" s="54" t="s">
        <v>68</v>
      </c>
    </row>
    <row r="2" spans="1:24">
      <c r="A2" s="54" t="s">
        <v>38</v>
      </c>
    </row>
    <row r="3" spans="1:24">
      <c r="A3" s="54" t="s">
        <v>39</v>
      </c>
    </row>
    <row r="4" spans="1:24">
      <c r="A4" s="54" t="s">
        <v>112</v>
      </c>
    </row>
    <row r="5" spans="1:24">
      <c r="A5" s="54" t="s">
        <v>40</v>
      </c>
    </row>
    <row r="6" spans="1:24" s="57" customFormat="1">
      <c r="A6" s="56"/>
      <c r="F6" s="58"/>
      <c r="G6" s="195"/>
      <c r="H6" s="53"/>
      <c r="I6" s="233"/>
      <c r="U6" s="66"/>
    </row>
    <row r="7" spans="1:24" s="57" customFormat="1" ht="12" customHeight="1">
      <c r="A7" s="59"/>
      <c r="B7" s="60"/>
      <c r="C7" s="61"/>
      <c r="D7" s="61"/>
      <c r="E7" s="62"/>
      <c r="F7" s="63" t="s">
        <v>67</v>
      </c>
      <c r="G7" s="202"/>
      <c r="H7" s="99" t="s">
        <v>117</v>
      </c>
      <c r="I7" s="234"/>
      <c r="J7" s="96"/>
      <c r="K7" s="100"/>
      <c r="L7" s="100"/>
      <c r="M7" s="100"/>
      <c r="N7" s="100"/>
      <c r="O7" s="100"/>
      <c r="P7" s="96" t="s">
        <v>168</v>
      </c>
      <c r="Q7" s="100"/>
      <c r="R7" s="100"/>
      <c r="S7" s="100"/>
      <c r="T7" s="100"/>
      <c r="U7" s="101"/>
      <c r="V7" s="100" t="s">
        <v>41</v>
      </c>
      <c r="X7" s="100" t="s">
        <v>258</v>
      </c>
    </row>
    <row r="8" spans="1:24" s="57" customFormat="1">
      <c r="A8" s="64" t="s">
        <v>4</v>
      </c>
      <c r="B8" s="65"/>
      <c r="C8" s="66"/>
      <c r="D8" s="66"/>
      <c r="E8" s="67"/>
      <c r="F8" s="68" t="s">
        <v>6</v>
      </c>
      <c r="G8" s="195"/>
      <c r="H8" s="203" t="s">
        <v>116</v>
      </c>
      <c r="I8" s="235" t="s">
        <v>251</v>
      </c>
      <c r="J8" s="97" t="s">
        <v>154</v>
      </c>
      <c r="K8" s="97" t="s">
        <v>200</v>
      </c>
      <c r="L8" s="101" t="s">
        <v>223</v>
      </c>
      <c r="M8" s="101"/>
      <c r="N8" s="101"/>
      <c r="O8" s="97" t="s">
        <v>178</v>
      </c>
      <c r="P8" s="97" t="s">
        <v>169</v>
      </c>
      <c r="Q8" s="97" t="s">
        <v>174</v>
      </c>
      <c r="R8" s="101" t="s">
        <v>198</v>
      </c>
      <c r="S8" s="97" t="s">
        <v>187</v>
      </c>
      <c r="T8" s="101" t="s">
        <v>253</v>
      </c>
      <c r="U8" s="101"/>
      <c r="V8" s="101" t="s">
        <v>120</v>
      </c>
      <c r="X8" s="101" t="s">
        <v>256</v>
      </c>
    </row>
    <row r="9" spans="1:24" s="57" customFormat="1">
      <c r="A9" s="69" t="s">
        <v>7</v>
      </c>
      <c r="B9" s="70"/>
      <c r="C9" s="71"/>
      <c r="D9" s="71"/>
      <c r="E9" s="72" t="s">
        <v>8</v>
      </c>
      <c r="F9" s="73" t="s">
        <v>41</v>
      </c>
      <c r="G9" s="195"/>
      <c r="H9" s="204" t="s">
        <v>118</v>
      </c>
      <c r="I9" s="236" t="s">
        <v>252</v>
      </c>
      <c r="J9" s="98" t="s">
        <v>5</v>
      </c>
      <c r="K9" s="98" t="s">
        <v>224</v>
      </c>
      <c r="L9" s="102" t="s">
        <v>224</v>
      </c>
      <c r="M9" s="102" t="s">
        <v>192</v>
      </c>
      <c r="N9" s="102" t="s">
        <v>182</v>
      </c>
      <c r="O9" s="98" t="s">
        <v>179</v>
      </c>
      <c r="P9" s="98" t="s">
        <v>170</v>
      </c>
      <c r="Q9" s="98" t="s">
        <v>175</v>
      </c>
      <c r="R9" s="102" t="s">
        <v>197</v>
      </c>
      <c r="S9" s="98" t="s">
        <v>188</v>
      </c>
      <c r="T9" s="102" t="s">
        <v>254</v>
      </c>
      <c r="U9" s="101"/>
      <c r="V9" s="102" t="s">
        <v>255</v>
      </c>
      <c r="X9" s="102" t="s">
        <v>257</v>
      </c>
    </row>
    <row r="10" spans="1:24" s="75" customFormat="1">
      <c r="A10" s="74"/>
      <c r="F10" s="76"/>
      <c r="G10" s="197"/>
      <c r="H10" s="75">
        <v>1</v>
      </c>
      <c r="I10" s="237">
        <v>2</v>
      </c>
      <c r="J10" s="75">
        <v>3</v>
      </c>
      <c r="K10" s="75">
        <v>4</v>
      </c>
      <c r="L10" s="75">
        <v>5</v>
      </c>
      <c r="M10" s="75">
        <v>6</v>
      </c>
      <c r="N10" s="75">
        <v>7</v>
      </c>
      <c r="O10" s="75">
        <v>8</v>
      </c>
      <c r="P10" s="75">
        <v>9</v>
      </c>
      <c r="Q10" s="75">
        <v>10</v>
      </c>
      <c r="R10" s="75">
        <v>11</v>
      </c>
      <c r="S10" s="75">
        <v>12</v>
      </c>
      <c r="T10" s="75">
        <v>13</v>
      </c>
      <c r="U10" s="205"/>
      <c r="V10" s="75">
        <v>14</v>
      </c>
      <c r="X10" s="75">
        <v>15</v>
      </c>
    </row>
    <row r="12" spans="1:24">
      <c r="B12" s="52" t="s">
        <v>42</v>
      </c>
    </row>
    <row r="13" spans="1:24" s="77" customFormat="1">
      <c r="A13" s="74">
        <v>1</v>
      </c>
      <c r="C13" s="77" t="s">
        <v>43</v>
      </c>
      <c r="F13" s="141">
        <v>196323</v>
      </c>
      <c r="G13" s="146"/>
      <c r="H13" s="141">
        <v>0</v>
      </c>
      <c r="I13" s="238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6"/>
      <c r="V13" s="141">
        <f>SUM(H13:T13)</f>
        <v>0</v>
      </c>
      <c r="X13" s="141">
        <f>+V13+F13</f>
        <v>196323</v>
      </c>
    </row>
    <row r="14" spans="1:24">
      <c r="A14" s="74">
        <v>2</v>
      </c>
      <c r="C14" s="78" t="s">
        <v>44</v>
      </c>
      <c r="D14" s="78"/>
      <c r="E14" s="78"/>
      <c r="F14" s="142">
        <v>1623</v>
      </c>
      <c r="G14" s="147"/>
      <c r="H14" s="142">
        <v>0</v>
      </c>
      <c r="I14" s="17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7"/>
      <c r="V14" s="142">
        <f>SUM(H14:T14)</f>
        <v>0</v>
      </c>
      <c r="X14" s="142">
        <f>+V14+F14</f>
        <v>1623</v>
      </c>
    </row>
    <row r="15" spans="1:24">
      <c r="A15" s="74">
        <v>3</v>
      </c>
      <c r="C15" s="78" t="s">
        <v>45</v>
      </c>
      <c r="D15" s="78"/>
      <c r="E15" s="78"/>
      <c r="F15" s="143">
        <v>1796</v>
      </c>
      <c r="G15" s="147"/>
      <c r="H15" s="143">
        <v>0</v>
      </c>
      <c r="I15" s="171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7"/>
      <c r="V15" s="143">
        <f>SUM(H15:T15)</f>
        <v>0</v>
      </c>
      <c r="X15" s="143">
        <f>+V15+F15</f>
        <v>1796</v>
      </c>
    </row>
    <row r="16" spans="1:24">
      <c r="A16" s="74">
        <v>4</v>
      </c>
      <c r="B16" s="52" t="s">
        <v>46</v>
      </c>
      <c r="C16" s="78"/>
      <c r="D16" s="78"/>
      <c r="E16" s="78"/>
      <c r="F16" s="142">
        <f>SUM(F13:F15)</f>
        <v>199742</v>
      </c>
      <c r="G16" s="147"/>
      <c r="H16" s="142">
        <f>SUM(H13:H15)</f>
        <v>0</v>
      </c>
      <c r="I16" s="172">
        <f t="shared" ref="I16:P16" si="0">SUM(I13:I15)</f>
        <v>0</v>
      </c>
      <c r="J16" s="142">
        <f t="shared" si="0"/>
        <v>0</v>
      </c>
      <c r="K16" s="142">
        <f>SUM(K13:K15)</f>
        <v>0</v>
      </c>
      <c r="L16" s="142">
        <f>SUM(L13:L15)</f>
        <v>0</v>
      </c>
      <c r="M16" s="142">
        <f>SUM(M13:M15)</f>
        <v>0</v>
      </c>
      <c r="N16" s="142">
        <f t="shared" si="0"/>
        <v>0</v>
      </c>
      <c r="O16" s="142">
        <f t="shared" si="0"/>
        <v>0</v>
      </c>
      <c r="P16" s="142">
        <f t="shared" si="0"/>
        <v>0</v>
      </c>
      <c r="Q16" s="142">
        <f>SUM(Q13:Q15)</f>
        <v>0</v>
      </c>
      <c r="R16" s="142">
        <f>SUM(R13:R15)</f>
        <v>0</v>
      </c>
      <c r="S16" s="142">
        <f>SUM(S13:S15)</f>
        <v>0</v>
      </c>
      <c r="T16" s="142">
        <f>SUM(T13:T15)</f>
        <v>0</v>
      </c>
      <c r="U16" s="147"/>
      <c r="V16" s="142">
        <f>SUM(V13:V15)</f>
        <v>0</v>
      </c>
      <c r="X16" s="142">
        <f>SUM(X13:X15)</f>
        <v>199742</v>
      </c>
    </row>
    <row r="17" spans="1:24">
      <c r="C17" s="78"/>
      <c r="D17" s="78"/>
      <c r="E17" s="78"/>
      <c r="F17" s="142"/>
      <c r="G17" s="147"/>
      <c r="H17" s="142"/>
      <c r="I17" s="17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7"/>
      <c r="V17" s="142"/>
      <c r="X17" s="142"/>
    </row>
    <row r="18" spans="1:24">
      <c r="B18" s="52" t="s">
        <v>47</v>
      </c>
      <c r="C18" s="78"/>
      <c r="D18" s="78"/>
      <c r="E18" s="78"/>
      <c r="F18" s="142"/>
      <c r="G18" s="147"/>
      <c r="H18" s="142"/>
      <c r="I18" s="17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7"/>
      <c r="V18" s="142"/>
      <c r="X18" s="142"/>
    </row>
    <row r="19" spans="1:24">
      <c r="A19" s="74">
        <v>5</v>
      </c>
      <c r="C19" s="78" t="s">
        <v>48</v>
      </c>
      <c r="D19" s="78"/>
      <c r="E19" s="78"/>
      <c r="F19" s="142">
        <v>0</v>
      </c>
      <c r="G19" s="147"/>
      <c r="H19" s="142">
        <v>0</v>
      </c>
      <c r="I19" s="17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7"/>
      <c r="V19" s="142">
        <f>SUM(H19:T19)</f>
        <v>0</v>
      </c>
      <c r="X19" s="142">
        <f>+V19+F19</f>
        <v>0</v>
      </c>
    </row>
    <row r="20" spans="1:24" ht="16.5" customHeight="1">
      <c r="C20" s="78" t="s">
        <v>49</v>
      </c>
      <c r="D20" s="78"/>
      <c r="E20" s="78"/>
      <c r="F20" s="142"/>
      <c r="G20" s="147"/>
      <c r="H20" s="142"/>
      <c r="I20" s="17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7"/>
      <c r="V20" s="142"/>
      <c r="X20" s="142"/>
    </row>
    <row r="21" spans="1:24">
      <c r="A21" s="74">
        <v>6</v>
      </c>
      <c r="C21" s="78"/>
      <c r="D21" s="78" t="s">
        <v>50</v>
      </c>
      <c r="E21" s="78"/>
      <c r="F21" s="142">
        <v>145771</v>
      </c>
      <c r="G21" s="147"/>
      <c r="H21" s="142">
        <v>0</v>
      </c>
      <c r="I21" s="17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7"/>
      <c r="V21" s="142">
        <f>SUM(H21:T21)</f>
        <v>0</v>
      </c>
      <c r="X21" s="142">
        <f>+V21+F21</f>
        <v>145771</v>
      </c>
    </row>
    <row r="22" spans="1:24">
      <c r="A22" s="74">
        <v>7</v>
      </c>
      <c r="C22" s="78"/>
      <c r="D22" s="78" t="s">
        <v>51</v>
      </c>
      <c r="E22" s="78"/>
      <c r="F22" s="142">
        <v>828</v>
      </c>
      <c r="G22" s="147"/>
      <c r="H22" s="142">
        <v>0</v>
      </c>
      <c r="I22" s="17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7"/>
      <c r="V22" s="142">
        <f>SUM(H22:T22)</f>
        <v>0</v>
      </c>
      <c r="X22" s="142">
        <f>+V22+F22</f>
        <v>828</v>
      </c>
    </row>
    <row r="23" spans="1:24">
      <c r="A23" s="74">
        <v>8</v>
      </c>
      <c r="C23" s="78"/>
      <c r="D23" s="78" t="s">
        <v>52</v>
      </c>
      <c r="E23" s="78"/>
      <c r="F23" s="143">
        <v>0</v>
      </c>
      <c r="G23" s="147"/>
      <c r="H23" s="143">
        <v>0</v>
      </c>
      <c r="I23" s="171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7"/>
      <c r="V23" s="143">
        <f>SUM(H23:T23)</f>
        <v>0</v>
      </c>
      <c r="X23" s="143">
        <f>+V23+F23</f>
        <v>0</v>
      </c>
    </row>
    <row r="24" spans="1:24">
      <c r="A24" s="74">
        <v>9</v>
      </c>
      <c r="C24" s="78"/>
      <c r="D24" s="78"/>
      <c r="E24" s="78" t="s">
        <v>53</v>
      </c>
      <c r="F24" s="142">
        <f>SUM(F21:F23)</f>
        <v>146599</v>
      </c>
      <c r="G24" s="147"/>
      <c r="H24" s="142">
        <f>SUM(H21:H23)</f>
        <v>0</v>
      </c>
      <c r="I24" s="172">
        <f t="shared" ref="I24:P24" si="1">SUM(I21:I23)</f>
        <v>0</v>
      </c>
      <c r="J24" s="142">
        <f t="shared" si="1"/>
        <v>0</v>
      </c>
      <c r="K24" s="142">
        <f>+'Non-Exec Comp'!E32/1000</f>
        <v>-0.16300000000000001</v>
      </c>
      <c r="L24" s="142">
        <f>+'Exec Comp'!E32/1000</f>
        <v>-1.8009999999999999</v>
      </c>
      <c r="M24" s="142">
        <f>SUM(M21:M23)</f>
        <v>0</v>
      </c>
      <c r="N24" s="142">
        <f t="shared" si="1"/>
        <v>0</v>
      </c>
      <c r="O24" s="142">
        <f t="shared" si="1"/>
        <v>0</v>
      </c>
      <c r="P24" s="142">
        <f t="shared" si="1"/>
        <v>0</v>
      </c>
      <c r="Q24" s="142">
        <f>SUM(Q21:Q23)</f>
        <v>0</v>
      </c>
      <c r="R24" s="142">
        <f>SUM(R21:R23)</f>
        <v>0</v>
      </c>
      <c r="S24" s="142">
        <f>SUM(S21:S23)</f>
        <v>0</v>
      </c>
      <c r="T24" s="142">
        <f>SUM(T21:T23)</f>
        <v>0</v>
      </c>
      <c r="U24" s="147"/>
      <c r="V24" s="142">
        <f>SUM(V21:V23)</f>
        <v>0</v>
      </c>
      <c r="X24" s="142">
        <f>SUM(X21:X23)</f>
        <v>146599</v>
      </c>
    </row>
    <row r="25" spans="1:24" ht="15.75" customHeight="1">
      <c r="A25" s="74">
        <v>10</v>
      </c>
      <c r="B25" s="78"/>
      <c r="C25" s="78" t="s">
        <v>113</v>
      </c>
      <c r="E25" s="78"/>
      <c r="F25" s="142">
        <v>452</v>
      </c>
      <c r="G25" s="147"/>
      <c r="H25" s="142">
        <v>0</v>
      </c>
      <c r="I25" s="172">
        <v>0</v>
      </c>
      <c r="J25" s="142">
        <v>0</v>
      </c>
      <c r="K25" s="142">
        <f>+'Non-Exec Comp'!E33/1000</f>
        <v>-6.0000000000000001E-3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7"/>
      <c r="V25" s="142">
        <f t="shared" ref="V25:V32" si="2">SUM(H25:T25)</f>
        <v>-6.0000000000000001E-3</v>
      </c>
      <c r="X25" s="142">
        <f t="shared" ref="X25:X32" si="3">+V25+F25</f>
        <v>451.99400000000003</v>
      </c>
    </row>
    <row r="26" spans="1:24">
      <c r="A26" s="74">
        <v>11</v>
      </c>
      <c r="B26" s="78"/>
      <c r="C26" s="78" t="s">
        <v>114</v>
      </c>
      <c r="E26" s="78"/>
      <c r="F26" s="142">
        <v>6747</v>
      </c>
      <c r="G26" s="147"/>
      <c r="H26" s="142">
        <v>0</v>
      </c>
      <c r="I26" s="172">
        <v>0</v>
      </c>
      <c r="J26" s="142">
        <v>0</v>
      </c>
      <c r="K26" s="142">
        <f>+'Non-Exec Comp'!E34/1000</f>
        <v>-0.11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7"/>
      <c r="V26" s="142">
        <f t="shared" si="2"/>
        <v>-0.11</v>
      </c>
      <c r="X26" s="142">
        <f t="shared" si="3"/>
        <v>6746.89</v>
      </c>
    </row>
    <row r="27" spans="1:24" ht="12.95" customHeight="1">
      <c r="A27" s="74">
        <v>12</v>
      </c>
      <c r="C27" s="52" t="s">
        <v>54</v>
      </c>
      <c r="D27" s="78"/>
      <c r="E27" s="78"/>
      <c r="F27" s="142">
        <v>4613</v>
      </c>
      <c r="G27" s="147"/>
      <c r="H27" s="142">
        <v>0</v>
      </c>
      <c r="I27" s="172">
        <v>0</v>
      </c>
      <c r="J27" s="142">
        <v>0</v>
      </c>
      <c r="K27" s="142">
        <f>+'Non-Exec Comp'!E35/1000</f>
        <v>-0.71599999999999997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7"/>
      <c r="V27" s="142">
        <f t="shared" si="2"/>
        <v>-0.71599999999999997</v>
      </c>
      <c r="X27" s="142">
        <f t="shared" si="3"/>
        <v>4612.2839999999997</v>
      </c>
    </row>
    <row r="28" spans="1:24">
      <c r="A28" s="74">
        <v>13</v>
      </c>
      <c r="C28" s="52" t="s">
        <v>55</v>
      </c>
      <c r="D28" s="78"/>
      <c r="E28" s="78"/>
      <c r="F28" s="142">
        <v>833</v>
      </c>
      <c r="G28" s="147"/>
      <c r="H28" s="142">
        <v>0</v>
      </c>
      <c r="I28" s="172">
        <v>0</v>
      </c>
      <c r="J28" s="142">
        <v>0</v>
      </c>
      <c r="K28" s="142">
        <f>+'Non-Exec Comp'!E36/1000</f>
        <v>-6.7000000000000004E-2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7"/>
      <c r="V28" s="142">
        <f t="shared" si="2"/>
        <v>-6.7000000000000004E-2</v>
      </c>
      <c r="X28" s="142">
        <f t="shared" si="3"/>
        <v>832.93299999999999</v>
      </c>
    </row>
    <row r="29" spans="1:24">
      <c r="A29" s="74">
        <v>14</v>
      </c>
      <c r="C29" s="52" t="s">
        <v>56</v>
      </c>
      <c r="D29" s="78"/>
      <c r="E29" s="78"/>
      <c r="F29" s="142">
        <v>531</v>
      </c>
      <c r="G29" s="147"/>
      <c r="H29" s="142">
        <v>0</v>
      </c>
      <c r="I29" s="172">
        <v>0</v>
      </c>
      <c r="J29" s="142">
        <v>0</v>
      </c>
      <c r="K29" s="142">
        <f>+'Non-Exec Comp'!E37/1000</f>
        <v>-9.8000000000000004E-2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7"/>
      <c r="V29" s="142">
        <f t="shared" si="2"/>
        <v>-9.8000000000000004E-2</v>
      </c>
      <c r="X29" s="142">
        <f t="shared" si="3"/>
        <v>530.90200000000004</v>
      </c>
    </row>
    <row r="30" spans="1:24">
      <c r="A30" s="74">
        <v>15</v>
      </c>
      <c r="B30" s="78"/>
      <c r="C30" s="78" t="s">
        <v>115</v>
      </c>
      <c r="D30" s="78"/>
      <c r="E30" s="78"/>
      <c r="F30" s="142">
        <v>9177</v>
      </c>
      <c r="G30" s="147"/>
      <c r="H30" s="142">
        <v>0</v>
      </c>
      <c r="I30" s="172">
        <v>0</v>
      </c>
      <c r="J30" s="142">
        <v>0</v>
      </c>
      <c r="K30" s="142">
        <f>+'Non-Exec Comp'!E38/1000</f>
        <v>-0.874</v>
      </c>
      <c r="L30" s="142">
        <f>+'Exec Comp'!E38/1000</f>
        <v>-95.468000000000004</v>
      </c>
      <c r="M30" s="142">
        <f>+Incentive!F16/1000</f>
        <v>-95.406999999999996</v>
      </c>
      <c r="N30" s="142">
        <f>+Advertising!F16/1000</f>
        <v>-30.079920366127723</v>
      </c>
      <c r="O30" s="142">
        <f>+'Sporting Events'!F16/1000</f>
        <v>-65.199799999999996</v>
      </c>
      <c r="P30" s="142">
        <f>+Dues!F17/1000</f>
        <v>-37.530251986957822</v>
      </c>
      <c r="Q30" s="142">
        <f>+Contributions!F16/1000</f>
        <v>-7.9269999999999996</v>
      </c>
      <c r="R30" s="142">
        <f>+Shareholders!F18/1000</f>
        <v>-98.653879956500973</v>
      </c>
      <c r="S30" s="142">
        <f>+'D&amp;O'!F18/1000</f>
        <v>-101.292</v>
      </c>
      <c r="T30" s="142">
        <v>0</v>
      </c>
      <c r="U30" s="147"/>
      <c r="V30" s="142">
        <f t="shared" si="2"/>
        <v>-532.43185230958647</v>
      </c>
      <c r="X30" s="142">
        <f t="shared" si="3"/>
        <v>8644.5681476904138</v>
      </c>
    </row>
    <row r="31" spans="1:24">
      <c r="A31" s="74">
        <v>16</v>
      </c>
      <c r="B31" s="78"/>
      <c r="C31" s="78" t="s">
        <v>5</v>
      </c>
      <c r="F31" s="142">
        <f>342+5136+1939</f>
        <v>7417</v>
      </c>
      <c r="G31" s="147"/>
      <c r="H31" s="142">
        <v>0</v>
      </c>
      <c r="I31" s="172">
        <v>0</v>
      </c>
      <c r="J31" s="142">
        <f>+'King Depr'!M22/1000</f>
        <v>-1217.56401364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7"/>
      <c r="V31" s="142">
        <f t="shared" si="2"/>
        <v>-1217.56401364</v>
      </c>
      <c r="X31" s="142">
        <f t="shared" si="3"/>
        <v>6199.4359863600002</v>
      </c>
    </row>
    <row r="32" spans="1:24">
      <c r="A32" s="74">
        <v>17</v>
      </c>
      <c r="B32" s="78"/>
      <c r="C32" s="78" t="s">
        <v>9</v>
      </c>
      <c r="F32" s="143">
        <f>227+9453+72</f>
        <v>9752</v>
      </c>
      <c r="G32" s="147"/>
      <c r="H32" s="143">
        <v>0</v>
      </c>
      <c r="I32" s="171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7"/>
      <c r="V32" s="143">
        <f t="shared" si="2"/>
        <v>0</v>
      </c>
      <c r="X32" s="143">
        <f t="shared" si="3"/>
        <v>9752</v>
      </c>
    </row>
    <row r="33" spans="1:24" ht="15.75" customHeight="1">
      <c r="A33" s="74">
        <v>18</v>
      </c>
      <c r="B33" s="52" t="s">
        <v>57</v>
      </c>
      <c r="D33" s="78"/>
      <c r="E33" s="78"/>
      <c r="F33" s="143">
        <f>SUM(F24:F32)+F19</f>
        <v>186121</v>
      </c>
      <c r="G33" s="147"/>
      <c r="H33" s="143">
        <f>SUM(H24:H32)+H19</f>
        <v>0</v>
      </c>
      <c r="I33" s="171">
        <f t="shared" ref="I33:P33" si="4">SUM(I24:I32)+I19</f>
        <v>0</v>
      </c>
      <c r="J33" s="143">
        <f t="shared" si="4"/>
        <v>-1217.56401364</v>
      </c>
      <c r="K33" s="143">
        <f>SUM(K24:K32)+K19</f>
        <v>-2.0340000000000003</v>
      </c>
      <c r="L33" s="143">
        <f>SUM(L24:L32)+L19</f>
        <v>-97.269000000000005</v>
      </c>
      <c r="M33" s="143">
        <f>SUM(M24:M32)+M19</f>
        <v>-95.406999999999996</v>
      </c>
      <c r="N33" s="143">
        <f t="shared" si="4"/>
        <v>-30.079920366127723</v>
      </c>
      <c r="O33" s="143">
        <f t="shared" si="4"/>
        <v>-65.199799999999996</v>
      </c>
      <c r="P33" s="143">
        <f t="shared" si="4"/>
        <v>-37.530251986957822</v>
      </c>
      <c r="Q33" s="143">
        <f>SUM(Q24:Q32)+Q19</f>
        <v>-7.9269999999999996</v>
      </c>
      <c r="R33" s="143">
        <f>SUM(R24:R32)+R19</f>
        <v>-98.653879956500973</v>
      </c>
      <c r="S33" s="143">
        <f>SUM(S24:S32)+S19</f>
        <v>-101.292</v>
      </c>
      <c r="T33" s="143">
        <f>SUM(T24:T32)+T19</f>
        <v>0</v>
      </c>
      <c r="U33" s="147"/>
      <c r="V33" s="143">
        <f>SUM(V24:V32)+V19</f>
        <v>-1750.9928659495863</v>
      </c>
      <c r="X33" s="143">
        <f>SUM(X24:X32)+X19</f>
        <v>184370.00713405042</v>
      </c>
    </row>
    <row r="34" spans="1:24">
      <c r="C34" s="78"/>
      <c r="D34" s="78"/>
      <c r="E34" s="78"/>
      <c r="F34" s="142"/>
      <c r="G34" s="147"/>
      <c r="H34" s="142"/>
      <c r="I34" s="17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7"/>
      <c r="V34" s="142"/>
      <c r="X34" s="142"/>
    </row>
    <row r="35" spans="1:24" ht="12.95" customHeight="1">
      <c r="A35" s="74">
        <v>19</v>
      </c>
      <c r="B35" s="52" t="s">
        <v>58</v>
      </c>
      <c r="C35" s="78"/>
      <c r="D35" s="78"/>
      <c r="E35" s="78"/>
      <c r="F35" s="142">
        <f>+F16-F33</f>
        <v>13621</v>
      </c>
      <c r="G35" s="147"/>
      <c r="H35" s="142">
        <f>+H16-H33</f>
        <v>0</v>
      </c>
      <c r="I35" s="172">
        <f t="shared" ref="I35:P35" si="5">+I16-I33</f>
        <v>0</v>
      </c>
      <c r="J35" s="142">
        <f t="shared" si="5"/>
        <v>1217.56401364</v>
      </c>
      <c r="K35" s="142">
        <f>+K16-K33</f>
        <v>2.0340000000000003</v>
      </c>
      <c r="L35" s="142">
        <f>+L16-L33</f>
        <v>97.269000000000005</v>
      </c>
      <c r="M35" s="142">
        <f>+M16-M33</f>
        <v>95.406999999999996</v>
      </c>
      <c r="N35" s="142">
        <f t="shared" si="5"/>
        <v>30.079920366127723</v>
      </c>
      <c r="O35" s="142">
        <f t="shared" si="5"/>
        <v>65.199799999999996</v>
      </c>
      <c r="P35" s="142">
        <f t="shared" si="5"/>
        <v>37.530251986957822</v>
      </c>
      <c r="Q35" s="142">
        <f>+Q16-Q33</f>
        <v>7.9269999999999996</v>
      </c>
      <c r="R35" s="142">
        <f>+R16-R33</f>
        <v>98.653879956500973</v>
      </c>
      <c r="S35" s="142">
        <f>+S16-S33</f>
        <v>101.292</v>
      </c>
      <c r="T35" s="142">
        <f>+T16-T33</f>
        <v>0</v>
      </c>
      <c r="U35" s="147"/>
      <c r="V35" s="142">
        <f>+V16-V33</f>
        <v>1750.9928659495863</v>
      </c>
      <c r="X35" s="142">
        <f>+X16-X33</f>
        <v>15371.992865949578</v>
      </c>
    </row>
    <row r="36" spans="1:24" ht="12.95" customHeight="1">
      <c r="B36" s="52" t="s">
        <v>59</v>
      </c>
      <c r="C36" s="78"/>
      <c r="D36" s="78"/>
      <c r="E36" s="78"/>
      <c r="F36" s="142"/>
      <c r="G36" s="147"/>
      <c r="H36" s="142"/>
      <c r="I36" s="17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7"/>
      <c r="V36" s="142"/>
      <c r="X36" s="142"/>
    </row>
    <row r="37" spans="1:24">
      <c r="A37" s="74">
        <v>20</v>
      </c>
      <c r="C37" s="78" t="s">
        <v>60</v>
      </c>
      <c r="D37" s="78"/>
      <c r="E37" s="78"/>
      <c r="F37" s="142">
        <v>4611.485745</v>
      </c>
      <c r="G37" s="147"/>
      <c r="H37" s="142">
        <v>0</v>
      </c>
      <c r="I37" s="172">
        <f>+'Income Tax'!F18</f>
        <v>-432.4571981297841</v>
      </c>
      <c r="J37" s="142">
        <f>+'King Depr'!M26/1000</f>
        <v>413.97176463760007</v>
      </c>
      <c r="K37" s="187">
        <f>(+'Non-Exec Comp'!E47)/1000</f>
        <v>0.69156000000000006</v>
      </c>
      <c r="L37" s="187">
        <f>(+'Exec Comp'!E47)/1000</f>
        <v>33.071460000000002</v>
      </c>
      <c r="M37" s="187">
        <f>(+Incentive!F20)/1000</f>
        <v>32.438380000000002</v>
      </c>
      <c r="N37" s="142">
        <f>(+Advertising!F20)/1000</f>
        <v>10.227172924483428</v>
      </c>
      <c r="O37" s="142">
        <f>(+'Sporting Events'!F20)/1000</f>
        <v>22.167932000000004</v>
      </c>
      <c r="P37" s="142">
        <f>(+Dues!F21)/1000</f>
        <v>12.760285675565662</v>
      </c>
      <c r="Q37" s="142">
        <f>(+Contributions!F20)/1000</f>
        <v>2.6951800000000001</v>
      </c>
      <c r="R37" s="142">
        <f>(+Shareholders!F22)/1000</f>
        <v>33.542319185210332</v>
      </c>
      <c r="S37" s="142">
        <f>(+'D&amp;O'!F22)/1000</f>
        <v>34.439279999999997</v>
      </c>
      <c r="T37" s="142">
        <f>+'Int. Sync'!I26</f>
        <v>-84.495595170218223</v>
      </c>
      <c r="U37" s="147"/>
      <c r="V37" s="142">
        <f>SUM(H37:T37)</f>
        <v>79.052541122857178</v>
      </c>
      <c r="X37" s="142">
        <f>+V37+F37</f>
        <v>4690.5382861228572</v>
      </c>
    </row>
    <row r="38" spans="1:24">
      <c r="A38" s="74">
        <v>21</v>
      </c>
      <c r="C38" s="78" t="s">
        <v>61</v>
      </c>
      <c r="D38" s="78"/>
      <c r="E38" s="78"/>
      <c r="F38" s="142">
        <v>-1442</v>
      </c>
      <c r="G38" s="147"/>
      <c r="H38" s="142">
        <v>0</v>
      </c>
      <c r="I38" s="17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7"/>
      <c r="V38" s="142">
        <f>SUM(H38:T38)</f>
        <v>0</v>
      </c>
      <c r="X38" s="142">
        <f>+V38+F38</f>
        <v>-1442</v>
      </c>
    </row>
    <row r="39" spans="1:24">
      <c r="A39" s="74">
        <v>22</v>
      </c>
      <c r="C39" s="78" t="s">
        <v>62</v>
      </c>
      <c r="D39" s="78"/>
      <c r="E39" s="78"/>
      <c r="F39" s="143">
        <v>-31</v>
      </c>
      <c r="G39" s="147"/>
      <c r="H39" s="143">
        <v>0</v>
      </c>
      <c r="I39" s="171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7"/>
      <c r="V39" s="143">
        <f>SUM(H39:T39)</f>
        <v>0</v>
      </c>
      <c r="X39" s="143">
        <f>+V39+F39</f>
        <v>-31</v>
      </c>
    </row>
    <row r="40" spans="1:24">
      <c r="H40" s="55"/>
      <c r="I40" s="239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96"/>
      <c r="V40" s="55"/>
      <c r="X40" s="55"/>
    </row>
    <row r="41" spans="1:24" s="77" customFormat="1" ht="13.5" thickBot="1">
      <c r="A41" s="74">
        <v>23</v>
      </c>
      <c r="B41" s="77" t="s">
        <v>63</v>
      </c>
      <c r="F41" s="144">
        <f>+F35-F37-F38-F39</f>
        <v>10482.514255</v>
      </c>
      <c r="G41" s="146"/>
      <c r="H41" s="144">
        <f>+H35-H37-H38-H39</f>
        <v>0</v>
      </c>
      <c r="I41" s="240">
        <f t="shared" ref="I41:P41" si="6">+I35-I37-I38-I39</f>
        <v>432.4571981297841</v>
      </c>
      <c r="J41" s="144">
        <f t="shared" si="6"/>
        <v>803.59224900239997</v>
      </c>
      <c r="K41" s="144">
        <f>+K35-K37-K38-K39</f>
        <v>1.3424400000000003</v>
      </c>
      <c r="L41" s="144">
        <f>+L35-L37-L38-L39</f>
        <v>64.197540000000004</v>
      </c>
      <c r="M41" s="144">
        <f>+M35-M37-M38-M39</f>
        <v>62.968619999999994</v>
      </c>
      <c r="N41" s="144">
        <f t="shared" si="6"/>
        <v>19.852747441644297</v>
      </c>
      <c r="O41" s="144">
        <f t="shared" si="6"/>
        <v>43.031867999999989</v>
      </c>
      <c r="P41" s="144">
        <f t="shared" si="6"/>
        <v>24.76996631139216</v>
      </c>
      <c r="Q41" s="144">
        <f>+Q35-Q37-Q38-Q39</f>
        <v>5.231819999999999</v>
      </c>
      <c r="R41" s="144">
        <f>+R35-R37-R38-R39</f>
        <v>65.111560771290641</v>
      </c>
      <c r="S41" s="144">
        <f>+S35-S37-S38-S39</f>
        <v>66.852720000000005</v>
      </c>
      <c r="T41" s="144">
        <f>+T35-T37-T38-T39</f>
        <v>84.495595170218223</v>
      </c>
      <c r="U41" s="146"/>
      <c r="V41" s="144">
        <f>+V35-V37-V38-V39</f>
        <v>1671.940324826729</v>
      </c>
      <c r="X41" s="144">
        <f>+X35-X37-X38-X39</f>
        <v>12154.454579826721</v>
      </c>
    </row>
    <row r="42" spans="1:24" ht="6.95" customHeight="1" thickTop="1">
      <c r="H42" s="55"/>
      <c r="I42" s="239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196"/>
      <c r="V42" s="55"/>
      <c r="X42" s="55"/>
    </row>
    <row r="43" spans="1:24" ht="6.95" customHeight="1">
      <c r="H43" s="55"/>
      <c r="I43" s="239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96"/>
      <c r="V43" s="55"/>
      <c r="X43" s="55"/>
    </row>
    <row r="44" spans="1:24">
      <c r="B44" s="52" t="s">
        <v>158</v>
      </c>
      <c r="H44" s="55"/>
      <c r="I44" s="239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96"/>
      <c r="V44" s="55"/>
      <c r="X44" s="55"/>
    </row>
    <row r="45" spans="1:24" ht="18" customHeight="1">
      <c r="A45" s="74">
        <v>24</v>
      </c>
      <c r="B45" s="78" t="s">
        <v>64</v>
      </c>
      <c r="C45" s="78"/>
      <c r="D45" s="78"/>
      <c r="F45" s="146">
        <v>287912</v>
      </c>
      <c r="G45" s="146"/>
      <c r="H45" s="146">
        <v>0</v>
      </c>
      <c r="I45" s="241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  <c r="S45" s="146">
        <v>0</v>
      </c>
      <c r="T45" s="146">
        <v>0</v>
      </c>
      <c r="U45" s="146"/>
      <c r="V45" s="146">
        <f>SUM(H45:T45)</f>
        <v>0</v>
      </c>
      <c r="X45" s="146">
        <f>+V45+F45</f>
        <v>287912</v>
      </c>
    </row>
    <row r="46" spans="1:24">
      <c r="A46" s="74">
        <v>25</v>
      </c>
      <c r="B46" s="78" t="s">
        <v>65</v>
      </c>
      <c r="C46" s="78"/>
      <c r="D46" s="78"/>
      <c r="F46" s="147">
        <v>101556</v>
      </c>
      <c r="G46" s="147"/>
      <c r="H46" s="147">
        <v>0</v>
      </c>
      <c r="I46" s="242">
        <v>0</v>
      </c>
      <c r="J46" s="147">
        <f>+'King Depr'!M37/1000</f>
        <v>-608.78200681999999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47"/>
      <c r="V46" s="147">
        <f>SUM(H46:T46)</f>
        <v>-608.78200681999999</v>
      </c>
      <c r="X46" s="147">
        <f>+V46+F46</f>
        <v>100947.21799318001</v>
      </c>
    </row>
    <row r="47" spans="1:24" s="80" customFormat="1" ht="12.75" customHeight="1">
      <c r="A47" s="74">
        <v>26</v>
      </c>
      <c r="B47" s="79" t="s">
        <v>61</v>
      </c>
      <c r="C47" s="79"/>
      <c r="D47" s="79"/>
      <c r="E47" s="79"/>
      <c r="F47" s="147">
        <v>-29164</v>
      </c>
      <c r="G47" s="147"/>
      <c r="H47" s="147">
        <v>0</v>
      </c>
      <c r="I47" s="242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7">
        <v>0</v>
      </c>
      <c r="U47" s="147"/>
      <c r="V47" s="147">
        <f>SUM(H47:T47)</f>
        <v>0</v>
      </c>
      <c r="X47" s="147">
        <f>+V47+F47</f>
        <v>-29164</v>
      </c>
    </row>
    <row r="48" spans="1:24">
      <c r="A48" s="74">
        <v>27</v>
      </c>
      <c r="B48" s="78" t="s">
        <v>159</v>
      </c>
      <c r="C48" s="78"/>
      <c r="D48" s="78"/>
      <c r="E48" s="78"/>
      <c r="F48" s="147">
        <v>15874</v>
      </c>
      <c r="G48" s="147"/>
      <c r="H48" s="147">
        <v>0</v>
      </c>
      <c r="I48" s="242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7">
        <v>0</v>
      </c>
      <c r="U48" s="147"/>
      <c r="V48" s="147">
        <f>SUM(H48:T48)</f>
        <v>0</v>
      </c>
      <c r="X48" s="147">
        <f>+V48+F48</f>
        <v>15874</v>
      </c>
    </row>
    <row r="49" spans="1:24">
      <c r="A49" s="74">
        <v>28</v>
      </c>
      <c r="B49" s="78" t="s">
        <v>156</v>
      </c>
      <c r="C49" s="78"/>
      <c r="D49" s="78"/>
      <c r="E49" s="78"/>
      <c r="F49" s="143">
        <v>-109</v>
      </c>
      <c r="G49" s="147"/>
      <c r="H49" s="143">
        <v>0</v>
      </c>
      <c r="I49" s="171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7"/>
      <c r="V49" s="143">
        <f>SUM(H49:T49)</f>
        <v>0</v>
      </c>
      <c r="X49" s="143">
        <f>+V49+F49</f>
        <v>-109</v>
      </c>
    </row>
    <row r="50" spans="1:24">
      <c r="H50" s="55"/>
      <c r="I50" s="239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196"/>
      <c r="V50" s="55"/>
      <c r="X50" s="55"/>
    </row>
    <row r="51" spans="1:24" s="77" customFormat="1" ht="13.5" thickBot="1">
      <c r="A51" s="74">
        <v>29</v>
      </c>
      <c r="B51" s="77" t="s">
        <v>66</v>
      </c>
      <c r="F51" s="144">
        <f>+F45-F46+F47+F48+F49</f>
        <v>172957</v>
      </c>
      <c r="G51" s="146"/>
      <c r="H51" s="144">
        <f>+H45-H46+H47+H48+H49</f>
        <v>0</v>
      </c>
      <c r="I51" s="240">
        <f t="shared" ref="I51:P51" si="7">+I45-I46+I47+I48+I49</f>
        <v>0</v>
      </c>
      <c r="J51" s="144">
        <f t="shared" si="7"/>
        <v>608.78200681999999</v>
      </c>
      <c r="K51" s="144">
        <f>+K45-K46+K47+K48+K49</f>
        <v>0</v>
      </c>
      <c r="L51" s="144">
        <f>+L45-L46+L47+L48+L49</f>
        <v>0</v>
      </c>
      <c r="M51" s="144">
        <f>+M45-M46+M47+M48+M49</f>
        <v>0</v>
      </c>
      <c r="N51" s="144">
        <f t="shared" si="7"/>
        <v>0</v>
      </c>
      <c r="O51" s="144">
        <f t="shared" si="7"/>
        <v>0</v>
      </c>
      <c r="P51" s="144">
        <f t="shared" si="7"/>
        <v>0</v>
      </c>
      <c r="Q51" s="144">
        <f>+Q45-Q46+Q47+Q48+Q49</f>
        <v>0</v>
      </c>
      <c r="R51" s="144">
        <f>+R45-R46+R47+R48+R49</f>
        <v>0</v>
      </c>
      <c r="S51" s="144">
        <f>+S45-S46+S47+S48+S49</f>
        <v>0</v>
      </c>
      <c r="T51" s="144">
        <f>+T45-T46+T47+T48+T49</f>
        <v>0</v>
      </c>
      <c r="U51" s="146"/>
      <c r="V51" s="144">
        <f>+V45-V46+V47+V48+V49</f>
        <v>608.78200681999999</v>
      </c>
      <c r="X51" s="144">
        <f>+X45-X46+X47+X48+X49</f>
        <v>173565.78200681999</v>
      </c>
    </row>
    <row r="52" spans="1:24" ht="13.5" thickTop="1">
      <c r="H52" s="55"/>
      <c r="I52" s="239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196"/>
      <c r="V52" s="55"/>
    </row>
    <row r="53" spans="1:24" s="2" customFormat="1">
      <c r="A53" s="91">
        <v>30</v>
      </c>
      <c r="B53" s="92" t="s">
        <v>111</v>
      </c>
      <c r="F53" s="93">
        <v>8.43E-2</v>
      </c>
      <c r="G53" s="198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198"/>
      <c r="V53" s="93"/>
    </row>
    <row r="54" spans="1:24" s="2" customFormat="1">
      <c r="A54" s="91">
        <v>31</v>
      </c>
      <c r="B54" s="92" t="s">
        <v>109</v>
      </c>
      <c r="F54" s="94">
        <f>+ROR!$H$14</f>
        <v>8.2184699999999999E-2</v>
      </c>
      <c r="G54" s="199"/>
      <c r="H54" s="94">
        <f>+ROR!$H$14</f>
        <v>8.2184699999999999E-2</v>
      </c>
      <c r="I54" s="94">
        <f>+ROR!$H$14</f>
        <v>8.2184699999999999E-2</v>
      </c>
      <c r="J54" s="94">
        <f>+ROR!$H$14</f>
        <v>8.2184699999999999E-2</v>
      </c>
      <c r="K54" s="94">
        <f>+ROR!$H$14</f>
        <v>8.2184699999999999E-2</v>
      </c>
      <c r="L54" s="94">
        <f>+ROR!$H$14</f>
        <v>8.2184699999999999E-2</v>
      </c>
      <c r="M54" s="94">
        <f>+ROR!$H$14</f>
        <v>8.2184699999999999E-2</v>
      </c>
      <c r="N54" s="94">
        <f>+ROR!$H$14</f>
        <v>8.2184699999999999E-2</v>
      </c>
      <c r="O54" s="94">
        <f>+ROR!$H$14</f>
        <v>8.2184699999999999E-2</v>
      </c>
      <c r="P54" s="94">
        <f>+ROR!$H$14</f>
        <v>8.2184699999999999E-2</v>
      </c>
      <c r="Q54" s="94">
        <f>+ROR!$H$14</f>
        <v>8.2184699999999999E-2</v>
      </c>
      <c r="R54" s="94">
        <f>+ROR!$H$14</f>
        <v>8.2184699999999999E-2</v>
      </c>
      <c r="S54" s="94">
        <f>+ROR!$H$14</f>
        <v>8.2184699999999999E-2</v>
      </c>
      <c r="T54" s="94">
        <f>+ROR!$H$14</f>
        <v>8.2184699999999999E-2</v>
      </c>
      <c r="U54" s="199"/>
      <c r="V54" s="94"/>
      <c r="X54" s="199"/>
    </row>
    <row r="55" spans="1:24" s="2" customFormat="1">
      <c r="A55" s="91">
        <v>32</v>
      </c>
      <c r="B55" s="92" t="s">
        <v>108</v>
      </c>
      <c r="F55" s="148">
        <f>F51*(F54-F53)</f>
        <v>-365.85594210000011</v>
      </c>
      <c r="G55" s="200"/>
      <c r="H55" s="148">
        <f>+H51*H54</f>
        <v>0</v>
      </c>
      <c r="I55" s="148">
        <f t="shared" ref="I55:T55" si="8">+I51*I54</f>
        <v>0</v>
      </c>
      <c r="J55" s="148">
        <f t="shared" si="8"/>
        <v>50.032566595899652</v>
      </c>
      <c r="K55" s="148">
        <f t="shared" si="8"/>
        <v>0</v>
      </c>
      <c r="L55" s="148">
        <f t="shared" si="8"/>
        <v>0</v>
      </c>
      <c r="M55" s="148">
        <f t="shared" si="8"/>
        <v>0</v>
      </c>
      <c r="N55" s="148">
        <f t="shared" si="8"/>
        <v>0</v>
      </c>
      <c r="O55" s="148">
        <f t="shared" si="8"/>
        <v>0</v>
      </c>
      <c r="P55" s="148">
        <f t="shared" si="8"/>
        <v>0</v>
      </c>
      <c r="Q55" s="148">
        <f t="shared" si="8"/>
        <v>0</v>
      </c>
      <c r="R55" s="148">
        <f t="shared" si="8"/>
        <v>0</v>
      </c>
      <c r="S55" s="148">
        <f t="shared" si="8"/>
        <v>0</v>
      </c>
      <c r="T55" s="148">
        <f t="shared" si="8"/>
        <v>0</v>
      </c>
      <c r="U55" s="200"/>
      <c r="V55" s="148"/>
      <c r="X55" s="200"/>
    </row>
    <row r="56" spans="1:24" s="2" customFormat="1" ht="17.25" customHeight="1">
      <c r="A56" s="91">
        <v>33</v>
      </c>
      <c r="B56" s="92" t="s">
        <v>36</v>
      </c>
      <c r="F56" s="145">
        <f>+'Conv Factor'!$G$56</f>
        <v>1.5832618569768004</v>
      </c>
      <c r="G56" s="201"/>
      <c r="H56" s="251">
        <f>+'Conv Factor'!$G$56</f>
        <v>1.5832618569768004</v>
      </c>
      <c r="I56" s="251">
        <f>+'Conv Factor'!$G$56</f>
        <v>1.5832618569768004</v>
      </c>
      <c r="J56" s="251">
        <f>+'Conv Factor'!$G$56</f>
        <v>1.5832618569768004</v>
      </c>
      <c r="K56" s="251">
        <f>+'Conv Factor'!$G$56</f>
        <v>1.5832618569768004</v>
      </c>
      <c r="L56" s="251">
        <f>+'Conv Factor'!$G$56</f>
        <v>1.5832618569768004</v>
      </c>
      <c r="M56" s="251">
        <f>+'Conv Factor'!$G$56</f>
        <v>1.5832618569768004</v>
      </c>
      <c r="N56" s="251">
        <f>+'Conv Factor'!$G$56</f>
        <v>1.5832618569768004</v>
      </c>
      <c r="O56" s="251">
        <f>+'Conv Factor'!$G$56</f>
        <v>1.5832618569768004</v>
      </c>
      <c r="P56" s="251">
        <f>+'Conv Factor'!$G$56</f>
        <v>1.5832618569768004</v>
      </c>
      <c r="Q56" s="251">
        <f>+'Conv Factor'!$G$56</f>
        <v>1.5832618569768004</v>
      </c>
      <c r="R56" s="251">
        <f>+'Conv Factor'!$G$56</f>
        <v>1.5832618569768004</v>
      </c>
      <c r="S56" s="251">
        <f>+'Conv Factor'!$G$56</f>
        <v>1.5832618569768004</v>
      </c>
      <c r="T56" s="251">
        <f>+'Conv Factor'!$G$56</f>
        <v>1.5832618569768004</v>
      </c>
      <c r="U56" s="201"/>
      <c r="V56" s="145"/>
    </row>
    <row r="57" spans="1:24" s="2" customFormat="1">
      <c r="A57" s="91">
        <v>34</v>
      </c>
      <c r="B57" s="92" t="s">
        <v>110</v>
      </c>
      <c r="F57" s="148">
        <f>+F55*F56</f>
        <v>-579.24575827524291</v>
      </c>
      <c r="G57" s="200"/>
      <c r="H57" s="250">
        <f>+(-H41+H55)*H56</f>
        <v>0</v>
      </c>
      <c r="I57" s="250">
        <f t="shared" ref="I57:T57" si="9">+(-I41+I55)*I56</f>
        <v>-684.69298657394609</v>
      </c>
      <c r="J57" s="250">
        <f t="shared" si="9"/>
        <v>-1193.0823021097638</v>
      </c>
      <c r="K57" s="250">
        <f t="shared" si="9"/>
        <v>-2.1254340472799367</v>
      </c>
      <c r="L57" s="250">
        <f t="shared" si="9"/>
        <v>-101.64151639374244</v>
      </c>
      <c r="M57" s="250">
        <f t="shared" si="9"/>
        <v>-99.695814232466489</v>
      </c>
      <c r="N57" s="250">
        <f t="shared" si="9"/>
        <v>-31.432097780549174</v>
      </c>
      <c r="O57" s="250">
        <f t="shared" si="9"/>
        <v>-68.130715238860532</v>
      </c>
      <c r="P57" s="250">
        <f t="shared" si="9"/>
        <v>-39.217342859427539</v>
      </c>
      <c r="Q57" s="250">
        <f t="shared" si="9"/>
        <v>-8.2833410485683618</v>
      </c>
      <c r="R57" s="250">
        <f t="shared" si="9"/>
        <v>-103.08865061741142</v>
      </c>
      <c r="S57" s="250">
        <f t="shared" si="9"/>
        <v>-105.8453616111501</v>
      </c>
      <c r="T57" s="250">
        <f t="shared" si="9"/>
        <v>-133.77865291555966</v>
      </c>
      <c r="U57" s="200"/>
      <c r="V57" s="148"/>
    </row>
    <row r="58" spans="1:24">
      <c r="H58" s="55"/>
    </row>
  </sheetData>
  <phoneticPr fontId="0" type="noConversion"/>
  <printOptions gridLinesSet="0"/>
  <pageMargins left="0.75" right="0.75" top="0.75" bottom="0.5" header="0.5" footer="0.5"/>
  <pageSetup scale="68" firstPageNumber="5" fitToWidth="0" orientation="landscape" useFirstPageNumber="1" horizontalDpi="300" verticalDpi="300" r:id="rId1"/>
  <headerFooter alignWithMargins="0">
    <oddHeader>&amp;RDocket Nos. UE-080416 &amp;&amp; UG-080417
Exhibit No.___(MJM-4&amp;S&amp;KFF0000C&amp;S&amp;K000000)
&amp;KFF0000 REVISED 1/29/09  &amp;K000000Corrected
Schedule 2(G)
Page &amp;P of 22</oddHeader>
    <oddFooter xml:space="preserve">&amp;R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G64"/>
  <sheetViews>
    <sheetView view="pageLayout" zoomScaleNormal="100" workbookViewId="0">
      <selection activeCell="H4" sqref="H4"/>
    </sheetView>
  </sheetViews>
  <sheetFormatPr defaultRowHeight="12.75"/>
  <cols>
    <col min="1" max="1" width="5.140625" style="30" bestFit="1" customWidth="1"/>
    <col min="2" max="2" width="2" style="30" customWidth="1"/>
    <col min="3" max="3" width="40.85546875" style="30" bestFit="1" customWidth="1"/>
    <col min="4" max="4" width="6" style="30" customWidth="1"/>
    <col min="5" max="5" width="9.85546875" style="30" customWidth="1"/>
    <col min="6" max="6" width="6.7109375" style="30" customWidth="1"/>
    <col min="7" max="7" width="10.42578125" style="30" bestFit="1" customWidth="1"/>
    <col min="8" max="16384" width="9.140625" style="30"/>
  </cols>
  <sheetData>
    <row r="1" spans="1:7" ht="13.5" customHeight="1">
      <c r="A1" s="266" t="s">
        <v>68</v>
      </c>
      <c r="B1" s="266"/>
      <c r="C1" s="266"/>
      <c r="D1" s="266"/>
      <c r="E1" s="266"/>
      <c r="F1" s="266"/>
      <c r="G1" s="266"/>
    </row>
    <row r="2" spans="1:7" ht="13.5" customHeight="1">
      <c r="A2" s="266" t="s">
        <v>36</v>
      </c>
      <c r="B2" s="266"/>
      <c r="C2" s="266"/>
      <c r="D2" s="266"/>
      <c r="E2" s="266"/>
      <c r="F2" s="266"/>
      <c r="G2" s="266"/>
    </row>
    <row r="3" spans="1:7" ht="13.5" customHeight="1">
      <c r="A3" s="266" t="s">
        <v>86</v>
      </c>
      <c r="B3" s="266"/>
      <c r="C3" s="266"/>
      <c r="D3" s="266"/>
      <c r="E3" s="266"/>
      <c r="F3" s="266"/>
      <c r="G3" s="266"/>
    </row>
    <row r="4" spans="1:7" ht="13.5" customHeight="1">
      <c r="A4" s="266" t="s">
        <v>112</v>
      </c>
      <c r="B4" s="266"/>
      <c r="C4" s="266"/>
      <c r="D4" s="266"/>
      <c r="E4" s="266"/>
      <c r="F4" s="266"/>
      <c r="G4" s="266"/>
    </row>
    <row r="5" spans="1:7">
      <c r="A5" s="27"/>
      <c r="B5" s="27"/>
      <c r="C5" s="27"/>
      <c r="D5" s="27"/>
      <c r="E5" s="27"/>
    </row>
    <row r="6" spans="1:7" ht="13.5" customHeight="1">
      <c r="A6" s="267" t="s">
        <v>103</v>
      </c>
      <c r="B6" s="267"/>
      <c r="C6" s="267"/>
      <c r="D6" s="267"/>
      <c r="E6" s="267"/>
      <c r="F6" s="267"/>
      <c r="G6" s="267"/>
    </row>
    <row r="7" spans="1:7" s="39" customFormat="1">
      <c r="A7" s="39" t="s">
        <v>71</v>
      </c>
      <c r="E7" s="38" t="s">
        <v>67</v>
      </c>
      <c r="G7" s="38" t="s">
        <v>120</v>
      </c>
    </row>
    <row r="8" spans="1:7" s="39" customFormat="1">
      <c r="A8" s="40" t="s">
        <v>7</v>
      </c>
      <c r="C8" s="40" t="s">
        <v>73</v>
      </c>
      <c r="D8" s="38"/>
      <c r="E8" s="40" t="s">
        <v>88</v>
      </c>
      <c r="G8" s="40" t="s">
        <v>88</v>
      </c>
    </row>
    <row r="10" spans="1:7">
      <c r="A10" s="29">
        <v>1</v>
      </c>
      <c r="C10" s="81" t="s">
        <v>89</v>
      </c>
      <c r="E10" s="83">
        <v>1</v>
      </c>
      <c r="G10" s="83">
        <v>1</v>
      </c>
    </row>
    <row r="11" spans="1:7">
      <c r="A11" s="29"/>
      <c r="E11" s="83"/>
      <c r="G11" s="83"/>
    </row>
    <row r="12" spans="1:7">
      <c r="A12" s="29"/>
      <c r="C12" s="82" t="s">
        <v>90</v>
      </c>
      <c r="D12" s="83"/>
      <c r="E12" s="83"/>
      <c r="G12" s="83"/>
    </row>
    <row r="13" spans="1:7">
      <c r="A13" s="29">
        <v>2</v>
      </c>
      <c r="C13" s="83" t="s">
        <v>91</v>
      </c>
      <c r="D13" s="83"/>
      <c r="E13" s="87">
        <v>2.5994E-3</v>
      </c>
      <c r="G13" s="87">
        <v>2.5994E-3</v>
      </c>
    </row>
    <row r="14" spans="1:7">
      <c r="A14" s="29"/>
      <c r="C14" s="83"/>
      <c r="D14" s="83"/>
      <c r="E14" s="83"/>
      <c r="G14" s="83"/>
    </row>
    <row r="15" spans="1:7">
      <c r="A15" s="29">
        <v>3</v>
      </c>
      <c r="C15" s="83" t="s">
        <v>92</v>
      </c>
      <c r="D15" s="83"/>
      <c r="E15" s="83">
        <v>2E-3</v>
      </c>
      <c r="G15" s="83">
        <v>2E-3</v>
      </c>
    </row>
    <row r="16" spans="1:7">
      <c r="A16" s="29"/>
      <c r="C16" s="83"/>
      <c r="D16" s="83"/>
      <c r="E16" s="83"/>
      <c r="G16" s="83"/>
    </row>
    <row r="17" spans="1:7">
      <c r="A17" s="29">
        <v>4</v>
      </c>
      <c r="C17" s="83" t="s">
        <v>93</v>
      </c>
      <c r="D17" s="83"/>
      <c r="E17" s="83">
        <v>3.8629299999999998E-2</v>
      </c>
      <c r="G17" s="83">
        <v>3.8629299999999998E-2</v>
      </c>
    </row>
    <row r="18" spans="1:7">
      <c r="A18" s="29"/>
      <c r="C18" s="83"/>
      <c r="D18" s="83"/>
      <c r="E18" s="83"/>
      <c r="G18" s="83"/>
    </row>
    <row r="19" spans="1:7">
      <c r="A19" s="29">
        <v>5</v>
      </c>
      <c r="C19" s="83" t="s">
        <v>94</v>
      </c>
      <c r="D19" s="83"/>
      <c r="E19" s="86">
        <v>0</v>
      </c>
      <c r="G19" s="86">
        <v>0</v>
      </c>
    </row>
    <row r="20" spans="1:7">
      <c r="A20" s="29"/>
      <c r="C20" s="83"/>
      <c r="D20" s="83"/>
      <c r="E20" s="86"/>
      <c r="G20" s="86"/>
    </row>
    <row r="21" spans="1:7">
      <c r="A21" s="29">
        <v>6</v>
      </c>
      <c r="C21" s="83" t="s">
        <v>95</v>
      </c>
      <c r="D21" s="83"/>
      <c r="E21" s="88">
        <f>SUM(E13:E19)</f>
        <v>4.3228699999999995E-2</v>
      </c>
      <c r="G21" s="88">
        <f>SUM(G13:G19)</f>
        <v>4.3228699999999995E-2</v>
      </c>
    </row>
    <row r="22" spans="1:7">
      <c r="C22" s="83"/>
      <c r="D22" s="83"/>
      <c r="E22" s="86"/>
      <c r="G22" s="86"/>
    </row>
    <row r="23" spans="1:7">
      <c r="A23" s="29">
        <v>7</v>
      </c>
      <c r="C23" s="83" t="s">
        <v>96</v>
      </c>
      <c r="D23" s="83"/>
      <c r="E23" s="86">
        <f>E10-E21</f>
        <v>0.95677129999999999</v>
      </c>
      <c r="G23" s="86">
        <f>G10-G21</f>
        <v>0.95677129999999999</v>
      </c>
    </row>
    <row r="24" spans="1:7">
      <c r="C24" s="83"/>
      <c r="D24" s="83"/>
      <c r="E24" s="86"/>
      <c r="G24" s="86"/>
    </row>
    <row r="25" spans="1:7">
      <c r="A25" s="29">
        <v>8</v>
      </c>
      <c r="C25" s="83" t="s">
        <v>97</v>
      </c>
      <c r="D25" s="85">
        <v>0.35</v>
      </c>
      <c r="E25" s="89">
        <f>ROUND(E23*D25,8)</f>
        <v>0.33486996000000002</v>
      </c>
      <c r="F25" s="84">
        <v>0.34</v>
      </c>
      <c r="G25" s="89">
        <f>ROUND(G23*F25,8)</f>
        <v>0.32530224000000002</v>
      </c>
    </row>
    <row r="26" spans="1:7">
      <c r="C26" s="83"/>
      <c r="D26" s="83"/>
      <c r="E26" s="86"/>
      <c r="G26" s="86"/>
    </row>
    <row r="27" spans="1:7">
      <c r="A27" s="29">
        <v>9</v>
      </c>
      <c r="C27" s="83" t="s">
        <v>142</v>
      </c>
      <c r="D27" s="83"/>
      <c r="E27" s="86">
        <f>+E23-E25</f>
        <v>0.62190133999999997</v>
      </c>
      <c r="G27" s="86">
        <f>+G23-G25</f>
        <v>0.63146905999999992</v>
      </c>
    </row>
    <row r="28" spans="1:7">
      <c r="C28" s="83"/>
      <c r="D28" s="83"/>
      <c r="E28" s="86"/>
      <c r="G28" s="86"/>
    </row>
    <row r="29" spans="1:7" ht="13.5" thickBot="1">
      <c r="A29" s="29">
        <v>10</v>
      </c>
      <c r="C29" s="82" t="s">
        <v>98</v>
      </c>
      <c r="D29" s="83"/>
      <c r="E29" s="90">
        <f>1/E27</f>
        <v>1.6079720940945392</v>
      </c>
      <c r="G29" s="90">
        <f>1/G27</f>
        <v>1.583608862800024</v>
      </c>
    </row>
    <row r="30" spans="1:7" ht="13.5" thickTop="1"/>
    <row r="32" spans="1:7" s="31" customFormat="1" ht="13.5" customHeight="1"/>
    <row r="33" spans="1:7" s="31" customFormat="1" ht="13.5" customHeight="1">
      <c r="A33" s="267" t="s">
        <v>104</v>
      </c>
      <c r="B33" s="267"/>
      <c r="C33" s="267"/>
      <c r="D33" s="267"/>
      <c r="E33" s="267"/>
      <c r="F33" s="267"/>
      <c r="G33" s="267"/>
    </row>
    <row r="34" spans="1:7" s="39" customFormat="1">
      <c r="A34" s="39" t="s">
        <v>71</v>
      </c>
      <c r="E34" s="38" t="s">
        <v>67</v>
      </c>
      <c r="G34" s="38" t="s">
        <v>120</v>
      </c>
    </row>
    <row r="35" spans="1:7" s="39" customFormat="1">
      <c r="A35" s="40" t="s">
        <v>7</v>
      </c>
      <c r="C35" s="40" t="s">
        <v>73</v>
      </c>
      <c r="D35" s="38"/>
      <c r="E35" s="40" t="s">
        <v>88</v>
      </c>
      <c r="G35" s="40" t="s">
        <v>88</v>
      </c>
    </row>
    <row r="36" spans="1:7" s="39" customFormat="1">
      <c r="A36" s="38"/>
      <c r="C36" s="38"/>
      <c r="D36" s="38"/>
      <c r="E36" s="38"/>
      <c r="G36" s="38"/>
    </row>
    <row r="37" spans="1:7">
      <c r="A37" s="29">
        <v>1</v>
      </c>
      <c r="C37" s="81" t="s">
        <v>89</v>
      </c>
      <c r="E37" s="83">
        <v>1</v>
      </c>
      <c r="G37" s="83">
        <v>1</v>
      </c>
    </row>
    <row r="38" spans="1:7">
      <c r="A38" s="29"/>
      <c r="C38" s="81"/>
      <c r="E38" s="83"/>
      <c r="G38" s="83"/>
    </row>
    <row r="39" spans="1:7">
      <c r="A39" s="29"/>
      <c r="C39" s="81" t="s">
        <v>90</v>
      </c>
      <c r="E39" s="83"/>
      <c r="G39" s="83"/>
    </row>
    <row r="40" spans="1:7">
      <c r="A40" s="29">
        <v>2</v>
      </c>
      <c r="C40" s="83" t="s">
        <v>99</v>
      </c>
      <c r="D40" s="83"/>
      <c r="E40" s="83">
        <v>2.5990000000000002E-3</v>
      </c>
      <c r="G40" s="83">
        <v>2.5990000000000002E-3</v>
      </c>
    </row>
    <row r="41" spans="1:7">
      <c r="A41" s="29"/>
      <c r="C41" s="83"/>
      <c r="D41" s="83"/>
      <c r="E41" s="87"/>
      <c r="G41" s="87"/>
    </row>
    <row r="42" spans="1:7">
      <c r="A42" s="29">
        <v>3</v>
      </c>
      <c r="C42" s="83" t="s">
        <v>100</v>
      </c>
      <c r="D42" s="83"/>
      <c r="E42" s="83">
        <v>2E-3</v>
      </c>
      <c r="G42" s="83">
        <v>2E-3</v>
      </c>
    </row>
    <row r="43" spans="1:7">
      <c r="A43" s="29"/>
      <c r="C43" s="83"/>
      <c r="D43" s="83"/>
      <c r="E43" s="83"/>
      <c r="G43" s="83"/>
    </row>
    <row r="44" spans="1:7">
      <c r="A44" s="29">
        <v>4</v>
      </c>
      <c r="C44" s="83" t="s">
        <v>101</v>
      </c>
      <c r="D44" s="83"/>
      <c r="E44" s="83">
        <v>3.8420000000000003E-2</v>
      </c>
      <c r="G44" s="83">
        <v>3.8420000000000003E-2</v>
      </c>
    </row>
    <row r="45" spans="1:7">
      <c r="A45" s="29"/>
      <c r="C45" s="83"/>
      <c r="D45" s="83"/>
      <c r="E45" s="83"/>
      <c r="G45" s="83"/>
    </row>
    <row r="46" spans="1:7">
      <c r="A46" s="29">
        <v>5</v>
      </c>
      <c r="C46" s="83" t="s">
        <v>102</v>
      </c>
      <c r="D46" s="83"/>
      <c r="E46" s="83">
        <v>0</v>
      </c>
      <c r="G46" s="83">
        <v>0</v>
      </c>
    </row>
    <row r="47" spans="1:7">
      <c r="A47" s="29"/>
      <c r="C47" s="83"/>
      <c r="D47" s="83"/>
      <c r="E47" s="86"/>
      <c r="G47" s="86"/>
    </row>
    <row r="48" spans="1:7">
      <c r="A48" s="29">
        <v>6</v>
      </c>
      <c r="C48" s="83" t="s">
        <v>95</v>
      </c>
      <c r="D48" s="83"/>
      <c r="E48" s="86">
        <f>SUM(E40:E46)</f>
        <v>4.3019000000000002E-2</v>
      </c>
      <c r="G48" s="86">
        <f>SUM(G40:G46)</f>
        <v>4.3019000000000002E-2</v>
      </c>
    </row>
    <row r="49" spans="1:7">
      <c r="A49" s="29"/>
      <c r="C49" s="83"/>
      <c r="D49" s="83"/>
      <c r="E49" s="88"/>
      <c r="G49" s="88"/>
    </row>
    <row r="50" spans="1:7">
      <c r="A50" s="29">
        <v>7</v>
      </c>
      <c r="C50" s="83" t="s">
        <v>96</v>
      </c>
      <c r="D50" s="83"/>
      <c r="E50" s="86">
        <f>E37-E48</f>
        <v>0.95698099999999997</v>
      </c>
      <c r="G50" s="86">
        <f>G37-G48</f>
        <v>0.95698099999999997</v>
      </c>
    </row>
    <row r="51" spans="1:7">
      <c r="A51" s="29"/>
      <c r="C51" s="83"/>
      <c r="D51" s="83"/>
      <c r="E51" s="86"/>
      <c r="G51" s="86"/>
    </row>
    <row r="52" spans="1:7">
      <c r="A52" s="29">
        <v>8</v>
      </c>
      <c r="C52" s="83" t="s">
        <v>97</v>
      </c>
      <c r="D52" s="85">
        <v>0.35</v>
      </c>
      <c r="E52" s="86">
        <f>ROUND(E50*D52,8)</f>
        <v>0.33494334999999997</v>
      </c>
      <c r="F52" s="84">
        <v>0.34</v>
      </c>
      <c r="G52" s="86">
        <f>ROUND(G50*F52,8)</f>
        <v>0.32537354000000002</v>
      </c>
    </row>
    <row r="53" spans="1:7">
      <c r="A53" s="29"/>
      <c r="C53" s="83"/>
      <c r="D53" s="85"/>
      <c r="E53" s="89"/>
      <c r="G53" s="89"/>
    </row>
    <row r="54" spans="1:7">
      <c r="A54" s="29">
        <v>9</v>
      </c>
      <c r="C54" s="83" t="s">
        <v>142</v>
      </c>
      <c r="D54" s="83"/>
      <c r="E54" s="86">
        <f>+E50-E52</f>
        <v>0.62203765</v>
      </c>
      <c r="G54" s="86">
        <f>+G50-G52</f>
        <v>0.6316074599999999</v>
      </c>
    </row>
    <row r="55" spans="1:7">
      <c r="A55" s="29"/>
      <c r="C55" s="83"/>
      <c r="D55" s="85"/>
      <c r="E55" s="86"/>
      <c r="G55" s="86"/>
    </row>
    <row r="56" spans="1:7" s="81" customFormat="1" ht="13.5" thickBot="1">
      <c r="A56" s="39">
        <v>9</v>
      </c>
      <c r="C56" s="82" t="s">
        <v>98</v>
      </c>
      <c r="D56" s="82"/>
      <c r="E56" s="90">
        <f>1/E54</f>
        <v>1.6076197316995202</v>
      </c>
      <c r="F56" s="30"/>
      <c r="G56" s="90">
        <f>1/G54</f>
        <v>1.5832618569768004</v>
      </c>
    </row>
    <row r="57" spans="1:7" s="31" customFormat="1" ht="13.5" thickTop="1">
      <c r="A57" s="30"/>
      <c r="B57" s="30"/>
      <c r="C57" s="30"/>
      <c r="D57" s="30"/>
      <c r="E57" s="30"/>
      <c r="F57" s="30"/>
    </row>
    <row r="58" spans="1:7" s="31" customFormat="1">
      <c r="E58" s="86"/>
    </row>
    <row r="59" spans="1:7" s="31" customFormat="1">
      <c r="E59" s="86"/>
    </row>
    <row r="60" spans="1:7" s="31" customFormat="1">
      <c r="E60" s="86"/>
    </row>
    <row r="61" spans="1:7" s="31" customFormat="1">
      <c r="E61" s="86"/>
    </row>
    <row r="62" spans="1:7" s="31" customFormat="1">
      <c r="E62" s="86"/>
    </row>
    <row r="63" spans="1:7" s="31" customFormat="1">
      <c r="E63" s="86"/>
    </row>
    <row r="64" spans="1:7" s="31" customFormat="1"/>
  </sheetData>
  <mergeCells count="6">
    <mergeCell ref="A6:G6"/>
    <mergeCell ref="A33:G33"/>
    <mergeCell ref="A1:G1"/>
    <mergeCell ref="A2:G2"/>
    <mergeCell ref="A3:G3"/>
    <mergeCell ref="A4:G4"/>
  </mergeCells>
  <phoneticPr fontId="0" type="noConversion"/>
  <pageMargins left="0.75" right="0.75" top="1" bottom="0.75" header="0.5" footer="0.5"/>
  <pageSetup scale="91" orientation="portrait" r:id="rId1"/>
  <headerFooter alignWithMargins="0">
    <oddHeader>&amp;RDocket Nos. UE-080416 &amp;&amp; UG-080417
Exhibit No.___(MJM-4&amp;S&amp;KFF0000C&amp;S&amp;K000000)
 &amp;KFF0000 REVISED 1/29/09 &amp;K000000Corrected
Schedule 3(E &amp;&amp; G)
Page 7 of 22</oddHeader>
    <oddFooter xml:space="preserve">&amp;L
&amp;R&amp;"Times New Roman,Regular"&amp;8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view="pageLayout" zoomScaleNormal="100" workbookViewId="0">
      <selection activeCell="E17" sqref="E17"/>
    </sheetView>
  </sheetViews>
  <sheetFormatPr defaultRowHeight="12.75"/>
  <cols>
    <col min="1" max="1" width="6.140625" customWidth="1"/>
    <col min="2" max="2" width="22.42578125" bestFit="1" customWidth="1"/>
    <col min="3" max="3" width="1.7109375" customWidth="1"/>
    <col min="4" max="4" width="11.28515625" bestFit="1" customWidth="1"/>
    <col min="5" max="5" width="2.28515625" customWidth="1"/>
    <col min="7" max="7" width="3.140625" customWidth="1"/>
    <col min="8" max="8" width="10.42578125" bestFit="1" customWidth="1"/>
  </cols>
  <sheetData>
    <row r="1" spans="1:8">
      <c r="A1" s="266" t="s">
        <v>68</v>
      </c>
      <c r="B1" s="266"/>
      <c r="C1" s="266"/>
      <c r="D1" s="266"/>
      <c r="E1" s="266"/>
      <c r="F1" s="266"/>
      <c r="G1" s="266"/>
      <c r="H1" s="266"/>
    </row>
    <row r="2" spans="1:8">
      <c r="A2" s="81"/>
      <c r="B2" s="81"/>
      <c r="C2" s="81"/>
      <c r="D2" s="81"/>
      <c r="E2" s="81"/>
      <c r="F2" s="81"/>
      <c r="G2" s="81"/>
      <c r="H2" s="81"/>
    </row>
    <row r="3" spans="1:8">
      <c r="A3" s="266" t="s">
        <v>244</v>
      </c>
      <c r="B3" s="266"/>
      <c r="C3" s="266"/>
      <c r="D3" s="266"/>
      <c r="E3" s="266"/>
      <c r="F3" s="266"/>
      <c r="G3" s="266"/>
      <c r="H3" s="266"/>
    </row>
    <row r="7" spans="1:8">
      <c r="D7" s="188" t="s">
        <v>245</v>
      </c>
    </row>
    <row r="8" spans="1:8">
      <c r="A8" s="189" t="s">
        <v>4</v>
      </c>
      <c r="D8" s="189" t="s">
        <v>246</v>
      </c>
      <c r="F8" s="189" t="s">
        <v>247</v>
      </c>
      <c r="G8" s="188"/>
      <c r="H8" s="189" t="s">
        <v>248</v>
      </c>
    </row>
    <row r="10" spans="1:8">
      <c r="A10" s="188">
        <v>1</v>
      </c>
      <c r="B10" t="s">
        <v>249</v>
      </c>
      <c r="D10" s="190">
        <v>0.53700000000000003</v>
      </c>
      <c r="F10" s="191">
        <v>6.5100000000000005E-2</v>
      </c>
      <c r="H10" s="190">
        <f>+D10*F10</f>
        <v>3.4958700000000002E-2</v>
      </c>
    </row>
    <row r="11" spans="1:8">
      <c r="A11" s="188"/>
      <c r="D11" s="190"/>
      <c r="F11" s="191"/>
    </row>
    <row r="12" spans="1:8">
      <c r="A12" s="188">
        <v>2</v>
      </c>
      <c r="B12" t="s">
        <v>250</v>
      </c>
      <c r="D12" s="192">
        <v>0.46300000000000002</v>
      </c>
      <c r="F12" s="191">
        <v>0.10199999999999999</v>
      </c>
      <c r="H12" s="192">
        <f>+D12*F12</f>
        <v>4.7225999999999997E-2</v>
      </c>
    </row>
    <row r="13" spans="1:8">
      <c r="A13" s="188"/>
      <c r="D13" s="190"/>
    </row>
    <row r="14" spans="1:8" ht="13.5" thickBot="1">
      <c r="A14" s="188">
        <v>3</v>
      </c>
      <c r="B14" s="188" t="s">
        <v>41</v>
      </c>
      <c r="D14" s="193">
        <f>SUM(D10:D12)</f>
        <v>1</v>
      </c>
      <c r="H14" s="194">
        <f>SUM(H10:H12)</f>
        <v>8.2184699999999999E-2</v>
      </c>
    </row>
    <row r="15" spans="1:8" ht="13.5" thickTop="1"/>
    <row r="19" spans="1:8" ht="28.5" customHeight="1">
      <c r="A19" s="268" t="s">
        <v>290</v>
      </c>
      <c r="B19" s="268"/>
      <c r="C19" s="268"/>
      <c r="D19" s="268"/>
      <c r="E19" s="268"/>
      <c r="F19" s="268"/>
      <c r="G19" s="268"/>
      <c r="H19" s="268"/>
    </row>
  </sheetData>
  <mergeCells count="3">
    <mergeCell ref="A1:H1"/>
    <mergeCell ref="A3:H3"/>
    <mergeCell ref="A19:H19"/>
  </mergeCells>
  <phoneticPr fontId="0" type="noConversion"/>
  <printOptions horizontalCentered="1"/>
  <pageMargins left="0.75" right="0.75" top="1.43" bottom="1" header="0.5" footer="0.5"/>
  <pageSetup orientation="portrait" r:id="rId1"/>
  <headerFooter alignWithMargins="0">
    <oddHeader>&amp;RDocket Nos. UE-080416 &amp;&amp; UG-080417
Exhibit No.___(MJM-4&amp;S&amp;KFF0000C&amp;S&amp;K000000)
&amp;KFF0000 REVISED 1/29/09 &amp;K000000Corrected
Schedule 4(E &amp;&amp; G)
Page 8 of 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Layout" zoomScaleNormal="100" workbookViewId="0">
      <selection activeCell="E17" sqref="E17"/>
    </sheetView>
  </sheetViews>
  <sheetFormatPr defaultColWidth="11.42578125" defaultRowHeight="12.75"/>
  <cols>
    <col min="1" max="1" width="5.85546875" style="104" customWidth="1"/>
    <col min="2" max="2" width="36.42578125" style="104" bestFit="1" customWidth="1"/>
    <col min="3" max="3" width="2" style="104" customWidth="1"/>
    <col min="4" max="4" width="12.5703125" style="104" bestFit="1" customWidth="1"/>
    <col min="5" max="5" width="2" style="104" customWidth="1"/>
    <col min="6" max="6" width="11.85546875" style="104" bestFit="1" customWidth="1"/>
    <col min="7" max="7" width="2" style="104" customWidth="1"/>
    <col min="8" max="8" width="9.85546875" style="104" bestFit="1" customWidth="1"/>
    <col min="9" max="9" width="1.85546875" style="104" customWidth="1"/>
    <col min="10" max="10" width="11.140625" style="104" bestFit="1" customWidth="1"/>
    <col min="11" max="11" width="2.42578125" style="104" bestFit="1" customWidth="1"/>
    <col min="12" max="12" width="10.42578125" style="104" bestFit="1" customWidth="1"/>
    <col min="13" max="16384" width="11.42578125" style="104"/>
  </cols>
  <sheetData>
    <row r="1" spans="1:13">
      <c r="A1" s="269" t="s">
        <v>68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3">
      <c r="A2" s="269" t="s">
        <v>151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3">
      <c r="A3" s="173"/>
      <c r="F3" s="105"/>
      <c r="G3" s="105"/>
      <c r="K3" s="105"/>
      <c r="L3" s="105"/>
    </row>
    <row r="4" spans="1:13">
      <c r="A4" s="269" t="s">
        <v>275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70"/>
    </row>
    <row r="5" spans="1:13">
      <c r="A5" s="173"/>
    </row>
    <row r="6" spans="1:13">
      <c r="A6" s="269" t="s">
        <v>225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70"/>
    </row>
    <row r="7" spans="1:13">
      <c r="A7" s="173"/>
    </row>
    <row r="9" spans="1:13">
      <c r="D9" s="109" t="s">
        <v>41</v>
      </c>
      <c r="H9" s="109"/>
      <c r="I9" s="109"/>
      <c r="J9" s="109"/>
    </row>
    <row r="10" spans="1:13">
      <c r="D10" s="185" t="s">
        <v>230</v>
      </c>
      <c r="F10" s="272" t="s">
        <v>124</v>
      </c>
      <c r="G10" s="272"/>
      <c r="H10" s="272"/>
      <c r="J10" s="272" t="s">
        <v>125</v>
      </c>
      <c r="K10" s="272"/>
      <c r="L10" s="272"/>
    </row>
    <row r="11" spans="1:13" s="111" customFormat="1">
      <c r="A11" s="111" t="s">
        <v>4</v>
      </c>
      <c r="B11" s="111" t="s">
        <v>73</v>
      </c>
      <c r="D11" s="159"/>
      <c r="F11" s="159"/>
      <c r="G11" s="151"/>
      <c r="H11" s="159" t="s">
        <v>226</v>
      </c>
      <c r="I11" s="109"/>
      <c r="J11" s="159"/>
      <c r="K11" s="151"/>
      <c r="L11" s="159" t="s">
        <v>226</v>
      </c>
    </row>
    <row r="12" spans="1:13">
      <c r="D12" s="186" t="s">
        <v>229</v>
      </c>
      <c r="F12" s="271" t="s">
        <v>229</v>
      </c>
      <c r="G12" s="271"/>
      <c r="H12" s="271"/>
      <c r="J12" s="271" t="s">
        <v>229</v>
      </c>
      <c r="K12" s="271"/>
      <c r="L12" s="271"/>
    </row>
    <row r="13" spans="1:13">
      <c r="B13" s="111"/>
      <c r="D13" s="122"/>
      <c r="F13" s="122"/>
      <c r="G13" s="122"/>
      <c r="H13" s="122"/>
      <c r="I13" s="122"/>
      <c r="J13" s="122"/>
      <c r="K13" s="122"/>
      <c r="L13" s="122"/>
    </row>
    <row r="14" spans="1:13">
      <c r="A14" s="109">
        <v>1</v>
      </c>
      <c r="B14" s="104" t="s">
        <v>155</v>
      </c>
      <c r="C14" s="122"/>
      <c r="D14" s="174">
        <f>+F14+J14</f>
        <v>2807291</v>
      </c>
      <c r="E14" s="122"/>
      <c r="F14" s="175">
        <v>2415671</v>
      </c>
      <c r="G14" s="122"/>
      <c r="I14" s="122"/>
      <c r="J14" s="175">
        <v>391620</v>
      </c>
      <c r="K14" s="151"/>
      <c r="M14" s="122"/>
    </row>
    <row r="15" spans="1:13">
      <c r="A15" s="109"/>
      <c r="G15" s="122"/>
      <c r="I15" s="122"/>
      <c r="K15" s="122"/>
      <c r="M15" s="122"/>
    </row>
    <row r="16" spans="1:13">
      <c r="A16" s="109">
        <v>2</v>
      </c>
      <c r="B16" s="104" t="s">
        <v>288</v>
      </c>
      <c r="D16" s="176">
        <f>+F16+J16</f>
        <v>-962058</v>
      </c>
      <c r="F16" s="177">
        <v>-826627</v>
      </c>
      <c r="G16" s="122"/>
      <c r="H16" s="175">
        <f>D18*(F14/D14)</f>
        <v>180151.48181894931</v>
      </c>
      <c r="I16" s="178"/>
      <c r="J16" s="177">
        <v>-135431</v>
      </c>
      <c r="K16" s="122"/>
      <c r="L16" s="175">
        <f>D18*(J14/D14)</f>
        <v>29205.518181050698</v>
      </c>
      <c r="M16" s="122"/>
    </row>
    <row r="17" spans="1:13">
      <c r="A17" s="109"/>
      <c r="G17" s="122"/>
      <c r="H17" s="122"/>
      <c r="I17" s="122"/>
      <c r="J17" s="179"/>
      <c r="K17" s="122"/>
      <c r="L17" s="122"/>
      <c r="M17" s="122"/>
    </row>
    <row r="18" spans="1:13">
      <c r="A18" s="109">
        <v>3</v>
      </c>
      <c r="B18" s="104" t="s">
        <v>231</v>
      </c>
      <c r="C18" s="122"/>
      <c r="D18" s="147">
        <v>209357</v>
      </c>
      <c r="E18" s="122"/>
      <c r="F18" s="122"/>
      <c r="G18" s="122"/>
      <c r="H18" s="180">
        <f>-H16</f>
        <v>-180151.48181894931</v>
      </c>
      <c r="I18" s="122"/>
      <c r="J18" s="181"/>
      <c r="K18" s="122"/>
      <c r="L18" s="180">
        <f>-L16</f>
        <v>-29205.518181050698</v>
      </c>
      <c r="M18" s="122"/>
    </row>
    <row r="19" spans="1:13">
      <c r="A19" s="109"/>
      <c r="G19" s="122"/>
      <c r="H19" s="122"/>
      <c r="I19" s="122"/>
      <c r="J19" s="179"/>
      <c r="K19" s="122"/>
      <c r="L19" s="122"/>
      <c r="M19" s="122"/>
    </row>
    <row r="20" spans="1:13" ht="13.5" thickBot="1">
      <c r="A20" s="109">
        <v>4</v>
      </c>
      <c r="B20" s="104" t="s">
        <v>227</v>
      </c>
      <c r="G20" s="122"/>
      <c r="H20" s="182">
        <f>SUM(H16:H18)</f>
        <v>0</v>
      </c>
      <c r="I20" s="122"/>
      <c r="J20" s="125"/>
      <c r="K20" s="122"/>
      <c r="L20" s="182">
        <f>SUM(L16:L18)</f>
        <v>0</v>
      </c>
      <c r="M20" s="122"/>
    </row>
    <row r="21" spans="1:13" ht="13.5" thickTop="1">
      <c r="G21" s="122"/>
      <c r="H21" s="122"/>
      <c r="I21" s="122"/>
      <c r="J21" s="179"/>
      <c r="K21" s="122"/>
      <c r="L21" s="122"/>
      <c r="M21" s="122"/>
    </row>
    <row r="22" spans="1:13"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3"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3">
      <c r="A24" s="104" t="s">
        <v>132</v>
      </c>
    </row>
    <row r="25" spans="1:13">
      <c r="A25" s="173" t="s">
        <v>232</v>
      </c>
    </row>
    <row r="26" spans="1:13">
      <c r="A26" s="104" t="s">
        <v>233</v>
      </c>
    </row>
    <row r="27" spans="1:13">
      <c r="H27" s="184"/>
    </row>
    <row r="28" spans="1:13">
      <c r="B28" s="183"/>
    </row>
  </sheetData>
  <mergeCells count="8">
    <mergeCell ref="A1:L1"/>
    <mergeCell ref="A2:L2"/>
    <mergeCell ref="A4:L4"/>
    <mergeCell ref="A6:L6"/>
    <mergeCell ref="F12:H12"/>
    <mergeCell ref="J12:L12"/>
    <mergeCell ref="F10:H10"/>
    <mergeCell ref="J10:L10"/>
  </mergeCells>
  <phoneticPr fontId="39" type="noConversion"/>
  <pageMargins left="0.75" right="0.51" top="1.31" bottom="1" header="0.5" footer="0.5"/>
  <pageSetup scale="86" orientation="portrait" r:id="rId1"/>
  <headerFooter alignWithMargins="0">
    <oddHeader>&amp;RDocket Nos. UE-080416 &amp;&amp; UG-080417
Exhibit No.___(MJM-4&amp;S&amp;KFF0000C&amp;S&amp;K000000)
&amp;KFF0000 REVISED 1/29/09 &amp;K000000Corrected
Schedule 5 (E &amp;&amp; G)
Page 9 of 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Layout" zoomScaleNormal="100" workbookViewId="0">
      <selection activeCell="E17" sqref="E17"/>
    </sheetView>
  </sheetViews>
  <sheetFormatPr defaultRowHeight="12.75"/>
  <cols>
    <col min="1" max="1" width="4.42578125" customWidth="1"/>
    <col min="2" max="2" width="31.28515625" customWidth="1"/>
    <col min="3" max="3" width="3.42578125" customWidth="1"/>
    <col min="4" max="4" width="11.5703125" bestFit="1" customWidth="1"/>
    <col min="5" max="5" width="3" customWidth="1"/>
    <col min="6" max="6" width="11.85546875" customWidth="1"/>
    <col min="7" max="7" width="2.5703125" customWidth="1"/>
    <col min="8" max="8" width="10.85546875" bestFit="1" customWidth="1"/>
    <col min="9" max="9" width="4.28515625" customWidth="1"/>
  </cols>
  <sheetData>
    <row r="1" spans="1:9" s="104" customFormat="1">
      <c r="A1" s="269" t="s">
        <v>68</v>
      </c>
      <c r="B1" s="269"/>
      <c r="C1" s="269"/>
      <c r="D1" s="269"/>
      <c r="E1" s="269"/>
      <c r="F1" s="269"/>
      <c r="G1" s="269"/>
      <c r="H1" s="269"/>
      <c r="I1" s="270"/>
    </row>
    <row r="2" spans="1:9" s="104" customFormat="1">
      <c r="A2" s="270" t="s">
        <v>151</v>
      </c>
      <c r="B2" s="270"/>
      <c r="C2" s="270"/>
      <c r="D2" s="270"/>
      <c r="E2" s="270"/>
      <c r="F2" s="270"/>
      <c r="G2" s="270"/>
      <c r="H2" s="270"/>
      <c r="I2" s="270"/>
    </row>
    <row r="3" spans="1:9" s="104" customFormat="1">
      <c r="D3" s="105"/>
      <c r="E3" s="105"/>
      <c r="F3" s="105"/>
      <c r="G3" s="105"/>
    </row>
    <row r="4" spans="1:9" s="104" customFormat="1">
      <c r="A4" s="270" t="s">
        <v>274</v>
      </c>
      <c r="B4" s="270"/>
      <c r="C4" s="270"/>
      <c r="D4" s="270"/>
      <c r="E4" s="270"/>
      <c r="F4" s="270"/>
      <c r="G4" s="270"/>
      <c r="H4" s="270"/>
      <c r="I4" s="270"/>
    </row>
    <row r="5" spans="1:9" s="104" customFormat="1"/>
    <row r="6" spans="1:9" s="104" customFormat="1">
      <c r="A6" s="270" t="s">
        <v>271</v>
      </c>
      <c r="B6" s="270"/>
      <c r="C6" s="270"/>
      <c r="D6" s="270"/>
      <c r="E6" s="270"/>
      <c r="F6" s="270"/>
      <c r="G6" s="270"/>
      <c r="H6" s="270"/>
      <c r="I6" s="270"/>
    </row>
    <row r="7" spans="1:9" s="104" customFormat="1"/>
    <row r="8" spans="1:9" s="104" customFormat="1"/>
    <row r="9" spans="1:9" s="104" customFormat="1"/>
    <row r="10" spans="1:9" s="104" customFormat="1">
      <c r="D10" s="109"/>
      <c r="E10" s="109"/>
      <c r="F10" s="109"/>
    </row>
    <row r="11" spans="1:9" s="104" customFormat="1">
      <c r="D11" s="109"/>
    </row>
    <row r="12" spans="1:9" s="111" customFormat="1">
      <c r="A12" s="111" t="s">
        <v>4</v>
      </c>
      <c r="B12" s="111" t="s">
        <v>73</v>
      </c>
      <c r="D12" s="111" t="s">
        <v>124</v>
      </c>
      <c r="E12" s="109"/>
      <c r="F12" s="111" t="s">
        <v>125</v>
      </c>
      <c r="G12" s="109"/>
      <c r="H12" s="111" t="s">
        <v>41</v>
      </c>
    </row>
    <row r="13" spans="1:9" s="104" customFormat="1"/>
    <row r="14" spans="1:9" s="104" customFormat="1">
      <c r="B14" s="111" t="s">
        <v>160</v>
      </c>
    </row>
    <row r="15" spans="1:9" s="104" customFormat="1">
      <c r="B15" s="111"/>
      <c r="D15" s="141"/>
      <c r="E15" s="141"/>
      <c r="F15" s="141"/>
      <c r="G15" s="141"/>
      <c r="H15" s="141"/>
    </row>
    <row r="16" spans="1:9" s="104" customFormat="1">
      <c r="A16" s="109">
        <v>1</v>
      </c>
      <c r="B16" s="173" t="s">
        <v>273</v>
      </c>
      <c r="D16" s="231">
        <f>+'Detail Electric'!E35</f>
        <v>5102.9172800000015</v>
      </c>
      <c r="E16" s="141"/>
      <c r="F16" s="167">
        <f>+'Detail Gas'!F37</f>
        <v>4611.485745</v>
      </c>
      <c r="G16" s="141"/>
      <c r="H16" s="139">
        <f>+D16+F16</f>
        <v>9714.4030250000014</v>
      </c>
    </row>
    <row r="17" spans="1:9" s="104" customFormat="1">
      <c r="A17" s="109"/>
      <c r="B17" s="111"/>
      <c r="D17" s="122"/>
      <c r="H17" s="122"/>
    </row>
    <row r="18" spans="1:9" s="104" customFormat="1">
      <c r="A18" s="109">
        <v>2</v>
      </c>
      <c r="B18" s="173" t="s">
        <v>272</v>
      </c>
      <c r="D18" s="141">
        <f>(D16/H16)*H18</f>
        <v>-478.5428018702159</v>
      </c>
      <c r="E18" s="141"/>
      <c r="F18" s="141">
        <f>(F16/H16)*H18</f>
        <v>-432.4571981297841</v>
      </c>
      <c r="G18" s="141"/>
      <c r="H18" s="141">
        <v>-911</v>
      </c>
      <c r="I18" s="104" t="s">
        <v>228</v>
      </c>
    </row>
    <row r="19" spans="1:9" s="104" customFormat="1">
      <c r="A19" s="109"/>
      <c r="F19" s="153"/>
    </row>
    <row r="20" spans="1:9" s="104" customFormat="1">
      <c r="A20" s="109">
        <v>3</v>
      </c>
      <c r="B20" s="104" t="s">
        <v>36</v>
      </c>
      <c r="D20" s="104">
        <f>+'Conv Factor'!G29</f>
        <v>1.583608862800024</v>
      </c>
      <c r="F20" s="104">
        <f>+'Conv Factor'!G56</f>
        <v>1.5832618569768004</v>
      </c>
    </row>
    <row r="21" spans="1:9" s="104" customFormat="1">
      <c r="A21" s="109"/>
    </row>
    <row r="22" spans="1:9" s="104" customFormat="1" ht="13.5" thickBot="1">
      <c r="A22" s="109">
        <v>4</v>
      </c>
      <c r="B22" s="104" t="s">
        <v>129</v>
      </c>
      <c r="C22" s="122"/>
      <c r="D22" s="127">
        <f>+D18*D20</f>
        <v>-757.82462227082976</v>
      </c>
      <c r="F22" s="127">
        <f>+F18*F20</f>
        <v>-684.69298657394609</v>
      </c>
    </row>
    <row r="23" spans="1:9" ht="13.5" thickTop="1"/>
    <row r="25" spans="1:9">
      <c r="A25" t="s">
        <v>293</v>
      </c>
    </row>
  </sheetData>
  <mergeCells count="4">
    <mergeCell ref="A1:I1"/>
    <mergeCell ref="A2:I2"/>
    <mergeCell ref="A4:I4"/>
    <mergeCell ref="A6:I6"/>
  </mergeCells>
  <phoneticPr fontId="0" type="noConversion"/>
  <pageMargins left="0.75" right="0.51" top="1.34" bottom="1" header="0.5" footer="0.5"/>
  <pageSetup orientation="portrait" r:id="rId1"/>
  <headerFooter alignWithMargins="0">
    <oddHeader>&amp;RDocket Nos. UE-080416 &amp;&amp; UG-080417
Exhibit No.___(MJM-4&amp;S&amp;KFF0000C&amp;S&amp;K000000)
&amp;KFF0000 REVISED 1/29/09 &amp;K000000Corrected
Schedule 5 (E &amp;&amp; G)
Page 10 of 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Layout" topLeftCell="D1" zoomScaleNormal="100" workbookViewId="0">
      <selection activeCell="E17" sqref="E17"/>
    </sheetView>
  </sheetViews>
  <sheetFormatPr defaultColWidth="8.85546875" defaultRowHeight="12.75"/>
  <cols>
    <col min="1" max="1" width="5.7109375" style="110" bestFit="1" customWidth="1"/>
    <col min="2" max="2" width="43.140625" style="110" customWidth="1"/>
    <col min="3" max="3" width="13.5703125" style="110" bestFit="1" customWidth="1"/>
    <col min="4" max="4" width="0.85546875" style="117" customWidth="1"/>
    <col min="5" max="5" width="13.5703125" style="110" bestFit="1" customWidth="1"/>
    <col min="6" max="6" width="2.5703125" style="110" customWidth="1"/>
    <col min="7" max="7" width="13.28515625" style="110" bestFit="1" customWidth="1"/>
    <col min="8" max="8" width="1.140625" style="110" customWidth="1"/>
    <col min="9" max="9" width="11.140625" style="110" bestFit="1" customWidth="1"/>
    <col min="10" max="10" width="1.140625" style="110" customWidth="1"/>
    <col min="11" max="11" width="12.5703125" style="110" customWidth="1"/>
    <col min="12" max="12" width="1.5703125" style="110" customWidth="1"/>
    <col min="13" max="13" width="15" style="110" bestFit="1" customWidth="1"/>
    <col min="14" max="16384" width="8.85546875" style="110"/>
  </cols>
  <sheetData>
    <row r="1" spans="1:13" s="104" customFormat="1">
      <c r="A1" s="269" t="s">
        <v>68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3" s="104" customFormat="1">
      <c r="A2" s="270" t="s">
        <v>151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s="104" customFormat="1">
      <c r="E3" s="105"/>
      <c r="F3" s="105"/>
      <c r="G3" s="105"/>
      <c r="H3" s="105"/>
      <c r="I3" s="105"/>
      <c r="J3" s="105"/>
      <c r="K3" s="105"/>
    </row>
    <row r="4" spans="1:13" s="104" customFormat="1">
      <c r="A4" s="270" t="s">
        <v>276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s="104" customFormat="1">
      <c r="E5" s="105"/>
      <c r="F5" s="105"/>
      <c r="G5" s="105"/>
      <c r="H5" s="105"/>
      <c r="I5" s="105"/>
      <c r="J5" s="105"/>
      <c r="K5" s="105"/>
    </row>
    <row r="6" spans="1:13" s="104" customFormat="1">
      <c r="A6" s="270" t="s">
        <v>119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</row>
    <row r="7" spans="1:13" s="104" customForma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3" s="104" customForma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3" ht="15" customHeight="1">
      <c r="A9" s="106"/>
      <c r="B9" s="107"/>
      <c r="C9" s="108" t="s">
        <v>67</v>
      </c>
      <c r="D9" s="109"/>
      <c r="E9" s="108" t="s">
        <v>120</v>
      </c>
      <c r="F9" s="109"/>
      <c r="G9" s="109"/>
      <c r="H9" s="109"/>
      <c r="I9" s="109"/>
      <c r="J9" s="109"/>
      <c r="K9" s="108" t="s">
        <v>120</v>
      </c>
      <c r="M9" s="108" t="s">
        <v>120</v>
      </c>
    </row>
    <row r="10" spans="1:13" ht="15" customHeight="1">
      <c r="B10" s="106"/>
      <c r="C10" s="108" t="s">
        <v>121</v>
      </c>
      <c r="D10" s="109"/>
      <c r="E10" s="108" t="s">
        <v>121</v>
      </c>
      <c r="F10" s="109"/>
      <c r="G10" s="109"/>
      <c r="H10" s="109"/>
      <c r="I10" s="109" t="s">
        <v>136</v>
      </c>
      <c r="J10" s="109"/>
      <c r="K10" s="108" t="s">
        <v>122</v>
      </c>
      <c r="M10" s="108" t="s">
        <v>122</v>
      </c>
    </row>
    <row r="11" spans="1:13" s="114" customFormat="1" ht="15" customHeight="1">
      <c r="A11" s="111" t="s">
        <v>4</v>
      </c>
      <c r="B11" s="111" t="s">
        <v>73</v>
      </c>
      <c r="C11" s="112" t="s">
        <v>123</v>
      </c>
      <c r="D11" s="111"/>
      <c r="E11" s="112" t="s">
        <v>123</v>
      </c>
      <c r="F11" s="113"/>
      <c r="G11" s="113" t="s">
        <v>137</v>
      </c>
      <c r="H11" s="113"/>
      <c r="I11" s="113" t="s">
        <v>146</v>
      </c>
      <c r="J11" s="113"/>
      <c r="K11" s="112" t="s">
        <v>124</v>
      </c>
      <c r="M11" s="112" t="s">
        <v>125</v>
      </c>
    </row>
    <row r="12" spans="1:13" s="114" customFormat="1" ht="15" customHeight="1">
      <c r="A12" s="115"/>
      <c r="B12" s="115"/>
      <c r="C12" s="115" t="s">
        <v>11</v>
      </c>
      <c r="D12" s="140"/>
      <c r="E12" s="115" t="s">
        <v>12</v>
      </c>
      <c r="G12" s="114" t="s">
        <v>147</v>
      </c>
      <c r="I12" s="114" t="s">
        <v>148</v>
      </c>
      <c r="K12" s="114" t="s">
        <v>149</v>
      </c>
      <c r="M12" s="114" t="s">
        <v>150</v>
      </c>
    </row>
    <row r="13" spans="1:13" ht="15" customHeight="1">
      <c r="A13" s="115"/>
      <c r="B13" s="116"/>
    </row>
    <row r="14" spans="1:13" ht="15" customHeight="1">
      <c r="A14" s="115"/>
      <c r="B14" s="116"/>
    </row>
    <row r="15" spans="1:13" ht="15" customHeight="1">
      <c r="A15" s="115"/>
      <c r="B15" s="116"/>
    </row>
    <row r="16" spans="1:13" ht="15" customHeight="1">
      <c r="A16" s="115">
        <v>1</v>
      </c>
      <c r="B16" s="118" t="s">
        <v>134</v>
      </c>
      <c r="C16" s="119">
        <v>8233982</v>
      </c>
      <c r="D16" s="120"/>
      <c r="E16" s="120">
        <v>6821983</v>
      </c>
      <c r="G16" s="136">
        <f>+E16-C16</f>
        <v>-1411999</v>
      </c>
      <c r="I16" s="137">
        <v>0.64590000000000003</v>
      </c>
      <c r="K16" s="120">
        <f>+G16*I16</f>
        <v>-912010.15410000004</v>
      </c>
      <c r="M16" s="120"/>
    </row>
    <row r="17" spans="1:16" ht="15" customHeight="1">
      <c r="A17" s="115">
        <v>2</v>
      </c>
      <c r="B17" s="118" t="s">
        <v>135</v>
      </c>
      <c r="C17" s="119">
        <v>14781408</v>
      </c>
      <c r="D17" s="120"/>
      <c r="E17" s="120">
        <v>12583526</v>
      </c>
      <c r="G17" s="136">
        <f>+E17-C17</f>
        <v>-2197882</v>
      </c>
      <c r="I17" s="137">
        <v>1</v>
      </c>
      <c r="K17" s="132">
        <f>+G17*I17</f>
        <v>-2197882</v>
      </c>
      <c r="M17" s="120"/>
    </row>
    <row r="18" spans="1:16" ht="15" customHeight="1">
      <c r="A18" s="115">
        <v>3</v>
      </c>
      <c r="B18" s="118" t="s">
        <v>138</v>
      </c>
      <c r="C18" s="119"/>
      <c r="D18" s="120"/>
      <c r="E18" s="120"/>
      <c r="G18" s="136"/>
      <c r="I18" s="137"/>
      <c r="K18" s="120">
        <f>SUM(K16:K17)</f>
        <v>-3109892.1540999999</v>
      </c>
      <c r="M18" s="120"/>
    </row>
    <row r="19" spans="1:16" ht="15" customHeight="1">
      <c r="A19" s="115"/>
      <c r="B19" s="118"/>
      <c r="C19" s="119"/>
      <c r="D19" s="120"/>
      <c r="E19" s="120"/>
      <c r="G19" s="136"/>
      <c r="I19" s="137"/>
      <c r="K19" s="120"/>
      <c r="M19" s="120"/>
    </row>
    <row r="20" spans="1:16">
      <c r="A20" s="115">
        <v>4</v>
      </c>
      <c r="B20" s="118" t="s">
        <v>139</v>
      </c>
      <c r="C20" s="119">
        <v>7976709</v>
      </c>
      <c r="D20" s="121"/>
      <c r="E20" s="119">
        <v>6167980</v>
      </c>
      <c r="G20" s="136">
        <f>+E20-C20</f>
        <v>-1808729</v>
      </c>
      <c r="I20" s="137">
        <v>0.67315999999999998</v>
      </c>
      <c r="K20" s="132"/>
      <c r="M20" s="139">
        <f>+G20*I20</f>
        <v>-1217564.01364</v>
      </c>
    </row>
    <row r="21" spans="1:16">
      <c r="A21" s="115"/>
    </row>
    <row r="22" spans="1:16" s="104" customFormat="1">
      <c r="A22" s="115">
        <v>5</v>
      </c>
      <c r="B22" s="104" t="s">
        <v>126</v>
      </c>
      <c r="D22" s="122"/>
      <c r="E22" s="123"/>
      <c r="F22" s="123"/>
      <c r="G22" s="123"/>
      <c r="H22" s="123"/>
      <c r="I22" s="123"/>
      <c r="J22" s="123"/>
      <c r="K22" s="123">
        <f>+K18</f>
        <v>-3109892.1540999999</v>
      </c>
      <c r="L22" s="124"/>
      <c r="M22" s="123">
        <f>+M20</f>
        <v>-1217564.01364</v>
      </c>
    </row>
    <row r="23" spans="1:16" s="104" customFormat="1">
      <c r="A23" s="115"/>
      <c r="D23" s="122"/>
      <c r="E23" s="125"/>
      <c r="F23" s="125"/>
      <c r="G23" s="125"/>
      <c r="H23" s="125"/>
      <c r="I23" s="125"/>
      <c r="J23" s="125"/>
      <c r="K23" s="122"/>
      <c r="M23" s="122"/>
    </row>
    <row r="24" spans="1:16" s="104" customFormat="1">
      <c r="A24" s="115">
        <v>6</v>
      </c>
      <c r="B24" s="104" t="s">
        <v>127</v>
      </c>
      <c r="D24" s="122"/>
      <c r="E24" s="126">
        <v>0.34</v>
      </c>
      <c r="F24" s="46"/>
      <c r="G24" s="46"/>
      <c r="H24" s="46"/>
      <c r="I24" s="46"/>
      <c r="J24" s="46"/>
      <c r="K24" s="122"/>
      <c r="M24" s="122"/>
    </row>
    <row r="25" spans="1:16" s="104" customFormat="1">
      <c r="A25" s="115"/>
      <c r="D25" s="122"/>
      <c r="E25" s="46"/>
      <c r="F25" s="46"/>
      <c r="G25" s="46"/>
      <c r="H25" s="46"/>
      <c r="I25" s="46"/>
      <c r="J25" s="46"/>
      <c r="K25" s="122"/>
      <c r="M25" s="122"/>
    </row>
    <row r="26" spans="1:16" s="104" customFormat="1">
      <c r="A26" s="115">
        <v>7</v>
      </c>
      <c r="B26" s="104" t="s">
        <v>140</v>
      </c>
      <c r="D26" s="122"/>
      <c r="E26" s="125"/>
      <c r="F26" s="125"/>
      <c r="G26" s="125"/>
      <c r="H26" s="125"/>
      <c r="I26" s="125"/>
      <c r="J26" s="125"/>
      <c r="K26" s="139">
        <f>-K22*E24</f>
        <v>1057363.3323940001</v>
      </c>
      <c r="L26" s="125"/>
      <c r="M26" s="139">
        <f>-M22*E24</f>
        <v>413971.76463760005</v>
      </c>
    </row>
    <row r="27" spans="1:16" s="104" customFormat="1">
      <c r="A27" s="115"/>
      <c r="D27" s="122"/>
      <c r="E27" s="46"/>
      <c r="F27" s="46"/>
      <c r="G27" s="46"/>
      <c r="H27" s="46"/>
      <c r="I27" s="46"/>
      <c r="J27" s="46"/>
      <c r="K27" s="122"/>
      <c r="M27" s="122"/>
    </row>
    <row r="28" spans="1:16" s="104" customFormat="1" ht="13.5" thickBot="1">
      <c r="A28" s="115">
        <v>8</v>
      </c>
      <c r="B28" s="104" t="s">
        <v>141</v>
      </c>
      <c r="D28" s="122"/>
      <c r="E28" s="123"/>
      <c r="F28" s="123"/>
      <c r="G28" s="123"/>
      <c r="H28" s="123"/>
      <c r="I28" s="123"/>
      <c r="J28" s="123"/>
      <c r="K28" s="127">
        <f>+K22+K26</f>
        <v>-2052528.8217059998</v>
      </c>
      <c r="L28" s="123"/>
      <c r="M28" s="127">
        <f>+M22+M26</f>
        <v>-803592.24900239997</v>
      </c>
      <c r="P28" s="128"/>
    </row>
    <row r="29" spans="1:16" s="104" customFormat="1" ht="13.5" thickTop="1">
      <c r="A29" s="115"/>
      <c r="D29" s="122"/>
      <c r="E29" s="125"/>
      <c r="F29" s="125"/>
      <c r="G29" s="125"/>
      <c r="H29" s="125"/>
      <c r="I29" s="125"/>
      <c r="J29" s="125"/>
      <c r="K29" s="122"/>
      <c r="M29" s="122"/>
    </row>
    <row r="30" spans="1:16" s="104" customFormat="1">
      <c r="A30" s="115">
        <v>9</v>
      </c>
      <c r="B30" s="104" t="s">
        <v>36</v>
      </c>
      <c r="D30" s="122"/>
      <c r="E30" s="129"/>
      <c r="F30" s="129"/>
      <c r="G30" s="129"/>
      <c r="H30" s="129"/>
      <c r="I30" s="129"/>
      <c r="J30" s="129"/>
      <c r="K30" s="138">
        <f>+'Conv Factor'!G29</f>
        <v>1.583608862800024</v>
      </c>
      <c r="M30" s="138">
        <f>+'Conv Factor'!G56</f>
        <v>1.5832618569768004</v>
      </c>
    </row>
    <row r="31" spans="1:16" s="104" customFormat="1">
      <c r="A31" s="115"/>
      <c r="D31" s="122"/>
      <c r="E31" s="125"/>
      <c r="F31" s="125"/>
      <c r="G31" s="125"/>
      <c r="H31" s="125"/>
      <c r="I31" s="125"/>
      <c r="J31" s="125"/>
      <c r="K31" s="122"/>
      <c r="M31" s="122"/>
    </row>
    <row r="32" spans="1:16" s="104" customFormat="1" ht="13.5" thickBot="1">
      <c r="A32" s="115">
        <v>10</v>
      </c>
      <c r="B32" s="104" t="s">
        <v>143</v>
      </c>
      <c r="C32" s="122"/>
      <c r="D32" s="122"/>
      <c r="E32" s="123"/>
      <c r="F32" s="123"/>
      <c r="G32" s="123"/>
      <c r="H32" s="123"/>
      <c r="I32" s="123"/>
      <c r="J32" s="123"/>
      <c r="K32" s="127">
        <f>+K28*K30</f>
        <v>-3250402.8332061116</v>
      </c>
      <c r="L32" s="123"/>
      <c r="M32" s="127">
        <f>+M28*M30</f>
        <v>-1272296.9564077032</v>
      </c>
    </row>
    <row r="33" spans="1:13" s="30" customFormat="1" ht="13.5" thickTop="1">
      <c r="A33" s="115"/>
      <c r="E33" s="130"/>
      <c r="F33" s="105"/>
      <c r="G33" s="105"/>
      <c r="H33" s="105"/>
      <c r="I33" s="105"/>
      <c r="J33" s="105"/>
      <c r="K33" s="105"/>
    </row>
    <row r="34" spans="1:13" s="30" customFormat="1">
      <c r="A34" s="115"/>
      <c r="E34" s="130"/>
      <c r="F34" s="105"/>
      <c r="G34" s="105"/>
      <c r="H34" s="105"/>
      <c r="I34" s="105"/>
      <c r="J34" s="105"/>
      <c r="K34" s="105"/>
    </row>
    <row r="35" spans="1:13" s="30" customFormat="1">
      <c r="A35" s="115"/>
      <c r="E35" s="130"/>
      <c r="F35" s="105"/>
      <c r="G35" s="105"/>
      <c r="H35" s="105"/>
      <c r="I35" s="105"/>
      <c r="J35" s="105"/>
      <c r="K35" s="105"/>
    </row>
    <row r="36" spans="1:13" ht="15" customHeight="1">
      <c r="A36" s="115"/>
      <c r="B36" s="116" t="s">
        <v>130</v>
      </c>
    </row>
    <row r="37" spans="1:13" ht="15" customHeight="1">
      <c r="A37" s="115">
        <v>9</v>
      </c>
      <c r="B37" s="131" t="s">
        <v>144</v>
      </c>
      <c r="C37" s="119"/>
      <c r="D37" s="120"/>
      <c r="E37" s="120"/>
      <c r="K37" s="132">
        <f>K22*0.5</f>
        <v>-1554946.07705</v>
      </c>
      <c r="M37" s="132">
        <f>M22*0.5</f>
        <v>-608782.00682000001</v>
      </c>
    </row>
    <row r="38" spans="1:13" s="30" customFormat="1">
      <c r="A38" s="115"/>
      <c r="E38" s="130"/>
      <c r="F38" s="105"/>
      <c r="G38" s="105"/>
      <c r="H38" s="105"/>
      <c r="I38" s="105"/>
      <c r="J38" s="105"/>
      <c r="K38" s="105"/>
    </row>
    <row r="39" spans="1:13" s="30" customFormat="1" ht="13.5" thickBot="1">
      <c r="A39" s="115">
        <v>10</v>
      </c>
      <c r="B39" s="30" t="s">
        <v>131</v>
      </c>
      <c r="E39" s="130"/>
      <c r="F39" s="105"/>
      <c r="G39" s="105"/>
      <c r="H39" s="105"/>
      <c r="I39" s="105"/>
      <c r="J39" s="105"/>
      <c r="K39" s="133">
        <f>+K37</f>
        <v>-1554946.07705</v>
      </c>
      <c r="M39" s="134">
        <f>+M37</f>
        <v>-608782.00682000001</v>
      </c>
    </row>
    <row r="40" spans="1:13" s="30" customFormat="1" ht="13.5" thickTop="1">
      <c r="E40" s="130"/>
      <c r="F40" s="105"/>
      <c r="G40" s="105"/>
      <c r="H40" s="105"/>
      <c r="I40" s="105"/>
      <c r="J40" s="105"/>
      <c r="K40" s="105"/>
    </row>
    <row r="41" spans="1:13">
      <c r="A41" s="135" t="s">
        <v>132</v>
      </c>
    </row>
    <row r="42" spans="1:13">
      <c r="A42" s="114" t="s">
        <v>145</v>
      </c>
      <c r="B42" s="110" t="s">
        <v>152</v>
      </c>
    </row>
    <row r="43" spans="1:13">
      <c r="A43" s="114" t="s">
        <v>133</v>
      </c>
      <c r="B43" s="110" t="s">
        <v>153</v>
      </c>
    </row>
    <row r="44" spans="1:13">
      <c r="A44" s="114"/>
    </row>
  </sheetData>
  <mergeCells count="4">
    <mergeCell ref="A1:M1"/>
    <mergeCell ref="A2:M2"/>
    <mergeCell ref="A4:M4"/>
    <mergeCell ref="A6:M6"/>
  </mergeCells>
  <phoneticPr fontId="0" type="noConversion"/>
  <pageMargins left="0.75" right="0.51" top="1.17" bottom="1" header="0.5" footer="0.5"/>
  <pageSetup scale="69" orientation="portrait" r:id="rId1"/>
  <headerFooter alignWithMargins="0">
    <oddHeader>&amp;RDocket Nos. UE-080416 &amp;&amp; UG-080417
Exhibit No.___(MJM-4&amp;SC&amp;S)
 &amp;KFF0000REVISED 1/29/09 &amp;K000000Corrected
Schedule 5 (E &amp;&amp; G)
Page 11 of 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2008-03-04T08:00:00+00:00</OpenedDate>
    <Date1 xmlns="dc463f71-b30c-4ab2-9473-d307f9d35888">2009-01-29T08:00:00+00:00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080416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4CDE25508F4E4AB3B0DB3F0BBE6869" ma:contentTypeVersion="127" ma:contentTypeDescription="" ma:contentTypeScope="" ma:versionID="89873623ac61cc99e8ca08c5a2d807c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44637E-E4B6-4195-95B7-A350C27BF1C7}"/>
</file>

<file path=customXml/itemProps2.xml><?xml version="1.0" encoding="utf-8"?>
<ds:datastoreItem xmlns:ds="http://schemas.openxmlformats.org/officeDocument/2006/customXml" ds:itemID="{C1AE2772-4CDB-4FE3-8185-F4192C6B5F48}"/>
</file>

<file path=customXml/itemProps3.xml><?xml version="1.0" encoding="utf-8"?>
<ds:datastoreItem xmlns:ds="http://schemas.openxmlformats.org/officeDocument/2006/customXml" ds:itemID="{E25A6282-E054-4D10-B747-C35BBF37EA0B}"/>
</file>

<file path=customXml/itemProps4.xml><?xml version="1.0" encoding="utf-8"?>
<ds:datastoreItem xmlns:ds="http://schemas.openxmlformats.org/officeDocument/2006/customXml" ds:itemID="{7F9854EA-B636-4CCA-9633-9A5EBCF49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11</vt:i4>
      </vt:variant>
    </vt:vector>
  </HeadingPairs>
  <TitlesOfParts>
    <vt:vector size="31" baseType="lpstr">
      <vt:lpstr>Summary Electric</vt:lpstr>
      <vt:lpstr>Summary Gas</vt:lpstr>
      <vt:lpstr>Detail Electric</vt:lpstr>
      <vt:lpstr>Detail Gas</vt:lpstr>
      <vt:lpstr>Conv Factor</vt:lpstr>
      <vt:lpstr>ROR</vt:lpstr>
      <vt:lpstr>COR</vt:lpstr>
      <vt:lpstr>Income Tax</vt:lpstr>
      <vt:lpstr>King Depr</vt:lpstr>
      <vt:lpstr>CDA settlement</vt:lpstr>
      <vt:lpstr>Non-Exec Comp</vt:lpstr>
      <vt:lpstr>Exec Comp</vt:lpstr>
      <vt:lpstr>Incentive</vt:lpstr>
      <vt:lpstr>Advertising</vt:lpstr>
      <vt:lpstr>Sporting Events</vt:lpstr>
      <vt:lpstr>Dues</vt:lpstr>
      <vt:lpstr>Contributions</vt:lpstr>
      <vt:lpstr>Shareholders</vt:lpstr>
      <vt:lpstr>D&amp;O</vt:lpstr>
      <vt:lpstr>Int. Sync</vt:lpstr>
      <vt:lpstr>'Conv Factor'!Print_Area</vt:lpstr>
      <vt:lpstr>COR!Print_Area</vt:lpstr>
      <vt:lpstr>'Detail Electric'!Print_Area</vt:lpstr>
      <vt:lpstr>'Detail Gas'!Print_Area</vt:lpstr>
      <vt:lpstr>Incentive!Print_Area</vt:lpstr>
      <vt:lpstr>'Int. Sync'!Print_Area</vt:lpstr>
      <vt:lpstr>'King Depr'!Print_Area</vt:lpstr>
      <vt:lpstr>'Summary Electric'!Print_Area</vt:lpstr>
      <vt:lpstr>'Summary Gas'!Print_Area</vt:lpstr>
      <vt:lpstr>'Detail Electric'!Print_Titles</vt:lpstr>
      <vt:lpstr>'Detail Gas'!Print_Titles</vt:lpstr>
    </vt:vector>
  </TitlesOfParts>
  <Company>Snavely King Majoros O'Connor &amp; Lee,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 Kenney</dc:creator>
  <cp:lastModifiedBy>carolw</cp:lastModifiedBy>
  <cp:lastPrinted>2009-01-29T20:26:27Z</cp:lastPrinted>
  <dcterms:created xsi:type="dcterms:W3CDTF">2008-09-08T19:07:21Z</dcterms:created>
  <dcterms:modified xsi:type="dcterms:W3CDTF">2009-01-29T20:29:25Z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0x0101006E56B4D1795A2E4DB2F0B01679ED314A00784CDE25508F4E4AB3B0DB3F0BBE6869</vt:lpwstr>
  </property>
  <property fmtid="{D5CDD505-2E9C-101B-9397-08002B2CF9AE}" pid="3" name="_docset_NoMedatataSyncRequired">
    <vt:lpwstr>False</vt:lpwstr>
  </property>
</Properties>
</file>