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ummary" sheetId="1" r:id="rId1"/>
    <sheet name="Residential" sheetId="2" r:id="rId2"/>
    <sheet name="comml-industrial" sheetId="3" r:id="rId3"/>
  </sheets>
  <definedNames>
    <definedName name="_xlnm.Print_Titles" localSheetId="2">'comml-industrial'!$1:$5</definedName>
    <definedName name="_xlnm.Print_Titles" localSheetId="1">'Residential'!$1:$5</definedName>
  </definedNames>
  <calcPr fullCalcOnLoad="1"/>
</workbook>
</file>

<file path=xl/sharedStrings.xml><?xml version="1.0" encoding="utf-8"?>
<sst xmlns="http://schemas.openxmlformats.org/spreadsheetml/2006/main" count="174" uniqueCount="127">
  <si>
    <t>(Table 1)</t>
  </si>
  <si>
    <t>Shell Measures</t>
  </si>
  <si>
    <t>Refer Heat Reclaim</t>
  </si>
  <si>
    <t>Cooking</t>
  </si>
  <si>
    <t>O&amp;M and Controls</t>
  </si>
  <si>
    <t>Replace Heaters</t>
  </si>
  <si>
    <t>DHW Measures</t>
  </si>
  <si>
    <t>Solar Pool Heat</t>
  </si>
  <si>
    <t>Replace Boiler</t>
  </si>
  <si>
    <t>New Refer Heat Reclaim</t>
  </si>
  <si>
    <t>New Windows</t>
  </si>
  <si>
    <t>New Cooking</t>
  </si>
  <si>
    <t>New Heaters</t>
  </si>
  <si>
    <t>New DHW Measures</t>
  </si>
  <si>
    <t>New Boilers</t>
  </si>
  <si>
    <t>New Solar Pool Heat</t>
  </si>
  <si>
    <t>Technical Potential</t>
  </si>
  <si>
    <t>Achievable</t>
  </si>
  <si>
    <t>Boilers</t>
  </si>
  <si>
    <t>Unit Heater</t>
  </si>
  <si>
    <t>Process Hot Water</t>
  </si>
  <si>
    <t>Specialty Hot Water</t>
  </si>
  <si>
    <t>New Construction</t>
  </si>
  <si>
    <t>Year 1</t>
  </si>
  <si>
    <t>@ 2025</t>
  </si>
  <si>
    <t>by 2025 at</t>
  </si>
  <si>
    <t>Total Commercial/Industrial</t>
  </si>
  <si>
    <t xml:space="preserve">   (in 000's of therms</t>
  </si>
  <si>
    <t>Total Industrial</t>
  </si>
  <si>
    <t>Total Commercial</t>
  </si>
  <si>
    <t xml:space="preserve">New </t>
  </si>
  <si>
    <t>Replacement</t>
  </si>
  <si>
    <t>Excluded from target development since no one in NW is currently offering such a program.  Will work to develop program for inclusion in 2010 targets</t>
  </si>
  <si>
    <t>Total Business Therm Savings</t>
  </si>
  <si>
    <t>Excluded Heat Reclaim &amp; Solar for 2008 &amp; 2009 targets</t>
  </si>
  <si>
    <t>ETO  Estimate</t>
  </si>
  <si>
    <t>YR 1</t>
  </si>
  <si>
    <t>Assume that therms savings would be acquired over 15 year period. 1st year would have 10% participation</t>
  </si>
  <si>
    <t>Only 1/20th of 2025 figures could occur because this is new construction over planning horizon.  During the 1st year, assumed 20% of eligible population will participate.</t>
  </si>
  <si>
    <t>YR 2</t>
  </si>
  <si>
    <t>YR 3</t>
  </si>
  <si>
    <t>Only 1/20th of 2025 figures could occur because this is new construction over planning horizon.  During the 1st year, assumed 45% of eligible population will participate.</t>
  </si>
  <si>
    <t>Only 1/20th of 2025 figures could occur because this is new construction over planning horizon.  During the 1st year, assumed 25% of eligible population will participate.</t>
  </si>
  <si>
    <t>Assume that therms savings would be acquired over 14 year remaining. 2nd year would have 15% participation</t>
  </si>
  <si>
    <t>Assume that therms savings would be acquired over 13 year remaining. 3rd year would have 20% participation</t>
  </si>
  <si>
    <t>Measure Code</t>
  </si>
  <si>
    <t>Measure Description</t>
  </si>
  <si>
    <t>Program</t>
  </si>
  <si>
    <t>R-H101</t>
  </si>
  <si>
    <t>Duct Sealing, Zone 1</t>
  </si>
  <si>
    <t>HVACExist</t>
  </si>
  <si>
    <t>R-H102</t>
  </si>
  <si>
    <t>Duct Sealing, Zone 2</t>
  </si>
  <si>
    <t>R-H103</t>
  </si>
  <si>
    <t>Duct Sealing, Zone 3</t>
  </si>
  <si>
    <t>R-H106</t>
  </si>
  <si>
    <t>AFUE 90+ Furnace, Zone 3</t>
  </si>
  <si>
    <t>R-H104</t>
  </si>
  <si>
    <t>AFUE 90+ Furnace, Zone 1</t>
  </si>
  <si>
    <t>R-H105</t>
  </si>
  <si>
    <t>AFUE 90+ Furnace, Zone 2</t>
  </si>
  <si>
    <t>R-H113</t>
  </si>
  <si>
    <t>Duct Sealing and AFUE 90+, Zone 1</t>
  </si>
  <si>
    <t>R-H114</t>
  </si>
  <si>
    <t>Duct Sealing and AFUE 90+, Zone 2</t>
  </si>
  <si>
    <t>R-H115</t>
  </si>
  <si>
    <t>Duct Sealing and AFUE 90+, Zone 3</t>
  </si>
  <si>
    <t>R-WG101</t>
  </si>
  <si>
    <t>Wx insulation 2 measures Zone 1</t>
  </si>
  <si>
    <t>WxExist</t>
  </si>
  <si>
    <t>R-WG102</t>
  </si>
  <si>
    <t>Wx insulation 2 measures Zone 2</t>
  </si>
  <si>
    <t>R-WG103</t>
  </si>
  <si>
    <t>Wx insulation 2 measures Zone 3</t>
  </si>
  <si>
    <t>R-WG104</t>
  </si>
  <si>
    <t>Wx insulation 1 added measure Zone 1</t>
  </si>
  <si>
    <t>R-WG105</t>
  </si>
  <si>
    <t>Wx insulation 1 added measure Zone 2</t>
  </si>
  <si>
    <t>R-WG106</t>
  </si>
  <si>
    <t>Wx insulation 1 added measure Zone 3</t>
  </si>
  <si>
    <t>N-H101</t>
  </si>
  <si>
    <t>E* Insulation, Ducts, Zone 1</t>
  </si>
  <si>
    <t>NewPkg</t>
  </si>
  <si>
    <t>N-H102</t>
  </si>
  <si>
    <t>E* Insulation, Ducts, Zone 2</t>
  </si>
  <si>
    <t>N-H103</t>
  </si>
  <si>
    <t>E* Insulation, Ducts, Zone 3</t>
  </si>
  <si>
    <t>N-H104</t>
  </si>
  <si>
    <t>Heating upgrade (AFUE 90), Zone 1</t>
  </si>
  <si>
    <t>N-H105</t>
  </si>
  <si>
    <t>Heating upgrade (AFUE 90), Zone 2</t>
  </si>
  <si>
    <t>N-H106</t>
  </si>
  <si>
    <t>Heating upgrade (AFUE 90), Zone 3</t>
  </si>
  <si>
    <t>Gas Savings</t>
  </si>
  <si>
    <t>Therms</t>
  </si>
  <si>
    <t>Table 14</t>
  </si>
  <si>
    <t>Residential Existing</t>
  </si>
  <si>
    <t>Energy Trust</t>
  </si>
  <si>
    <t>Total Residential Best Case</t>
  </si>
  <si>
    <t>Year 2</t>
  </si>
  <si>
    <t>Stellar Summary</t>
  </si>
  <si>
    <t>Technical Potential by 2025</t>
  </si>
  <si>
    <t>Total Residential Potential</t>
  </si>
  <si>
    <t>Therm Savings targets:</t>
  </si>
  <si>
    <t>Achievable Potential by 2025</t>
  </si>
  <si>
    <t>Note Assume New Construction at 60% achievable</t>
  </si>
  <si>
    <t>Assume that 75% of Existing could be achievable</t>
  </si>
  <si>
    <t>Assume that therms savings would be acquired over 15 year period. 1st year would have 25% participation of annual amount</t>
  </si>
  <si>
    <t>Assume that therms savings would be acquired over 14 year period. 2nd year would have 30% participation of annual amount</t>
  </si>
  <si>
    <t>Only 1/20th of 2025 figures could occur because this is new construction over planning horizon.  During the 2nd year, assumed 30% of eligible population will participate.</t>
  </si>
  <si>
    <t>CASCADE NATURAL GAS CORPORATION</t>
  </si>
  <si>
    <t>BENCH REQUEST #5</t>
  </si>
  <si>
    <t>ATTACHMENT</t>
  </si>
  <si>
    <t>RESIDENTIAL TARGET DEVELOPMENT</t>
  </si>
  <si>
    <t>COMMERCIAL/INDUSTRIAL TARGET DEVELOPMENT</t>
  </si>
  <si>
    <t>Residential Programs</t>
  </si>
  <si>
    <t>Bestcase</t>
  </si>
  <si>
    <t>Conservative</t>
  </si>
  <si>
    <t>Schedule 1 of 3</t>
  </si>
  <si>
    <t>Schedule 2 of 3</t>
  </si>
  <si>
    <t>Schedule 3 of 3</t>
  </si>
  <si>
    <t>Year 3</t>
  </si>
  <si>
    <t>Assume that therms savings would be acquired over 13 year period. 3rd yr would have 30% participation of annual amount</t>
  </si>
  <si>
    <t>Only 1/20th of 2025 figures could occur because this is new construction over planning horizon.  During the 3rd year, assumed 35% of eligible population will participate.</t>
  </si>
  <si>
    <t>Conservative scenario is 75% of best case</t>
  </si>
  <si>
    <t>Commercial/Industrial Programs</t>
  </si>
  <si>
    <t>Combined Utility Programs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</si>
</sst>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dd\-mmm\-yy"/>
    <numFmt numFmtId="170" formatCode="&quot;$&quot;#,##0.000"/>
    <numFmt numFmtId="171" formatCode="&quot;$&quot;#,##0.000_);[Red]\(&quot;$&quot;#,##0.000\)"/>
    <numFmt numFmtId="172" formatCode="&quot;$&quot;#,##0"/>
    <numFmt numFmtId="173" formatCode="0.0%"/>
    <numFmt numFmtId="174" formatCode="#,##0.0"/>
    <numFmt numFmtId="175" formatCode="0.0"/>
    <numFmt numFmtId="176" formatCode="0.000"/>
    <numFmt numFmtId="177" formatCode="#,##0.0000"/>
    <numFmt numFmtId="178" formatCode="0.00000"/>
    <numFmt numFmtId="179" formatCode="&quot;$&quot;#,##0.00"/>
    <numFmt numFmtId="180" formatCode="0.000000%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0.0000000"/>
    <numFmt numFmtId="184" formatCode="0.00000000"/>
    <numFmt numFmtId="185" formatCode="0.000000"/>
    <numFmt numFmtId="186" formatCode="0.0000"/>
    <numFmt numFmtId="187" formatCode="General_)"/>
    <numFmt numFmtId="188" formatCode="#,##0.000_);\(#,##0.000\)"/>
    <numFmt numFmtId="189" formatCode="#,##0.000000_);\(#,##0.000000\)"/>
    <numFmt numFmtId="190" formatCode="mm/dd/yy_)"/>
    <numFmt numFmtId="191" formatCode=";;;"/>
    <numFmt numFmtId="192" formatCode="#,##0.0000_);\(#,##0.0000\)"/>
    <numFmt numFmtId="193" formatCode="0.00_)"/>
    <numFmt numFmtId="194" formatCode="0_)"/>
    <numFmt numFmtId="195" formatCode="#,##0.00000_);\(#,##0.00000\)"/>
    <numFmt numFmtId="196" formatCode="dd\-mmm\-yy_)"/>
    <numFmt numFmtId="197" formatCode="0.000%"/>
    <numFmt numFmtId="198" formatCode="0.0000%"/>
    <numFmt numFmtId="199" formatCode="_(* #,##0.000_);_(* \(#,##0.00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9" fontId="0" fillId="0" borderId="0" xfId="2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8" fontId="0" fillId="0" borderId="0" xfId="15" applyNumberFormat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3" fontId="2" fillId="0" borderId="9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168" fontId="0" fillId="0" borderId="7" xfId="15" applyNumberFormat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7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0" borderId="14" xfId="0" applyFont="1" applyFill="1" applyBorder="1" applyAlignment="1">
      <alignment vertical="top" wrapText="1"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16</xdr:row>
      <xdr:rowOff>76200</xdr:rowOff>
    </xdr:from>
    <xdr:to>
      <xdr:col>6</xdr:col>
      <xdr:colOff>504825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6648450" y="30289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57150</xdr:rowOff>
    </xdr:from>
    <xdr:to>
      <xdr:col>8</xdr:col>
      <xdr:colOff>304800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20075" y="3009900"/>
          <a:ext cx="95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28575</xdr:rowOff>
    </xdr:from>
    <xdr:to>
      <xdr:col>6</xdr:col>
      <xdr:colOff>514350</xdr:colOff>
      <xdr:row>14</xdr:row>
      <xdr:rowOff>38100</xdr:rowOff>
    </xdr:to>
    <xdr:sp>
      <xdr:nvSpPr>
        <xdr:cNvPr id="3" name="Line 3"/>
        <xdr:cNvSpPr>
          <a:spLocks/>
        </xdr:cNvSpPr>
      </xdr:nvSpPr>
      <xdr:spPr>
        <a:xfrm>
          <a:off x="6657975" y="20097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19050</xdr:rowOff>
    </xdr:from>
    <xdr:to>
      <xdr:col>8</xdr:col>
      <xdr:colOff>314325</xdr:colOff>
      <xdr:row>14</xdr:row>
      <xdr:rowOff>28575</xdr:rowOff>
    </xdr:to>
    <xdr:sp>
      <xdr:nvSpPr>
        <xdr:cNvPr id="4" name="Line 4"/>
        <xdr:cNvSpPr>
          <a:spLocks/>
        </xdr:cNvSpPr>
      </xdr:nvSpPr>
      <xdr:spPr>
        <a:xfrm>
          <a:off x="8239125" y="2000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9" sqref="B19:B20"/>
    </sheetView>
  </sheetViews>
  <sheetFormatPr defaultColWidth="9.140625" defaultRowHeight="12.75"/>
  <cols>
    <col min="1" max="1" width="38.421875" style="0" customWidth="1"/>
    <col min="2" max="4" width="11.28125" style="0" bestFit="1" customWidth="1"/>
    <col min="5" max="5" width="2.8515625" style="0" customWidth="1"/>
    <col min="6" max="6" width="14.140625" style="0" customWidth="1"/>
  </cols>
  <sheetData>
    <row r="1" spans="1:6" ht="12.75">
      <c r="A1" s="44" t="s">
        <v>110</v>
      </c>
      <c r="B1" s="44"/>
      <c r="C1" s="44"/>
      <c r="D1" s="44"/>
      <c r="E1" s="44"/>
      <c r="F1" t="s">
        <v>118</v>
      </c>
    </row>
    <row r="2" spans="1:5" ht="12.75">
      <c r="A2" s="44" t="s">
        <v>111</v>
      </c>
      <c r="B2" s="44"/>
      <c r="C2" s="44"/>
      <c r="D2" s="44"/>
      <c r="E2" s="44"/>
    </row>
    <row r="3" spans="1:5" ht="12.75">
      <c r="A3" s="44" t="s">
        <v>112</v>
      </c>
      <c r="B3" s="44"/>
      <c r="C3" s="44"/>
      <c r="D3" s="44"/>
      <c r="E3" s="44"/>
    </row>
    <row r="5" spans="2:4" ht="12.75">
      <c r="B5" s="42">
        <v>2008</v>
      </c>
      <c r="C5" s="42">
        <v>2009</v>
      </c>
      <c r="D5" s="42">
        <v>2010</v>
      </c>
    </row>
    <row r="6" spans="1:4" ht="12.75">
      <c r="A6" t="s">
        <v>115</v>
      </c>
      <c r="B6" s="14">
        <f>+Residential!F37</f>
        <v>210578</v>
      </c>
      <c r="C6" s="14">
        <f>+Residential!F42</f>
        <v>245850</v>
      </c>
      <c r="D6" s="14">
        <f>+Residential!F48</f>
        <v>273948</v>
      </c>
    </row>
    <row r="7" spans="1:4" ht="12.75">
      <c r="A7" t="s">
        <v>125</v>
      </c>
      <c r="B7" s="14">
        <f>+'comml-industrial'!E45</f>
        <v>157095</v>
      </c>
      <c r="C7" s="14">
        <f>+'comml-industrial'!E50</f>
        <v>227380</v>
      </c>
      <c r="D7" s="14">
        <f>+'comml-industrial'!E55</f>
        <v>329996</v>
      </c>
    </row>
    <row r="8" spans="1:4" ht="12.75">
      <c r="A8" t="s">
        <v>126</v>
      </c>
      <c r="B8" s="14">
        <f>+B7+B6</f>
        <v>367673</v>
      </c>
      <c r="C8" s="14">
        <f>+C7+C6</f>
        <v>473230</v>
      </c>
      <c r="D8" s="14">
        <f>+D7+D6</f>
        <v>603944</v>
      </c>
    </row>
    <row r="9" spans="2:4" ht="12.75">
      <c r="B9" s="14"/>
      <c r="C9" s="14"/>
      <c r="D9" s="14"/>
    </row>
    <row r="10" spans="1:4" ht="12.75">
      <c r="A10" t="s">
        <v>116</v>
      </c>
      <c r="B10" s="14">
        <v>370000</v>
      </c>
      <c r="C10" s="14">
        <v>475000</v>
      </c>
      <c r="D10" s="14">
        <v>605000</v>
      </c>
    </row>
    <row r="11" spans="1:4" ht="12.75">
      <c r="A11" t="s">
        <v>117</v>
      </c>
      <c r="B11" s="14">
        <f>+B10*0.75</f>
        <v>277500</v>
      </c>
      <c r="C11" s="14">
        <v>355000</v>
      </c>
      <c r="D11" s="14">
        <v>455000</v>
      </c>
    </row>
    <row r="16" ht="12.75">
      <c r="A16" t="s">
        <v>124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B34" sqref="B34"/>
    </sheetView>
  </sheetViews>
  <sheetFormatPr defaultColWidth="9.140625" defaultRowHeight="12.75"/>
  <cols>
    <col min="2" max="2" width="39.8515625" style="0" customWidth="1"/>
    <col min="3" max="3" width="12.421875" style="0" customWidth="1"/>
    <col min="4" max="4" width="10.28125" style="0" bestFit="1" customWidth="1"/>
    <col min="5" max="5" width="11.28125" style="0" bestFit="1" customWidth="1"/>
    <col min="7" max="7" width="16.57421875" style="0" customWidth="1"/>
    <col min="8" max="8" width="10.140625" style="0" bestFit="1" customWidth="1"/>
  </cols>
  <sheetData>
    <row r="1" spans="1:7" ht="12.75">
      <c r="A1" s="44" t="s">
        <v>110</v>
      </c>
      <c r="B1" s="44"/>
      <c r="C1" s="44"/>
      <c r="D1" s="44"/>
      <c r="E1" s="44"/>
      <c r="G1" t="s">
        <v>119</v>
      </c>
    </row>
    <row r="2" spans="1:5" ht="12.75">
      <c r="A2" s="44" t="s">
        <v>111</v>
      </c>
      <c r="B2" s="44"/>
      <c r="C2" s="44"/>
      <c r="D2" s="44"/>
      <c r="E2" s="44"/>
    </row>
    <row r="3" spans="1:5" ht="12.75">
      <c r="A3" s="44" t="s">
        <v>112</v>
      </c>
      <c r="B3" s="44"/>
      <c r="C3" s="44"/>
      <c r="D3" s="44"/>
      <c r="E3" s="44"/>
    </row>
    <row r="5" ht="12.75">
      <c r="A5" s="7" t="s">
        <v>113</v>
      </c>
    </row>
    <row r="6" ht="3" customHeight="1">
      <c r="E6" s="4"/>
    </row>
    <row r="7" spans="1:5" ht="38.25">
      <c r="A7" s="7" t="s">
        <v>95</v>
      </c>
      <c r="B7" s="7" t="s">
        <v>100</v>
      </c>
      <c r="D7" s="37" t="s">
        <v>101</v>
      </c>
      <c r="E7" s="37" t="s">
        <v>104</v>
      </c>
    </row>
    <row r="8" spans="1:5" ht="25.5" customHeight="1">
      <c r="A8" s="46" t="s">
        <v>45</v>
      </c>
      <c r="B8" s="46" t="s">
        <v>46</v>
      </c>
      <c r="C8" s="46" t="s">
        <v>47</v>
      </c>
      <c r="D8" s="25" t="s">
        <v>93</v>
      </c>
      <c r="E8" s="25" t="s">
        <v>93</v>
      </c>
    </row>
    <row r="9" spans="1:5" ht="12.75">
      <c r="A9" s="47"/>
      <c r="B9" s="47"/>
      <c r="C9" s="47"/>
      <c r="D9" s="26" t="s">
        <v>94</v>
      </c>
      <c r="E9" s="26" t="s">
        <v>94</v>
      </c>
    </row>
    <row r="10" spans="1:7" ht="12.75">
      <c r="A10" s="27" t="s">
        <v>80</v>
      </c>
      <c r="B10" s="28" t="s">
        <v>81</v>
      </c>
      <c r="C10" s="29" t="s">
        <v>82</v>
      </c>
      <c r="D10" s="30">
        <v>1765328</v>
      </c>
      <c r="E10" s="23">
        <f aca="true" t="shared" si="0" ref="E10:E15">ROUND(0.6*D10,0)</f>
        <v>1059197</v>
      </c>
      <c r="G10" t="s">
        <v>105</v>
      </c>
    </row>
    <row r="11" spans="1:5" ht="12.75">
      <c r="A11" s="27" t="s">
        <v>83</v>
      </c>
      <c r="B11" s="28" t="s">
        <v>84</v>
      </c>
      <c r="C11" s="29" t="s">
        <v>82</v>
      </c>
      <c r="D11" s="30">
        <v>3830256</v>
      </c>
      <c r="E11" s="23">
        <f t="shared" si="0"/>
        <v>2298154</v>
      </c>
    </row>
    <row r="12" spans="1:5" ht="12.75">
      <c r="A12" s="27" t="s">
        <v>85</v>
      </c>
      <c r="B12" s="28" t="s">
        <v>86</v>
      </c>
      <c r="C12" s="29" t="s">
        <v>82</v>
      </c>
      <c r="D12" s="30">
        <v>3488895</v>
      </c>
      <c r="E12" s="23">
        <f t="shared" si="0"/>
        <v>2093337</v>
      </c>
    </row>
    <row r="13" spans="1:5" ht="12.75">
      <c r="A13" s="27" t="s">
        <v>87</v>
      </c>
      <c r="B13" s="28" t="s">
        <v>88</v>
      </c>
      <c r="C13" s="29" t="s">
        <v>82</v>
      </c>
      <c r="D13" s="30">
        <v>600917</v>
      </c>
      <c r="E13" s="23">
        <f t="shared" si="0"/>
        <v>360550</v>
      </c>
    </row>
    <row r="14" spans="1:5" ht="12.75">
      <c r="A14" s="27" t="s">
        <v>89</v>
      </c>
      <c r="B14" s="28" t="s">
        <v>90</v>
      </c>
      <c r="C14" s="29" t="s">
        <v>82</v>
      </c>
      <c r="D14" s="36">
        <v>1598275</v>
      </c>
      <c r="E14" s="23">
        <f t="shared" si="0"/>
        <v>958965</v>
      </c>
    </row>
    <row r="15" spans="1:5" ht="12.75">
      <c r="A15" s="27" t="s">
        <v>91</v>
      </c>
      <c r="B15" s="28" t="s">
        <v>92</v>
      </c>
      <c r="C15" s="29" t="s">
        <v>82</v>
      </c>
      <c r="D15" s="36">
        <v>951793</v>
      </c>
      <c r="E15" s="23">
        <f t="shared" si="0"/>
        <v>571076</v>
      </c>
    </row>
    <row r="16" spans="1:7" ht="12.75">
      <c r="A16" s="27" t="s">
        <v>48</v>
      </c>
      <c r="B16" s="28" t="s">
        <v>49</v>
      </c>
      <c r="C16" s="29" t="s">
        <v>50</v>
      </c>
      <c r="D16" s="36">
        <v>87228</v>
      </c>
      <c r="E16" s="23">
        <f aca="true" t="shared" si="1" ref="E16:E30">ROUND(0.75*D16,0)</f>
        <v>65421</v>
      </c>
      <c r="G16" t="s">
        <v>106</v>
      </c>
    </row>
    <row r="17" spans="1:5" ht="12.75">
      <c r="A17" s="27" t="s">
        <v>51</v>
      </c>
      <c r="B17" s="28" t="s">
        <v>52</v>
      </c>
      <c r="C17" s="29" t="s">
        <v>50</v>
      </c>
      <c r="D17" s="36">
        <v>154826</v>
      </c>
      <c r="E17" s="23">
        <f t="shared" si="1"/>
        <v>116120</v>
      </c>
    </row>
    <row r="18" spans="1:5" ht="12.75">
      <c r="A18" s="27" t="s">
        <v>53</v>
      </c>
      <c r="B18" s="28" t="s">
        <v>54</v>
      </c>
      <c r="C18" s="31" t="s">
        <v>50</v>
      </c>
      <c r="D18" s="36">
        <v>167703</v>
      </c>
      <c r="E18" s="23">
        <f t="shared" si="1"/>
        <v>125777</v>
      </c>
    </row>
    <row r="19" spans="1:5" ht="12.75">
      <c r="A19" s="27" t="s">
        <v>57</v>
      </c>
      <c r="B19" s="28" t="s">
        <v>58</v>
      </c>
      <c r="C19" s="31" t="s">
        <v>50</v>
      </c>
      <c r="D19" s="36">
        <v>763055</v>
      </c>
      <c r="E19" s="23">
        <f t="shared" si="1"/>
        <v>572291</v>
      </c>
    </row>
    <row r="20" spans="1:5" ht="12.75">
      <c r="A20" s="27" t="s">
        <v>59</v>
      </c>
      <c r="B20" s="28" t="s">
        <v>60</v>
      </c>
      <c r="C20" s="31" t="s">
        <v>50</v>
      </c>
      <c r="D20" s="36">
        <v>1424214</v>
      </c>
      <c r="E20" s="23">
        <f t="shared" si="1"/>
        <v>1068161</v>
      </c>
    </row>
    <row r="21" spans="1:5" ht="12.75">
      <c r="A21" s="27" t="s">
        <v>55</v>
      </c>
      <c r="B21" s="28" t="s">
        <v>56</v>
      </c>
      <c r="C21" s="29" t="s">
        <v>50</v>
      </c>
      <c r="D21" s="36">
        <v>1375074</v>
      </c>
      <c r="E21" s="23">
        <f t="shared" si="1"/>
        <v>1031306</v>
      </c>
    </row>
    <row r="22" spans="1:5" ht="12.75">
      <c r="A22" s="27" t="s">
        <v>61</v>
      </c>
      <c r="B22" s="28" t="s">
        <v>62</v>
      </c>
      <c r="C22" s="29" t="s">
        <v>50</v>
      </c>
      <c r="D22" s="36">
        <v>124877</v>
      </c>
      <c r="E22" s="23">
        <f t="shared" si="1"/>
        <v>93658</v>
      </c>
    </row>
    <row r="23" spans="1:5" ht="12.75">
      <c r="A23" s="27" t="s">
        <v>63</v>
      </c>
      <c r="B23" s="28" t="s">
        <v>64</v>
      </c>
      <c r="C23" s="29" t="s">
        <v>50</v>
      </c>
      <c r="D23" s="36">
        <v>233830</v>
      </c>
      <c r="E23" s="23">
        <f t="shared" si="1"/>
        <v>175373</v>
      </c>
    </row>
    <row r="24" spans="1:8" ht="12.75">
      <c r="A24" s="27" t="s">
        <v>65</v>
      </c>
      <c r="B24" s="28" t="s">
        <v>66</v>
      </c>
      <c r="C24" s="29" t="s">
        <v>50</v>
      </c>
      <c r="D24" s="36">
        <v>225677</v>
      </c>
      <c r="E24" s="23">
        <f t="shared" si="1"/>
        <v>169258</v>
      </c>
      <c r="H24" s="23"/>
    </row>
    <row r="25" spans="1:8" ht="12.75">
      <c r="A25" s="27" t="s">
        <v>67</v>
      </c>
      <c r="B25" s="28" t="s">
        <v>68</v>
      </c>
      <c r="C25" s="29" t="s">
        <v>69</v>
      </c>
      <c r="D25" s="36">
        <v>454544</v>
      </c>
      <c r="E25" s="23">
        <f t="shared" si="1"/>
        <v>340908</v>
      </c>
      <c r="H25" s="23"/>
    </row>
    <row r="26" spans="1:8" ht="12.75">
      <c r="A26" s="27" t="s">
        <v>70</v>
      </c>
      <c r="B26" s="28" t="s">
        <v>71</v>
      </c>
      <c r="C26" s="31" t="s">
        <v>69</v>
      </c>
      <c r="D26" s="36">
        <v>888592</v>
      </c>
      <c r="E26" s="23">
        <f t="shared" si="1"/>
        <v>666444</v>
      </c>
      <c r="H26" s="23"/>
    </row>
    <row r="27" spans="1:8" ht="12.75">
      <c r="A27" s="27" t="s">
        <v>72</v>
      </c>
      <c r="B27" s="28" t="s">
        <v>73</v>
      </c>
      <c r="C27" s="31" t="s">
        <v>69</v>
      </c>
      <c r="D27" s="36">
        <v>766849</v>
      </c>
      <c r="E27" s="23">
        <f t="shared" si="1"/>
        <v>575137</v>
      </c>
      <c r="H27" s="23"/>
    </row>
    <row r="28" spans="1:8" ht="12.75">
      <c r="A28" s="27" t="s">
        <v>74</v>
      </c>
      <c r="B28" s="28" t="s">
        <v>75</v>
      </c>
      <c r="C28" s="31" t="s">
        <v>69</v>
      </c>
      <c r="D28" s="30">
        <v>276226</v>
      </c>
      <c r="E28" s="23">
        <f t="shared" si="1"/>
        <v>207170</v>
      </c>
      <c r="H28" s="23"/>
    </row>
    <row r="29" spans="1:5" ht="12.75">
      <c r="A29" s="27" t="s">
        <v>76</v>
      </c>
      <c r="B29" s="28" t="s">
        <v>77</v>
      </c>
      <c r="C29" s="29" t="s">
        <v>69</v>
      </c>
      <c r="D29" s="30">
        <v>539741</v>
      </c>
      <c r="E29" s="23">
        <f t="shared" si="1"/>
        <v>404806</v>
      </c>
    </row>
    <row r="30" spans="1:5" ht="12.75">
      <c r="A30" s="27" t="s">
        <v>78</v>
      </c>
      <c r="B30" s="28" t="s">
        <v>79</v>
      </c>
      <c r="C30" s="29" t="s">
        <v>69</v>
      </c>
      <c r="D30" s="30">
        <v>467920</v>
      </c>
      <c r="E30" s="23">
        <f t="shared" si="1"/>
        <v>350940</v>
      </c>
    </row>
    <row r="31" spans="1:5" ht="12.75">
      <c r="A31" s="27"/>
      <c r="B31" s="28"/>
      <c r="C31" s="29"/>
      <c r="D31" s="30"/>
      <c r="E31" s="23"/>
    </row>
    <row r="32" spans="2:5" ht="12.75">
      <c r="B32" s="38" t="s">
        <v>102</v>
      </c>
      <c r="D32" s="23">
        <f>SUM(D10:D31)</f>
        <v>20185820</v>
      </c>
      <c r="E32" s="23">
        <f>SUM(E10:E31)</f>
        <v>13304049</v>
      </c>
    </row>
    <row r="33" ht="6.75" customHeight="1">
      <c r="B33" s="32"/>
    </row>
    <row r="34" spans="2:6" ht="12.75">
      <c r="B34" s="32" t="s">
        <v>103</v>
      </c>
      <c r="E34" s="14"/>
      <c r="F34" t="s">
        <v>97</v>
      </c>
    </row>
    <row r="35" spans="1:11" ht="42" customHeight="1">
      <c r="A35" t="s">
        <v>23</v>
      </c>
      <c r="B35" t="s">
        <v>96</v>
      </c>
      <c r="E35" s="33">
        <f>(SUM($E$16:$E$30)/15)*0.25</f>
        <v>99379.5</v>
      </c>
      <c r="F35">
        <v>108703</v>
      </c>
      <c r="H35" s="45" t="s">
        <v>107</v>
      </c>
      <c r="I35" s="45"/>
      <c r="J35" s="45"/>
      <c r="K35" s="45"/>
    </row>
    <row r="36" spans="1:11" ht="70.5" customHeight="1">
      <c r="A36" t="s">
        <v>23</v>
      </c>
      <c r="B36" t="s">
        <v>22</v>
      </c>
      <c r="E36" s="33">
        <f>(SUM($E$10:$E$15)/20)*0.25</f>
        <v>91765.9875</v>
      </c>
      <c r="F36">
        <v>101875</v>
      </c>
      <c r="H36" s="45" t="s">
        <v>38</v>
      </c>
      <c r="I36" s="45"/>
      <c r="J36" s="45"/>
      <c r="K36" s="45"/>
    </row>
    <row r="37" spans="2:6" ht="12.75">
      <c r="B37" t="s">
        <v>98</v>
      </c>
      <c r="E37" s="34">
        <f>+E36+E35</f>
        <v>191145.4875</v>
      </c>
      <c r="F37" s="35">
        <f>+F36+F35</f>
        <v>210578</v>
      </c>
    </row>
    <row r="40" spans="1:11" ht="43.5" customHeight="1">
      <c r="A40" t="s">
        <v>99</v>
      </c>
      <c r="B40" t="s">
        <v>96</v>
      </c>
      <c r="E40" s="33">
        <f>(SUM($E$16:$E$30)/14)*0.3</f>
        <v>127773.64285714284</v>
      </c>
      <c r="F40">
        <v>126992</v>
      </c>
      <c r="H40" s="45" t="s">
        <v>108</v>
      </c>
      <c r="I40" s="45"/>
      <c r="J40" s="45"/>
      <c r="K40" s="45"/>
    </row>
    <row r="41" spans="1:11" ht="70.5" customHeight="1">
      <c r="A41" t="s">
        <v>99</v>
      </c>
      <c r="B41" t="s">
        <v>22</v>
      </c>
      <c r="E41" s="33">
        <f>(SUM($E$10:$E$15)/20)*0.3</f>
        <v>110119.185</v>
      </c>
      <c r="F41">
        <v>118858</v>
      </c>
      <c r="H41" s="45" t="s">
        <v>109</v>
      </c>
      <c r="I41" s="45"/>
      <c r="J41" s="45"/>
      <c r="K41" s="45"/>
    </row>
    <row r="42" spans="2:6" ht="12.75">
      <c r="B42" t="s">
        <v>98</v>
      </c>
      <c r="E42" s="34">
        <f>+E41+E40</f>
        <v>237892.82785714284</v>
      </c>
      <c r="F42" s="35">
        <f>+F41+F40</f>
        <v>245850</v>
      </c>
    </row>
    <row r="43" spans="5:6" ht="12.75">
      <c r="E43" s="41"/>
      <c r="F43" s="8"/>
    </row>
    <row r="44" spans="5:6" ht="12.75">
      <c r="E44" s="41"/>
      <c r="F44" s="8"/>
    </row>
    <row r="46" spans="1:11" ht="51.75" customHeight="1">
      <c r="A46" t="s">
        <v>121</v>
      </c>
      <c r="B46" t="s">
        <v>96</v>
      </c>
      <c r="E46" s="33">
        <f>(SUM($E$16:$E$30)/13)*0.3</f>
        <v>137602.3846153846</v>
      </c>
      <c r="F46">
        <v>141526</v>
      </c>
      <c r="H46" s="45" t="s">
        <v>122</v>
      </c>
      <c r="I46" s="45"/>
      <c r="J46" s="45"/>
      <c r="K46" s="45"/>
    </row>
    <row r="47" spans="1:11" ht="66.75" customHeight="1">
      <c r="A47" t="s">
        <v>121</v>
      </c>
      <c r="B47" t="s">
        <v>22</v>
      </c>
      <c r="E47" s="33">
        <f>(SUM($E$10:$E$15)/20)*0.35</f>
        <v>128472.38249999999</v>
      </c>
      <c r="F47">
        <v>132422</v>
      </c>
      <c r="H47" s="45" t="s">
        <v>123</v>
      </c>
      <c r="I47" s="45"/>
      <c r="J47" s="45"/>
      <c r="K47" s="45"/>
    </row>
    <row r="48" spans="2:6" ht="12.75">
      <c r="B48" t="s">
        <v>98</v>
      </c>
      <c r="E48" s="34">
        <f>+E47+E46</f>
        <v>266074.7671153846</v>
      </c>
      <c r="F48" s="35">
        <f>+F47+F46</f>
        <v>273948</v>
      </c>
    </row>
    <row r="52" spans="2:3" ht="12.75">
      <c r="B52" s="14"/>
      <c r="C52" s="14"/>
    </row>
    <row r="57" spans="5:6" ht="12.75">
      <c r="E57" s="14"/>
      <c r="F57" s="33"/>
    </row>
    <row r="60" ht="12.75">
      <c r="E60" s="39"/>
    </row>
  </sheetData>
  <mergeCells count="12">
    <mergeCell ref="A8:A9"/>
    <mergeCell ref="B8:B9"/>
    <mergeCell ref="C8:C9"/>
    <mergeCell ref="A1:E1"/>
    <mergeCell ref="A2:E2"/>
    <mergeCell ref="A3:E3"/>
    <mergeCell ref="H46:K46"/>
    <mergeCell ref="H47:K47"/>
    <mergeCell ref="H35:K35"/>
    <mergeCell ref="H36:K36"/>
    <mergeCell ref="H40:K40"/>
    <mergeCell ref="H41:K41"/>
  </mergeCells>
  <printOptions/>
  <pageMargins left="0.75" right="0.75" top="0.53" bottom="0.42" header="0.5" footer="0.18"/>
  <pageSetup horizontalDpi="600" verticalDpi="6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41" sqref="A41:IV41"/>
    </sheetView>
  </sheetViews>
  <sheetFormatPr defaultColWidth="9.140625" defaultRowHeight="12.75"/>
  <cols>
    <col min="2" max="2" width="26.8515625" style="0" customWidth="1"/>
    <col min="3" max="3" width="17.00390625" style="0" customWidth="1"/>
    <col min="4" max="4" width="12.7109375" style="0" customWidth="1"/>
    <col min="5" max="5" width="11.28125" style="0" bestFit="1" customWidth="1"/>
    <col min="7" max="9" width="2.00390625" style="0" customWidth="1"/>
    <col min="10" max="10" width="44.7109375" style="0" customWidth="1"/>
  </cols>
  <sheetData>
    <row r="1" spans="1:6" ht="12.75">
      <c r="A1" s="44" t="s">
        <v>110</v>
      </c>
      <c r="B1" s="44"/>
      <c r="C1" s="44"/>
      <c r="D1" s="44"/>
      <c r="E1" s="44"/>
      <c r="F1" t="s">
        <v>120</v>
      </c>
    </row>
    <row r="2" spans="1:5" ht="12.75">
      <c r="A2" s="44" t="s">
        <v>111</v>
      </c>
      <c r="B2" s="44"/>
      <c r="C2" s="44"/>
      <c r="D2" s="44"/>
      <c r="E2" s="44"/>
    </row>
    <row r="3" spans="1:5" ht="12.75">
      <c r="A3" s="44" t="s">
        <v>112</v>
      </c>
      <c r="B3" s="44"/>
      <c r="C3" s="44"/>
      <c r="D3" s="44"/>
      <c r="E3" s="44"/>
    </row>
    <row r="4" ht="5.25" customHeight="1"/>
    <row r="5" ht="12.75">
      <c r="A5" s="7" t="s">
        <v>114</v>
      </c>
    </row>
    <row r="6" spans="6:9" ht="4.5" customHeight="1">
      <c r="F6" s="8"/>
      <c r="G6" s="8"/>
      <c r="H6" s="8"/>
      <c r="I6" s="8"/>
    </row>
    <row r="7" spans="6:9" ht="4.5" customHeight="1">
      <c r="F7" s="8"/>
      <c r="G7" s="8"/>
      <c r="H7" s="8"/>
      <c r="I7" s="8"/>
    </row>
    <row r="8" spans="3:9" ht="12.75">
      <c r="C8" s="4" t="s">
        <v>16</v>
      </c>
      <c r="D8" s="4" t="s">
        <v>17</v>
      </c>
      <c r="F8" s="8"/>
      <c r="G8" s="8"/>
      <c r="H8" s="8"/>
      <c r="I8" s="8"/>
    </row>
    <row r="9" spans="3:9" ht="12.75">
      <c r="C9" s="5" t="s">
        <v>24</v>
      </c>
      <c r="D9" s="4" t="s">
        <v>25</v>
      </c>
      <c r="F9" s="8"/>
      <c r="G9" s="8"/>
      <c r="H9" s="8"/>
      <c r="I9" s="8"/>
    </row>
    <row r="10" spans="3:9" ht="12.75">
      <c r="C10" s="4" t="s">
        <v>0</v>
      </c>
      <c r="D10" s="6">
        <v>0.7</v>
      </c>
      <c r="F10" s="8"/>
      <c r="G10" s="8"/>
      <c r="H10" s="8"/>
      <c r="I10" s="8"/>
    </row>
    <row r="11" spans="3:9" ht="12.75">
      <c r="C11" s="44" t="s">
        <v>27</v>
      </c>
      <c r="D11" s="44"/>
      <c r="F11" s="8"/>
      <c r="G11" s="8"/>
      <c r="H11" s="8"/>
      <c r="I11" s="8"/>
    </row>
    <row r="12" spans="1:9" ht="15">
      <c r="A12">
        <v>1</v>
      </c>
      <c r="B12" s="15" t="s">
        <v>1</v>
      </c>
      <c r="C12" s="18">
        <v>12084</v>
      </c>
      <c r="D12" s="18">
        <f aca="true" t="shared" si="0" ref="D12:D26">ROUND(+$D$10*C12,0)</f>
        <v>8459</v>
      </c>
      <c r="F12" s="8"/>
      <c r="G12" s="8"/>
      <c r="H12" s="8"/>
      <c r="I12" s="8"/>
    </row>
    <row r="13" spans="1:9" ht="15">
      <c r="A13">
        <v>2</v>
      </c>
      <c r="B13" s="16" t="s">
        <v>2</v>
      </c>
      <c r="C13" s="18">
        <v>11926</v>
      </c>
      <c r="D13" s="18">
        <f t="shared" si="0"/>
        <v>8348</v>
      </c>
      <c r="F13" s="8"/>
      <c r="G13" s="8"/>
      <c r="H13" s="8"/>
      <c r="I13" s="8"/>
    </row>
    <row r="14" spans="1:9" ht="15">
      <c r="A14">
        <v>3</v>
      </c>
      <c r="B14" s="16" t="s">
        <v>3</v>
      </c>
      <c r="C14" s="18">
        <v>3399</v>
      </c>
      <c r="D14" s="18">
        <f t="shared" si="0"/>
        <v>2379</v>
      </c>
      <c r="F14" s="8"/>
      <c r="G14" s="8"/>
      <c r="H14" s="8"/>
      <c r="I14" s="8"/>
    </row>
    <row r="15" spans="1:9" ht="15">
      <c r="A15">
        <v>4</v>
      </c>
      <c r="B15" s="16" t="s">
        <v>4</v>
      </c>
      <c r="C15" s="18">
        <v>1458</v>
      </c>
      <c r="D15" s="18">
        <f t="shared" si="0"/>
        <v>1021</v>
      </c>
      <c r="F15" s="8"/>
      <c r="G15" s="8"/>
      <c r="H15" s="8"/>
      <c r="I15" s="8"/>
    </row>
    <row r="16" spans="1:9" ht="15">
      <c r="A16">
        <v>5</v>
      </c>
      <c r="B16" s="16" t="s">
        <v>5</v>
      </c>
      <c r="C16" s="18">
        <v>1660</v>
      </c>
      <c r="D16" s="18">
        <f t="shared" si="0"/>
        <v>1162</v>
      </c>
      <c r="F16" s="8"/>
      <c r="G16" s="8"/>
      <c r="H16" s="8"/>
      <c r="I16" s="8"/>
    </row>
    <row r="17" spans="1:9" ht="15">
      <c r="A17">
        <v>6</v>
      </c>
      <c r="B17" s="16" t="s">
        <v>6</v>
      </c>
      <c r="C17" s="18">
        <v>1076</v>
      </c>
      <c r="D17" s="18">
        <f t="shared" si="0"/>
        <v>753</v>
      </c>
      <c r="F17" s="8"/>
      <c r="G17" s="8"/>
      <c r="H17" s="8"/>
      <c r="I17" s="8"/>
    </row>
    <row r="18" spans="1:9" ht="15">
      <c r="A18">
        <v>7</v>
      </c>
      <c r="B18" s="16" t="s">
        <v>7</v>
      </c>
      <c r="C18" s="19">
        <v>215</v>
      </c>
      <c r="D18" s="18">
        <f t="shared" si="0"/>
        <v>151</v>
      </c>
      <c r="F18" s="8"/>
      <c r="G18" s="8"/>
      <c r="H18" s="8"/>
      <c r="I18" s="8"/>
    </row>
    <row r="19" spans="1:9" ht="15">
      <c r="A19">
        <v>8</v>
      </c>
      <c r="B19" s="16" t="s">
        <v>8</v>
      </c>
      <c r="C19" s="19">
        <v>491</v>
      </c>
      <c r="D19" s="18">
        <f t="shared" si="0"/>
        <v>344</v>
      </c>
      <c r="F19" s="8"/>
      <c r="G19" s="8"/>
      <c r="H19" s="8"/>
      <c r="I19" s="8"/>
    </row>
    <row r="20" spans="1:9" ht="15">
      <c r="A20">
        <v>9</v>
      </c>
      <c r="B20" s="16" t="s">
        <v>9</v>
      </c>
      <c r="C20" s="18">
        <v>5471</v>
      </c>
      <c r="D20" s="18">
        <f t="shared" si="0"/>
        <v>3830</v>
      </c>
      <c r="F20" s="8"/>
      <c r="G20" s="8"/>
      <c r="H20" s="8"/>
      <c r="I20" s="8"/>
    </row>
    <row r="21" spans="1:9" ht="15">
      <c r="A21">
        <v>10</v>
      </c>
      <c r="B21" s="16" t="s">
        <v>10</v>
      </c>
      <c r="C21" s="18">
        <v>3264</v>
      </c>
      <c r="D21" s="18">
        <f t="shared" si="0"/>
        <v>2285</v>
      </c>
      <c r="F21" s="8"/>
      <c r="G21" s="8"/>
      <c r="H21" s="8"/>
      <c r="I21" s="8"/>
    </row>
    <row r="22" spans="1:9" ht="15">
      <c r="A22">
        <v>11</v>
      </c>
      <c r="B22" s="16" t="s">
        <v>11</v>
      </c>
      <c r="C22" s="19">
        <v>945</v>
      </c>
      <c r="D22" s="18">
        <f t="shared" si="0"/>
        <v>662</v>
      </c>
      <c r="F22" s="8"/>
      <c r="G22" s="8"/>
      <c r="H22" s="8"/>
      <c r="I22" s="8"/>
    </row>
    <row r="23" spans="1:9" ht="15">
      <c r="A23">
        <v>12</v>
      </c>
      <c r="B23" s="16" t="s">
        <v>12</v>
      </c>
      <c r="C23" s="19">
        <v>737</v>
      </c>
      <c r="D23" s="18">
        <f t="shared" si="0"/>
        <v>516</v>
      </c>
      <c r="F23" s="8"/>
      <c r="G23" s="8"/>
      <c r="H23" s="8"/>
      <c r="I23" s="8"/>
    </row>
    <row r="24" spans="1:9" ht="15">
      <c r="A24">
        <v>13</v>
      </c>
      <c r="B24" s="16" t="s">
        <v>13</v>
      </c>
      <c r="C24" s="19">
        <v>377</v>
      </c>
      <c r="D24" s="18">
        <f t="shared" si="0"/>
        <v>264</v>
      </c>
      <c r="F24" s="8"/>
      <c r="G24" s="8"/>
      <c r="H24" s="8"/>
      <c r="I24" s="8"/>
    </row>
    <row r="25" spans="1:9" ht="15">
      <c r="A25">
        <v>14</v>
      </c>
      <c r="B25" s="16" t="s">
        <v>14</v>
      </c>
      <c r="C25" s="19">
        <v>514</v>
      </c>
      <c r="D25" s="18">
        <f t="shared" si="0"/>
        <v>360</v>
      </c>
      <c r="F25" s="8"/>
      <c r="G25" s="8"/>
      <c r="H25" s="8"/>
      <c r="I25" s="8"/>
    </row>
    <row r="26" spans="1:9" ht="15">
      <c r="A26">
        <v>15</v>
      </c>
      <c r="B26" s="16" t="s">
        <v>15</v>
      </c>
      <c r="C26" s="19">
        <v>32</v>
      </c>
      <c r="D26" s="18">
        <f t="shared" si="0"/>
        <v>22</v>
      </c>
      <c r="F26" s="8"/>
      <c r="G26" s="8"/>
      <c r="H26" s="8"/>
      <c r="I26" s="8"/>
    </row>
    <row r="27" spans="1:9" ht="15.75">
      <c r="A27">
        <v>16</v>
      </c>
      <c r="B27" s="17" t="s">
        <v>29</v>
      </c>
      <c r="C27" s="20">
        <v>43650</v>
      </c>
      <c r="D27" s="20">
        <f>SUM(D12:D26)</f>
        <v>30556</v>
      </c>
      <c r="F27" s="8"/>
      <c r="G27" s="8"/>
      <c r="H27" s="8"/>
      <c r="I27" s="8"/>
    </row>
    <row r="28" spans="6:9" ht="5.25" customHeight="1">
      <c r="F28" s="8"/>
      <c r="G28" s="8"/>
      <c r="H28" s="8"/>
      <c r="I28" s="8"/>
    </row>
    <row r="29" spans="6:9" ht="3.75" customHeight="1">
      <c r="F29" s="8"/>
      <c r="G29" s="8"/>
      <c r="H29" s="8"/>
      <c r="I29" s="8"/>
    </row>
    <row r="30" spans="6:9" ht="5.25" customHeight="1">
      <c r="F30" s="8"/>
      <c r="G30" s="8"/>
      <c r="H30" s="8"/>
      <c r="I30" s="8"/>
    </row>
    <row r="31" spans="1:9" ht="15">
      <c r="A31">
        <v>17</v>
      </c>
      <c r="B31" s="1" t="s">
        <v>1</v>
      </c>
      <c r="C31" s="12">
        <v>400</v>
      </c>
      <c r="D31" s="18">
        <f>ROUND(+$D$10*C31,0)</f>
        <v>280</v>
      </c>
      <c r="F31" s="8"/>
      <c r="G31" s="8"/>
      <c r="H31" s="8"/>
      <c r="I31" s="8"/>
    </row>
    <row r="32" spans="1:9" ht="15">
      <c r="A32">
        <v>18</v>
      </c>
      <c r="B32" s="2" t="s">
        <v>18</v>
      </c>
      <c r="C32" s="10">
        <v>291</v>
      </c>
      <c r="D32" s="18">
        <f>ROUND(+$D$10*C32,0)</f>
        <v>204</v>
      </c>
      <c r="F32" s="8"/>
      <c r="G32" s="8"/>
      <c r="H32" s="8"/>
      <c r="I32" s="8"/>
    </row>
    <row r="33" spans="1:9" ht="15">
      <c r="A33">
        <v>19</v>
      </c>
      <c r="B33" s="2" t="s">
        <v>19</v>
      </c>
      <c r="C33" s="10">
        <v>251</v>
      </c>
      <c r="D33" s="18">
        <f>ROUND(+$D$10*C33,0)</f>
        <v>176</v>
      </c>
      <c r="F33" s="8"/>
      <c r="G33" s="8"/>
      <c r="H33" s="8"/>
      <c r="I33" s="8"/>
    </row>
    <row r="34" spans="1:9" ht="15">
      <c r="A34">
        <v>20</v>
      </c>
      <c r="B34" s="2" t="s">
        <v>20</v>
      </c>
      <c r="C34" s="10">
        <v>68</v>
      </c>
      <c r="D34" s="18">
        <f>ROUND(+$D$10*C34,0)</f>
        <v>48</v>
      </c>
      <c r="F34" s="8"/>
      <c r="G34" s="8"/>
      <c r="H34" s="8"/>
      <c r="I34" s="8"/>
    </row>
    <row r="35" spans="1:9" ht="15">
      <c r="A35">
        <v>21</v>
      </c>
      <c r="B35" s="2" t="s">
        <v>21</v>
      </c>
      <c r="C35" s="10">
        <v>52</v>
      </c>
      <c r="D35" s="18">
        <f>ROUND(+$D$10*C35,0)</f>
        <v>36</v>
      </c>
      <c r="F35" s="8"/>
      <c r="G35" s="8"/>
      <c r="H35" s="8"/>
      <c r="I35" s="8"/>
    </row>
    <row r="36" spans="1:9" ht="15.75">
      <c r="A36">
        <v>22</v>
      </c>
      <c r="B36" s="3" t="s">
        <v>28</v>
      </c>
      <c r="C36" s="11">
        <v>1061</v>
      </c>
      <c r="D36" s="20">
        <f>SUM(D31:D35)</f>
        <v>744</v>
      </c>
      <c r="F36" s="8"/>
      <c r="G36" s="8"/>
      <c r="H36" s="8"/>
      <c r="I36" s="8"/>
    </row>
    <row r="37" spans="4:9" ht="5.25" customHeight="1">
      <c r="D37" s="21"/>
      <c r="F37" s="8"/>
      <c r="G37" s="8"/>
      <c r="H37" s="8"/>
      <c r="I37" s="8"/>
    </row>
    <row r="38" spans="1:10" ht="45.75">
      <c r="A38">
        <v>23</v>
      </c>
      <c r="B38" s="13" t="s">
        <v>34</v>
      </c>
      <c r="C38" s="22">
        <f>-C13-C20-C26-C18</f>
        <v>-17644</v>
      </c>
      <c r="D38" s="22">
        <f>-D20-D13-D26-D18</f>
        <v>-12351</v>
      </c>
      <c r="F38" s="8"/>
      <c r="G38" s="8"/>
      <c r="H38" s="8"/>
      <c r="I38" s="8"/>
      <c r="J38" s="40" t="s">
        <v>32</v>
      </c>
    </row>
    <row r="39" spans="2:9" ht="12.75">
      <c r="B39" s="8"/>
      <c r="C39" s="8"/>
      <c r="F39" s="8"/>
      <c r="G39" s="8"/>
      <c r="H39" s="8"/>
      <c r="I39" s="8"/>
    </row>
    <row r="40" spans="1:9" ht="31.5">
      <c r="A40">
        <v>24</v>
      </c>
      <c r="B40" s="9" t="s">
        <v>26</v>
      </c>
      <c r="C40" s="22">
        <f>SUM(C27+C36+C38)</f>
        <v>27067</v>
      </c>
      <c r="D40" s="22">
        <f>SUM(D27+D36+D38)</f>
        <v>18949</v>
      </c>
      <c r="F40" s="8"/>
      <c r="G40" s="8"/>
      <c r="H40" s="8"/>
      <c r="I40" s="8"/>
    </row>
    <row r="41" spans="2:9" ht="15.75">
      <c r="B41" s="9"/>
      <c r="C41" s="43"/>
      <c r="D41" s="43"/>
      <c r="F41" s="8"/>
      <c r="G41" s="8"/>
      <c r="H41" s="8"/>
      <c r="I41" s="8"/>
    </row>
    <row r="42" spans="2:5" ht="12.75">
      <c r="B42" s="8"/>
      <c r="C42" s="8"/>
      <c r="E42" t="s">
        <v>35</v>
      </c>
    </row>
    <row r="43" spans="1:10" ht="51">
      <c r="A43" t="s">
        <v>36</v>
      </c>
      <c r="B43" t="s">
        <v>30</v>
      </c>
      <c r="D43" s="24">
        <f>ROUND((SUM($D$21:$D$25)*1000)/20*0.2,0)</f>
        <v>40870</v>
      </c>
      <c r="E43" s="14">
        <v>45179</v>
      </c>
      <c r="J43" s="40" t="s">
        <v>38</v>
      </c>
    </row>
    <row r="44" spans="1:10" ht="38.25">
      <c r="A44" t="s">
        <v>36</v>
      </c>
      <c r="B44" t="s">
        <v>31</v>
      </c>
      <c r="D44" s="24">
        <f>ROUND(((SUM($D$14:$D$17)+$D$19+$D$12+$D$36)*1000)/15*0.1,0)</f>
        <v>99080</v>
      </c>
      <c r="E44" s="14">
        <v>111916</v>
      </c>
      <c r="J44" s="40" t="s">
        <v>37</v>
      </c>
    </row>
    <row r="45" spans="2:5" ht="12.75">
      <c r="B45" t="s">
        <v>33</v>
      </c>
      <c r="D45" s="14">
        <f>SUM(D43:D44)</f>
        <v>139950</v>
      </c>
      <c r="E45" s="14">
        <f>SUM(E43:E44)</f>
        <v>157095</v>
      </c>
    </row>
    <row r="48" spans="1:10" ht="51">
      <c r="A48" t="s">
        <v>39</v>
      </c>
      <c r="B48" t="s">
        <v>30</v>
      </c>
      <c r="D48" s="24">
        <f>ROUND((SUM($D$21:$D$25)*1000)/20*0.25,0)</f>
        <v>51088</v>
      </c>
      <c r="E48" s="14">
        <v>59516</v>
      </c>
      <c r="J48" s="40" t="s">
        <v>42</v>
      </c>
    </row>
    <row r="49" spans="1:10" ht="38.25">
      <c r="A49" t="s">
        <v>39</v>
      </c>
      <c r="B49" t="s">
        <v>31</v>
      </c>
      <c r="D49" s="24">
        <f>ROUND(((SUM($D$14:$D$17)+$D$19+$D$12+$D$36)*1000)/14*0.15,0)</f>
        <v>159236</v>
      </c>
      <c r="E49" s="14">
        <v>167864</v>
      </c>
      <c r="J49" s="40" t="s">
        <v>43</v>
      </c>
    </row>
    <row r="50" spans="1:5" ht="12.75">
      <c r="A50" t="s">
        <v>39</v>
      </c>
      <c r="B50" t="s">
        <v>33</v>
      </c>
      <c r="D50" s="14">
        <f>SUM(D48:D49)</f>
        <v>210324</v>
      </c>
      <c r="E50" s="14">
        <f>SUM(E48:E49)</f>
        <v>227380</v>
      </c>
    </row>
    <row r="53" spans="1:10" ht="51">
      <c r="A53" t="s">
        <v>40</v>
      </c>
      <c r="B53" t="s">
        <v>30</v>
      </c>
      <c r="D53" s="24">
        <f>ROUND((SUM($D$21:$D$25)*1000)/20*0.45,0)</f>
        <v>91958</v>
      </c>
      <c r="E53" s="14">
        <v>94946</v>
      </c>
      <c r="J53" s="40" t="s">
        <v>41</v>
      </c>
    </row>
    <row r="54" spans="1:10" ht="38.25">
      <c r="A54" t="s">
        <v>40</v>
      </c>
      <c r="B54" t="s">
        <v>31</v>
      </c>
      <c r="D54" s="24">
        <f>ROUND(((SUM($D$14:$D$17)+$D$19+$D$12+$D$36)*1000)/13*0.2,0)</f>
        <v>228646</v>
      </c>
      <c r="E54" s="14">
        <v>235050</v>
      </c>
      <c r="J54" s="40" t="s">
        <v>44</v>
      </c>
    </row>
    <row r="55" spans="2:5" ht="12.75">
      <c r="B55" t="s">
        <v>33</v>
      </c>
      <c r="D55" s="14">
        <f>SUM(D53:D54)</f>
        <v>320604</v>
      </c>
      <c r="E55" s="14">
        <f>SUM(E53:E54)</f>
        <v>329996</v>
      </c>
    </row>
  </sheetData>
  <mergeCells count="4">
    <mergeCell ref="C11:D11"/>
    <mergeCell ref="A1:E1"/>
    <mergeCell ref="A2:E2"/>
    <mergeCell ref="A3:E3"/>
  </mergeCells>
  <printOptions/>
  <pageMargins left="0.35" right="0.24" top="0.6" bottom="0.56" header="0.5" footer="0.33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/>
  <dcterms:created xsi:type="dcterms:W3CDTF">2007-07-09T23:58:15Z</dcterms:created>
  <dcterms:modified xsi:type="dcterms:W3CDTF">2007-07-09T23:58:16Z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060256</vt:lpwstr>
  </property>
  <property fmtid="{D5CDD505-2E9C-101B-9397-08002B2CF9AE}" pid="5" name="IsConfidential">
    <vt:lpwstr>0</vt:lpwstr>
  </property>
  <property fmtid="{D5CDD505-2E9C-101B-9397-08002B2CF9AE}" pid="6" name="Date1">
    <vt:lpwstr>2007-07-09T00:00:00Z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2006-02-14T00:00:00Z</vt:lpwstr>
  </property>
  <property fmtid="{D5CDD505-2E9C-101B-9397-08002B2CF9AE}" pid="9" name="Prefix">
    <vt:lpwstr>UG</vt:lpwstr>
  </property>
  <property fmtid="{D5CDD505-2E9C-101B-9397-08002B2CF9AE}" pid="10" name="CaseCompanyNames">
    <vt:lpwstr>Cascade Natural Gas Corporation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