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G:\Dept\Rates\WA Rate Case 2019\Testimony\Robertson\"/>
    </mc:Choice>
  </mc:AlternateContent>
  <bookViews>
    <workbookView xWindow="0" yWindow="0" windowWidth="28800" windowHeight="11535" tabRatio="776" activeTab="5"/>
  </bookViews>
  <sheets>
    <sheet name="Cover Page Exhibit BLR-3" sheetId="9" r:id="rId1"/>
    <sheet name="Summary - 60" sheetId="4" r:id="rId2"/>
    <sheet name="Data" sheetId="2" r:id="rId3"/>
    <sheet name="Normals" sheetId="3" r:id="rId4"/>
    <sheet name="503 - 60" sheetId="6" r:id="rId5"/>
    <sheet name="504 - 60" sheetId="8" r:id="rId6"/>
  </sheets>
  <externalReferences>
    <externalReference r:id="rId7"/>
  </externalReferences>
  <definedNames>
    <definedName name="first_day">'[1]Historic Data'!$K$3</definedName>
    <definedName name="_xlnm.Print_Area" localSheetId="2">Data!$A$1:$AJ$44</definedName>
    <definedName name="_xlnm.Print_Area" localSheetId="1">'Summary - 60'!$A$1:$N$37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4" l="1"/>
  <c r="K15" i="4"/>
  <c r="A21" i="8" l="1"/>
  <c r="A22" i="8" s="1"/>
  <c r="C22" i="8" s="1"/>
  <c r="Q4" i="8"/>
  <c r="Q19" i="8" s="1"/>
  <c r="R19" i="8" s="1"/>
  <c r="Q4" i="6"/>
  <c r="R4" i="6" s="1"/>
  <c r="X4" i="8" l="1"/>
  <c r="Y4" i="8" s="1"/>
  <c r="Q19" i="6"/>
  <c r="R19" i="6" s="1"/>
  <c r="X19" i="8"/>
  <c r="Y19" i="8" s="1"/>
  <c r="R4" i="8"/>
  <c r="C21" i="8"/>
  <c r="X19" i="6"/>
  <c r="Y19" i="6" s="1"/>
  <c r="Q5" i="6"/>
  <c r="X4" i="6"/>
  <c r="Y4" i="6" s="1"/>
  <c r="A23" i="8"/>
  <c r="D21" i="8"/>
  <c r="Q5" i="8"/>
  <c r="T4" i="8" l="1"/>
  <c r="V4" i="8"/>
  <c r="Q20" i="6"/>
  <c r="R20" i="6" s="1"/>
  <c r="R5" i="6"/>
  <c r="X20" i="6"/>
  <c r="Y20" i="6" s="1"/>
  <c r="Q6" i="6"/>
  <c r="X5" i="6"/>
  <c r="Y5" i="6" s="1"/>
  <c r="Q6" i="8"/>
  <c r="Q20" i="8"/>
  <c r="R20" i="8" s="1"/>
  <c r="X20" i="8"/>
  <c r="Y20" i="8" s="1"/>
  <c r="X5" i="8"/>
  <c r="Y5" i="8" s="1"/>
  <c r="R5" i="8"/>
  <c r="C23" i="8"/>
  <c r="A24" i="8"/>
  <c r="D22" i="8"/>
  <c r="S4" i="8"/>
  <c r="U4" i="8"/>
  <c r="X6" i="6" l="1"/>
  <c r="Y6" i="6" s="1"/>
  <c r="Q21" i="6"/>
  <c r="R21" i="6" s="1"/>
  <c r="R6" i="6"/>
  <c r="X21" i="6"/>
  <c r="Y21" i="6" s="1"/>
  <c r="Q7" i="6"/>
  <c r="A25" i="8"/>
  <c r="D23" i="8"/>
  <c r="C24" i="8"/>
  <c r="U5" i="8"/>
  <c r="T5" i="8"/>
  <c r="V5" i="8"/>
  <c r="S5" i="8"/>
  <c r="X21" i="8"/>
  <c r="Y21" i="8" s="1"/>
  <c r="Q7" i="8"/>
  <c r="Q21" i="8"/>
  <c r="R21" i="8" s="1"/>
  <c r="R6" i="8"/>
  <c r="X6" i="8"/>
  <c r="Y6" i="8" s="1"/>
  <c r="X7" i="6" l="1"/>
  <c r="Y7" i="6" s="1"/>
  <c r="Q22" i="6"/>
  <c r="R22" i="6" s="1"/>
  <c r="R7" i="6"/>
  <c r="X22" i="6"/>
  <c r="Y22" i="6" s="1"/>
  <c r="Q8" i="6"/>
  <c r="U6" i="8"/>
  <c r="T6" i="8"/>
  <c r="S6" i="8"/>
  <c r="V6" i="8"/>
  <c r="Q8" i="8"/>
  <c r="X22" i="8"/>
  <c r="Y22" i="8" s="1"/>
  <c r="Q22" i="8"/>
  <c r="R22" i="8" s="1"/>
  <c r="X7" i="8"/>
  <c r="Y7" i="8" s="1"/>
  <c r="R7" i="8"/>
  <c r="A26" i="8"/>
  <c r="D24" i="8"/>
  <c r="C25" i="8"/>
  <c r="R8" i="6" l="1"/>
  <c r="X23" i="6"/>
  <c r="Y23" i="6" s="1"/>
  <c r="Q9" i="6"/>
  <c r="X8" i="6"/>
  <c r="Y8" i="6" s="1"/>
  <c r="Q23" i="6"/>
  <c r="R23" i="6" s="1"/>
  <c r="Q23" i="8"/>
  <c r="R23" i="8" s="1"/>
  <c r="Q9" i="8"/>
  <c r="R8" i="8"/>
  <c r="X8" i="8"/>
  <c r="Y8" i="8" s="1"/>
  <c r="X23" i="8"/>
  <c r="Y23" i="8" s="1"/>
  <c r="C26" i="8"/>
  <c r="A27" i="8"/>
  <c r="D25" i="8"/>
  <c r="U7" i="8"/>
  <c r="T7" i="8"/>
  <c r="V7" i="8"/>
  <c r="S7" i="8"/>
  <c r="Q10" i="6" l="1"/>
  <c r="Q24" i="6"/>
  <c r="R24" i="6" s="1"/>
  <c r="R9" i="6"/>
  <c r="X24" i="6"/>
  <c r="Y24" i="6" s="1"/>
  <c r="X9" i="6"/>
  <c r="Y9" i="6" s="1"/>
  <c r="C27" i="8"/>
  <c r="D26" i="8"/>
  <c r="A28" i="8"/>
  <c r="U8" i="8"/>
  <c r="T8" i="8"/>
  <c r="S8" i="8"/>
  <c r="V8" i="8"/>
  <c r="Q10" i="8"/>
  <c r="Q24" i="8"/>
  <c r="R24" i="8" s="1"/>
  <c r="X24" i="8"/>
  <c r="Y24" i="8" s="1"/>
  <c r="X9" i="8"/>
  <c r="Y9" i="8" s="1"/>
  <c r="R9" i="8"/>
  <c r="Q11" i="6" l="1"/>
  <c r="X10" i="6"/>
  <c r="Y10" i="6" s="1"/>
  <c r="Q25" i="6"/>
  <c r="R25" i="6" s="1"/>
  <c r="R10" i="6"/>
  <c r="X25" i="6"/>
  <c r="Y25" i="6" s="1"/>
  <c r="U9" i="8"/>
  <c r="T9" i="8"/>
  <c r="V9" i="8"/>
  <c r="S9" i="8"/>
  <c r="X25" i="8"/>
  <c r="Y25" i="8" s="1"/>
  <c r="Q11" i="8"/>
  <c r="R10" i="8"/>
  <c r="X10" i="8"/>
  <c r="Y10" i="8" s="1"/>
  <c r="Q25" i="8"/>
  <c r="R25" i="8" s="1"/>
  <c r="A29" i="8"/>
  <c r="D27" i="8"/>
  <c r="C28" i="8"/>
  <c r="Q12" i="6" l="1"/>
  <c r="X11" i="6"/>
  <c r="Y11" i="6" s="1"/>
  <c r="Q26" i="6"/>
  <c r="R26" i="6" s="1"/>
  <c r="R11" i="6"/>
  <c r="X26" i="6"/>
  <c r="Y26" i="6" s="1"/>
  <c r="A30" i="8"/>
  <c r="D28" i="8"/>
  <c r="C29" i="8"/>
  <c r="U10" i="8"/>
  <c r="T10" i="8"/>
  <c r="S10" i="8"/>
  <c r="V10" i="8"/>
  <c r="Q12" i="8"/>
  <c r="X26" i="8"/>
  <c r="Y26" i="8" s="1"/>
  <c r="Q26" i="8"/>
  <c r="R26" i="8" s="1"/>
  <c r="X11" i="8"/>
  <c r="Y11" i="8" s="1"/>
  <c r="R11" i="8"/>
  <c r="Q13" i="6" l="1"/>
  <c r="R12" i="6"/>
  <c r="X27" i="6"/>
  <c r="Y27" i="6" s="1"/>
  <c r="X12" i="6"/>
  <c r="Y12" i="6" s="1"/>
  <c r="Q27" i="6"/>
  <c r="R27" i="6" s="1"/>
  <c r="U11" i="8"/>
  <c r="T11" i="8"/>
  <c r="V11" i="8"/>
  <c r="S11" i="8"/>
  <c r="Q27" i="8"/>
  <c r="R27" i="8" s="1"/>
  <c r="Q13" i="8"/>
  <c r="X27" i="8"/>
  <c r="Y27" i="8" s="1"/>
  <c r="R12" i="8"/>
  <c r="X12" i="8"/>
  <c r="Y12" i="8" s="1"/>
  <c r="C30" i="8"/>
  <c r="A31" i="8"/>
  <c r="D29" i="8"/>
  <c r="Q14" i="6" l="1"/>
  <c r="Q28" i="6"/>
  <c r="R28" i="6" s="1"/>
  <c r="R13" i="6"/>
  <c r="X28" i="6"/>
  <c r="Y28" i="6" s="1"/>
  <c r="X13" i="6"/>
  <c r="Y13" i="6" s="1"/>
  <c r="C31" i="8"/>
  <c r="A32" i="8"/>
  <c r="D30" i="8"/>
  <c r="U12" i="8"/>
  <c r="T12" i="8"/>
  <c r="S12" i="8"/>
  <c r="V12" i="8"/>
  <c r="Q14" i="8"/>
  <c r="Q28" i="8"/>
  <c r="R28" i="8" s="1"/>
  <c r="X28" i="8"/>
  <c r="Y28" i="8" s="1"/>
  <c r="X13" i="8"/>
  <c r="Y13" i="8" s="1"/>
  <c r="R13" i="8"/>
  <c r="Q15" i="6" l="1"/>
  <c r="X14" i="6"/>
  <c r="Y14" i="6" s="1"/>
  <c r="Q29" i="6"/>
  <c r="R29" i="6" s="1"/>
  <c r="R14" i="6"/>
  <c r="X29" i="6"/>
  <c r="Y29" i="6" s="1"/>
  <c r="A33" i="8"/>
  <c r="D32" i="8" s="1"/>
  <c r="D31" i="8"/>
  <c r="C32" i="8"/>
  <c r="U13" i="8"/>
  <c r="T13" i="8"/>
  <c r="V13" i="8"/>
  <c r="S13" i="8"/>
  <c r="X29" i="8"/>
  <c r="Y29" i="8" s="1"/>
  <c r="Q15" i="8"/>
  <c r="Q29" i="8"/>
  <c r="R29" i="8" s="1"/>
  <c r="R14" i="8"/>
  <c r="X14" i="8"/>
  <c r="Y14" i="8" s="1"/>
  <c r="X15" i="6" l="1"/>
  <c r="Y15" i="6" s="1"/>
  <c r="Q30" i="6"/>
  <c r="R30" i="6" s="1"/>
  <c r="R15" i="6"/>
  <c r="X30" i="6"/>
  <c r="Y30" i="6" s="1"/>
  <c r="X30" i="8"/>
  <c r="Y30" i="8" s="1"/>
  <c r="Q30" i="8"/>
  <c r="R30" i="8" s="1"/>
  <c r="X15" i="8"/>
  <c r="Y15" i="8" s="1"/>
  <c r="R15" i="8"/>
  <c r="U14" i="8"/>
  <c r="T14" i="8"/>
  <c r="S14" i="8"/>
  <c r="V14" i="8"/>
  <c r="U15" i="8" l="1"/>
  <c r="T15" i="8"/>
  <c r="V15" i="8"/>
  <c r="S15" i="8"/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50" i="4" s="1"/>
  <c r="H6" i="4" s="1"/>
  <c r="A21" i="6" l="1"/>
  <c r="A22" i="6" s="1"/>
  <c r="A23" i="6" s="1"/>
  <c r="D22" i="6" s="1"/>
  <c r="C21" i="6" l="1"/>
  <c r="C22" i="6"/>
  <c r="A24" i="6"/>
  <c r="C23" i="6"/>
  <c r="A25" i="6" l="1"/>
  <c r="C24" i="6"/>
  <c r="A26" i="6" l="1"/>
  <c r="C25" i="6"/>
  <c r="A27" i="6" l="1"/>
  <c r="C26" i="6"/>
  <c r="D21" i="6"/>
  <c r="S4" i="6" s="1"/>
  <c r="Z4" i="6" l="1"/>
  <c r="S19" i="6" s="1"/>
  <c r="Z19" i="6" s="1"/>
  <c r="AA4" i="6"/>
  <c r="AB4" i="6"/>
  <c r="V4" i="6"/>
  <c r="T4" i="6"/>
  <c r="U4" i="6"/>
  <c r="AC4" i="6"/>
  <c r="AC4" i="8"/>
  <c r="V19" i="8" s="1"/>
  <c r="Z4" i="8"/>
  <c r="S19" i="8" s="1"/>
  <c r="A28" i="6"/>
  <c r="C27" i="6"/>
  <c r="V19" i="6" l="1"/>
  <c r="AB4" i="8"/>
  <c r="U19" i="8" s="1"/>
  <c r="T19" i="6"/>
  <c r="AA4" i="8"/>
  <c r="T19" i="8" s="1"/>
  <c r="AA5" i="8"/>
  <c r="T20" i="8" s="1"/>
  <c r="AA20" i="8" s="1"/>
  <c r="AB5" i="6"/>
  <c r="V5" i="6"/>
  <c r="S5" i="6"/>
  <c r="U5" i="6"/>
  <c r="T5" i="6"/>
  <c r="AC5" i="6"/>
  <c r="AC5" i="8"/>
  <c r="V20" i="8" s="1"/>
  <c r="AC20" i="8" s="1"/>
  <c r="AA5" i="6"/>
  <c r="U19" i="6"/>
  <c r="AB19" i="6" s="1"/>
  <c r="Z5" i="6"/>
  <c r="Z5" i="8"/>
  <c r="S20" i="8" s="1"/>
  <c r="Z20" i="8" s="1"/>
  <c r="A29" i="6"/>
  <c r="C28" i="6"/>
  <c r="D23" i="6"/>
  <c r="U20" i="6" l="1"/>
  <c r="AB20" i="6" s="1"/>
  <c r="T20" i="6"/>
  <c r="AA20" i="6" s="1"/>
  <c r="AB5" i="8"/>
  <c r="U20" i="8" s="1"/>
  <c r="AB20" i="8" s="1"/>
  <c r="D7" i="4" s="1"/>
  <c r="AA6" i="6"/>
  <c r="AB6" i="6"/>
  <c r="AC6" i="6"/>
  <c r="S20" i="6"/>
  <c r="Z20" i="6" s="1"/>
  <c r="Z6" i="6"/>
  <c r="Z6" i="8"/>
  <c r="S21" i="8" s="1"/>
  <c r="Z21" i="8" s="1"/>
  <c r="T6" i="6"/>
  <c r="V6" i="6"/>
  <c r="S6" i="6"/>
  <c r="U6" i="6"/>
  <c r="V20" i="6"/>
  <c r="AC20" i="6" s="1"/>
  <c r="AA6" i="8"/>
  <c r="T21" i="8" s="1"/>
  <c r="AA21" i="8" s="1"/>
  <c r="A30" i="6"/>
  <c r="C29" i="6"/>
  <c r="D24" i="6"/>
  <c r="T21" i="6" l="1"/>
  <c r="AA21" i="6" s="1"/>
  <c r="AC6" i="8"/>
  <c r="V21" i="8" s="1"/>
  <c r="AC21" i="8" s="1"/>
  <c r="AB6" i="8"/>
  <c r="U21" i="8" s="1"/>
  <c r="AB21" i="8" s="1"/>
  <c r="AB7" i="6"/>
  <c r="Z7" i="6"/>
  <c r="C7" i="4"/>
  <c r="V21" i="6"/>
  <c r="AC21" i="6" s="1"/>
  <c r="S21" i="6"/>
  <c r="Z21" i="6" s="1"/>
  <c r="AB7" i="8"/>
  <c r="U22" i="8" s="1"/>
  <c r="AB22" i="8" s="1"/>
  <c r="AC7" i="6"/>
  <c r="AC7" i="8"/>
  <c r="V22" i="8" s="1"/>
  <c r="AC22" i="8" s="1"/>
  <c r="T7" i="6"/>
  <c r="V7" i="6"/>
  <c r="S7" i="6"/>
  <c r="U7" i="6"/>
  <c r="AA7" i="6"/>
  <c r="AA7" i="8"/>
  <c r="T22" i="8" s="1"/>
  <c r="AA22" i="8" s="1"/>
  <c r="U21" i="6"/>
  <c r="AB21" i="6" s="1"/>
  <c r="A31" i="6"/>
  <c r="C30" i="6"/>
  <c r="D25" i="6"/>
  <c r="T22" i="6" l="1"/>
  <c r="AA22" i="6" s="1"/>
  <c r="D8" i="4"/>
  <c r="Z7" i="8"/>
  <c r="S22" i="8" s="1"/>
  <c r="Z22" i="8" s="1"/>
  <c r="D9" i="4" s="1"/>
  <c r="V22" i="6"/>
  <c r="AC22" i="6" s="1"/>
  <c r="C8" i="4"/>
  <c r="U22" i="6"/>
  <c r="AB22" i="6" s="1"/>
  <c r="AB8" i="6"/>
  <c r="AB8" i="8"/>
  <c r="U23" i="8" s="1"/>
  <c r="AB23" i="8" s="1"/>
  <c r="Z8" i="6"/>
  <c r="Z8" i="8"/>
  <c r="S23" i="8" s="1"/>
  <c r="Z23" i="8" s="1"/>
  <c r="S22" i="6"/>
  <c r="Z22" i="6" s="1"/>
  <c r="AC8" i="6"/>
  <c r="AC8" i="8"/>
  <c r="V23" i="8" s="1"/>
  <c r="AC23" i="8" s="1"/>
  <c r="AA8" i="6"/>
  <c r="AA8" i="8"/>
  <c r="T23" i="8" s="1"/>
  <c r="AA23" i="8" s="1"/>
  <c r="S8" i="6"/>
  <c r="T8" i="6"/>
  <c r="V8" i="6"/>
  <c r="U8" i="6"/>
  <c r="A32" i="6"/>
  <c r="C31" i="6"/>
  <c r="D26" i="6"/>
  <c r="AA9" i="6" l="1"/>
  <c r="AB9" i="8"/>
  <c r="U24" i="8" s="1"/>
  <c r="AB24" i="8" s="1"/>
  <c r="AC9" i="6"/>
  <c r="U23" i="6"/>
  <c r="AB23" i="6" s="1"/>
  <c r="V23" i="6"/>
  <c r="AC23" i="6" s="1"/>
  <c r="C9" i="4"/>
  <c r="S9" i="6"/>
  <c r="T9" i="6"/>
  <c r="V9" i="6"/>
  <c r="U9" i="6"/>
  <c r="AB9" i="6"/>
  <c r="Z9" i="6"/>
  <c r="Z9" i="8"/>
  <c r="S24" i="8" s="1"/>
  <c r="Z24" i="8" s="1"/>
  <c r="T23" i="6"/>
  <c r="AA23" i="6" s="1"/>
  <c r="S23" i="6"/>
  <c r="Z23" i="6" s="1"/>
  <c r="D10" i="4"/>
  <c r="A33" i="6"/>
  <c r="C32" i="6"/>
  <c r="D27" i="6"/>
  <c r="AA9" i="8" l="1"/>
  <c r="T24" i="8" s="1"/>
  <c r="AA24" i="8" s="1"/>
  <c r="AC9" i="8"/>
  <c r="V24" i="8" s="1"/>
  <c r="AC24" i="8" s="1"/>
  <c r="U24" i="6"/>
  <c r="AB24" i="6" s="1"/>
  <c r="S24" i="6"/>
  <c r="Z24" i="6" s="1"/>
  <c r="C10" i="4"/>
  <c r="AC10" i="6"/>
  <c r="AC10" i="8"/>
  <c r="V25" i="8" s="1"/>
  <c r="AC25" i="8" s="1"/>
  <c r="AA10" i="6"/>
  <c r="AA10" i="8"/>
  <c r="T25" i="8" s="1"/>
  <c r="AA25" i="8" s="1"/>
  <c r="V24" i="6"/>
  <c r="AC24" i="6" s="1"/>
  <c r="AB10" i="6"/>
  <c r="AB10" i="8"/>
  <c r="U25" i="8" s="1"/>
  <c r="AB25" i="8" s="1"/>
  <c r="S10" i="6"/>
  <c r="U10" i="6"/>
  <c r="V10" i="6"/>
  <c r="Z10" i="6"/>
  <c r="Z10" i="8"/>
  <c r="S25" i="8" s="1"/>
  <c r="Z25" i="8" s="1"/>
  <c r="T24" i="6"/>
  <c r="AA24" i="6" s="1"/>
  <c r="D28" i="6"/>
  <c r="D11" i="4" l="1"/>
  <c r="AC11" i="6"/>
  <c r="AA11" i="6"/>
  <c r="C11" i="4"/>
  <c r="AB11" i="6"/>
  <c r="AB11" i="8"/>
  <c r="U26" i="8" s="1"/>
  <c r="AB26" i="8" s="1"/>
  <c r="Z11" i="6"/>
  <c r="Z11" i="8"/>
  <c r="S26" i="8" s="1"/>
  <c r="Z26" i="8" s="1"/>
  <c r="T11" i="6"/>
  <c r="V11" i="6"/>
  <c r="S11" i="6"/>
  <c r="S25" i="6"/>
  <c r="Z25" i="6" s="1"/>
  <c r="U25" i="6"/>
  <c r="AB25" i="6" s="1"/>
  <c r="V25" i="6"/>
  <c r="AC25" i="6" s="1"/>
  <c r="D12" i="4"/>
  <c r="D29" i="6"/>
  <c r="T12" i="6" s="1"/>
  <c r="AC11" i="8" l="1"/>
  <c r="V26" i="8" s="1"/>
  <c r="AC26" i="8" s="1"/>
  <c r="AA11" i="8"/>
  <c r="T26" i="8" s="1"/>
  <c r="AA26" i="8" s="1"/>
  <c r="T26" i="6"/>
  <c r="AA26" i="6" s="1"/>
  <c r="V26" i="6"/>
  <c r="AC26" i="6" s="1"/>
  <c r="AC12" i="6"/>
  <c r="AC12" i="8"/>
  <c r="V27" i="8" s="1"/>
  <c r="AC27" i="8" s="1"/>
  <c r="AA12" i="6"/>
  <c r="T27" i="6" s="1"/>
  <c r="AA27" i="6" s="1"/>
  <c r="AA12" i="8"/>
  <c r="T27" i="8" s="1"/>
  <c r="AA27" i="8" s="1"/>
  <c r="S26" i="6"/>
  <c r="Z26" i="6" s="1"/>
  <c r="AB12" i="6"/>
  <c r="AB12" i="8"/>
  <c r="U27" i="8" s="1"/>
  <c r="AB27" i="8" s="1"/>
  <c r="Z12" i="6"/>
  <c r="Z12" i="8"/>
  <c r="S27" i="8" s="1"/>
  <c r="Z27" i="8" s="1"/>
  <c r="D30" i="6"/>
  <c r="D13" i="4" l="1"/>
  <c r="AB13" i="6"/>
  <c r="Z13" i="6"/>
  <c r="Z13" i="8"/>
  <c r="S28" i="8" s="1"/>
  <c r="Z28" i="8" s="1"/>
  <c r="AC13" i="6"/>
  <c r="AC13" i="8"/>
  <c r="V28" i="8" s="1"/>
  <c r="AC28" i="8" s="1"/>
  <c r="AA13" i="6"/>
  <c r="AA13" i="8"/>
  <c r="T28" i="8" s="1"/>
  <c r="AA28" i="8" s="1"/>
  <c r="D14" i="4"/>
  <c r="D31" i="6"/>
  <c r="AB13" i="8" l="1"/>
  <c r="U28" i="8" s="1"/>
  <c r="AB28" i="8" s="1"/>
  <c r="D15" i="4" s="1"/>
  <c r="AA14" i="6"/>
  <c r="AB14" i="6"/>
  <c r="Z14" i="6"/>
  <c r="Z14" i="8"/>
  <c r="S29" i="8" s="1"/>
  <c r="Z29" i="8" s="1"/>
  <c r="AC14" i="6"/>
  <c r="AC14" i="8"/>
  <c r="V29" i="8" s="1"/>
  <c r="AC29" i="8" s="1"/>
  <c r="D32" i="6"/>
  <c r="AB14" i="8" l="1"/>
  <c r="U29" i="8" s="1"/>
  <c r="AB29" i="8" s="1"/>
  <c r="AA14" i="8"/>
  <c r="T29" i="8" s="1"/>
  <c r="AA29" i="8" s="1"/>
  <c r="T10" i="6"/>
  <c r="T15" i="6"/>
  <c r="U12" i="6"/>
  <c r="V12" i="6"/>
  <c r="T14" i="6"/>
  <c r="U11" i="6"/>
  <c r="U15" i="6"/>
  <c r="S12" i="6"/>
  <c r="S14" i="6"/>
  <c r="T13" i="6"/>
  <c r="S13" i="6"/>
  <c r="V15" i="6"/>
  <c r="V14" i="6"/>
  <c r="V13" i="6"/>
  <c r="U13" i="6"/>
  <c r="U14" i="6"/>
  <c r="S15" i="6"/>
  <c r="T29" i="6" l="1"/>
  <c r="AA29" i="6" s="1"/>
  <c r="T25" i="6"/>
  <c r="AA25" i="6" s="1"/>
  <c r="C12" i="4" s="1"/>
  <c r="U29" i="6"/>
  <c r="AB29" i="6" s="1"/>
  <c r="S27" i="6"/>
  <c r="Z27" i="6" s="1"/>
  <c r="V27" i="6"/>
  <c r="AC27" i="6" s="1"/>
  <c r="V29" i="6"/>
  <c r="AC29" i="6" s="1"/>
  <c r="U28" i="6"/>
  <c r="AB28" i="6" s="1"/>
  <c r="U27" i="6"/>
  <c r="AB27" i="6" s="1"/>
  <c r="S29" i="6"/>
  <c r="Z29" i="6" s="1"/>
  <c r="S28" i="6"/>
  <c r="Z28" i="6" s="1"/>
  <c r="V28" i="6"/>
  <c r="AC28" i="6" s="1"/>
  <c r="T28" i="6"/>
  <c r="AA28" i="6" s="1"/>
  <c r="U26" i="6"/>
  <c r="AB26" i="6" s="1"/>
  <c r="C13" i="4" s="1"/>
  <c r="D16" i="4"/>
  <c r="AA15" i="6"/>
  <c r="T30" i="6" s="1"/>
  <c r="AA30" i="6" s="1"/>
  <c r="AA15" i="8"/>
  <c r="T30" i="8" s="1"/>
  <c r="AA30" i="8" s="1"/>
  <c r="AB15" i="6"/>
  <c r="U30" i="6" s="1"/>
  <c r="AB30" i="6" s="1"/>
  <c r="AB15" i="8"/>
  <c r="U30" i="8" s="1"/>
  <c r="AB30" i="8" s="1"/>
  <c r="Z15" i="6"/>
  <c r="S30" i="6" s="1"/>
  <c r="Z30" i="6" s="1"/>
  <c r="Z15" i="8"/>
  <c r="S30" i="8" s="1"/>
  <c r="Z30" i="8" s="1"/>
  <c r="AC15" i="6"/>
  <c r="V30" i="6" s="1"/>
  <c r="AC30" i="6" s="1"/>
  <c r="AC15" i="8"/>
  <c r="V30" i="8" s="1"/>
  <c r="AC30" i="8" s="1"/>
  <c r="C14" i="4" l="1"/>
  <c r="C16" i="4"/>
  <c r="C15" i="4"/>
  <c r="D17" i="4"/>
  <c r="C17" i="4"/>
  <c r="AC19" i="6"/>
  <c r="AA19" i="6"/>
  <c r="C6" i="4" l="1"/>
  <c r="AA19" i="8"/>
  <c r="AC19" i="8"/>
  <c r="AB19" i="8"/>
  <c r="Z19" i="8"/>
  <c r="D6" i="4" l="1"/>
  <c r="E12" i="4" l="1"/>
  <c r="E8" i="4"/>
  <c r="E9" i="4"/>
  <c r="E11" i="4"/>
  <c r="E10" i="4"/>
  <c r="E16" i="4"/>
  <c r="E7" i="4"/>
  <c r="E15" i="4"/>
  <c r="E14" i="4"/>
  <c r="E13" i="4"/>
  <c r="C18" i="4"/>
  <c r="E17" i="4"/>
  <c r="L13" i="4" l="1"/>
  <c r="L28" i="4" s="1"/>
  <c r="E6" i="4"/>
  <c r="E18" i="4" s="1"/>
  <c r="D18" i="4"/>
  <c r="L19" i="4" s="1"/>
  <c r="L31" i="4" s="1"/>
  <c r="M31" i="4" s="1"/>
  <c r="M15" i="4" l="1"/>
  <c r="L23" i="4"/>
  <c r="M21" i="4"/>
  <c r="L33" i="4"/>
  <c r="M28" i="4"/>
  <c r="M33" i="4" s="1"/>
  <c r="M23" i="4" l="1"/>
</calcChain>
</file>

<file path=xl/sharedStrings.xml><?xml version="1.0" encoding="utf-8"?>
<sst xmlns="http://schemas.openxmlformats.org/spreadsheetml/2006/main" count="212" uniqueCount="63">
  <si>
    <t>.</t>
  </si>
  <si>
    <t>Cascade "Backcast" Methodology</t>
  </si>
  <si>
    <t>R/S 503</t>
  </si>
  <si>
    <t>R/S 504</t>
  </si>
  <si>
    <t>Weather</t>
  </si>
  <si>
    <t>Total</t>
  </si>
  <si>
    <t>Cascade Natural Gas Corporation</t>
  </si>
  <si>
    <t>Month</t>
  </si>
  <si>
    <t>Adj Therms</t>
  </si>
  <si>
    <t>Weather Normalization Adjustment</t>
  </si>
  <si>
    <t>State of Washington</t>
  </si>
  <si>
    <t>Line No.</t>
  </si>
  <si>
    <t>Description</t>
  </si>
  <si>
    <t>Therms</t>
  </si>
  <si>
    <t>Revenues</t>
  </si>
  <si>
    <t>Residential</t>
  </si>
  <si>
    <t>Rate Schedule No. 503</t>
  </si>
  <si>
    <t xml:space="preserve">    Therm Adjustment</t>
  </si>
  <si>
    <t>Totals</t>
  </si>
  <si>
    <t xml:space="preserve">    Revenue at Restating Rate</t>
  </si>
  <si>
    <t>Gas Cost</t>
  </si>
  <si>
    <t>Commercial</t>
  </si>
  <si>
    <t>Rate Schedule No. 504</t>
  </si>
  <si>
    <t>Change in Gas Cost - Residential</t>
  </si>
  <si>
    <t xml:space="preserve">    (WACOG x Adjustment)</t>
  </si>
  <si>
    <t>Change in Gas Cost - Commercial</t>
  </si>
  <si>
    <t>Bend</t>
  </si>
  <si>
    <t>Residential Customers</t>
  </si>
  <si>
    <t>Commercial Customers</t>
  </si>
  <si>
    <t>Bell</t>
  </si>
  <si>
    <t>Brem</t>
  </si>
  <si>
    <t>Walla</t>
  </si>
  <si>
    <t>Yakima</t>
  </si>
  <si>
    <t>Baker</t>
  </si>
  <si>
    <t>Pend</t>
  </si>
  <si>
    <t>60 Base</t>
  </si>
  <si>
    <t>65 Base</t>
  </si>
  <si>
    <t>Variable</t>
  </si>
  <si>
    <t>Estimate</t>
  </si>
  <si>
    <t>Intercept</t>
  </si>
  <si>
    <t>Days in Month</t>
  </si>
  <si>
    <t>Monthly Normals (1981-2010)</t>
  </si>
  <si>
    <t>Table 1</t>
  </si>
  <si>
    <t>Normal HDDs/Day</t>
  </si>
  <si>
    <t>Table 2</t>
  </si>
  <si>
    <t>Actual HDDs/Day</t>
  </si>
  <si>
    <t>Table 3</t>
  </si>
  <si>
    <t>(Normal HDDs/Day - Actual HDDs/Day) * β coefficient</t>
  </si>
  <si>
    <t>Table 4</t>
  </si>
  <si>
    <t>Adjustment</t>
  </si>
  <si>
    <t>Weather (65 Ref Temp)</t>
  </si>
  <si>
    <t>Weather (60 Ref Temp)</t>
  </si>
  <si>
    <t>Residential Therms/Customer/Day</t>
  </si>
  <si>
    <t>Commercial Therms/Customer/Day</t>
  </si>
  <si>
    <t>TREND</t>
  </si>
  <si>
    <t>ar1</t>
  </si>
  <si>
    <t>Witness: Brian L. Robertson</t>
  </si>
  <si>
    <t>CASCADE NATURAL GAS CORPORATION</t>
  </si>
  <si>
    <t>EXHIBIT OF BRIAN L. ROBERTSON</t>
  </si>
  <si>
    <t>3/29/2019</t>
  </si>
  <si>
    <t>WEATHER NORMALIZATION RESULTS</t>
  </si>
  <si>
    <t>Weather Normalization Results</t>
  </si>
  <si>
    <t>Exhibit No. __ (BLR-3)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</si>
</sst>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"/>
      <family val="1"/>
    </font>
    <font>
      <b/>
      <sz val="11"/>
      <name val="Times"/>
      <family val="1"/>
    </font>
    <font>
      <sz val="9"/>
      <name val="Times"/>
      <family val="1"/>
    </font>
    <font>
      <b/>
      <u/>
      <sz val="11"/>
      <name val="Times"/>
      <family val="1"/>
    </font>
    <font>
      <b/>
      <u/>
      <sz val="11"/>
      <name val="Times"/>
    </font>
    <font>
      <sz val="11"/>
      <name val="Times New Roman"/>
      <family val="1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BB5D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2" applyNumberFormat="1" applyFont="1"/>
    <xf numFmtId="14" fontId="0" fillId="0" borderId="0" xfId="0" applyNumberFormat="1"/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2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2" applyNumberFormat="1" applyFont="1" applyAlignment="1">
      <alignment horizontal="centerContinuous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2" applyNumberFormat="1" applyFont="1" applyFill="1" applyAlignment="1">
      <alignment horizontal="centerContinuous"/>
    </xf>
    <xf numFmtId="17" fontId="0" fillId="0" borderId="4" xfId="0" applyNumberFormat="1" applyFill="1" applyBorder="1" applyAlignment="1">
      <alignment horizontal="left"/>
    </xf>
    <xf numFmtId="165" fontId="0" fillId="0" borderId="10" xfId="1" applyNumberFormat="1" applyFont="1" applyFill="1" applyBorder="1"/>
    <xf numFmtId="165" fontId="0" fillId="0" borderId="11" xfId="0" applyNumberFormat="1" applyFill="1" applyBorder="1"/>
    <xf numFmtId="17" fontId="0" fillId="0" borderId="9" xfId="0" applyNumberFormat="1" applyFill="1" applyBorder="1" applyAlignment="1">
      <alignment horizontal="left"/>
    </xf>
    <xf numFmtId="0" fontId="3" fillId="0" borderId="0" xfId="0" applyFont="1" applyFill="1"/>
    <xf numFmtId="164" fontId="3" fillId="0" borderId="0" xfId="2" applyNumberFormat="1" applyFont="1"/>
    <xf numFmtId="0" fontId="6" fillId="0" borderId="0" xfId="0" applyFont="1"/>
    <xf numFmtId="0" fontId="4" fillId="0" borderId="18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6" fontId="3" fillId="0" borderId="0" xfId="0" applyNumberFormat="1" applyFont="1" applyFill="1"/>
    <xf numFmtId="0" fontId="0" fillId="0" borderId="19" xfId="0" applyFill="1" applyBorder="1"/>
    <xf numFmtId="165" fontId="5" fillId="0" borderId="20" xfId="1" applyNumberFormat="1" applyFont="1" applyFill="1" applyBorder="1"/>
    <xf numFmtId="165" fontId="5" fillId="0" borderId="21" xfId="1" applyNumberFormat="1" applyFont="1" applyFill="1" applyBorder="1"/>
    <xf numFmtId="165" fontId="0" fillId="0" borderId="0" xfId="0" applyNumberFormat="1"/>
    <xf numFmtId="165" fontId="0" fillId="0" borderId="0" xfId="0" applyNumberFormat="1" applyFill="1"/>
    <xf numFmtId="0" fontId="3" fillId="0" borderId="18" xfId="0" applyFont="1" applyBorder="1"/>
    <xf numFmtId="164" fontId="3" fillId="0" borderId="18" xfId="2" applyNumberFormat="1" applyFont="1" applyBorder="1"/>
    <xf numFmtId="0" fontId="7" fillId="0" borderId="22" xfId="0" applyFont="1" applyBorder="1"/>
    <xf numFmtId="0" fontId="3" fillId="0" borderId="22" xfId="0" applyFont="1" applyBorder="1"/>
    <xf numFmtId="0" fontId="3" fillId="0" borderId="22" xfId="0" applyFont="1" applyFill="1" applyBorder="1"/>
    <xf numFmtId="165" fontId="3" fillId="0" borderId="22" xfId="0" applyNumberFormat="1" applyFont="1" applyBorder="1"/>
    <xf numFmtId="164" fontId="3" fillId="0" borderId="22" xfId="2" applyNumberFormat="1" applyFont="1" applyBorder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164" fontId="0" fillId="0" borderId="0" xfId="0" applyNumberFormat="1"/>
    <xf numFmtId="166" fontId="8" fillId="0" borderId="0" xfId="0" applyNumberFormat="1" applyFont="1" applyFill="1"/>
    <xf numFmtId="165" fontId="8" fillId="0" borderId="0" xfId="0" applyNumberFormat="1" applyFont="1"/>
    <xf numFmtId="164" fontId="3" fillId="0" borderId="0" xfId="2" applyNumberFormat="1" applyFont="1" applyBorder="1"/>
    <xf numFmtId="165" fontId="8" fillId="0" borderId="18" xfId="0" applyNumberFormat="1" applyFont="1" applyBorder="1"/>
    <xf numFmtId="164" fontId="8" fillId="0" borderId="0" xfId="2" applyNumberFormat="1" applyFont="1"/>
    <xf numFmtId="165" fontId="8" fillId="0" borderId="23" xfId="0" applyNumberFormat="1" applyFont="1" applyBorder="1"/>
    <xf numFmtId="165" fontId="0" fillId="0" borderId="0" xfId="1" applyNumberFormat="1" applyFont="1"/>
    <xf numFmtId="0" fontId="10" fillId="3" borderId="0" xfId="0" applyFont="1" applyFill="1"/>
    <xf numFmtId="0" fontId="10" fillId="4" borderId="0" xfId="0" applyNumberFormat="1" applyFont="1" applyFill="1" applyBorder="1" applyAlignment="1" applyProtection="1"/>
    <xf numFmtId="0" fontId="10" fillId="5" borderId="0" xfId="0" applyFont="1" applyFill="1"/>
    <xf numFmtId="14" fontId="10" fillId="3" borderId="0" xfId="0" applyNumberFormat="1" applyFont="1" applyFill="1"/>
    <xf numFmtId="0" fontId="10" fillId="0" borderId="0" xfId="0" applyFont="1"/>
    <xf numFmtId="0" fontId="0" fillId="6" borderId="0" xfId="0" applyFill="1"/>
    <xf numFmtId="0" fontId="0" fillId="3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 applyAlignment="1"/>
    <xf numFmtId="0" fontId="10" fillId="7" borderId="0" xfId="0" applyFont="1" applyFill="1"/>
    <xf numFmtId="1" fontId="10" fillId="4" borderId="0" xfId="0" applyNumberFormat="1" applyFont="1" applyFill="1" applyBorder="1" applyAlignment="1" applyProtection="1"/>
    <xf numFmtId="1" fontId="10" fillId="5" borderId="0" xfId="0" applyNumberFormat="1" applyFont="1" applyFill="1" applyBorder="1" applyAlignment="1" applyProtection="1"/>
    <xf numFmtId="0" fontId="0" fillId="0" borderId="0" xfId="0" applyFill="1" applyAlignment="1">
      <alignment horizontal="left" wrapText="1"/>
    </xf>
    <xf numFmtId="0" fontId="12" fillId="0" borderId="0" xfId="0" applyFont="1"/>
    <xf numFmtId="2" fontId="0" fillId="0" borderId="0" xfId="0" applyNumberFormat="1"/>
    <xf numFmtId="167" fontId="0" fillId="0" borderId="0" xfId="0" applyNumberFormat="1"/>
    <xf numFmtId="1" fontId="10" fillId="0" borderId="0" xfId="0" applyNumberFormat="1" applyFont="1"/>
    <xf numFmtId="1" fontId="0" fillId="0" borderId="0" xfId="0" applyNumberFormat="1" applyFill="1" applyAlignment="1">
      <alignment horizontal="left" wrapText="1"/>
    </xf>
    <xf numFmtId="43" fontId="0" fillId="0" borderId="0" xfId="1" applyNumberFormat="1" applyFont="1"/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CAAAF7-0622-487B-8EE5-06E888F2335B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4EB09BD-9823-412F-BCD4-88A839E560A6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0F95CE2-EEF3-448C-BB1A-12521338EA87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28" sqref="A28"/>
    </sheetView>
  </sheetViews>
  <sheetFormatPr defaultRowHeight="15.75" x14ac:dyDescent="0.25"/>
  <cols>
    <col min="1" max="1" width="98.7109375" style="86" customWidth="1"/>
    <col min="2" max="2" width="29.42578125" style="86" customWidth="1"/>
    <col min="3" max="16384" width="9.140625" style="86"/>
  </cols>
  <sheetData>
    <row r="1" spans="1:7" x14ac:dyDescent="0.25">
      <c r="A1" s="85" t="s">
        <v>62</v>
      </c>
    </row>
    <row r="2" spans="1:7" x14ac:dyDescent="0.25">
      <c r="A2" s="85" t="s">
        <v>61</v>
      </c>
    </row>
    <row r="3" spans="1:7" x14ac:dyDescent="0.25">
      <c r="A3" s="85" t="s">
        <v>56</v>
      </c>
    </row>
    <row r="4" spans="1:7" x14ac:dyDescent="0.25">
      <c r="A4" s="87"/>
    </row>
    <row r="5" spans="1:7" x14ac:dyDescent="0.25">
      <c r="A5" s="88"/>
    </row>
    <row r="6" spans="1:7" x14ac:dyDescent="0.25">
      <c r="A6" s="88"/>
    </row>
    <row r="7" spans="1:7" x14ac:dyDescent="0.25">
      <c r="A7" s="88"/>
    </row>
    <row r="8" spans="1:7" x14ac:dyDescent="0.25">
      <c r="A8" s="88"/>
    </row>
    <row r="9" spans="1:7" x14ac:dyDescent="0.25">
      <c r="A9" s="88"/>
    </row>
    <row r="10" spans="1:7" x14ac:dyDescent="0.25">
      <c r="A10" s="88"/>
    </row>
    <row r="11" spans="1:7" x14ac:dyDescent="0.25">
      <c r="A11" s="88"/>
      <c r="G11" s="89"/>
    </row>
    <row r="12" spans="1:7" x14ac:dyDescent="0.25">
      <c r="A12" s="88"/>
    </row>
    <row r="13" spans="1:7" x14ac:dyDescent="0.25">
      <c r="A13" s="88"/>
    </row>
    <row r="14" spans="1:7" x14ac:dyDescent="0.25">
      <c r="A14" s="88"/>
    </row>
    <row r="15" spans="1:7" x14ac:dyDescent="0.25">
      <c r="A15" s="88"/>
    </row>
    <row r="16" spans="1:7" x14ac:dyDescent="0.25">
      <c r="A16" s="90"/>
    </row>
    <row r="17" spans="1:1" x14ac:dyDescent="0.25">
      <c r="A17" s="90"/>
    </row>
    <row r="18" spans="1:1" x14ac:dyDescent="0.25">
      <c r="A18" s="88"/>
    </row>
    <row r="19" spans="1:1" x14ac:dyDescent="0.25">
      <c r="A19" s="90" t="s">
        <v>57</v>
      </c>
    </row>
    <row r="20" spans="1:1" x14ac:dyDescent="0.25">
      <c r="A20" s="90"/>
    </row>
    <row r="21" spans="1:1" x14ac:dyDescent="0.25">
      <c r="A21" s="90" t="s">
        <v>58</v>
      </c>
    </row>
    <row r="22" spans="1:1" x14ac:dyDescent="0.25">
      <c r="A22" s="90"/>
    </row>
    <row r="23" spans="1:1" x14ac:dyDescent="0.25">
      <c r="A23" s="90"/>
    </row>
    <row r="24" spans="1:1" x14ac:dyDescent="0.25">
      <c r="A24" s="91" t="s">
        <v>60</v>
      </c>
    </row>
    <row r="25" spans="1:1" x14ac:dyDescent="0.25">
      <c r="A25" s="90"/>
    </row>
    <row r="26" spans="1:1" x14ac:dyDescent="0.25">
      <c r="A26" s="90"/>
    </row>
    <row r="27" spans="1:1" x14ac:dyDescent="0.25">
      <c r="A27" s="90"/>
    </row>
    <row r="28" spans="1:1" x14ac:dyDescent="0.25">
      <c r="A28" s="90"/>
    </row>
    <row r="29" spans="1:1" x14ac:dyDescent="0.25">
      <c r="A29" s="90"/>
    </row>
    <row r="30" spans="1:1" x14ac:dyDescent="0.25">
      <c r="A30" s="92" t="s">
        <v>59</v>
      </c>
    </row>
    <row r="31" spans="1:1" x14ac:dyDescent="0.25">
      <c r="A31" s="93"/>
    </row>
    <row r="32" spans="1:1" x14ac:dyDescent="0.25">
      <c r="A32" s="89"/>
    </row>
    <row r="33" spans="1:1" x14ac:dyDescent="0.25">
      <c r="A33" s="89"/>
    </row>
    <row r="34" spans="1:1" x14ac:dyDescent="0.25">
      <c r="A34" s="89"/>
    </row>
    <row r="35" spans="1:1" x14ac:dyDescent="0.25">
      <c r="A35" s="89"/>
    </row>
    <row r="36" spans="1:1" x14ac:dyDescent="0.25">
      <c r="A36" s="8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50"/>
  <sheetViews>
    <sheetView tabSelected="1" view="pageBreakPreview" zoomScale="90" zoomScaleNormal="100" zoomScaleSheetLayoutView="90" workbookViewId="0">
      <selection activeCell="A28" sqref="A28"/>
    </sheetView>
  </sheetViews>
  <sheetFormatPr defaultRowHeight="15" x14ac:dyDescent="0.25"/>
  <cols>
    <col min="1" max="1" width="1" customWidth="1"/>
    <col min="2" max="2" width="11.5703125" bestFit="1" customWidth="1"/>
    <col min="3" max="3" width="16.140625" bestFit="1" customWidth="1"/>
    <col min="4" max="4" width="12.5703125" bestFit="1" customWidth="1"/>
    <col min="5" max="5" width="12.42578125" bestFit="1" customWidth="1"/>
    <col min="6" max="7" width="1.5703125" bestFit="1" customWidth="1"/>
    <col min="8" max="8" width="9.28515625" bestFit="1" customWidth="1"/>
    <col min="9" max="9" width="30.42578125" bestFit="1" customWidth="1"/>
    <col min="10" max="10" width="14.140625" customWidth="1"/>
    <col min="11" max="11" width="11.28515625" bestFit="1" customWidth="1"/>
    <col min="12" max="12" width="12.5703125" bestFit="1" customWidth="1"/>
    <col min="13" max="13" width="13.28515625" style="3" bestFit="1" customWidth="1"/>
    <col min="14" max="14" width="1.5703125" bestFit="1" customWidth="1"/>
    <col min="15" max="15" width="10.5703125" customWidth="1"/>
  </cols>
  <sheetData>
    <row r="1" spans="2:14" ht="15" customHeight="1" thickBot="1" x14ac:dyDescent="0.3">
      <c r="B1" s="1"/>
      <c r="C1" s="1"/>
      <c r="D1" s="1"/>
      <c r="E1" s="2"/>
      <c r="F1" t="s">
        <v>0</v>
      </c>
    </row>
    <row r="2" spans="2:14" ht="12.75" customHeight="1" x14ac:dyDescent="0.25">
      <c r="B2" s="5" t="s">
        <v>1</v>
      </c>
      <c r="C2" s="6"/>
      <c r="D2" s="6"/>
      <c r="E2" s="7"/>
      <c r="G2" s="8" t="s">
        <v>0</v>
      </c>
      <c r="H2" s="8"/>
      <c r="I2" s="8"/>
      <c r="J2" s="8"/>
      <c r="K2" s="8"/>
      <c r="L2" s="8"/>
      <c r="M2" s="8"/>
      <c r="N2" s="8" t="s">
        <v>0</v>
      </c>
    </row>
    <row r="3" spans="2:14" x14ac:dyDescent="0.25">
      <c r="B3" s="11"/>
      <c r="C3" s="12" t="s">
        <v>2</v>
      </c>
      <c r="D3" s="9" t="s">
        <v>3</v>
      </c>
      <c r="E3" s="10"/>
      <c r="G3" s="8"/>
      <c r="N3" s="8"/>
    </row>
    <row r="4" spans="2:14" x14ac:dyDescent="0.25">
      <c r="B4" s="16"/>
      <c r="C4" s="17" t="s">
        <v>4</v>
      </c>
      <c r="D4" s="14" t="s">
        <v>4</v>
      </c>
      <c r="E4" s="15" t="s">
        <v>5</v>
      </c>
      <c r="G4" s="8"/>
      <c r="H4" s="18" t="s">
        <v>6</v>
      </c>
      <c r="I4" s="19"/>
      <c r="J4" s="19"/>
      <c r="K4" s="19"/>
      <c r="L4" s="19"/>
      <c r="M4" s="20"/>
      <c r="N4" s="8"/>
    </row>
    <row r="5" spans="2:14" x14ac:dyDescent="0.25">
      <c r="B5" s="23" t="s">
        <v>7</v>
      </c>
      <c r="C5" s="24" t="s">
        <v>8</v>
      </c>
      <c r="D5" s="21" t="s">
        <v>8</v>
      </c>
      <c r="E5" s="22" t="s">
        <v>8</v>
      </c>
      <c r="G5" s="8"/>
      <c r="H5" s="25" t="s">
        <v>9</v>
      </c>
      <c r="I5" s="26"/>
      <c r="J5" s="26"/>
      <c r="K5" s="26"/>
      <c r="L5" s="26"/>
      <c r="M5" s="27"/>
      <c r="N5" s="8"/>
    </row>
    <row r="6" spans="2:14" x14ac:dyDescent="0.25">
      <c r="B6" s="28">
        <f>Data!A1</f>
        <v>43101</v>
      </c>
      <c r="C6" s="29">
        <f>SUM('503 - 60'!Z19:AC19)</f>
        <v>3448294.9936721725</v>
      </c>
      <c r="D6" s="29">
        <f>SUM('504 - 60'!Z19:AC19)</f>
        <v>2441658.4780800049</v>
      </c>
      <c r="E6" s="30">
        <f>SUM(C6:D6)</f>
        <v>5889953.4717521779</v>
      </c>
      <c r="G6" s="8"/>
      <c r="H6" s="25" t="str">
        <f>CONCATENATE("For Twelve Months Ended ",TEXT(B50,"mm/d/yyyy"))</f>
        <v>For Twelve Months Ended 12/31/2018</v>
      </c>
      <c r="I6" s="26"/>
      <c r="J6" s="26"/>
      <c r="K6" s="26"/>
      <c r="L6" s="26"/>
      <c r="M6" s="27"/>
      <c r="N6" s="8"/>
    </row>
    <row r="7" spans="2:14" x14ac:dyDescent="0.25">
      <c r="B7" s="31">
        <f>DATE(YEAR(B6),MONTH(B6)+1,1)</f>
        <v>43132</v>
      </c>
      <c r="C7" s="29">
        <f>SUM('503 - 60'!Z20:AC20)</f>
        <v>-284967.53531961376</v>
      </c>
      <c r="D7" s="29">
        <f>SUM('504 - 60'!Z20:AC20)</f>
        <v>41539.216517117427</v>
      </c>
      <c r="E7" s="30">
        <f t="shared" ref="E7:E17" si="0">SUM(C7:D7)</f>
        <v>-243428.31880249633</v>
      </c>
      <c r="G7" s="8"/>
      <c r="H7" s="25" t="s">
        <v>10</v>
      </c>
      <c r="I7" s="26"/>
      <c r="J7" s="26"/>
      <c r="K7" s="26"/>
      <c r="L7" s="26"/>
      <c r="M7" s="27"/>
      <c r="N7" s="8"/>
    </row>
    <row r="8" spans="2:14" x14ac:dyDescent="0.25">
      <c r="B8" s="31">
        <f t="shared" ref="B8:B16" si="1">DATE(YEAR(B7),MONTH(B7)+1,1)</f>
        <v>43160</v>
      </c>
      <c r="C8" s="29">
        <f>SUM('503 - 60'!Z21:AC21)</f>
        <v>-180944.07720151372</v>
      </c>
      <c r="D8" s="29">
        <f>SUM('504 - 60'!Z21:AC21)</f>
        <v>13884.719672041567</v>
      </c>
      <c r="E8" s="30">
        <f t="shared" si="0"/>
        <v>-167059.35752947215</v>
      </c>
      <c r="G8" s="8"/>
      <c r="H8" s="13"/>
      <c r="I8" s="13"/>
      <c r="J8" s="13"/>
      <c r="K8" s="32"/>
      <c r="L8" s="13"/>
      <c r="M8" s="33"/>
      <c r="N8" s="8"/>
    </row>
    <row r="9" spans="2:14" x14ac:dyDescent="0.25">
      <c r="B9" s="31">
        <f t="shared" si="1"/>
        <v>43191</v>
      </c>
      <c r="C9" s="29">
        <f>SUM('503 - 60'!Z22:AC22)</f>
        <v>612023.23056988558</v>
      </c>
      <c r="D9" s="29">
        <f>SUM('504 - 60'!Z22:AC22)</f>
        <v>350668.22034493589</v>
      </c>
      <c r="E9" s="30">
        <f t="shared" si="0"/>
        <v>962691.45091482147</v>
      </c>
      <c r="G9" s="8"/>
      <c r="H9" s="34" t="s">
        <v>11</v>
      </c>
      <c r="I9" s="35" t="s">
        <v>12</v>
      </c>
      <c r="J9" s="35"/>
      <c r="K9" s="32"/>
      <c r="L9" s="36" t="s">
        <v>13</v>
      </c>
      <c r="M9" s="37" t="s">
        <v>14</v>
      </c>
      <c r="N9" s="8"/>
    </row>
    <row r="10" spans="2:14" x14ac:dyDescent="0.25">
      <c r="B10" s="31">
        <f t="shared" si="1"/>
        <v>43221</v>
      </c>
      <c r="C10" s="29">
        <f>SUM('503 - 60'!Z23:AC23)</f>
        <v>1834189.2583759401</v>
      </c>
      <c r="D10" s="29">
        <f>SUM('504 - 60'!Z23:AC23)</f>
        <v>841234.96754166833</v>
      </c>
      <c r="E10" s="30">
        <f t="shared" si="0"/>
        <v>2675424.2259176085</v>
      </c>
      <c r="G10" s="8"/>
      <c r="H10" s="13"/>
      <c r="I10" s="13"/>
      <c r="J10" s="13"/>
      <c r="K10" s="32"/>
      <c r="L10" s="13"/>
      <c r="M10" s="33"/>
      <c r="N10" s="8"/>
    </row>
    <row r="11" spans="2:14" x14ac:dyDescent="0.25">
      <c r="B11" s="31">
        <f t="shared" si="1"/>
        <v>43252</v>
      </c>
      <c r="C11" s="29">
        <f>SUM('503 - 60'!Z24:AC24)</f>
        <v>154730.87990408155</v>
      </c>
      <c r="D11" s="29">
        <f>SUM('504 - 60'!Z24:AC24)</f>
        <v>12961.388478678498</v>
      </c>
      <c r="E11" s="30">
        <f t="shared" si="0"/>
        <v>167692.26838276006</v>
      </c>
      <c r="G11" s="8"/>
      <c r="H11" s="38"/>
      <c r="I11" s="34" t="s">
        <v>15</v>
      </c>
      <c r="J11" s="39"/>
      <c r="K11" s="32"/>
      <c r="L11" s="13"/>
      <c r="M11" s="33"/>
      <c r="N11" s="8"/>
    </row>
    <row r="12" spans="2:14" x14ac:dyDescent="0.25">
      <c r="B12" s="31">
        <f t="shared" si="1"/>
        <v>43282</v>
      </c>
      <c r="C12" s="29">
        <f>SUM('503 - 60'!Z25:AC25)</f>
        <v>0</v>
      </c>
      <c r="D12" s="29">
        <f>SUM('504 - 60'!Z25:AC25)</f>
        <v>0</v>
      </c>
      <c r="E12" s="30">
        <f t="shared" si="0"/>
        <v>0</v>
      </c>
      <c r="G12" s="8"/>
      <c r="H12" s="13"/>
      <c r="I12" s="13" t="s">
        <v>16</v>
      </c>
      <c r="J12" s="13"/>
      <c r="K12" s="32"/>
      <c r="L12" s="13"/>
      <c r="M12" s="33"/>
      <c r="N12" s="8"/>
    </row>
    <row r="13" spans="2:14" x14ac:dyDescent="0.25">
      <c r="B13" s="31">
        <f t="shared" si="1"/>
        <v>43313</v>
      </c>
      <c r="C13" s="29">
        <f>SUM('503 - 60'!Z26:AC26)</f>
        <v>0</v>
      </c>
      <c r="D13" s="29">
        <f>SUM('504 - 60'!Z26:AC26)</f>
        <v>0</v>
      </c>
      <c r="E13" s="30">
        <f t="shared" si="0"/>
        <v>0</v>
      </c>
      <c r="G13" s="8"/>
      <c r="H13" s="38">
        <v>1</v>
      </c>
      <c r="I13" s="13" t="s">
        <v>17</v>
      </c>
      <c r="J13" s="13"/>
      <c r="K13" s="32"/>
      <c r="L13" s="40">
        <f>C18</f>
        <v>11644752.577750221</v>
      </c>
      <c r="M13" s="33"/>
      <c r="N13" s="8"/>
    </row>
    <row r="14" spans="2:14" x14ac:dyDescent="0.25">
      <c r="B14" s="31">
        <f t="shared" si="1"/>
        <v>43344</v>
      </c>
      <c r="C14" s="29">
        <f>SUM('503 - 60'!Z27:AC27)</f>
        <v>317637.9474857935</v>
      </c>
      <c r="D14" s="29">
        <f>SUM('504 - 60'!Z27:AC27)</f>
        <v>87875.855530707981</v>
      </c>
      <c r="E14" s="30">
        <f t="shared" si="0"/>
        <v>405513.80301650148</v>
      </c>
      <c r="G14" s="8"/>
      <c r="H14" s="13"/>
      <c r="I14" s="13"/>
      <c r="J14" s="13"/>
      <c r="K14" s="32"/>
      <c r="L14" s="13"/>
      <c r="M14" s="33"/>
      <c r="N14" s="8"/>
    </row>
    <row r="15" spans="2:14" x14ac:dyDescent="0.25">
      <c r="B15" s="31">
        <f t="shared" si="1"/>
        <v>43374</v>
      </c>
      <c r="C15" s="29">
        <f>SUM('503 - 60'!Z28:AC28)</f>
        <v>649827.15931558644</v>
      </c>
      <c r="D15" s="29">
        <f>SUM('504 - 60'!Z28:AC28)</f>
        <v>353530.44473303773</v>
      </c>
      <c r="E15" s="30">
        <f t="shared" si="0"/>
        <v>1003357.6040486242</v>
      </c>
      <c r="G15" s="8"/>
      <c r="H15" s="38">
        <v>2</v>
      </c>
      <c r="I15" s="13" t="s">
        <v>19</v>
      </c>
      <c r="J15" s="13"/>
      <c r="K15" s="41">
        <f>+K28+0.29484</f>
        <v>0.79052999999999995</v>
      </c>
      <c r="L15" s="13"/>
      <c r="M15" s="33">
        <f>ROUND(L13*K15,2)</f>
        <v>9205526.2599999998</v>
      </c>
      <c r="N15" s="8"/>
    </row>
    <row r="16" spans="2:14" x14ac:dyDescent="0.25">
      <c r="B16" s="31">
        <f t="shared" si="1"/>
        <v>43405</v>
      </c>
      <c r="C16" s="29">
        <f>SUM('503 - 60'!Z29:AC29)</f>
        <v>2010162.4787883651</v>
      </c>
      <c r="D16" s="29">
        <f>SUM('504 - 60'!Z29:AC29)</f>
        <v>853489.75394566334</v>
      </c>
      <c r="E16" s="30">
        <f t="shared" si="0"/>
        <v>2863652.2327340282</v>
      </c>
      <c r="G16" s="8"/>
      <c r="H16" s="13"/>
      <c r="I16" s="13"/>
      <c r="J16" s="13"/>
      <c r="K16" s="32"/>
      <c r="L16" s="13"/>
      <c r="M16" s="33"/>
      <c r="N16" s="8"/>
    </row>
    <row r="17" spans="2:14" x14ac:dyDescent="0.25">
      <c r="B17" s="31">
        <f>DATE(YEAR(B16),MONTH(B16)+1,1)</f>
        <v>43435</v>
      </c>
      <c r="C17" s="29">
        <f>SUM('503 - 60'!Z30:AC30)</f>
        <v>3083798.2421595259</v>
      </c>
      <c r="D17" s="29">
        <f>SUM('504 - 60'!Z30:AC30)</f>
        <v>1910096.4536643373</v>
      </c>
      <c r="E17" s="30">
        <f t="shared" si="0"/>
        <v>4993894.6958238631</v>
      </c>
      <c r="G17" s="8"/>
      <c r="H17" s="13"/>
      <c r="I17" s="34" t="s">
        <v>21</v>
      </c>
      <c r="J17" s="13"/>
      <c r="K17" s="32"/>
      <c r="L17" s="13"/>
      <c r="M17" s="33"/>
      <c r="N17" s="8"/>
    </row>
    <row r="18" spans="2:14" ht="15.75" thickBot="1" x14ac:dyDescent="0.3">
      <c r="B18" s="42" t="s">
        <v>5</v>
      </c>
      <c r="C18" s="43">
        <f>SUM(C6:C17)</f>
        <v>11644752.577750221</v>
      </c>
      <c r="D18" s="43">
        <f>SUM(D6:D17)</f>
        <v>6906939.4985081935</v>
      </c>
      <c r="E18" s="44">
        <f>SUM(E6:E17)</f>
        <v>18551692.076258417</v>
      </c>
      <c r="F18" s="45"/>
      <c r="G18" s="8"/>
      <c r="H18" s="13"/>
      <c r="I18" s="13" t="s">
        <v>22</v>
      </c>
      <c r="J18" s="13"/>
      <c r="K18" s="32"/>
      <c r="L18" s="13"/>
      <c r="M18" s="33"/>
      <c r="N18" s="8"/>
    </row>
    <row r="19" spans="2:14" x14ac:dyDescent="0.25">
      <c r="B19" s="1"/>
      <c r="C19" s="46"/>
      <c r="D19" s="46"/>
      <c r="E19" s="46"/>
      <c r="G19" s="8"/>
      <c r="H19" s="38">
        <v>3</v>
      </c>
      <c r="I19" s="13" t="s">
        <v>17</v>
      </c>
      <c r="J19" s="13"/>
      <c r="K19" s="32"/>
      <c r="L19" s="40">
        <f>D18</f>
        <v>6906939.4985081935</v>
      </c>
      <c r="M19" s="33"/>
      <c r="N19" s="8"/>
    </row>
    <row r="20" spans="2:14" ht="14.25" customHeight="1" x14ac:dyDescent="0.25">
      <c r="B20" s="78"/>
      <c r="C20" s="83"/>
      <c r="D20" s="83"/>
      <c r="E20" s="78"/>
      <c r="G20" s="8"/>
      <c r="H20" s="13"/>
      <c r="I20" s="13"/>
      <c r="J20" s="13"/>
      <c r="K20" s="32"/>
      <c r="L20" s="13"/>
      <c r="M20" s="33"/>
      <c r="N20" s="8"/>
    </row>
    <row r="21" spans="2:14" x14ac:dyDescent="0.25">
      <c r="B21" s="78"/>
      <c r="C21" s="78"/>
      <c r="D21" s="78"/>
      <c r="E21" s="78"/>
      <c r="G21" s="8"/>
      <c r="H21" s="38">
        <v>4</v>
      </c>
      <c r="I21" s="13" t="s">
        <v>19</v>
      </c>
      <c r="J21" s="13"/>
      <c r="K21" s="41">
        <f>+K31+0.24608</f>
        <v>0.73912</v>
      </c>
      <c r="L21" s="47"/>
      <c r="M21" s="48">
        <f>ROUND(L19*K21,2)</f>
        <v>5105057.12</v>
      </c>
      <c r="N21" s="8"/>
    </row>
    <row r="22" spans="2:14" x14ac:dyDescent="0.25">
      <c r="B22" s="4"/>
      <c r="C22" s="84"/>
      <c r="D22" s="4"/>
      <c r="E22" s="64"/>
      <c r="G22" s="8"/>
      <c r="H22" s="13"/>
      <c r="I22" s="13"/>
      <c r="J22" s="13"/>
      <c r="K22" s="32"/>
      <c r="L22" s="13"/>
      <c r="M22" s="33"/>
      <c r="N22" s="8"/>
    </row>
    <row r="23" spans="2:14" ht="15.75" thickBot="1" x14ac:dyDescent="0.3">
      <c r="B23" s="4"/>
      <c r="C23" s="64"/>
      <c r="D23" s="78"/>
      <c r="E23" s="78"/>
      <c r="F23" s="1"/>
      <c r="G23" s="8"/>
      <c r="H23" s="38">
        <v>5</v>
      </c>
      <c r="I23" s="49" t="s">
        <v>18</v>
      </c>
      <c r="J23" s="50"/>
      <c r="K23" s="51"/>
      <c r="L23" s="52">
        <f>SUM(L13,L19)</f>
        <v>18551692.076258413</v>
      </c>
      <c r="M23" s="53">
        <f>SUM(M15,M21)</f>
        <v>14310583.379999999</v>
      </c>
      <c r="N23" s="8"/>
    </row>
    <row r="24" spans="2:14" ht="15.75" thickTop="1" x14ac:dyDescent="0.25">
      <c r="B24" s="4"/>
      <c r="C24" s="64"/>
      <c r="D24" s="78"/>
      <c r="E24" s="78"/>
      <c r="F24" s="1"/>
      <c r="G24" s="8"/>
      <c r="H24" s="13"/>
      <c r="I24" s="13"/>
      <c r="J24" s="13"/>
      <c r="K24" s="32"/>
      <c r="L24" s="13"/>
      <c r="M24" s="33"/>
      <c r="N24" s="8"/>
    </row>
    <row r="25" spans="2:14" x14ac:dyDescent="0.25">
      <c r="B25" s="4"/>
      <c r="C25" s="64"/>
      <c r="D25" s="4"/>
      <c r="E25" s="64"/>
      <c r="F25" s="1"/>
      <c r="G25" s="8"/>
      <c r="H25" s="13"/>
      <c r="I25" s="34" t="s">
        <v>20</v>
      </c>
      <c r="J25" s="13"/>
      <c r="K25" s="32"/>
      <c r="L25" s="13"/>
      <c r="M25" s="33"/>
      <c r="N25" s="8"/>
    </row>
    <row r="26" spans="2:14" x14ac:dyDescent="0.25">
      <c r="B26" s="4"/>
      <c r="C26" s="64"/>
      <c r="D26" s="78"/>
      <c r="E26" s="78"/>
      <c r="G26" s="8"/>
      <c r="H26" s="13"/>
      <c r="I26" s="13"/>
      <c r="J26" s="13"/>
      <c r="K26" s="32"/>
      <c r="L26" s="13"/>
      <c r="M26" s="33"/>
      <c r="N26" s="8"/>
    </row>
    <row r="27" spans="2:14" x14ac:dyDescent="0.25">
      <c r="B27" s="4"/>
      <c r="C27" s="64"/>
      <c r="D27" s="78"/>
      <c r="E27" s="78"/>
      <c r="G27" s="8"/>
      <c r="H27" s="38">
        <v>6</v>
      </c>
      <c r="I27" s="54" t="s">
        <v>23</v>
      </c>
      <c r="J27" s="54"/>
      <c r="K27" s="55"/>
      <c r="L27" s="54"/>
      <c r="M27" s="33"/>
      <c r="N27" s="8"/>
    </row>
    <row r="28" spans="2:14" x14ac:dyDescent="0.25">
      <c r="B28" s="4"/>
      <c r="C28" s="64"/>
      <c r="D28" s="4"/>
      <c r="E28" s="64"/>
      <c r="F28" s="57"/>
      <c r="G28" s="8"/>
      <c r="H28" s="38"/>
      <c r="I28" s="54" t="s">
        <v>24</v>
      </c>
      <c r="J28" s="54"/>
      <c r="K28" s="58">
        <v>0.49569000000000002</v>
      </c>
      <c r="L28" s="59">
        <f>L13</f>
        <v>11644752.577750221</v>
      </c>
      <c r="M28" s="60">
        <f>ROUND(K28*L28,2)</f>
        <v>5772187.4100000001</v>
      </c>
      <c r="N28" s="8"/>
    </row>
    <row r="29" spans="2:14" x14ac:dyDescent="0.25">
      <c r="B29" s="4"/>
      <c r="C29" s="64"/>
      <c r="D29" s="78"/>
      <c r="E29" s="78"/>
      <c r="G29" s="8"/>
      <c r="H29" s="13"/>
      <c r="I29" s="54"/>
      <c r="J29" s="54"/>
      <c r="K29" s="55"/>
      <c r="L29" s="54"/>
      <c r="M29" s="60"/>
      <c r="N29" s="8"/>
    </row>
    <row r="30" spans="2:14" x14ac:dyDescent="0.25">
      <c r="B30" s="4"/>
      <c r="C30" s="64"/>
      <c r="D30" s="78"/>
      <c r="E30" s="78"/>
      <c r="G30" s="8"/>
      <c r="H30" s="38">
        <v>7</v>
      </c>
      <c r="I30" s="54" t="s">
        <v>25</v>
      </c>
      <c r="J30" s="54"/>
      <c r="K30" s="55"/>
      <c r="L30" s="54"/>
      <c r="M30" s="60"/>
      <c r="N30" s="8"/>
    </row>
    <row r="31" spans="2:14" x14ac:dyDescent="0.25">
      <c r="B31" s="4"/>
      <c r="C31" s="64"/>
      <c r="D31" s="4"/>
      <c r="E31" s="64"/>
      <c r="G31" s="8"/>
      <c r="H31" s="38"/>
      <c r="I31" s="54" t="s">
        <v>24</v>
      </c>
      <c r="J31" s="54"/>
      <c r="K31" s="58">
        <v>0.49303999999999998</v>
      </c>
      <c r="L31" s="61">
        <f>L19</f>
        <v>6906939.4985081935</v>
      </c>
      <c r="M31" s="48">
        <f>ROUND(K31*L31,2)</f>
        <v>3405397.45</v>
      </c>
      <c r="N31" s="8"/>
    </row>
    <row r="32" spans="2:14" x14ac:dyDescent="0.25">
      <c r="B32" s="4"/>
      <c r="C32" s="64"/>
      <c r="D32" s="64"/>
      <c r="E32" s="64"/>
      <c r="G32" s="8"/>
      <c r="H32" s="54"/>
      <c r="I32" s="54"/>
      <c r="J32" s="54"/>
      <c r="K32" s="55"/>
      <c r="L32" s="54"/>
      <c r="M32" s="62"/>
      <c r="N32" s="8"/>
    </row>
    <row r="33" spans="2:14" ht="15.75" thickBot="1" x14ac:dyDescent="0.3">
      <c r="B33" s="4"/>
      <c r="C33" s="64"/>
      <c r="D33" s="64"/>
      <c r="E33" s="64"/>
      <c r="G33" s="8"/>
      <c r="H33" s="56">
        <v>8</v>
      </c>
      <c r="I33" s="54" t="s">
        <v>18</v>
      </c>
      <c r="J33" s="54"/>
      <c r="K33" s="54"/>
      <c r="L33" s="63">
        <f>SUM(L28,L31)</f>
        <v>18551692.076258413</v>
      </c>
      <c r="M33" s="63">
        <f>SUM(M28,M31)</f>
        <v>9177584.8599999994</v>
      </c>
      <c r="N33" s="8"/>
    </row>
    <row r="34" spans="2:14" ht="15.75" thickTop="1" x14ac:dyDescent="0.25">
      <c r="G34" s="8"/>
      <c r="N34" s="8"/>
    </row>
    <row r="35" spans="2:14" x14ac:dyDescent="0.25">
      <c r="G35" s="8"/>
      <c r="H35" s="8"/>
      <c r="I35" s="8"/>
      <c r="J35" s="8"/>
      <c r="K35" s="8"/>
      <c r="L35" s="8"/>
      <c r="M35" s="8"/>
      <c r="N35" s="8"/>
    </row>
    <row r="39" spans="2:14" ht="14.25" customHeight="1" x14ac:dyDescent="0.25"/>
    <row r="50" spans="2:2" x14ac:dyDescent="0.25">
      <c r="B50" s="4">
        <f>DATE(YEAR(B17),MONTH(B17)+1,DAY(B17)-1)</f>
        <v>43465</v>
      </c>
    </row>
  </sheetData>
  <printOptions horizontalCentered="1"/>
  <pageMargins left="0.7" right="0.7" top="1" bottom="1" header="0.55000000000000004" footer="0.3"/>
  <pageSetup scale="48" orientation="landscape" r:id="rId1"/>
  <headerFooter scaleWithDoc="0" alignWithMargins="0">
    <oddHeader>&amp;RDocket No. UG-19____
Exhibit ___(BLR-3)
Page 1 of &amp;N</oddHeader>
  </headerFooter>
  <colBreaks count="1" manualBreakCount="1">
    <brk id="14" min="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zoomScale="60" zoomScaleNormal="100" workbookViewId="0">
      <selection activeCell="A28" sqref="A28"/>
    </sheetView>
  </sheetViews>
  <sheetFormatPr defaultRowHeight="15" x14ac:dyDescent="0.25"/>
  <cols>
    <col min="1" max="1" width="9.85546875" bestFit="1" customWidth="1"/>
    <col min="2" max="2" width="9" bestFit="1" customWidth="1"/>
    <col min="3" max="3" width="9.85546875" bestFit="1" customWidth="1"/>
    <col min="4" max="4" width="8" bestFit="1" customWidth="1"/>
    <col min="5" max="5" width="9" bestFit="1" customWidth="1"/>
    <col min="6" max="8" width="8" bestFit="1" customWidth="1"/>
    <col min="9" max="9" width="1.42578125" customWidth="1"/>
    <col min="10" max="10" width="9.42578125" bestFit="1" customWidth="1"/>
    <col min="11" max="17" width="8" bestFit="1" customWidth="1"/>
    <col min="18" max="18" width="1.42578125" customWidth="1"/>
    <col min="19" max="19" width="9.42578125" bestFit="1" customWidth="1"/>
    <col min="20" max="22" width="6" bestFit="1" customWidth="1"/>
    <col min="23" max="23" width="6.7109375" bestFit="1" customWidth="1"/>
    <col min="24" max="24" width="6" bestFit="1" customWidth="1"/>
    <col min="25" max="25" width="5.42578125" bestFit="1" customWidth="1"/>
    <col min="26" max="26" width="6" bestFit="1" customWidth="1"/>
    <col min="27" max="27" width="1.42578125" customWidth="1"/>
    <col min="28" max="28" width="9.42578125" bestFit="1" customWidth="1"/>
    <col min="29" max="29" width="7.5703125" bestFit="1" customWidth="1"/>
    <col min="30" max="30" width="6.28515625" bestFit="1" customWidth="1"/>
    <col min="31" max="31" width="5.85546875" bestFit="1" customWidth="1"/>
    <col min="32" max="32" width="6.7109375" bestFit="1" customWidth="1"/>
    <col min="33" max="33" width="6.28515625" bestFit="1" customWidth="1"/>
    <col min="34" max="34" width="5.42578125" bestFit="1" customWidth="1"/>
    <col min="35" max="35" width="6.28515625" bestFit="1" customWidth="1"/>
    <col min="36" max="36" width="1.42578125" customWidth="1"/>
    <col min="37" max="37" width="9.42578125" bestFit="1" customWidth="1"/>
    <col min="38" max="40" width="6" bestFit="1" customWidth="1"/>
    <col min="41" max="41" width="6.7109375" bestFit="1" customWidth="1"/>
    <col min="42" max="42" width="6" bestFit="1" customWidth="1"/>
    <col min="43" max="43" width="7" bestFit="1" customWidth="1"/>
    <col min="44" max="44" width="6" bestFit="1" customWidth="1"/>
    <col min="45" max="45" width="1.42578125" customWidth="1"/>
    <col min="46" max="46" width="9.42578125" bestFit="1" customWidth="1"/>
    <col min="47" max="49" width="6" bestFit="1" customWidth="1"/>
    <col min="50" max="50" width="6.7109375" bestFit="1" customWidth="1"/>
    <col min="51" max="51" width="6" bestFit="1" customWidth="1"/>
    <col min="52" max="52" width="7" bestFit="1" customWidth="1"/>
    <col min="53" max="53" width="6" bestFit="1" customWidth="1"/>
  </cols>
  <sheetData>
    <row r="1" spans="1:36" x14ac:dyDescent="0.25">
      <c r="A1" s="94">
        <v>43101</v>
      </c>
      <c r="B1" s="95"/>
      <c r="C1" s="95"/>
      <c r="D1" s="95"/>
    </row>
    <row r="2" spans="1:36" x14ac:dyDescent="0.25">
      <c r="A2" s="95"/>
      <c r="B2" s="95"/>
      <c r="C2" s="95"/>
      <c r="D2" s="95"/>
    </row>
    <row r="3" spans="1:36" ht="23.25" x14ac:dyDescent="0.35">
      <c r="A3" s="74"/>
      <c r="B3" s="98" t="s">
        <v>52</v>
      </c>
      <c r="C3" s="98"/>
      <c r="D3" s="98"/>
      <c r="E3" s="98"/>
      <c r="F3" s="98"/>
      <c r="G3" s="98"/>
      <c r="H3" s="98"/>
      <c r="I3" s="75"/>
      <c r="K3" s="98" t="s">
        <v>53</v>
      </c>
      <c r="L3" s="98"/>
      <c r="M3" s="98"/>
      <c r="N3" s="98"/>
      <c r="O3" s="98"/>
      <c r="P3" s="98"/>
      <c r="Q3" s="98"/>
      <c r="R3" s="75"/>
      <c r="S3" s="97" t="s">
        <v>27</v>
      </c>
      <c r="T3" s="97"/>
      <c r="U3" s="97"/>
      <c r="V3" s="97"/>
      <c r="W3" s="97"/>
      <c r="X3" s="97"/>
      <c r="Y3" s="97"/>
      <c r="Z3" s="97"/>
      <c r="AA3" s="75"/>
      <c r="AB3" s="97" t="s">
        <v>28</v>
      </c>
      <c r="AC3" s="97"/>
      <c r="AD3" s="97"/>
      <c r="AE3" s="97"/>
      <c r="AF3" s="97"/>
      <c r="AG3" s="97"/>
      <c r="AH3" s="97"/>
      <c r="AI3" s="97"/>
      <c r="AJ3" s="75"/>
    </row>
    <row r="4" spans="1:36" x14ac:dyDescent="0.25">
      <c r="A4" s="65" t="s">
        <v>7</v>
      </c>
      <c r="B4" s="66" t="s">
        <v>29</v>
      </c>
      <c r="C4" s="66" t="s">
        <v>30</v>
      </c>
      <c r="D4" s="66" t="s">
        <v>31</v>
      </c>
      <c r="E4" s="66" t="s">
        <v>32</v>
      </c>
      <c r="F4" s="67" t="s">
        <v>26</v>
      </c>
      <c r="G4" s="67" t="s">
        <v>33</v>
      </c>
      <c r="H4" s="67" t="s">
        <v>34</v>
      </c>
      <c r="I4" s="75"/>
      <c r="J4" s="65" t="s">
        <v>7</v>
      </c>
      <c r="K4" s="66" t="s">
        <v>29</v>
      </c>
      <c r="L4" s="66" t="s">
        <v>30</v>
      </c>
      <c r="M4" s="66" t="s">
        <v>31</v>
      </c>
      <c r="N4" s="66" t="s">
        <v>32</v>
      </c>
      <c r="O4" s="67" t="s">
        <v>26</v>
      </c>
      <c r="P4" s="67" t="s">
        <v>33</v>
      </c>
      <c r="Q4" s="67" t="s">
        <v>34</v>
      </c>
      <c r="R4" s="75"/>
      <c r="S4" s="65" t="s">
        <v>7</v>
      </c>
      <c r="T4" s="66" t="s">
        <v>29</v>
      </c>
      <c r="U4" s="66" t="s">
        <v>30</v>
      </c>
      <c r="V4" s="66" t="s">
        <v>31</v>
      </c>
      <c r="W4" s="66" t="s">
        <v>32</v>
      </c>
      <c r="X4" s="67" t="s">
        <v>26</v>
      </c>
      <c r="Y4" s="67" t="s">
        <v>33</v>
      </c>
      <c r="Z4" s="67" t="s">
        <v>34</v>
      </c>
      <c r="AA4" s="75"/>
      <c r="AB4" s="65" t="s">
        <v>7</v>
      </c>
      <c r="AC4" s="66" t="s">
        <v>29</v>
      </c>
      <c r="AD4" s="66" t="s">
        <v>30</v>
      </c>
      <c r="AE4" s="66" t="s">
        <v>31</v>
      </c>
      <c r="AF4" s="66" t="s">
        <v>32</v>
      </c>
      <c r="AG4" s="67" t="s">
        <v>26</v>
      </c>
      <c r="AH4" s="67" t="s">
        <v>33</v>
      </c>
      <c r="AI4" s="67" t="s">
        <v>34</v>
      </c>
      <c r="AJ4" s="75"/>
    </row>
    <row r="5" spans="1:36" x14ac:dyDescent="0.25">
      <c r="A5" s="68">
        <v>43101</v>
      </c>
      <c r="B5" s="76">
        <v>8487918.1020218972</v>
      </c>
      <c r="C5" s="76">
        <v>3651458.3188985344</v>
      </c>
      <c r="D5" s="76">
        <v>3676351.8246506318</v>
      </c>
      <c r="E5" s="76">
        <v>2877740.7544289366</v>
      </c>
      <c r="F5" s="77">
        <v>4732072.0652767895</v>
      </c>
      <c r="G5" s="77">
        <v>702826.21173427382</v>
      </c>
      <c r="H5" s="77">
        <v>999108.72298893693</v>
      </c>
      <c r="I5" s="75"/>
      <c r="J5" s="68">
        <v>43101</v>
      </c>
      <c r="K5" s="76">
        <v>3881397.2116240128</v>
      </c>
      <c r="L5" s="76">
        <v>2305543.1270096111</v>
      </c>
      <c r="M5" s="76">
        <v>2813609.799866274</v>
      </c>
      <c r="N5" s="76">
        <v>3484907.8615001021</v>
      </c>
      <c r="O5" s="77">
        <v>2799954.4821063136</v>
      </c>
      <c r="P5" s="77">
        <v>650811.63390785991</v>
      </c>
      <c r="Q5" s="77">
        <v>909921.8839858264</v>
      </c>
      <c r="R5" s="75"/>
      <c r="S5" s="68">
        <v>43101</v>
      </c>
      <c r="T5" s="69">
        <v>82425</v>
      </c>
      <c r="U5" s="69">
        <v>38762</v>
      </c>
      <c r="V5" s="69">
        <v>39039</v>
      </c>
      <c r="W5" s="69">
        <v>26784</v>
      </c>
      <c r="X5" s="69">
        <v>45025</v>
      </c>
      <c r="Y5" s="69">
        <v>7182</v>
      </c>
      <c r="Z5" s="69">
        <v>11143</v>
      </c>
      <c r="AA5" s="75"/>
      <c r="AB5" s="68">
        <v>43101</v>
      </c>
      <c r="AC5" s="69">
        <v>10043</v>
      </c>
      <c r="AD5" s="69">
        <v>4968</v>
      </c>
      <c r="AE5" s="69">
        <v>5484</v>
      </c>
      <c r="AF5" s="69">
        <v>5753</v>
      </c>
      <c r="AG5" s="69">
        <v>6698</v>
      </c>
      <c r="AH5" s="69">
        <v>1439</v>
      </c>
      <c r="AI5" s="69">
        <v>1895</v>
      </c>
      <c r="AJ5" s="75"/>
    </row>
    <row r="6" spans="1:36" x14ac:dyDescent="0.25">
      <c r="A6" s="68">
        <v>43132</v>
      </c>
      <c r="B6" s="76">
        <v>8223504.7345605046</v>
      </c>
      <c r="C6" s="76">
        <v>3610718.8376402222</v>
      </c>
      <c r="D6" s="76">
        <v>3185011.0667776656</v>
      </c>
      <c r="E6" s="76">
        <v>2631065.3610216081</v>
      </c>
      <c r="F6" s="77">
        <v>4571778.7547724731</v>
      </c>
      <c r="G6" s="77">
        <v>630591.86992934044</v>
      </c>
      <c r="H6" s="77">
        <v>885746.3752981869</v>
      </c>
      <c r="I6" s="75"/>
      <c r="J6" s="68">
        <v>43132</v>
      </c>
      <c r="K6" s="76">
        <v>4119927.5943244407</v>
      </c>
      <c r="L6" s="76">
        <v>2418044.1597249852</v>
      </c>
      <c r="M6" s="76">
        <v>2469845.4526519049</v>
      </c>
      <c r="N6" s="76">
        <v>3400023.7932986696</v>
      </c>
      <c r="O6" s="77">
        <v>2537801.5695296084</v>
      </c>
      <c r="P6" s="77">
        <v>572178.17042732239</v>
      </c>
      <c r="Q6" s="77">
        <v>762788.26004306949</v>
      </c>
      <c r="R6" s="75"/>
      <c r="S6" s="68">
        <v>43132</v>
      </c>
      <c r="T6" s="69">
        <v>82649</v>
      </c>
      <c r="U6" s="69">
        <v>38872</v>
      </c>
      <c r="V6" s="69">
        <v>39217</v>
      </c>
      <c r="W6" s="69">
        <v>26799</v>
      </c>
      <c r="X6" s="69">
        <v>45308</v>
      </c>
      <c r="Y6" s="69">
        <v>7207</v>
      </c>
      <c r="Z6" s="69">
        <v>11182</v>
      </c>
      <c r="AA6" s="75"/>
      <c r="AB6" s="68">
        <v>43132</v>
      </c>
      <c r="AC6" s="69">
        <v>10071</v>
      </c>
      <c r="AD6" s="69">
        <v>4961</v>
      </c>
      <c r="AE6" s="69">
        <v>5508</v>
      </c>
      <c r="AF6" s="69">
        <v>5763</v>
      </c>
      <c r="AG6" s="69">
        <v>6734</v>
      </c>
      <c r="AH6" s="69">
        <v>1443</v>
      </c>
      <c r="AI6" s="69">
        <v>1898</v>
      </c>
      <c r="AJ6" s="75"/>
    </row>
    <row r="7" spans="1:36" x14ac:dyDescent="0.25">
      <c r="A7" s="68">
        <v>43160</v>
      </c>
      <c r="B7" s="76">
        <v>6691853.8583546691</v>
      </c>
      <c r="C7" s="76">
        <v>3097498.9910979718</v>
      </c>
      <c r="D7" s="76">
        <v>2566481.3338454156</v>
      </c>
      <c r="E7" s="76">
        <v>2013266.8167019442</v>
      </c>
      <c r="F7" s="77">
        <v>3974306.796220581</v>
      </c>
      <c r="G7" s="77">
        <v>538430.57264327421</v>
      </c>
      <c r="H7" s="77">
        <v>735855.63113614463</v>
      </c>
      <c r="I7" s="75"/>
      <c r="J7" s="68">
        <v>43160</v>
      </c>
      <c r="K7" s="76">
        <v>3063781.4376809159</v>
      </c>
      <c r="L7" s="76">
        <v>1845076.9308348102</v>
      </c>
      <c r="M7" s="76">
        <v>1863151.5312223595</v>
      </c>
      <c r="N7" s="76">
        <v>2301042.1002619145</v>
      </c>
      <c r="O7" s="77">
        <v>2352209.4970048578</v>
      </c>
      <c r="P7" s="77">
        <v>485862.10560854728</v>
      </c>
      <c r="Q7" s="77">
        <v>667939.39738659502</v>
      </c>
      <c r="R7" s="75"/>
      <c r="S7" s="68">
        <v>43160</v>
      </c>
      <c r="T7" s="69">
        <v>82705</v>
      </c>
      <c r="U7" s="69">
        <v>38890</v>
      </c>
      <c r="V7" s="69">
        <v>39264</v>
      </c>
      <c r="W7" s="69">
        <v>26746</v>
      </c>
      <c r="X7" s="69">
        <v>45409</v>
      </c>
      <c r="Y7" s="69">
        <v>7195</v>
      </c>
      <c r="Z7" s="69">
        <v>11175</v>
      </c>
      <c r="AA7" s="75"/>
      <c r="AB7" s="68">
        <v>43160</v>
      </c>
      <c r="AC7" s="69">
        <v>10086</v>
      </c>
      <c r="AD7" s="69">
        <v>4971</v>
      </c>
      <c r="AE7" s="69">
        <v>5507</v>
      </c>
      <c r="AF7" s="69">
        <v>5751</v>
      </c>
      <c r="AG7" s="69">
        <v>6722</v>
      </c>
      <c r="AH7" s="69">
        <v>1442</v>
      </c>
      <c r="AI7" s="69">
        <v>1891</v>
      </c>
      <c r="AJ7" s="75"/>
    </row>
    <row r="8" spans="1:36" x14ac:dyDescent="0.25">
      <c r="A8" s="68">
        <v>43191</v>
      </c>
      <c r="B8" s="76">
        <v>4445853.2038777154</v>
      </c>
      <c r="C8" s="76">
        <v>2026228.8105066982</v>
      </c>
      <c r="D8" s="76">
        <v>1495110.6940518494</v>
      </c>
      <c r="E8" s="76">
        <v>1182967.2915637367</v>
      </c>
      <c r="F8" s="77">
        <v>2730346.5908598392</v>
      </c>
      <c r="G8" s="77">
        <v>286362.10078791814</v>
      </c>
      <c r="H8" s="77">
        <v>460315.30835224246</v>
      </c>
      <c r="I8" s="75"/>
      <c r="J8" s="68">
        <v>43191</v>
      </c>
      <c r="K8" s="76">
        <v>2260115.2511783624</v>
      </c>
      <c r="L8" s="76">
        <v>1367375.5131022013</v>
      </c>
      <c r="M8" s="76">
        <v>1314604.1320781172</v>
      </c>
      <c r="N8" s="76">
        <v>1539151.1036413191</v>
      </c>
      <c r="O8" s="77">
        <v>1493073.3629602974</v>
      </c>
      <c r="P8" s="77">
        <v>240929.44740060304</v>
      </c>
      <c r="Q8" s="77">
        <v>404400.18963909964</v>
      </c>
      <c r="R8" s="75"/>
      <c r="S8" s="68">
        <v>43191</v>
      </c>
      <c r="T8" s="69">
        <v>82701</v>
      </c>
      <c r="U8" s="69">
        <v>38913</v>
      </c>
      <c r="V8" s="69">
        <v>39285</v>
      </c>
      <c r="W8" s="69">
        <v>26615</v>
      </c>
      <c r="X8" s="69">
        <v>45539</v>
      </c>
      <c r="Y8" s="69">
        <v>7168</v>
      </c>
      <c r="Z8" s="69">
        <v>11122</v>
      </c>
      <c r="AA8" s="75"/>
      <c r="AB8" s="68">
        <v>43191</v>
      </c>
      <c r="AC8" s="69">
        <v>10069</v>
      </c>
      <c r="AD8" s="69">
        <v>4964</v>
      </c>
      <c r="AE8" s="69">
        <v>5497</v>
      </c>
      <c r="AF8" s="69">
        <v>5729</v>
      </c>
      <c r="AG8" s="69">
        <v>6728</v>
      </c>
      <c r="AH8" s="69">
        <v>1438</v>
      </c>
      <c r="AI8" s="69">
        <v>1891</v>
      </c>
      <c r="AJ8" s="75"/>
    </row>
    <row r="9" spans="1:36" x14ac:dyDescent="0.25">
      <c r="A9" s="68">
        <v>43221</v>
      </c>
      <c r="B9" s="76">
        <v>2057303.0402215377</v>
      </c>
      <c r="C9" s="76">
        <v>897001.20788452867</v>
      </c>
      <c r="D9" s="76">
        <v>605003.0877891602</v>
      </c>
      <c r="E9" s="76">
        <v>454677.66410477349</v>
      </c>
      <c r="F9" s="77">
        <v>1294165.5691237617</v>
      </c>
      <c r="G9" s="77">
        <v>107007.62922296641</v>
      </c>
      <c r="H9" s="77">
        <v>160568.80165327198</v>
      </c>
      <c r="I9" s="75"/>
      <c r="J9" s="68">
        <v>43221</v>
      </c>
      <c r="K9" s="76">
        <v>1141920.3520757505</v>
      </c>
      <c r="L9" s="76">
        <v>691286.76678437286</v>
      </c>
      <c r="M9" s="76">
        <v>561026.29645938461</v>
      </c>
      <c r="N9" s="76">
        <v>652877.58468049194</v>
      </c>
      <c r="O9" s="77">
        <v>859491.09089889843</v>
      </c>
      <c r="P9" s="77">
        <v>117159.27706303158</v>
      </c>
      <c r="Q9" s="77">
        <v>187424.63203806998</v>
      </c>
      <c r="R9" s="75"/>
      <c r="S9" s="68">
        <v>43221</v>
      </c>
      <c r="T9" s="69">
        <v>82696</v>
      </c>
      <c r="U9" s="69">
        <v>38882</v>
      </c>
      <c r="V9" s="69">
        <v>39260</v>
      </c>
      <c r="W9" s="69">
        <v>26461</v>
      </c>
      <c r="X9" s="69">
        <v>45605</v>
      </c>
      <c r="Y9" s="69">
        <v>7131</v>
      </c>
      <c r="Z9" s="69">
        <v>11067</v>
      </c>
      <c r="AA9" s="75"/>
      <c r="AB9" s="68">
        <v>43221</v>
      </c>
      <c r="AC9" s="69">
        <v>10050</v>
      </c>
      <c r="AD9" s="69">
        <v>4960</v>
      </c>
      <c r="AE9" s="69">
        <v>5485</v>
      </c>
      <c r="AF9" s="69">
        <v>5704</v>
      </c>
      <c r="AG9" s="69">
        <v>6725</v>
      </c>
      <c r="AH9" s="69">
        <v>1436</v>
      </c>
      <c r="AI9" s="69">
        <v>1881</v>
      </c>
      <c r="AJ9" s="75"/>
    </row>
    <row r="10" spans="1:36" x14ac:dyDescent="0.25">
      <c r="A10" s="68">
        <v>43252</v>
      </c>
      <c r="B10" s="76">
        <v>1859711.5355010396</v>
      </c>
      <c r="C10" s="76">
        <v>839974.00991023716</v>
      </c>
      <c r="D10" s="76">
        <v>534001.54823033616</v>
      </c>
      <c r="E10" s="76">
        <v>342371.90635838697</v>
      </c>
      <c r="F10" s="77">
        <v>1063401.0578205541</v>
      </c>
      <c r="G10" s="77">
        <v>75465.92379851974</v>
      </c>
      <c r="H10" s="77">
        <v>119424.01838092609</v>
      </c>
      <c r="I10" s="75"/>
      <c r="J10" s="68">
        <v>43252</v>
      </c>
      <c r="K10" s="76">
        <v>1239123.6873698202</v>
      </c>
      <c r="L10" s="76">
        <v>786943.42876861629</v>
      </c>
      <c r="M10" s="76">
        <v>675475.19213743485</v>
      </c>
      <c r="N10" s="76">
        <v>700386.69172412867</v>
      </c>
      <c r="O10" s="77">
        <v>827977.81463517318</v>
      </c>
      <c r="P10" s="77">
        <v>108344.22464148857</v>
      </c>
      <c r="Q10" s="77">
        <v>208839.96072333821</v>
      </c>
      <c r="R10" s="75"/>
      <c r="S10" s="68">
        <v>43252</v>
      </c>
      <c r="T10" s="69">
        <v>82694</v>
      </c>
      <c r="U10" s="69">
        <v>38867</v>
      </c>
      <c r="V10" s="69">
        <v>39322</v>
      </c>
      <c r="W10" s="69">
        <v>26357</v>
      </c>
      <c r="X10" s="69">
        <v>45712</v>
      </c>
      <c r="Y10" s="69">
        <v>7104</v>
      </c>
      <c r="Z10" s="69">
        <v>11057</v>
      </c>
      <c r="AA10" s="75"/>
      <c r="AB10" s="68">
        <v>43252</v>
      </c>
      <c r="AC10" s="69">
        <v>10021</v>
      </c>
      <c r="AD10" s="69">
        <v>4941</v>
      </c>
      <c r="AE10" s="69">
        <v>5477</v>
      </c>
      <c r="AF10" s="69">
        <v>5680</v>
      </c>
      <c r="AG10" s="69">
        <v>6716</v>
      </c>
      <c r="AH10" s="69">
        <v>1434</v>
      </c>
      <c r="AI10" s="69">
        <v>1871</v>
      </c>
      <c r="AJ10" s="75"/>
    </row>
    <row r="11" spans="1:36" x14ac:dyDescent="0.25">
      <c r="A11" s="68">
        <v>43282</v>
      </c>
      <c r="B11" s="76">
        <v>1489123.668097028</v>
      </c>
      <c r="C11" s="76">
        <v>633334.2828818484</v>
      </c>
      <c r="D11" s="76">
        <v>458020.13294535351</v>
      </c>
      <c r="E11" s="76">
        <v>285724.91607576993</v>
      </c>
      <c r="F11" s="77">
        <v>827903.41533538536</v>
      </c>
      <c r="G11" s="77">
        <v>62733.591803584917</v>
      </c>
      <c r="H11" s="77">
        <v>98756.992861029663</v>
      </c>
      <c r="I11" s="75"/>
      <c r="J11" s="68">
        <v>43282</v>
      </c>
      <c r="K11" s="76">
        <v>976451.62952855125</v>
      </c>
      <c r="L11" s="76">
        <v>624673.59510685084</v>
      </c>
      <c r="M11" s="76">
        <v>576802.09175806434</v>
      </c>
      <c r="N11" s="76">
        <v>647673.68360653357</v>
      </c>
      <c r="O11" s="77">
        <v>675505.67075821711</v>
      </c>
      <c r="P11" s="77">
        <v>98603.237202327451</v>
      </c>
      <c r="Q11" s="77">
        <v>194225.0920394554</v>
      </c>
      <c r="R11" s="75"/>
      <c r="S11" s="68">
        <v>43282</v>
      </c>
      <c r="T11" s="69">
        <v>82671</v>
      </c>
      <c r="U11" s="69">
        <v>38865</v>
      </c>
      <c r="V11" s="69">
        <v>39382</v>
      </c>
      <c r="W11" s="69">
        <v>26262</v>
      </c>
      <c r="X11" s="69">
        <v>45780</v>
      </c>
      <c r="Y11" s="69">
        <v>7069</v>
      </c>
      <c r="Z11" s="69">
        <v>11021</v>
      </c>
      <c r="AA11" s="75"/>
      <c r="AB11" s="68">
        <v>43282</v>
      </c>
      <c r="AC11" s="69">
        <v>10010</v>
      </c>
      <c r="AD11" s="69">
        <v>4933</v>
      </c>
      <c r="AE11" s="69">
        <v>5475</v>
      </c>
      <c r="AF11" s="69">
        <v>5671</v>
      </c>
      <c r="AG11" s="69">
        <v>6696</v>
      </c>
      <c r="AH11" s="69">
        <v>1430</v>
      </c>
      <c r="AI11" s="69">
        <v>1865</v>
      </c>
      <c r="AJ11" s="75"/>
    </row>
    <row r="12" spans="1:36" x14ac:dyDescent="0.25">
      <c r="A12" s="68">
        <v>43313</v>
      </c>
      <c r="B12" s="76">
        <v>722203.80812534562</v>
      </c>
      <c r="C12" s="76">
        <v>297375.83854667249</v>
      </c>
      <c r="D12" s="76">
        <v>240378.42188316782</v>
      </c>
      <c r="E12" s="76">
        <v>150155.93144481411</v>
      </c>
      <c r="F12" s="77">
        <v>400770.47062479961</v>
      </c>
      <c r="G12" s="77">
        <v>27331.845661249434</v>
      </c>
      <c r="H12" s="77">
        <v>55890.683713950973</v>
      </c>
      <c r="I12" s="75"/>
      <c r="J12" s="68">
        <v>43313</v>
      </c>
      <c r="K12" s="76">
        <v>552253.67183846794</v>
      </c>
      <c r="L12" s="76">
        <v>351358.22072380467</v>
      </c>
      <c r="M12" s="76">
        <v>318399.24229173642</v>
      </c>
      <c r="N12" s="76">
        <v>356936.86514599103</v>
      </c>
      <c r="O12" s="77">
        <v>342375.35026347643</v>
      </c>
      <c r="P12" s="77">
        <v>52806.763090990404</v>
      </c>
      <c r="Q12" s="77">
        <v>106140.88664553314</v>
      </c>
      <c r="R12" s="75"/>
      <c r="S12" s="68">
        <v>43313</v>
      </c>
      <c r="T12" s="69">
        <v>82733</v>
      </c>
      <c r="U12" s="69">
        <v>38865</v>
      </c>
      <c r="V12" s="69">
        <v>39511</v>
      </c>
      <c r="W12" s="69">
        <v>26173</v>
      </c>
      <c r="X12" s="69">
        <v>45846</v>
      </c>
      <c r="Y12" s="69">
        <v>7038</v>
      </c>
      <c r="Z12" s="69">
        <v>11002</v>
      </c>
      <c r="AA12" s="75"/>
      <c r="AB12" s="68">
        <v>43313</v>
      </c>
      <c r="AC12" s="69">
        <v>10006</v>
      </c>
      <c r="AD12" s="69">
        <v>4938</v>
      </c>
      <c r="AE12" s="69">
        <v>5482</v>
      </c>
      <c r="AF12" s="69">
        <v>5656</v>
      </c>
      <c r="AG12" s="69">
        <v>6696</v>
      </c>
      <c r="AH12" s="69">
        <v>1424</v>
      </c>
      <c r="AI12" s="69">
        <v>1862</v>
      </c>
      <c r="AJ12" s="75"/>
    </row>
    <row r="13" spans="1:36" x14ac:dyDescent="0.25">
      <c r="A13" s="68">
        <v>43344</v>
      </c>
      <c r="B13" s="76">
        <v>1907961.5253083808</v>
      </c>
      <c r="C13" s="76">
        <v>834404.3803212886</v>
      </c>
      <c r="D13" s="76">
        <v>593345.56550077815</v>
      </c>
      <c r="E13" s="76">
        <v>400822.52886955236</v>
      </c>
      <c r="F13" s="77">
        <v>1151859.9849454272</v>
      </c>
      <c r="G13" s="77">
        <v>81385.280893237985</v>
      </c>
      <c r="H13" s="77">
        <v>152866.73416133484</v>
      </c>
      <c r="I13" s="75"/>
      <c r="J13" s="68">
        <v>43344</v>
      </c>
      <c r="K13" s="76">
        <v>1258299.4143732651</v>
      </c>
      <c r="L13" s="76">
        <v>825619.3131248916</v>
      </c>
      <c r="M13" s="76">
        <v>756702.23691689805</v>
      </c>
      <c r="N13" s="76">
        <v>930413.03558494535</v>
      </c>
      <c r="O13" s="77">
        <v>884505.78296388686</v>
      </c>
      <c r="P13" s="77">
        <v>122470.82852983802</v>
      </c>
      <c r="Q13" s="77">
        <v>275212.38850627514</v>
      </c>
      <c r="R13" s="75"/>
      <c r="S13" s="68">
        <v>43344</v>
      </c>
      <c r="T13" s="69">
        <v>82957</v>
      </c>
      <c r="U13" s="69">
        <v>38997</v>
      </c>
      <c r="V13" s="69">
        <v>39659</v>
      </c>
      <c r="W13" s="69">
        <v>26256</v>
      </c>
      <c r="X13" s="69">
        <v>46052</v>
      </c>
      <c r="Y13" s="69">
        <v>7066</v>
      </c>
      <c r="Z13" s="69">
        <v>11085</v>
      </c>
      <c r="AA13" s="75"/>
      <c r="AB13" s="68">
        <v>43344</v>
      </c>
      <c r="AC13" s="69">
        <v>10006</v>
      </c>
      <c r="AD13" s="69">
        <v>4940</v>
      </c>
      <c r="AE13" s="69">
        <v>5492</v>
      </c>
      <c r="AF13" s="69">
        <v>5655</v>
      </c>
      <c r="AG13" s="69">
        <v>6710</v>
      </c>
      <c r="AH13" s="69">
        <v>1431</v>
      </c>
      <c r="AI13" s="69">
        <v>1863</v>
      </c>
      <c r="AJ13" s="75"/>
    </row>
    <row r="14" spans="1:36" x14ac:dyDescent="0.25">
      <c r="A14" s="68">
        <v>43374</v>
      </c>
      <c r="B14" s="76">
        <v>4230317.1408987483</v>
      </c>
      <c r="C14" s="76">
        <v>1880573.1375681255</v>
      </c>
      <c r="D14" s="76">
        <v>1138875.3856256392</v>
      </c>
      <c r="E14" s="76">
        <v>829668.3359074872</v>
      </c>
      <c r="F14" s="77">
        <v>2793210.3732633968</v>
      </c>
      <c r="G14" s="77">
        <v>289470.95290280774</v>
      </c>
      <c r="H14" s="77">
        <v>375744.67383379542</v>
      </c>
      <c r="I14" s="75"/>
      <c r="J14" s="68">
        <v>43374</v>
      </c>
      <c r="K14" s="76">
        <v>2102460.6766428016</v>
      </c>
      <c r="L14" s="76">
        <v>1418369.4892043367</v>
      </c>
      <c r="M14" s="76">
        <v>1207586.6382801309</v>
      </c>
      <c r="N14" s="76">
        <v>1723533.195872731</v>
      </c>
      <c r="O14" s="77">
        <v>1549895.7835009054</v>
      </c>
      <c r="P14" s="77">
        <v>250997.29985293676</v>
      </c>
      <c r="Q14" s="77">
        <v>431337.91664615786</v>
      </c>
      <c r="R14" s="75"/>
      <c r="S14" s="68">
        <v>43374</v>
      </c>
      <c r="T14" s="69">
        <v>83279</v>
      </c>
      <c r="U14" s="69">
        <v>39184</v>
      </c>
      <c r="V14" s="69">
        <v>40031</v>
      </c>
      <c r="W14" s="69">
        <v>26667</v>
      </c>
      <c r="X14" s="69">
        <v>46299</v>
      </c>
      <c r="Y14" s="69">
        <v>7161</v>
      </c>
      <c r="Z14" s="69">
        <v>11230</v>
      </c>
      <c r="AA14" s="75"/>
      <c r="AB14" s="68">
        <v>43374</v>
      </c>
      <c r="AC14" s="69">
        <v>10054</v>
      </c>
      <c r="AD14" s="69">
        <v>4969</v>
      </c>
      <c r="AE14" s="69">
        <v>5547</v>
      </c>
      <c r="AF14" s="69">
        <v>5707</v>
      </c>
      <c r="AG14" s="69">
        <v>6749</v>
      </c>
      <c r="AH14" s="69">
        <v>1437</v>
      </c>
      <c r="AI14" s="69">
        <v>1876</v>
      </c>
      <c r="AJ14" s="75"/>
    </row>
    <row r="15" spans="1:36" x14ac:dyDescent="0.25">
      <c r="A15" s="68">
        <v>43405</v>
      </c>
      <c r="B15" s="76">
        <v>7394443.9677571412</v>
      </c>
      <c r="C15" s="76">
        <v>3408477.8639210439</v>
      </c>
      <c r="D15" s="76">
        <v>2500587.2639259542</v>
      </c>
      <c r="E15" s="76">
        <v>2191761.9043958606</v>
      </c>
      <c r="F15" s="77">
        <v>4698328.1609282345</v>
      </c>
      <c r="G15" s="77">
        <v>635627.25555075984</v>
      </c>
      <c r="H15" s="77">
        <v>850899.58352100581</v>
      </c>
      <c r="I15" s="75"/>
      <c r="J15" s="68">
        <v>43405</v>
      </c>
      <c r="K15" s="76">
        <v>3338415.6173265297</v>
      </c>
      <c r="L15" s="76">
        <v>2042462.8993093953</v>
      </c>
      <c r="M15" s="76">
        <v>2002787.4116308065</v>
      </c>
      <c r="N15" s="76">
        <v>2963337.0717332689</v>
      </c>
      <c r="O15" s="77">
        <v>2373015.4416594109</v>
      </c>
      <c r="P15" s="77">
        <v>485935.54709437914</v>
      </c>
      <c r="Q15" s="77">
        <v>772129.01124620996</v>
      </c>
      <c r="R15" s="75"/>
      <c r="S15" s="68">
        <v>43405</v>
      </c>
      <c r="T15" s="69">
        <v>83517</v>
      </c>
      <c r="U15" s="69">
        <v>39343</v>
      </c>
      <c r="V15" s="69">
        <v>40263</v>
      </c>
      <c r="W15" s="69">
        <v>26933</v>
      </c>
      <c r="X15" s="69">
        <v>46509</v>
      </c>
      <c r="Y15" s="69">
        <v>7236</v>
      </c>
      <c r="Z15" s="69">
        <v>11329</v>
      </c>
      <c r="AA15" s="75"/>
      <c r="AB15" s="68">
        <v>43405</v>
      </c>
      <c r="AC15" s="69">
        <v>10110</v>
      </c>
      <c r="AD15" s="69">
        <v>4995</v>
      </c>
      <c r="AE15" s="69">
        <v>5601</v>
      </c>
      <c r="AF15" s="69">
        <v>5766</v>
      </c>
      <c r="AG15" s="69">
        <v>6766</v>
      </c>
      <c r="AH15" s="69">
        <v>1452</v>
      </c>
      <c r="AI15" s="69">
        <v>1895</v>
      </c>
      <c r="AJ15" s="75"/>
    </row>
    <row r="16" spans="1:36" x14ac:dyDescent="0.25">
      <c r="A16" s="68">
        <v>43435</v>
      </c>
      <c r="B16" s="76">
        <v>8283324.9208884966</v>
      </c>
      <c r="C16" s="76">
        <v>3929282.9640051243</v>
      </c>
      <c r="D16" s="76">
        <v>3998991.8874274404</v>
      </c>
      <c r="E16" s="76">
        <v>3188798.2276789388</v>
      </c>
      <c r="F16" s="77">
        <v>5495653.9880538927</v>
      </c>
      <c r="G16" s="77">
        <v>789584.03036575369</v>
      </c>
      <c r="H16" s="77">
        <v>1191315.9815803538</v>
      </c>
      <c r="I16" s="75"/>
      <c r="J16" s="68">
        <v>43435</v>
      </c>
      <c r="K16" s="76">
        <v>3763136.2296755989</v>
      </c>
      <c r="L16" s="76">
        <v>2491475.8286109567</v>
      </c>
      <c r="M16" s="76">
        <v>3003924.8032989856</v>
      </c>
      <c r="N16" s="76">
        <v>3815580.1384144593</v>
      </c>
      <c r="O16" s="77">
        <v>3217153.6921381857</v>
      </c>
      <c r="P16" s="77">
        <v>713932.39776018483</v>
      </c>
      <c r="Q16" s="77">
        <v>1091746.9101016298</v>
      </c>
      <c r="R16" s="75"/>
      <c r="S16" s="68">
        <v>43435</v>
      </c>
      <c r="T16" s="69">
        <v>83686</v>
      </c>
      <c r="U16" s="69">
        <v>39447</v>
      </c>
      <c r="V16" s="69">
        <v>40371</v>
      </c>
      <c r="W16" s="69">
        <v>26994</v>
      </c>
      <c r="X16" s="69">
        <v>46632</v>
      </c>
      <c r="Y16" s="69">
        <v>7268</v>
      </c>
      <c r="Z16" s="69">
        <v>11363</v>
      </c>
      <c r="AA16" s="75"/>
      <c r="AB16" s="68">
        <v>43435</v>
      </c>
      <c r="AC16" s="69">
        <v>10137</v>
      </c>
      <c r="AD16" s="69">
        <v>5013</v>
      </c>
      <c r="AE16" s="69">
        <v>5622</v>
      </c>
      <c r="AF16" s="69">
        <v>5799</v>
      </c>
      <c r="AG16" s="69">
        <v>6783</v>
      </c>
      <c r="AH16" s="69">
        <v>1458</v>
      </c>
      <c r="AI16" s="69">
        <v>1900</v>
      </c>
      <c r="AJ16" s="75"/>
    </row>
    <row r="22" spans="1:17" ht="23.25" x14ac:dyDescent="0.35">
      <c r="A22" s="96" t="s">
        <v>50</v>
      </c>
      <c r="B22" s="96"/>
      <c r="C22" s="96"/>
      <c r="D22" s="96"/>
      <c r="E22" s="96"/>
      <c r="F22" s="96"/>
      <c r="G22" s="96"/>
      <c r="H22" s="96"/>
      <c r="I22" s="75"/>
      <c r="J22" s="96" t="s">
        <v>51</v>
      </c>
      <c r="K22" s="96"/>
      <c r="L22" s="96"/>
      <c r="M22" s="96"/>
      <c r="N22" s="96"/>
      <c r="O22" s="96"/>
      <c r="P22" s="96"/>
      <c r="Q22" s="96"/>
    </row>
    <row r="23" spans="1:17" x14ac:dyDescent="0.25">
      <c r="A23" s="65" t="s">
        <v>7</v>
      </c>
      <c r="B23" s="66" t="s">
        <v>29</v>
      </c>
      <c r="C23" s="66" t="s">
        <v>30</v>
      </c>
      <c r="D23" s="66" t="s">
        <v>31</v>
      </c>
      <c r="E23" s="66" t="s">
        <v>32</v>
      </c>
      <c r="F23" s="67" t="s">
        <v>26</v>
      </c>
      <c r="G23" s="67" t="s">
        <v>33</v>
      </c>
      <c r="H23" s="67" t="s">
        <v>34</v>
      </c>
      <c r="I23" s="75"/>
      <c r="J23" s="65" t="s">
        <v>7</v>
      </c>
      <c r="K23" s="66" t="s">
        <v>29</v>
      </c>
      <c r="L23" s="66" t="s">
        <v>30</v>
      </c>
      <c r="M23" s="66" t="s">
        <v>31</v>
      </c>
      <c r="N23" s="66" t="s">
        <v>32</v>
      </c>
      <c r="O23" s="67" t="s">
        <v>26</v>
      </c>
      <c r="P23" s="67" t="s">
        <v>33</v>
      </c>
      <c r="Q23" s="67" t="s">
        <v>34</v>
      </c>
    </row>
    <row r="24" spans="1:17" x14ac:dyDescent="0.25">
      <c r="A24" s="68">
        <v>43101</v>
      </c>
      <c r="B24" s="82">
        <v>693.5</v>
      </c>
      <c r="C24" s="82">
        <v>654.5</v>
      </c>
      <c r="D24" s="82">
        <v>730.5</v>
      </c>
      <c r="E24" s="82">
        <v>819</v>
      </c>
      <c r="F24" s="82">
        <v>879</v>
      </c>
      <c r="G24" s="82">
        <v>940</v>
      </c>
      <c r="H24" s="82">
        <v>778.5</v>
      </c>
      <c r="I24" s="75"/>
      <c r="J24" s="68">
        <v>43101</v>
      </c>
      <c r="K24" s="82">
        <v>538.5</v>
      </c>
      <c r="L24" s="82">
        <v>499.5</v>
      </c>
      <c r="M24" s="82">
        <v>575.5</v>
      </c>
      <c r="N24" s="82">
        <v>664</v>
      </c>
      <c r="O24" s="82">
        <v>724</v>
      </c>
      <c r="P24" s="82">
        <v>785</v>
      </c>
      <c r="Q24" s="82">
        <v>623.5</v>
      </c>
    </row>
    <row r="25" spans="1:17" x14ac:dyDescent="0.25">
      <c r="A25" s="68">
        <v>43132</v>
      </c>
      <c r="B25" s="82">
        <v>725</v>
      </c>
      <c r="C25" s="82">
        <v>670</v>
      </c>
      <c r="D25" s="82">
        <v>693.5</v>
      </c>
      <c r="E25" s="82">
        <v>748</v>
      </c>
      <c r="F25" s="82">
        <v>855</v>
      </c>
      <c r="G25" s="82">
        <v>965</v>
      </c>
      <c r="H25" s="82">
        <v>756</v>
      </c>
      <c r="I25" s="75"/>
      <c r="J25" s="68">
        <v>43132</v>
      </c>
      <c r="K25" s="82">
        <v>585</v>
      </c>
      <c r="L25" s="82">
        <v>530</v>
      </c>
      <c r="M25" s="82">
        <v>553.5</v>
      </c>
      <c r="N25" s="82">
        <v>608</v>
      </c>
      <c r="O25" s="82">
        <v>715</v>
      </c>
      <c r="P25" s="82">
        <v>825</v>
      </c>
      <c r="Q25" s="82">
        <v>616</v>
      </c>
    </row>
    <row r="26" spans="1:17" x14ac:dyDescent="0.25">
      <c r="A26" s="68">
        <v>43160</v>
      </c>
      <c r="B26" s="82">
        <v>671</v>
      </c>
      <c r="C26" s="82">
        <v>600.5</v>
      </c>
      <c r="D26" s="82">
        <v>581.5</v>
      </c>
      <c r="E26" s="82">
        <v>635</v>
      </c>
      <c r="F26" s="82">
        <v>778</v>
      </c>
      <c r="G26" s="82">
        <v>788.5</v>
      </c>
      <c r="H26" s="82">
        <v>645.5</v>
      </c>
      <c r="I26" s="75"/>
      <c r="J26" s="68">
        <v>43160</v>
      </c>
      <c r="K26" s="82">
        <v>516</v>
      </c>
      <c r="L26" s="82">
        <v>445.5</v>
      </c>
      <c r="M26" s="82">
        <v>426.5</v>
      </c>
      <c r="N26" s="82">
        <v>480</v>
      </c>
      <c r="O26" s="82">
        <v>623</v>
      </c>
      <c r="P26" s="82">
        <v>633.5</v>
      </c>
      <c r="Q26" s="82">
        <v>490.5</v>
      </c>
    </row>
    <row r="27" spans="1:17" x14ac:dyDescent="0.25">
      <c r="A27" s="68">
        <v>43191</v>
      </c>
      <c r="B27" s="82">
        <v>470.5</v>
      </c>
      <c r="C27" s="82">
        <v>431</v>
      </c>
      <c r="D27" s="82">
        <v>361</v>
      </c>
      <c r="E27" s="82">
        <v>393</v>
      </c>
      <c r="F27" s="82">
        <v>571</v>
      </c>
      <c r="G27" s="82">
        <v>551.5</v>
      </c>
      <c r="H27" s="82">
        <v>414.5</v>
      </c>
      <c r="I27" s="75"/>
      <c r="J27" s="68">
        <v>43191</v>
      </c>
      <c r="K27" s="82">
        <v>320.5</v>
      </c>
      <c r="L27" s="82">
        <v>287.5</v>
      </c>
      <c r="M27" s="82">
        <v>224</v>
      </c>
      <c r="N27" s="82">
        <v>250.5</v>
      </c>
      <c r="O27" s="82">
        <v>421</v>
      </c>
      <c r="P27" s="82">
        <v>401.5</v>
      </c>
      <c r="Q27" s="82">
        <v>268.5</v>
      </c>
    </row>
    <row r="28" spans="1:17" x14ac:dyDescent="0.25">
      <c r="A28" s="68">
        <v>43221</v>
      </c>
      <c r="B28" s="82">
        <v>218</v>
      </c>
      <c r="C28" s="82">
        <v>161.5</v>
      </c>
      <c r="D28" s="82">
        <v>54</v>
      </c>
      <c r="E28" s="82">
        <v>49</v>
      </c>
      <c r="F28" s="82">
        <v>213</v>
      </c>
      <c r="G28" s="82">
        <v>202</v>
      </c>
      <c r="H28" s="82">
        <v>84.5</v>
      </c>
      <c r="I28" s="75"/>
      <c r="J28" s="68">
        <v>43221</v>
      </c>
      <c r="K28" s="82">
        <v>76</v>
      </c>
      <c r="L28" s="82">
        <v>51</v>
      </c>
      <c r="M28" s="82">
        <v>13</v>
      </c>
      <c r="N28" s="82">
        <v>10.5</v>
      </c>
      <c r="O28" s="82">
        <v>98</v>
      </c>
      <c r="P28" s="82">
        <v>81.5</v>
      </c>
      <c r="Q28" s="82">
        <v>25</v>
      </c>
    </row>
    <row r="29" spans="1:17" x14ac:dyDescent="0.25">
      <c r="A29" s="68">
        <v>43252</v>
      </c>
      <c r="B29" s="82">
        <v>164</v>
      </c>
      <c r="C29" s="82">
        <v>150</v>
      </c>
      <c r="D29" s="82">
        <v>32</v>
      </c>
      <c r="E29" s="82">
        <v>71</v>
      </c>
      <c r="F29" s="82">
        <v>137.5</v>
      </c>
      <c r="G29" s="82">
        <v>143.5</v>
      </c>
      <c r="H29" s="82">
        <v>61</v>
      </c>
      <c r="I29" s="75"/>
      <c r="J29" s="68">
        <v>43252</v>
      </c>
      <c r="K29" s="82">
        <v>51.5</v>
      </c>
      <c r="L29" s="82">
        <v>46</v>
      </c>
      <c r="M29" s="82">
        <v>6</v>
      </c>
      <c r="N29" s="82">
        <v>22.5</v>
      </c>
      <c r="O29" s="82">
        <v>57</v>
      </c>
      <c r="P29" s="82">
        <v>53</v>
      </c>
      <c r="Q29" s="82">
        <v>10</v>
      </c>
    </row>
    <row r="30" spans="1:17" x14ac:dyDescent="0.25">
      <c r="A30" s="68">
        <v>43282</v>
      </c>
      <c r="B30" s="82">
        <v>31</v>
      </c>
      <c r="C30" s="82">
        <v>30</v>
      </c>
      <c r="D30" s="82">
        <v>0</v>
      </c>
      <c r="E30" s="82">
        <v>7</v>
      </c>
      <c r="F30" s="82">
        <v>24.5</v>
      </c>
      <c r="G30" s="82">
        <v>16</v>
      </c>
      <c r="H30" s="82">
        <v>4.5</v>
      </c>
      <c r="I30" s="75"/>
      <c r="J30" s="68">
        <v>43282</v>
      </c>
      <c r="K30" s="82">
        <v>1</v>
      </c>
      <c r="L30" s="82">
        <v>4</v>
      </c>
      <c r="M30" s="82">
        <v>0</v>
      </c>
      <c r="N30" s="82">
        <v>0</v>
      </c>
      <c r="O30" s="82">
        <v>8</v>
      </c>
      <c r="P30" s="82">
        <v>5</v>
      </c>
      <c r="Q30" s="82">
        <v>0</v>
      </c>
    </row>
    <row r="31" spans="1:17" x14ac:dyDescent="0.25">
      <c r="A31" s="68">
        <v>43313</v>
      </c>
      <c r="B31" s="82">
        <v>52.5</v>
      </c>
      <c r="C31" s="82">
        <v>35</v>
      </c>
      <c r="D31" s="82">
        <v>4</v>
      </c>
      <c r="E31" s="82">
        <v>12</v>
      </c>
      <c r="F31" s="82">
        <v>52</v>
      </c>
      <c r="G31" s="82">
        <v>45.5</v>
      </c>
      <c r="H31" s="82">
        <v>12.5</v>
      </c>
      <c r="I31" s="75"/>
      <c r="J31" s="68">
        <v>43313</v>
      </c>
      <c r="K31" s="82">
        <v>4.5</v>
      </c>
      <c r="L31" s="82">
        <v>2.5</v>
      </c>
      <c r="M31" s="82">
        <v>0</v>
      </c>
      <c r="N31" s="82">
        <v>1</v>
      </c>
      <c r="O31" s="82">
        <v>10.5</v>
      </c>
      <c r="P31" s="82">
        <v>14.5</v>
      </c>
      <c r="Q31" s="82">
        <v>1</v>
      </c>
    </row>
    <row r="32" spans="1:17" x14ac:dyDescent="0.25">
      <c r="A32" s="68">
        <v>43344</v>
      </c>
      <c r="B32" s="82">
        <v>192</v>
      </c>
      <c r="C32" s="82">
        <v>128.5</v>
      </c>
      <c r="D32" s="82">
        <v>68.5</v>
      </c>
      <c r="E32" s="82">
        <v>171</v>
      </c>
      <c r="F32" s="82">
        <v>266.5</v>
      </c>
      <c r="G32" s="82">
        <v>256</v>
      </c>
      <c r="H32" s="82">
        <v>129</v>
      </c>
      <c r="I32" s="75"/>
      <c r="J32" s="68">
        <v>43344</v>
      </c>
      <c r="K32" s="82">
        <v>58.5</v>
      </c>
      <c r="L32" s="82">
        <v>30.5</v>
      </c>
      <c r="M32" s="82">
        <v>7</v>
      </c>
      <c r="N32" s="82">
        <v>69</v>
      </c>
      <c r="O32" s="82">
        <v>132.5</v>
      </c>
      <c r="P32" s="82">
        <v>131.5</v>
      </c>
      <c r="Q32" s="82">
        <v>37</v>
      </c>
    </row>
    <row r="33" spans="1:17" x14ac:dyDescent="0.25">
      <c r="A33" s="68">
        <v>43374</v>
      </c>
      <c r="B33" s="82">
        <v>432.5</v>
      </c>
      <c r="C33" s="82">
        <v>368</v>
      </c>
      <c r="D33" s="82">
        <v>359.5</v>
      </c>
      <c r="E33" s="82">
        <v>480</v>
      </c>
      <c r="F33" s="82">
        <v>519.5</v>
      </c>
      <c r="G33" s="82">
        <v>577</v>
      </c>
      <c r="H33" s="82">
        <v>441.5</v>
      </c>
      <c r="I33" s="75"/>
      <c r="J33" s="68">
        <v>43374</v>
      </c>
      <c r="K33" s="82">
        <v>278</v>
      </c>
      <c r="L33" s="82">
        <v>214</v>
      </c>
      <c r="M33" s="82">
        <v>206</v>
      </c>
      <c r="N33" s="82">
        <v>326</v>
      </c>
      <c r="O33" s="82">
        <v>366</v>
      </c>
      <c r="P33" s="82">
        <v>423.5</v>
      </c>
      <c r="Q33" s="82">
        <v>286.5</v>
      </c>
    </row>
    <row r="34" spans="1:17" x14ac:dyDescent="0.25">
      <c r="A34" s="68">
        <v>43405</v>
      </c>
      <c r="B34" s="82">
        <v>546</v>
      </c>
      <c r="C34" s="82">
        <v>539</v>
      </c>
      <c r="D34" s="82">
        <v>686</v>
      </c>
      <c r="E34" s="82">
        <v>822.5</v>
      </c>
      <c r="F34" s="82">
        <v>801</v>
      </c>
      <c r="G34" s="82">
        <v>877.25</v>
      </c>
      <c r="H34" s="82">
        <v>733.5</v>
      </c>
      <c r="I34" s="75"/>
      <c r="J34" s="68">
        <v>43405</v>
      </c>
      <c r="K34" s="82">
        <v>396</v>
      </c>
      <c r="L34" s="82">
        <v>389</v>
      </c>
      <c r="M34" s="82">
        <v>536</v>
      </c>
      <c r="N34" s="82">
        <v>672.5</v>
      </c>
      <c r="O34" s="82">
        <v>651</v>
      </c>
      <c r="P34" s="82">
        <v>727.25</v>
      </c>
      <c r="Q34" s="82">
        <v>583.5</v>
      </c>
    </row>
    <row r="35" spans="1:17" x14ac:dyDescent="0.25">
      <c r="A35" s="68">
        <v>43435</v>
      </c>
      <c r="B35" s="82">
        <v>718</v>
      </c>
      <c r="C35" s="82">
        <v>708</v>
      </c>
      <c r="D35" s="82">
        <v>786</v>
      </c>
      <c r="E35" s="82">
        <v>941.5</v>
      </c>
      <c r="F35" s="82">
        <v>0</v>
      </c>
      <c r="G35" s="82">
        <v>0</v>
      </c>
      <c r="H35" s="82">
        <v>0</v>
      </c>
      <c r="I35" s="75"/>
      <c r="J35" s="68">
        <v>43435</v>
      </c>
      <c r="K35" s="82">
        <v>585.75</v>
      </c>
      <c r="L35" s="82">
        <v>553</v>
      </c>
      <c r="M35" s="82">
        <v>630.5</v>
      </c>
      <c r="N35" s="82">
        <v>789.5</v>
      </c>
      <c r="O35" s="82">
        <v>781.5</v>
      </c>
      <c r="P35" s="82">
        <v>950.5</v>
      </c>
      <c r="Q35" s="82">
        <v>700</v>
      </c>
    </row>
    <row r="36" spans="1:17" x14ac:dyDescent="0.25">
      <c r="I36" s="75"/>
    </row>
    <row r="37" spans="1:17" x14ac:dyDescent="0.25">
      <c r="I37" s="75"/>
    </row>
  </sheetData>
  <mergeCells count="7">
    <mergeCell ref="A1:D2"/>
    <mergeCell ref="A22:H22"/>
    <mergeCell ref="J22:Q22"/>
    <mergeCell ref="S3:Z3"/>
    <mergeCell ref="AB3:AI3"/>
    <mergeCell ref="B3:H3"/>
    <mergeCell ref="K3:Q3"/>
  </mergeCells>
  <printOptions horizontalCentered="1"/>
  <pageMargins left="0.7" right="0.7" top="1" bottom="1" header="0.55000000000000004" footer="0.3"/>
  <pageSetup scale="48" orientation="landscape" r:id="rId1"/>
  <headerFooter scaleWithDoc="0" alignWithMargins="0">
    <oddHeader>&amp;RDocket No. UG-19____
Exhibit ___(BLR-3)
Page 2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8" sqref="A28"/>
    </sheetView>
  </sheetViews>
  <sheetFormatPr defaultRowHeight="15" x14ac:dyDescent="0.25"/>
  <cols>
    <col min="1" max="8" width="9.140625" customWidth="1"/>
  </cols>
  <sheetData>
    <row r="1" spans="1:8" x14ac:dyDescent="0.25">
      <c r="A1" s="99" t="s">
        <v>41</v>
      </c>
      <c r="B1" s="99"/>
      <c r="C1" s="99"/>
      <c r="D1" s="99"/>
      <c r="E1" s="99"/>
      <c r="F1" s="99"/>
      <c r="G1" s="99"/>
      <c r="H1" s="99"/>
    </row>
    <row r="2" spans="1:8" x14ac:dyDescent="0.25">
      <c r="A2" t="s">
        <v>36</v>
      </c>
      <c r="B2" s="70" t="s">
        <v>32</v>
      </c>
      <c r="C2" s="70" t="s">
        <v>31</v>
      </c>
      <c r="D2" s="70" t="s">
        <v>30</v>
      </c>
      <c r="E2" s="70" t="s">
        <v>29</v>
      </c>
      <c r="F2" s="70" t="s">
        <v>34</v>
      </c>
      <c r="G2" s="70" t="s">
        <v>26</v>
      </c>
      <c r="H2" s="70" t="s">
        <v>33</v>
      </c>
    </row>
    <row r="3" spans="1:8" x14ac:dyDescent="0.25">
      <c r="A3" s="71">
        <v>1</v>
      </c>
      <c r="B3">
        <v>1057</v>
      </c>
      <c r="C3">
        <v>914</v>
      </c>
      <c r="D3">
        <v>694</v>
      </c>
      <c r="E3">
        <v>799</v>
      </c>
      <c r="F3">
        <v>921</v>
      </c>
      <c r="G3">
        <v>999</v>
      </c>
      <c r="H3">
        <v>1240</v>
      </c>
    </row>
    <row r="4" spans="1:8" x14ac:dyDescent="0.25">
      <c r="A4" s="71">
        <v>2</v>
      </c>
      <c r="B4">
        <v>809</v>
      </c>
      <c r="C4">
        <v>725</v>
      </c>
      <c r="D4">
        <v>599</v>
      </c>
      <c r="E4">
        <v>680</v>
      </c>
      <c r="F4">
        <v>742</v>
      </c>
      <c r="G4">
        <v>834</v>
      </c>
      <c r="H4">
        <v>995</v>
      </c>
    </row>
    <row r="5" spans="1:8" x14ac:dyDescent="0.25">
      <c r="A5" s="71">
        <v>3</v>
      </c>
      <c r="B5">
        <v>676</v>
      </c>
      <c r="C5">
        <v>580</v>
      </c>
      <c r="D5">
        <v>589</v>
      </c>
      <c r="E5">
        <v>644</v>
      </c>
      <c r="F5">
        <v>617</v>
      </c>
      <c r="G5">
        <v>777</v>
      </c>
      <c r="H5">
        <v>849</v>
      </c>
    </row>
    <row r="6" spans="1:8" x14ac:dyDescent="0.25">
      <c r="A6" s="71">
        <v>4</v>
      </c>
      <c r="B6">
        <v>477</v>
      </c>
      <c r="C6">
        <v>384</v>
      </c>
      <c r="D6">
        <v>488</v>
      </c>
      <c r="E6">
        <v>498</v>
      </c>
      <c r="F6">
        <v>432</v>
      </c>
      <c r="G6">
        <v>620</v>
      </c>
      <c r="H6">
        <v>646</v>
      </c>
    </row>
    <row r="7" spans="1:8" x14ac:dyDescent="0.25">
      <c r="A7" s="71">
        <v>5</v>
      </c>
      <c r="B7">
        <v>261</v>
      </c>
      <c r="C7">
        <v>208</v>
      </c>
      <c r="D7">
        <v>374</v>
      </c>
      <c r="E7">
        <v>345</v>
      </c>
      <c r="F7">
        <v>246</v>
      </c>
      <c r="G7">
        <v>427</v>
      </c>
      <c r="H7">
        <v>435</v>
      </c>
    </row>
    <row r="8" spans="1:8" x14ac:dyDescent="0.25">
      <c r="A8" s="71">
        <v>6</v>
      </c>
      <c r="B8">
        <v>98</v>
      </c>
      <c r="C8">
        <v>62</v>
      </c>
      <c r="D8">
        <v>247</v>
      </c>
      <c r="E8">
        <v>200</v>
      </c>
      <c r="F8">
        <v>83</v>
      </c>
      <c r="G8">
        <v>217</v>
      </c>
      <c r="H8">
        <v>225</v>
      </c>
    </row>
    <row r="9" spans="1:8" x14ac:dyDescent="0.25">
      <c r="A9" s="71">
        <v>7</v>
      </c>
      <c r="B9">
        <v>19</v>
      </c>
      <c r="C9">
        <v>2</v>
      </c>
      <c r="D9">
        <v>165</v>
      </c>
      <c r="E9">
        <v>101</v>
      </c>
      <c r="F9">
        <v>7</v>
      </c>
      <c r="G9">
        <v>68</v>
      </c>
      <c r="H9">
        <v>67</v>
      </c>
    </row>
    <row r="10" spans="1:8" x14ac:dyDescent="0.25">
      <c r="A10" s="71">
        <v>8</v>
      </c>
      <c r="B10">
        <v>28</v>
      </c>
      <c r="C10">
        <v>4</v>
      </c>
      <c r="D10">
        <v>153</v>
      </c>
      <c r="E10">
        <v>95</v>
      </c>
      <c r="F10">
        <v>8</v>
      </c>
      <c r="G10">
        <v>81</v>
      </c>
      <c r="H10">
        <v>80</v>
      </c>
    </row>
    <row r="11" spans="1:8" x14ac:dyDescent="0.25">
      <c r="A11" s="71">
        <v>9</v>
      </c>
      <c r="B11">
        <v>160</v>
      </c>
      <c r="C11">
        <v>86</v>
      </c>
      <c r="D11">
        <v>196</v>
      </c>
      <c r="E11">
        <v>235</v>
      </c>
      <c r="F11">
        <v>112</v>
      </c>
      <c r="G11">
        <v>250</v>
      </c>
      <c r="H11">
        <v>290</v>
      </c>
    </row>
    <row r="12" spans="1:8" x14ac:dyDescent="0.25">
      <c r="A12" s="71">
        <v>10</v>
      </c>
      <c r="B12">
        <v>496</v>
      </c>
      <c r="C12">
        <v>367</v>
      </c>
      <c r="D12">
        <v>395</v>
      </c>
      <c r="E12">
        <v>471</v>
      </c>
      <c r="F12">
        <v>407</v>
      </c>
      <c r="G12">
        <v>547</v>
      </c>
      <c r="H12">
        <v>637</v>
      </c>
    </row>
    <row r="13" spans="1:8" x14ac:dyDescent="0.25">
      <c r="A13" s="71">
        <v>11</v>
      </c>
      <c r="B13">
        <v>830</v>
      </c>
      <c r="C13">
        <v>694</v>
      </c>
      <c r="D13">
        <v>578</v>
      </c>
      <c r="E13">
        <v>654</v>
      </c>
      <c r="F13">
        <v>710</v>
      </c>
      <c r="G13">
        <v>829</v>
      </c>
      <c r="H13">
        <v>958</v>
      </c>
    </row>
    <row r="14" spans="1:8" x14ac:dyDescent="0.25">
      <c r="A14" s="71">
        <v>12</v>
      </c>
      <c r="B14">
        <v>1128</v>
      </c>
      <c r="C14">
        <v>975</v>
      </c>
      <c r="D14">
        <v>730</v>
      </c>
      <c r="E14">
        <v>827</v>
      </c>
      <c r="F14">
        <v>986</v>
      </c>
      <c r="G14">
        <v>1068</v>
      </c>
      <c r="H14">
        <v>1246</v>
      </c>
    </row>
    <row r="17" spans="1:8" x14ac:dyDescent="0.25">
      <c r="A17" t="s">
        <v>35</v>
      </c>
      <c r="B17" s="70" t="s">
        <v>32</v>
      </c>
      <c r="C17" s="70" t="s">
        <v>31</v>
      </c>
      <c r="D17" s="70" t="s">
        <v>30</v>
      </c>
      <c r="E17" s="70" t="s">
        <v>29</v>
      </c>
      <c r="F17" s="70" t="s">
        <v>34</v>
      </c>
      <c r="G17" s="70" t="s">
        <v>26</v>
      </c>
      <c r="H17" s="70" t="s">
        <v>33</v>
      </c>
    </row>
    <row r="18" spans="1:8" x14ac:dyDescent="0.25">
      <c r="A18" s="71">
        <v>1</v>
      </c>
      <c r="B18">
        <v>900</v>
      </c>
      <c r="C18">
        <v>760</v>
      </c>
      <c r="D18">
        <v>589</v>
      </c>
      <c r="E18">
        <v>645</v>
      </c>
      <c r="F18">
        <v>766</v>
      </c>
      <c r="G18">
        <v>845</v>
      </c>
      <c r="H18">
        <v>1085</v>
      </c>
    </row>
    <row r="19" spans="1:8" x14ac:dyDescent="0.25">
      <c r="A19" s="71">
        <v>2</v>
      </c>
      <c r="B19">
        <v>669</v>
      </c>
      <c r="C19">
        <v>585</v>
      </c>
      <c r="D19">
        <v>501</v>
      </c>
      <c r="E19">
        <v>539</v>
      </c>
      <c r="F19">
        <v>602</v>
      </c>
      <c r="G19">
        <v>694</v>
      </c>
      <c r="H19">
        <v>855</v>
      </c>
    </row>
    <row r="20" spans="1:8" x14ac:dyDescent="0.25">
      <c r="A20" s="71">
        <v>3</v>
      </c>
      <c r="B20">
        <v>523</v>
      </c>
      <c r="C20">
        <v>426</v>
      </c>
      <c r="D20">
        <v>439</v>
      </c>
      <c r="E20">
        <v>488</v>
      </c>
      <c r="F20">
        <v>462</v>
      </c>
      <c r="G20">
        <v>622</v>
      </c>
      <c r="H20">
        <v>694</v>
      </c>
    </row>
    <row r="21" spans="1:8" x14ac:dyDescent="0.25">
      <c r="A21" s="71">
        <v>4</v>
      </c>
      <c r="B21">
        <v>331</v>
      </c>
      <c r="C21">
        <v>243</v>
      </c>
      <c r="D21">
        <v>306</v>
      </c>
      <c r="E21">
        <v>348</v>
      </c>
      <c r="F21">
        <v>285</v>
      </c>
      <c r="G21">
        <v>471</v>
      </c>
      <c r="H21">
        <v>496</v>
      </c>
    </row>
    <row r="22" spans="1:8" x14ac:dyDescent="0.25">
      <c r="A22" s="71">
        <v>5</v>
      </c>
      <c r="B22">
        <v>144</v>
      </c>
      <c r="C22">
        <v>101</v>
      </c>
      <c r="D22">
        <v>160</v>
      </c>
      <c r="E22">
        <v>197</v>
      </c>
      <c r="F22">
        <v>129</v>
      </c>
      <c r="G22">
        <v>288</v>
      </c>
      <c r="H22">
        <v>289</v>
      </c>
    </row>
    <row r="23" spans="1:8" x14ac:dyDescent="0.25">
      <c r="A23" s="71">
        <v>6</v>
      </c>
      <c r="B23">
        <v>33</v>
      </c>
      <c r="C23">
        <v>15</v>
      </c>
      <c r="D23">
        <v>52</v>
      </c>
      <c r="E23">
        <v>75</v>
      </c>
      <c r="F23">
        <v>23</v>
      </c>
      <c r="G23">
        <v>112</v>
      </c>
      <c r="H23">
        <v>116</v>
      </c>
    </row>
    <row r="24" spans="1:8" x14ac:dyDescent="0.25">
      <c r="A24" s="71">
        <v>7</v>
      </c>
      <c r="B24">
        <v>3</v>
      </c>
      <c r="C24">
        <v>1</v>
      </c>
      <c r="D24">
        <v>8</v>
      </c>
      <c r="E24">
        <v>16</v>
      </c>
      <c r="F24">
        <v>0</v>
      </c>
      <c r="G24">
        <v>20</v>
      </c>
      <c r="H24">
        <v>18</v>
      </c>
    </row>
    <row r="25" spans="1:8" x14ac:dyDescent="0.25">
      <c r="A25" s="71">
        <v>8</v>
      </c>
      <c r="B25">
        <v>4</v>
      </c>
      <c r="C25">
        <v>1</v>
      </c>
      <c r="D25">
        <v>4</v>
      </c>
      <c r="E25">
        <v>14</v>
      </c>
      <c r="F25">
        <v>0</v>
      </c>
      <c r="G25">
        <v>22</v>
      </c>
      <c r="H25">
        <v>22</v>
      </c>
    </row>
    <row r="26" spans="1:8" x14ac:dyDescent="0.25">
      <c r="A26" s="71">
        <v>9</v>
      </c>
      <c r="B26">
        <v>73</v>
      </c>
      <c r="C26">
        <v>30</v>
      </c>
      <c r="D26">
        <v>51</v>
      </c>
      <c r="E26">
        <v>104</v>
      </c>
      <c r="F26">
        <v>44</v>
      </c>
      <c r="G26">
        <v>141</v>
      </c>
      <c r="H26">
        <v>169</v>
      </c>
    </row>
    <row r="27" spans="1:8" x14ac:dyDescent="0.25">
      <c r="A27" s="71">
        <v>10</v>
      </c>
      <c r="B27">
        <v>347</v>
      </c>
      <c r="C27">
        <v>230</v>
      </c>
      <c r="D27">
        <v>245</v>
      </c>
      <c r="E27">
        <v>319</v>
      </c>
      <c r="F27">
        <v>268</v>
      </c>
      <c r="G27">
        <v>394</v>
      </c>
      <c r="H27">
        <v>484</v>
      </c>
    </row>
    <row r="28" spans="1:8" x14ac:dyDescent="0.25">
      <c r="A28" s="71">
        <v>11</v>
      </c>
      <c r="B28">
        <v>680</v>
      </c>
      <c r="C28">
        <v>546</v>
      </c>
      <c r="D28">
        <v>464</v>
      </c>
      <c r="E28">
        <v>504</v>
      </c>
      <c r="F28">
        <v>560</v>
      </c>
      <c r="G28">
        <v>679</v>
      </c>
      <c r="H28">
        <v>808</v>
      </c>
    </row>
    <row r="29" spans="1:8" x14ac:dyDescent="0.25">
      <c r="A29" s="71">
        <v>12</v>
      </c>
      <c r="B29">
        <v>975</v>
      </c>
      <c r="C29">
        <v>823</v>
      </c>
      <c r="D29">
        <v>628</v>
      </c>
      <c r="E29">
        <v>679</v>
      </c>
      <c r="F29">
        <v>831</v>
      </c>
      <c r="G29">
        <v>913</v>
      </c>
      <c r="H29">
        <v>1091</v>
      </c>
    </row>
  </sheetData>
  <mergeCells count="1">
    <mergeCell ref="A1:H1"/>
  </mergeCells>
  <printOptions horizontalCentered="1"/>
  <pageMargins left="0.7" right="0.7" top="1" bottom="1" header="0.55000000000000004" footer="0.3"/>
  <pageSetup scale="48" orientation="landscape" r:id="rId1"/>
  <headerFooter scaleWithDoc="0" alignWithMargins="0">
    <oddHeader>&amp;RDocket No. UG-19____
Exhibit ___(BLR-3)
Page 3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33"/>
  <sheetViews>
    <sheetView tabSelected="1" view="pageBreakPreview" zoomScale="60" zoomScaleNormal="100" workbookViewId="0">
      <selection activeCell="A28" sqref="A28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85546875" customWidth="1"/>
    <col min="8" max="9" width="10.5703125" bestFit="1" customWidth="1"/>
    <col min="10" max="10" width="3.4257812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2" width="15.28515625" customWidth="1"/>
    <col min="24" max="24" width="9.7109375" bestFit="1" customWidth="1"/>
    <col min="25" max="25" width="3" bestFit="1" customWidth="1"/>
    <col min="26" max="29" width="11.28515625" bestFit="1" customWidth="1"/>
  </cols>
  <sheetData>
    <row r="1" spans="1:29" x14ac:dyDescent="0.25">
      <c r="A1" s="100" t="s">
        <v>29</v>
      </c>
      <c r="B1" s="100"/>
      <c r="C1" s="100"/>
      <c r="E1" s="100" t="s">
        <v>30</v>
      </c>
      <c r="F1" s="100"/>
      <c r="G1" s="100"/>
      <c r="I1" s="100" t="s">
        <v>31</v>
      </c>
      <c r="J1" s="100"/>
      <c r="K1" s="100"/>
      <c r="M1" s="100" t="s">
        <v>32</v>
      </c>
      <c r="N1" s="100"/>
      <c r="O1" s="100"/>
    </row>
    <row r="2" spans="1:29" x14ac:dyDescent="0.25">
      <c r="A2" s="101" t="s">
        <v>37</v>
      </c>
      <c r="B2" s="102"/>
      <c r="C2" s="102" t="s">
        <v>38</v>
      </c>
      <c r="E2" s="101" t="s">
        <v>37</v>
      </c>
      <c r="F2" s="102"/>
      <c r="G2" s="102" t="s">
        <v>38</v>
      </c>
      <c r="I2" s="101" t="s">
        <v>37</v>
      </c>
      <c r="J2" s="102"/>
      <c r="K2" s="102" t="s">
        <v>38</v>
      </c>
      <c r="M2" s="101" t="s">
        <v>37</v>
      </c>
      <c r="N2" s="102"/>
      <c r="O2" s="102" t="s">
        <v>38</v>
      </c>
      <c r="Q2" s="79" t="s">
        <v>42</v>
      </c>
      <c r="S2" s="99" t="s">
        <v>43</v>
      </c>
      <c r="T2" s="99"/>
      <c r="U2" s="99"/>
      <c r="V2" s="99"/>
      <c r="X2" s="79" t="s">
        <v>44</v>
      </c>
      <c r="Z2" s="99" t="s">
        <v>45</v>
      </c>
      <c r="AA2" s="99"/>
      <c r="AB2" s="99"/>
      <c r="AC2" s="99"/>
    </row>
    <row r="3" spans="1:29" x14ac:dyDescent="0.25">
      <c r="A3" s="101"/>
      <c r="B3" s="102"/>
      <c r="C3" s="102"/>
      <c r="E3" s="101"/>
      <c r="F3" s="102"/>
      <c r="G3" s="102"/>
      <c r="I3" s="101"/>
      <c r="J3" s="102"/>
      <c r="K3" s="102"/>
      <c r="M3" s="101"/>
      <c r="N3" s="102"/>
      <c r="O3" s="102"/>
      <c r="S3" t="s">
        <v>29</v>
      </c>
      <c r="T3" t="s">
        <v>30</v>
      </c>
      <c r="U3" t="s">
        <v>31</v>
      </c>
      <c r="V3" t="s">
        <v>32</v>
      </c>
      <c r="Z3" t="s">
        <v>29</v>
      </c>
      <c r="AA3" t="s">
        <v>30</v>
      </c>
      <c r="AB3" t="s">
        <v>31</v>
      </c>
      <c r="AC3" t="s">
        <v>32</v>
      </c>
    </row>
    <row r="4" spans="1:29" x14ac:dyDescent="0.25">
      <c r="A4" s="72" t="s">
        <v>39</v>
      </c>
      <c r="B4" s="73"/>
      <c r="C4">
        <v>0.59655432740494596</v>
      </c>
      <c r="E4" s="72" t="s">
        <v>39</v>
      </c>
      <c r="F4" s="73"/>
      <c r="G4">
        <v>0.53911628715942705</v>
      </c>
      <c r="I4" s="72" t="s">
        <v>39</v>
      </c>
      <c r="J4" s="73"/>
      <c r="K4">
        <v>0.45197772567090899</v>
      </c>
      <c r="M4" s="72" t="s">
        <v>39</v>
      </c>
      <c r="N4" s="73"/>
      <c r="O4">
        <v>0.466340290872993</v>
      </c>
      <c r="Q4" s="4">
        <f>Data!A1</f>
        <v>43101</v>
      </c>
      <c r="R4">
        <f>MONTH(Q4)</f>
        <v>1</v>
      </c>
      <c r="S4" s="80">
        <f>HLOOKUP(S$3,Normals!$B$17:$H$29,$R4+1,FALSE)/VLOOKUP($R4,$C$21:$D$32,2,FALSE)</f>
        <v>20.806451612903224</v>
      </c>
      <c r="T4" s="80">
        <f>HLOOKUP(T$3,Normals!$B$17:$H$29,$R4+1,FALSE)/VLOOKUP($R4,$C$21:$D$32,2,FALSE)</f>
        <v>19</v>
      </c>
      <c r="U4" s="80">
        <f>HLOOKUP(U$3,Normals!$B$17:$H$29,$R4+1,FALSE)/VLOOKUP($R4,$C$21:$D$32,2,FALSE)</f>
        <v>24.516129032258064</v>
      </c>
      <c r="V4" s="80">
        <f>HLOOKUP(V$3,Normals!$B$17:$H$29,$R4+1,FALSE)/VLOOKUP($R4,$C$21:$D$32,2,FALSE)</f>
        <v>29.032258064516128</v>
      </c>
      <c r="X4" s="4">
        <f>Q4</f>
        <v>43101</v>
      </c>
      <c r="Y4">
        <f>MONTH(X4)</f>
        <v>1</v>
      </c>
      <c r="Z4" s="80">
        <f>HLOOKUP(Z$3,Data!$K$23:$Q$35,ROW()-2,FALSE)/VLOOKUP($Y4,$C$21:$D$32,2,FALSE)</f>
        <v>17.370967741935484</v>
      </c>
      <c r="AA4" s="80">
        <f>HLOOKUP(AA$3,Data!$K$23:$Q$35,ROW()-2,FALSE)/VLOOKUP($Y4,$C$21:$D$32,2,FALSE)</f>
        <v>16.112903225806452</v>
      </c>
      <c r="AB4" s="80">
        <f>HLOOKUP(AB$3,Data!$K$23:$Q$35,ROW()-2,FALSE)/VLOOKUP($Y4,$C$21:$D$32,2,FALSE)</f>
        <v>18.56451612903226</v>
      </c>
      <c r="AC4" s="80">
        <f>HLOOKUP(AC$3,Data!$K$23:$Q$35,ROW()-2,FALSE)/VLOOKUP($Y4,$C$21:$D$32,2,FALSE)</f>
        <v>21.419354838709676</v>
      </c>
    </row>
    <row r="5" spans="1:29" x14ac:dyDescent="0.25">
      <c r="A5" s="72" t="s">
        <v>54</v>
      </c>
      <c r="B5" s="73"/>
      <c r="C5" s="73">
        <v>0</v>
      </c>
      <c r="E5" s="72" t="s">
        <v>54</v>
      </c>
      <c r="F5" s="73"/>
      <c r="G5" s="73">
        <v>0</v>
      </c>
      <c r="I5" s="72" t="s">
        <v>54</v>
      </c>
      <c r="J5" s="73"/>
      <c r="K5" s="73"/>
      <c r="M5" s="72" t="s">
        <v>54</v>
      </c>
      <c r="N5" s="73"/>
      <c r="O5" s="73">
        <v>0</v>
      </c>
      <c r="Q5" s="4">
        <f>DATE(YEAR(Q4),MONTH(Q4)+1,1)</f>
        <v>43132</v>
      </c>
      <c r="R5">
        <f t="shared" ref="R5:R15" si="0">MONTH(Q5)</f>
        <v>2</v>
      </c>
      <c r="S5" s="80">
        <f>HLOOKUP(S$3,Normals!$B$17:$H$29,$R5+1,FALSE)/VLOOKUP($R5,$C$21:$D$32,2,FALSE)</f>
        <v>19.25</v>
      </c>
      <c r="T5" s="80">
        <f>HLOOKUP(T$3,Normals!$B$17:$H$29,$R5+1,FALSE)/VLOOKUP($R5,$C$21:$D$32,2,FALSE)</f>
        <v>17.892857142857142</v>
      </c>
      <c r="U5" s="80">
        <f>HLOOKUP(U$3,Normals!$B$17:$H$29,$R5+1,FALSE)/VLOOKUP($R5,$C$21:$D$32,2,FALSE)</f>
        <v>20.892857142857142</v>
      </c>
      <c r="V5" s="80">
        <f>HLOOKUP(V$3,Normals!$B$17:$H$29,$R5+1,FALSE)/VLOOKUP($R5,$C$21:$D$32,2,FALSE)</f>
        <v>23.892857142857142</v>
      </c>
      <c r="X5" s="4">
        <f t="shared" ref="X5:X15" si="1">Q5</f>
        <v>43132</v>
      </c>
      <c r="Y5">
        <f t="shared" ref="Y5:Y15" si="2">MONTH(X5)</f>
        <v>2</v>
      </c>
      <c r="Z5" s="80">
        <f>HLOOKUP(Z$3,Data!$K$23:$Q$35,ROW()-2,FALSE)/VLOOKUP($Y5,$C$21:$D$32,2,FALSE)</f>
        <v>20.892857142857142</v>
      </c>
      <c r="AA5" s="80">
        <f>HLOOKUP(AA$3,Data!$K$23:$Q$35,ROW()-2,FALSE)/VLOOKUP($Y5,$C$21:$D$32,2,FALSE)</f>
        <v>18.928571428571427</v>
      </c>
      <c r="AB5" s="80">
        <f>HLOOKUP(AB$3,Data!$K$23:$Q$35,ROW()-2,FALSE)/VLOOKUP($Y5,$C$21:$D$32,2,FALSE)</f>
        <v>19.767857142857142</v>
      </c>
      <c r="AC5" s="80">
        <f>HLOOKUP(AC$3,Data!$K$23:$Q$35,ROW()-2,FALSE)/VLOOKUP($Y5,$C$21:$D$32,2,FALSE)</f>
        <v>21.714285714285715</v>
      </c>
    </row>
    <row r="6" spans="1:29" x14ac:dyDescent="0.25">
      <c r="A6" s="72">
        <v>1</v>
      </c>
      <c r="B6" s="73"/>
      <c r="C6">
        <v>0.14591940963483199</v>
      </c>
      <c r="E6" s="72">
        <v>1</v>
      </c>
      <c r="F6" s="73"/>
      <c r="G6">
        <v>0.149789424737512</v>
      </c>
      <c r="I6" s="72">
        <v>1</v>
      </c>
      <c r="J6" s="73"/>
      <c r="K6">
        <v>0.11908864855436201</v>
      </c>
      <c r="M6" s="72">
        <v>1</v>
      </c>
      <c r="N6" s="73"/>
      <c r="O6">
        <v>0.12497461115462501</v>
      </c>
      <c r="Q6" s="4">
        <f t="shared" ref="Q6:Q15" si="3">DATE(YEAR(Q5),MONTH(Q5)+1,1)</f>
        <v>43160</v>
      </c>
      <c r="R6">
        <f t="shared" si="0"/>
        <v>3</v>
      </c>
      <c r="S6" s="80">
        <f>HLOOKUP(S$3,Normals!$B$17:$H$29,$R6+1,FALSE)/VLOOKUP($R6,$C$21:$D$32,2,FALSE)</f>
        <v>15.741935483870968</v>
      </c>
      <c r="T6" s="80">
        <f>HLOOKUP(T$3,Normals!$B$17:$H$29,$R6+1,FALSE)/VLOOKUP($R6,$C$21:$D$32,2,FALSE)</f>
        <v>14.161290322580646</v>
      </c>
      <c r="U6" s="80">
        <f>HLOOKUP(U$3,Normals!$B$17:$H$29,$R6+1,FALSE)/VLOOKUP($R6,$C$21:$D$32,2,FALSE)</f>
        <v>13.741935483870968</v>
      </c>
      <c r="V6" s="80">
        <f>HLOOKUP(V$3,Normals!$B$17:$H$29,$R6+1,FALSE)/VLOOKUP($R6,$C$21:$D$32,2,FALSE)</f>
        <v>16.870967741935484</v>
      </c>
      <c r="X6" s="4">
        <f t="shared" si="1"/>
        <v>43160</v>
      </c>
      <c r="Y6">
        <f t="shared" si="2"/>
        <v>3</v>
      </c>
      <c r="Z6" s="80">
        <f>HLOOKUP(Z$3,Data!$K$23:$Q$35,ROW()-2,FALSE)/VLOOKUP($Y6,$C$21:$D$32,2,FALSE)</f>
        <v>16.64516129032258</v>
      </c>
      <c r="AA6" s="80">
        <f>HLOOKUP(AA$3,Data!$K$23:$Q$35,ROW()-2,FALSE)/VLOOKUP($Y6,$C$21:$D$32,2,FALSE)</f>
        <v>14.370967741935484</v>
      </c>
      <c r="AB6" s="80">
        <f>HLOOKUP(AB$3,Data!$K$23:$Q$35,ROW()-2,FALSE)/VLOOKUP($Y6,$C$21:$D$32,2,FALSE)</f>
        <v>13.758064516129032</v>
      </c>
      <c r="AC6" s="80">
        <f>HLOOKUP(AC$3,Data!$K$23:$Q$35,ROW()-2,FALSE)/VLOOKUP($Y6,$C$21:$D$32,2,FALSE)</f>
        <v>15.483870967741936</v>
      </c>
    </row>
    <row r="7" spans="1:29" x14ac:dyDescent="0.25">
      <c r="A7" s="72">
        <v>2</v>
      </c>
      <c r="B7" s="73"/>
      <c r="C7">
        <v>0.130380950596693</v>
      </c>
      <c r="E7" s="72">
        <v>2</v>
      </c>
      <c r="F7" s="73"/>
      <c r="G7">
        <v>0.13435979237651899</v>
      </c>
      <c r="I7" s="72">
        <v>2</v>
      </c>
      <c r="J7" s="73"/>
      <c r="K7">
        <v>0.122121152265602</v>
      </c>
      <c r="M7" s="72">
        <v>2</v>
      </c>
      <c r="N7" s="73"/>
      <c r="O7">
        <v>0.12927041574475401</v>
      </c>
      <c r="Q7" s="4">
        <f t="shared" si="3"/>
        <v>43191</v>
      </c>
      <c r="R7">
        <f t="shared" si="0"/>
        <v>4</v>
      </c>
      <c r="S7" s="80">
        <f>HLOOKUP(S$3,Normals!$B$17:$H$29,$R7+1,FALSE)/VLOOKUP($R7,$C$21:$D$32,2,FALSE)</f>
        <v>11.6</v>
      </c>
      <c r="T7" s="80">
        <f>HLOOKUP(T$3,Normals!$B$17:$H$29,$R7+1,FALSE)/VLOOKUP($R7,$C$21:$D$32,2,FALSE)</f>
        <v>10.199999999999999</v>
      </c>
      <c r="U7" s="80">
        <f>HLOOKUP(U$3,Normals!$B$17:$H$29,$R7+1,FALSE)/VLOOKUP($R7,$C$21:$D$32,2,FALSE)</f>
        <v>8.1</v>
      </c>
      <c r="V7" s="80">
        <f>HLOOKUP(V$3,Normals!$B$17:$H$29,$R7+1,FALSE)/VLOOKUP($R7,$C$21:$D$32,2,FALSE)</f>
        <v>11.033333333333333</v>
      </c>
      <c r="X7" s="4">
        <f t="shared" si="1"/>
        <v>43191</v>
      </c>
      <c r="Y7">
        <f t="shared" si="2"/>
        <v>4</v>
      </c>
      <c r="Z7" s="80">
        <f>HLOOKUP(Z$3,Data!$K$23:$Q$35,ROW()-2,FALSE)/VLOOKUP($Y7,$C$21:$D$32,2,FALSE)</f>
        <v>10.683333333333334</v>
      </c>
      <c r="AA7" s="80">
        <f>HLOOKUP(AA$3,Data!$K$23:$Q$35,ROW()-2,FALSE)/VLOOKUP($Y7,$C$21:$D$32,2,FALSE)</f>
        <v>9.5833333333333339</v>
      </c>
      <c r="AB7" s="80">
        <f>HLOOKUP(AB$3,Data!$K$23:$Q$35,ROW()-2,FALSE)/VLOOKUP($Y7,$C$21:$D$32,2,FALSE)</f>
        <v>7.4666666666666668</v>
      </c>
      <c r="AC7" s="80">
        <f>HLOOKUP(AC$3,Data!$K$23:$Q$35,ROW()-2,FALSE)/VLOOKUP($Y7,$C$21:$D$32,2,FALSE)</f>
        <v>8.35</v>
      </c>
    </row>
    <row r="8" spans="1:29" x14ac:dyDescent="0.25">
      <c r="A8" s="72">
        <v>3</v>
      </c>
      <c r="B8" s="73"/>
      <c r="C8">
        <v>0.123300912174934</v>
      </c>
      <c r="E8" s="72">
        <v>3</v>
      </c>
      <c r="F8" s="73"/>
      <c r="G8">
        <v>0.130406221947101</v>
      </c>
      <c r="I8" s="72">
        <v>3</v>
      </c>
      <c r="J8" s="73"/>
      <c r="K8">
        <v>0.12611058618826901</v>
      </c>
      <c r="M8" s="72">
        <v>3</v>
      </c>
      <c r="N8" s="73"/>
      <c r="O8">
        <v>0.121756365221675</v>
      </c>
      <c r="Q8" s="4">
        <f t="shared" si="3"/>
        <v>43221</v>
      </c>
      <c r="R8">
        <f t="shared" si="0"/>
        <v>5</v>
      </c>
      <c r="S8" s="80">
        <f>HLOOKUP(S$3,Normals!$B$17:$H$29,$R8+1,FALSE)/VLOOKUP($R8,$C$21:$D$32,2,FALSE)</f>
        <v>6.354838709677419</v>
      </c>
      <c r="T8" s="80">
        <f>HLOOKUP(T$3,Normals!$B$17:$H$29,$R8+1,FALSE)/VLOOKUP($R8,$C$21:$D$32,2,FALSE)</f>
        <v>5.161290322580645</v>
      </c>
      <c r="U8" s="80">
        <f>HLOOKUP(U$3,Normals!$B$17:$H$29,$R8+1,FALSE)/VLOOKUP($R8,$C$21:$D$32,2,FALSE)</f>
        <v>3.2580645161290325</v>
      </c>
      <c r="V8" s="80">
        <f>HLOOKUP(V$3,Normals!$B$17:$H$29,$R8+1,FALSE)/VLOOKUP($R8,$C$21:$D$32,2,FALSE)</f>
        <v>4.645161290322581</v>
      </c>
      <c r="X8" s="4">
        <f t="shared" si="1"/>
        <v>43221</v>
      </c>
      <c r="Y8">
        <f t="shared" si="2"/>
        <v>5</v>
      </c>
      <c r="Z8" s="80">
        <f>HLOOKUP(Z$3,Data!$K$23:$Q$35,ROW()-2,FALSE)/VLOOKUP($Y8,$C$21:$D$32,2,FALSE)</f>
        <v>2.4516129032258065</v>
      </c>
      <c r="AA8" s="80">
        <f>HLOOKUP(AA$3,Data!$K$23:$Q$35,ROW()-2,FALSE)/VLOOKUP($Y8,$C$21:$D$32,2,FALSE)</f>
        <v>1.6451612903225807</v>
      </c>
      <c r="AB8" s="80">
        <f>HLOOKUP(AB$3,Data!$K$23:$Q$35,ROW()-2,FALSE)/VLOOKUP($Y8,$C$21:$D$32,2,FALSE)</f>
        <v>0.41935483870967744</v>
      </c>
      <c r="AC8" s="80">
        <f>HLOOKUP(AC$3,Data!$K$23:$Q$35,ROW()-2,FALSE)/VLOOKUP($Y8,$C$21:$D$32,2,FALSE)</f>
        <v>0.33870967741935482</v>
      </c>
    </row>
    <row r="9" spans="1:29" x14ac:dyDescent="0.25">
      <c r="A9" s="72">
        <v>4</v>
      </c>
      <c r="B9" s="73"/>
      <c r="C9">
        <v>0.10598505928150399</v>
      </c>
      <c r="E9" s="72">
        <v>4</v>
      </c>
      <c r="F9" s="73"/>
      <c r="G9">
        <v>0.11885708359209</v>
      </c>
      <c r="I9" s="72">
        <v>4</v>
      </c>
      <c r="J9" s="73"/>
      <c r="K9">
        <v>9.5735018066900199E-2</v>
      </c>
      <c r="M9" s="72">
        <v>4</v>
      </c>
      <c r="N9" s="73"/>
      <c r="O9">
        <v>9.9865067479921799E-2</v>
      </c>
      <c r="Q9" s="4">
        <f t="shared" si="3"/>
        <v>43252</v>
      </c>
      <c r="R9">
        <f t="shared" si="0"/>
        <v>6</v>
      </c>
      <c r="S9" s="80">
        <f>HLOOKUP(S$3,Normals!$B$17:$H$29,$R9+1,FALSE)/VLOOKUP($R9,$C$21:$D$32,2,FALSE)</f>
        <v>2.5</v>
      </c>
      <c r="T9" s="80">
        <f>HLOOKUP(T$3,Normals!$B$17:$H$29,$R9+1,FALSE)/VLOOKUP($R9,$C$21:$D$32,2,FALSE)</f>
        <v>1.7333333333333334</v>
      </c>
      <c r="U9" s="80">
        <f>HLOOKUP(U$3,Normals!$B$17:$H$29,$R9+1,FALSE)/VLOOKUP($R9,$C$21:$D$32,2,FALSE)</f>
        <v>0.5</v>
      </c>
      <c r="V9" s="80">
        <f>HLOOKUP(V$3,Normals!$B$17:$H$29,$R9+1,FALSE)/VLOOKUP($R9,$C$21:$D$32,2,FALSE)</f>
        <v>1.1000000000000001</v>
      </c>
      <c r="X9" s="4">
        <f t="shared" si="1"/>
        <v>43252</v>
      </c>
      <c r="Y9">
        <f t="shared" si="2"/>
        <v>6</v>
      </c>
      <c r="Z9" s="80">
        <f>HLOOKUP(Z$3,Data!$K$23:$Q$35,ROW()-2,FALSE)/VLOOKUP($Y9,$C$21:$D$32,2,FALSE)</f>
        <v>1.7166666666666666</v>
      </c>
      <c r="AA9" s="80">
        <f>HLOOKUP(AA$3,Data!$K$23:$Q$35,ROW()-2,FALSE)/VLOOKUP($Y9,$C$21:$D$32,2,FALSE)</f>
        <v>1.5333333333333334</v>
      </c>
      <c r="AB9" s="80">
        <f>HLOOKUP(AB$3,Data!$K$23:$Q$35,ROW()-2,FALSE)/VLOOKUP($Y9,$C$21:$D$32,2,FALSE)</f>
        <v>0.2</v>
      </c>
      <c r="AC9" s="80">
        <f>HLOOKUP(AC$3,Data!$K$23:$Q$35,ROW()-2,FALSE)/VLOOKUP($Y9,$C$21:$D$32,2,FALSE)</f>
        <v>0.75</v>
      </c>
    </row>
    <row r="10" spans="1:29" x14ac:dyDescent="0.25">
      <c r="A10" s="72">
        <v>5</v>
      </c>
      <c r="B10" s="73"/>
      <c r="C10">
        <v>8.5486194193643894E-2</v>
      </c>
      <c r="E10" s="72">
        <v>5</v>
      </c>
      <c r="F10" s="73"/>
      <c r="G10">
        <v>0.100345511740974</v>
      </c>
      <c r="I10" s="72">
        <v>5</v>
      </c>
      <c r="J10" s="73"/>
      <c r="K10">
        <v>7.8281254537280798E-2</v>
      </c>
      <c r="M10" s="72">
        <v>5</v>
      </c>
      <c r="N10" s="73"/>
      <c r="O10">
        <v>8.0130780312192895E-2</v>
      </c>
      <c r="Q10" s="4">
        <f t="shared" si="3"/>
        <v>43282</v>
      </c>
      <c r="R10">
        <f t="shared" si="0"/>
        <v>7</v>
      </c>
      <c r="S10" s="80">
        <f>HLOOKUP(S$3,Normals!$B$17:$H$29,$R10+1,FALSE)/VLOOKUP($R10,$C$21:$D$32,2,FALSE)</f>
        <v>0.5161290322580645</v>
      </c>
      <c r="T10" s="80">
        <f>HLOOKUP(T$3,Normals!$B$17:$H$29,$R10+1,FALSE)/VLOOKUP($R10,$C$21:$D$32,2,FALSE)</f>
        <v>0.25806451612903225</v>
      </c>
      <c r="U10" s="80">
        <f>HLOOKUP(U$3,Normals!$B$17:$H$29,$R10+1,FALSE)/VLOOKUP($R10,$C$21:$D$32,2,FALSE)</f>
        <v>3.2258064516129031E-2</v>
      </c>
      <c r="V10" s="80">
        <f>HLOOKUP(V$3,Normals!$B$17:$H$29,$R10+1,FALSE)/VLOOKUP($R10,$C$21:$D$32,2,FALSE)</f>
        <v>9.6774193548387094E-2</v>
      </c>
      <c r="X10" s="4">
        <f t="shared" si="1"/>
        <v>43282</v>
      </c>
      <c r="Y10">
        <f t="shared" si="2"/>
        <v>7</v>
      </c>
      <c r="Z10" s="80">
        <f>HLOOKUP(Z$3,Data!$K$23:$Q$35,ROW()-2,FALSE)/VLOOKUP($Y10,$C$21:$D$32,2,FALSE)</f>
        <v>3.2258064516129031E-2</v>
      </c>
      <c r="AA10" s="80">
        <f>HLOOKUP(AA$3,Data!$K$23:$Q$35,ROW()-2,FALSE)/VLOOKUP($Y10,$C$21:$D$32,2,FALSE)</f>
        <v>0.12903225806451613</v>
      </c>
      <c r="AB10" s="80">
        <f>HLOOKUP(AB$3,Data!$K$23:$Q$35,ROW()-2,FALSE)/VLOOKUP($Y10,$C$21:$D$32,2,FALSE)</f>
        <v>0</v>
      </c>
      <c r="AC10" s="80">
        <f>HLOOKUP(AC$3,Data!$K$23:$Q$35,ROW()-2,FALSE)/VLOOKUP($Y10,$C$21:$D$32,2,FALSE)</f>
        <v>0</v>
      </c>
    </row>
    <row r="11" spans="1:29" x14ac:dyDescent="0.25">
      <c r="A11" s="72">
        <v>6</v>
      </c>
      <c r="B11" s="73"/>
      <c r="C11">
        <v>6.6433381096649105E-2</v>
      </c>
      <c r="E11" s="72">
        <v>6</v>
      </c>
      <c r="F11" s="73"/>
      <c r="G11">
        <v>0.10990597215518499</v>
      </c>
      <c r="I11" s="72">
        <v>6</v>
      </c>
      <c r="J11" s="73"/>
      <c r="K11" s="73">
        <v>0</v>
      </c>
      <c r="M11" s="72">
        <v>6</v>
      </c>
      <c r="N11" s="73"/>
      <c r="O11" s="73">
        <v>0</v>
      </c>
      <c r="Q11" s="4">
        <f t="shared" si="3"/>
        <v>43313</v>
      </c>
      <c r="R11">
        <f t="shared" si="0"/>
        <v>8</v>
      </c>
      <c r="S11" s="80">
        <f>HLOOKUP(S$3,Normals!$B$17:$H$29,$R11+1,FALSE)/VLOOKUP($R11,$C$21:$D$32,2,FALSE)</f>
        <v>0.45161290322580644</v>
      </c>
      <c r="T11" s="80">
        <f>HLOOKUP(T$3,Normals!$B$17:$H$29,$R11+1,FALSE)/VLOOKUP($R11,$C$21:$D$32,2,FALSE)</f>
        <v>0.12903225806451613</v>
      </c>
      <c r="U11" s="80">
        <f>HLOOKUP(U$3,Normals!$B$17:$H$29,$R11+1,FALSE)/VLOOKUP($R11,$C$21:$D$32,2,FALSE)</f>
        <v>3.2258064516129031E-2</v>
      </c>
      <c r="V11" s="80">
        <f>HLOOKUP(V$3,Normals!$B$17:$H$29,$R11+1,FALSE)/VLOOKUP($R11,$C$21:$D$32,2,FALSE)</f>
        <v>0.12903225806451613</v>
      </c>
      <c r="X11" s="4">
        <f t="shared" si="1"/>
        <v>43313</v>
      </c>
      <c r="Y11">
        <f t="shared" si="2"/>
        <v>8</v>
      </c>
      <c r="Z11" s="80">
        <f>HLOOKUP(Z$3,Data!$K$23:$Q$35,ROW()-2,FALSE)/VLOOKUP($Y11,$C$21:$D$32,2,FALSE)</f>
        <v>0.14516129032258066</v>
      </c>
      <c r="AA11" s="80">
        <f>HLOOKUP(AA$3,Data!$K$23:$Q$35,ROW()-2,FALSE)/VLOOKUP($Y11,$C$21:$D$32,2,FALSE)</f>
        <v>8.0645161290322578E-2</v>
      </c>
      <c r="AB11" s="80">
        <f>HLOOKUP(AB$3,Data!$K$23:$Q$35,ROW()-2,FALSE)/VLOOKUP($Y11,$C$21:$D$32,2,FALSE)</f>
        <v>0</v>
      </c>
      <c r="AC11" s="80">
        <f>HLOOKUP(AC$3,Data!$K$23:$Q$35,ROW()-2,FALSE)/VLOOKUP($Y11,$C$21:$D$32,2,FALSE)</f>
        <v>3.2258064516129031E-2</v>
      </c>
    </row>
    <row r="12" spans="1:29" x14ac:dyDescent="0.25">
      <c r="A12" s="72">
        <v>7</v>
      </c>
      <c r="B12" s="73"/>
      <c r="C12" s="73">
        <v>0</v>
      </c>
      <c r="E12" s="72">
        <v>7</v>
      </c>
      <c r="F12" s="73"/>
      <c r="G12" s="73">
        <v>0</v>
      </c>
      <c r="I12" s="72">
        <v>7</v>
      </c>
      <c r="J12" s="73"/>
      <c r="K12" s="73">
        <v>0</v>
      </c>
      <c r="M12" s="72">
        <v>7</v>
      </c>
      <c r="N12" s="73"/>
      <c r="O12" s="73">
        <v>0</v>
      </c>
      <c r="Q12" s="4">
        <f t="shared" si="3"/>
        <v>43344</v>
      </c>
      <c r="R12">
        <f t="shared" si="0"/>
        <v>9</v>
      </c>
      <c r="S12" s="80">
        <f>HLOOKUP(S$3,Normals!$B$17:$H$29,$R12+1,FALSE)/VLOOKUP($R12,$C$21:$D$32,2,FALSE)</f>
        <v>3.4666666666666668</v>
      </c>
      <c r="T12" s="80">
        <f>HLOOKUP(T$3,Normals!$B$17:$H$29,$R12+1,FALSE)/VLOOKUP($R12,$C$21:$D$32,2,FALSE)</f>
        <v>1.7</v>
      </c>
      <c r="U12" s="80">
        <f>HLOOKUP(U$3,Normals!$B$17:$H$29,$R12+1,FALSE)/VLOOKUP($R12,$C$21:$D$32,2,FALSE)</f>
        <v>1</v>
      </c>
      <c r="V12" s="80">
        <f>HLOOKUP(V$3,Normals!$B$17:$H$29,$R12+1,FALSE)/VLOOKUP($R12,$C$21:$D$32,2,FALSE)</f>
        <v>2.4333333333333331</v>
      </c>
      <c r="X12" s="4">
        <f t="shared" si="1"/>
        <v>43344</v>
      </c>
      <c r="Y12">
        <f t="shared" si="2"/>
        <v>9</v>
      </c>
      <c r="Z12" s="80">
        <f>HLOOKUP(Z$3,Data!$K$23:$Q$35,ROW()-2,FALSE)/VLOOKUP($Y12,$C$21:$D$32,2,FALSE)</f>
        <v>1.95</v>
      </c>
      <c r="AA12" s="80">
        <f>HLOOKUP(AA$3,Data!$K$23:$Q$35,ROW()-2,FALSE)/VLOOKUP($Y12,$C$21:$D$32,2,FALSE)</f>
        <v>1.0166666666666666</v>
      </c>
      <c r="AB12" s="80">
        <f>HLOOKUP(AB$3,Data!$K$23:$Q$35,ROW()-2,FALSE)/VLOOKUP($Y12,$C$21:$D$32,2,FALSE)</f>
        <v>0.23333333333333334</v>
      </c>
      <c r="AC12" s="80">
        <f>HLOOKUP(AC$3,Data!$K$23:$Q$35,ROW()-2,FALSE)/VLOOKUP($Y12,$C$21:$D$32,2,FALSE)</f>
        <v>2.2999999999999998</v>
      </c>
    </row>
    <row r="13" spans="1:29" x14ac:dyDescent="0.25">
      <c r="A13" s="72">
        <v>8</v>
      </c>
      <c r="B13" s="73"/>
      <c r="C13" s="73">
        <v>0</v>
      </c>
      <c r="E13" s="72">
        <v>8</v>
      </c>
      <c r="F13" s="73"/>
      <c r="G13" s="73">
        <v>0</v>
      </c>
      <c r="I13" s="72">
        <v>8</v>
      </c>
      <c r="J13" s="73"/>
      <c r="K13" s="73">
        <v>0</v>
      </c>
      <c r="M13" s="72">
        <v>8</v>
      </c>
      <c r="N13" s="73"/>
      <c r="O13" s="73">
        <v>0</v>
      </c>
      <c r="Q13" s="4">
        <f t="shared" si="3"/>
        <v>43374</v>
      </c>
      <c r="R13">
        <f t="shared" si="0"/>
        <v>10</v>
      </c>
      <c r="S13" s="80">
        <f>HLOOKUP(S$3,Normals!$B$17:$H$29,$R13+1,FALSE)/VLOOKUP($R13,$C$21:$D$32,2,FALSE)</f>
        <v>10.290322580645162</v>
      </c>
      <c r="T13" s="80">
        <f>HLOOKUP(T$3,Normals!$B$17:$H$29,$R13+1,FALSE)/VLOOKUP($R13,$C$21:$D$32,2,FALSE)</f>
        <v>7.903225806451613</v>
      </c>
      <c r="U13" s="80">
        <f>HLOOKUP(U$3,Normals!$B$17:$H$29,$R13+1,FALSE)/VLOOKUP($R13,$C$21:$D$32,2,FALSE)</f>
        <v>7.419354838709677</v>
      </c>
      <c r="V13" s="80">
        <f>HLOOKUP(V$3,Normals!$B$17:$H$29,$R13+1,FALSE)/VLOOKUP($R13,$C$21:$D$32,2,FALSE)</f>
        <v>11.193548387096774</v>
      </c>
      <c r="X13" s="4">
        <f t="shared" si="1"/>
        <v>43374</v>
      </c>
      <c r="Y13">
        <f t="shared" si="2"/>
        <v>10</v>
      </c>
      <c r="Z13" s="80">
        <f>HLOOKUP(Z$3,Data!$K$23:$Q$35,ROW()-2,FALSE)/VLOOKUP($Y13,$C$21:$D$32,2,FALSE)</f>
        <v>8.9677419354838701</v>
      </c>
      <c r="AA13" s="80">
        <f>HLOOKUP(AA$3,Data!$K$23:$Q$35,ROW()-2,FALSE)/VLOOKUP($Y13,$C$21:$D$32,2,FALSE)</f>
        <v>6.903225806451613</v>
      </c>
      <c r="AB13" s="80">
        <f>HLOOKUP(AB$3,Data!$K$23:$Q$35,ROW()-2,FALSE)/VLOOKUP($Y13,$C$21:$D$32,2,FALSE)</f>
        <v>6.645161290322581</v>
      </c>
      <c r="AC13" s="80">
        <f>HLOOKUP(AC$3,Data!$K$23:$Q$35,ROW()-2,FALSE)/VLOOKUP($Y13,$C$21:$D$32,2,FALSE)</f>
        <v>10.516129032258064</v>
      </c>
    </row>
    <row r="14" spans="1:29" x14ac:dyDescent="0.25">
      <c r="A14" s="72">
        <v>9</v>
      </c>
      <c r="B14" s="73"/>
      <c r="C14">
        <v>6.1919331952799701E-2</v>
      </c>
      <c r="E14" s="72">
        <v>9</v>
      </c>
      <c r="F14" s="73"/>
      <c r="G14">
        <v>0.104974598470065</v>
      </c>
      <c r="I14" s="72">
        <v>9</v>
      </c>
      <c r="J14" s="73"/>
      <c r="K14" s="73">
        <v>0</v>
      </c>
      <c r="M14" s="72">
        <v>9</v>
      </c>
      <c r="N14" s="73"/>
      <c r="O14" s="73">
        <v>0</v>
      </c>
      <c r="Q14" s="4">
        <f t="shared" si="3"/>
        <v>43405</v>
      </c>
      <c r="R14">
        <f t="shared" si="0"/>
        <v>11</v>
      </c>
      <c r="S14" s="80">
        <f>HLOOKUP(S$3,Normals!$B$17:$H$29,$R14+1,FALSE)/VLOOKUP($R14,$C$21:$D$32,2,FALSE)</f>
        <v>16.8</v>
      </c>
      <c r="T14" s="80">
        <f>HLOOKUP(T$3,Normals!$B$17:$H$29,$R14+1,FALSE)/VLOOKUP($R14,$C$21:$D$32,2,FALSE)</f>
        <v>15.466666666666667</v>
      </c>
      <c r="U14" s="80">
        <f>HLOOKUP(U$3,Normals!$B$17:$H$29,$R14+1,FALSE)/VLOOKUP($R14,$C$21:$D$32,2,FALSE)</f>
        <v>18.2</v>
      </c>
      <c r="V14" s="80">
        <f>HLOOKUP(V$3,Normals!$B$17:$H$29,$R14+1,FALSE)/VLOOKUP($R14,$C$21:$D$32,2,FALSE)</f>
        <v>22.666666666666668</v>
      </c>
      <c r="X14" s="4">
        <f t="shared" si="1"/>
        <v>43405</v>
      </c>
      <c r="Y14">
        <f t="shared" si="2"/>
        <v>11</v>
      </c>
      <c r="Z14" s="80">
        <f>HLOOKUP(Z$3,Data!$K$23:$Q$35,ROW()-2,FALSE)/VLOOKUP($Y14,$C$21:$D$32,2,FALSE)</f>
        <v>13.2</v>
      </c>
      <c r="AA14" s="80">
        <f>HLOOKUP(AA$3,Data!$K$23:$Q$35,ROW()-2,FALSE)/VLOOKUP($Y14,$C$21:$D$32,2,FALSE)</f>
        <v>12.966666666666667</v>
      </c>
      <c r="AB14" s="80">
        <f>HLOOKUP(AB$3,Data!$K$23:$Q$35,ROW()-2,FALSE)/VLOOKUP($Y14,$C$21:$D$32,2,FALSE)</f>
        <v>17.866666666666667</v>
      </c>
      <c r="AC14" s="80">
        <f>HLOOKUP(AC$3,Data!$K$23:$Q$35,ROW()-2,FALSE)/VLOOKUP($Y14,$C$21:$D$32,2,FALSE)</f>
        <v>22.416666666666668</v>
      </c>
    </row>
    <row r="15" spans="1:29" x14ac:dyDescent="0.25">
      <c r="A15" s="72">
        <v>10</v>
      </c>
      <c r="B15" s="73"/>
      <c r="C15">
        <v>0.112824024813775</v>
      </c>
      <c r="E15" s="72">
        <v>10</v>
      </c>
      <c r="F15" s="73"/>
      <c r="G15">
        <v>0.13507456395613501</v>
      </c>
      <c r="I15" s="72">
        <v>10</v>
      </c>
      <c r="J15" s="73"/>
      <c r="K15">
        <v>7.4118514536853405E-2</v>
      </c>
      <c r="M15" s="72">
        <v>10</v>
      </c>
      <c r="N15" s="73"/>
      <c r="O15">
        <v>5.23419842760844E-2</v>
      </c>
      <c r="Q15" s="4">
        <f t="shared" si="3"/>
        <v>43435</v>
      </c>
      <c r="R15">
        <f t="shared" si="0"/>
        <v>12</v>
      </c>
      <c r="S15" s="80">
        <f>HLOOKUP(S$3,Normals!$B$17:$H$29,$R15+1,FALSE)/VLOOKUP($R15,$C$21:$D$32,2,FALSE)</f>
        <v>21.903225806451612</v>
      </c>
      <c r="T15" s="80">
        <f>HLOOKUP(T$3,Normals!$B$17:$H$29,$R15+1,FALSE)/VLOOKUP($R15,$C$21:$D$32,2,FALSE)</f>
        <v>20.258064516129032</v>
      </c>
      <c r="U15" s="80">
        <f>HLOOKUP(U$3,Normals!$B$17:$H$29,$R15+1,FALSE)/VLOOKUP($R15,$C$21:$D$32,2,FALSE)</f>
        <v>26.548387096774192</v>
      </c>
      <c r="V15" s="80">
        <f>HLOOKUP(V$3,Normals!$B$17:$H$29,$R15+1,FALSE)/VLOOKUP($R15,$C$21:$D$32,2,FALSE)</f>
        <v>31.451612903225808</v>
      </c>
      <c r="X15" s="4">
        <f t="shared" si="1"/>
        <v>43435</v>
      </c>
      <c r="Y15">
        <f t="shared" si="2"/>
        <v>12</v>
      </c>
      <c r="Z15" s="80">
        <f>HLOOKUP(Z$3,Data!$K$23:$Q$35,ROW()-2,FALSE)/VLOOKUP($Y15,$C$21:$D$32,2,FALSE)</f>
        <v>18.89516129032258</v>
      </c>
      <c r="AA15" s="80">
        <f>HLOOKUP(AA$3,Data!$K$23:$Q$35,ROW()-2,FALSE)/VLOOKUP($Y15,$C$21:$D$32,2,FALSE)</f>
        <v>17.838709677419356</v>
      </c>
      <c r="AB15" s="80">
        <f>HLOOKUP(AB$3,Data!$K$23:$Q$35,ROW()-2,FALSE)/VLOOKUP($Y15,$C$21:$D$32,2,FALSE)</f>
        <v>20.338709677419356</v>
      </c>
      <c r="AC15" s="80">
        <f>HLOOKUP(AC$3,Data!$K$23:$Q$35,ROW()-2,FALSE)/VLOOKUP($Y15,$C$21:$D$32,2,FALSE)</f>
        <v>25.467741935483872</v>
      </c>
    </row>
    <row r="16" spans="1:29" x14ac:dyDescent="0.25">
      <c r="A16" s="72">
        <v>11</v>
      </c>
      <c r="B16" s="73"/>
      <c r="C16">
        <v>0.16170413101697001</v>
      </c>
      <c r="E16" s="72">
        <v>11</v>
      </c>
      <c r="F16" s="73"/>
      <c r="G16">
        <v>0.16814381049039201</v>
      </c>
      <c r="I16" s="72">
        <v>11</v>
      </c>
      <c r="J16" s="73"/>
      <c r="K16">
        <v>9.0191891651043896E-2</v>
      </c>
      <c r="M16" s="72">
        <v>11</v>
      </c>
      <c r="N16" s="73"/>
      <c r="O16">
        <v>9.4840925991956398E-2</v>
      </c>
    </row>
    <row r="17" spans="1:29" x14ac:dyDescent="0.25">
      <c r="A17" s="72">
        <v>12</v>
      </c>
      <c r="B17" s="73"/>
      <c r="C17">
        <v>0.14909718080238199</v>
      </c>
      <c r="E17" s="72">
        <v>12</v>
      </c>
      <c r="F17" s="73"/>
      <c r="G17">
        <v>0.155809139325262</v>
      </c>
      <c r="I17" s="72">
        <v>12</v>
      </c>
      <c r="J17" s="73"/>
      <c r="K17">
        <v>0.113279251439696</v>
      </c>
      <c r="M17" s="72">
        <v>12</v>
      </c>
      <c r="N17" s="73"/>
      <c r="O17">
        <v>0.11562519014195</v>
      </c>
      <c r="Q17" s="79" t="s">
        <v>46</v>
      </c>
      <c r="S17" s="99" t="s">
        <v>47</v>
      </c>
      <c r="T17" s="99"/>
      <c r="U17" s="99"/>
      <c r="V17" s="99"/>
      <c r="X17" s="79" t="s">
        <v>48</v>
      </c>
      <c r="Z17" s="99" t="s">
        <v>49</v>
      </c>
      <c r="AA17" s="99"/>
      <c r="AB17" s="99"/>
      <c r="AC17" s="99"/>
    </row>
    <row r="18" spans="1:29" x14ac:dyDescent="0.25">
      <c r="A18" t="s">
        <v>55</v>
      </c>
      <c r="C18" s="73">
        <v>0</v>
      </c>
      <c r="E18" t="s">
        <v>55</v>
      </c>
      <c r="F18" s="73"/>
      <c r="G18">
        <v>0</v>
      </c>
      <c r="I18" t="s">
        <v>55</v>
      </c>
      <c r="K18">
        <v>0</v>
      </c>
      <c r="M18" t="s">
        <v>55</v>
      </c>
      <c r="O18">
        <v>0.45600382006988499</v>
      </c>
      <c r="S18" t="s">
        <v>29</v>
      </c>
      <c r="T18" t="s">
        <v>30</v>
      </c>
      <c r="U18" t="s">
        <v>31</v>
      </c>
      <c r="V18" t="s">
        <v>32</v>
      </c>
      <c r="Z18" t="s">
        <v>29</v>
      </c>
      <c r="AA18" t="s">
        <v>30</v>
      </c>
      <c r="AB18" t="s">
        <v>31</v>
      </c>
      <c r="AC18" t="s">
        <v>32</v>
      </c>
    </row>
    <row r="19" spans="1:29" x14ac:dyDescent="0.25">
      <c r="Q19" s="4">
        <f>Q4</f>
        <v>43101</v>
      </c>
      <c r="R19">
        <f>MONTH(Q19)</f>
        <v>1</v>
      </c>
      <c r="S19" s="81">
        <f>(S4-Z4)*VLOOKUP($R19,$A$6:$C$17,3,FALSE)</f>
        <v>0.5013037782616</v>
      </c>
      <c r="T19" s="81">
        <f>(T4-AA4)*VLOOKUP($R19,$E$6:$G$17,3,FALSE)</f>
        <v>0.43245656496797813</v>
      </c>
      <c r="U19" s="81">
        <f>(U4-AB4)*VLOOKUP($R19,$I$6:$K$17,3,FALSE)</f>
        <v>0.70876953736386394</v>
      </c>
      <c r="V19" s="81">
        <f>(V4-AC4)*VLOOKUP($R19,$M$6:$O$17,3,FALSE)</f>
        <v>0.95141962040295169</v>
      </c>
      <c r="X19" s="4">
        <f>Q4</f>
        <v>43101</v>
      </c>
      <c r="Y19">
        <f>MONTH(X19)</f>
        <v>1</v>
      </c>
      <c r="Z19" s="64">
        <f>HLOOKUP(Z$18,Data!$T$4:$Z$16,ROW()-17,FALSE)*VLOOKUP($Y19,$C$21:$D$32,2,FALSE)*S19</f>
        <v>1280918.8816195838</v>
      </c>
      <c r="AA19" s="64">
        <f>HLOOKUP(AA$18,Data!$T$4:$Z$16,ROW()-17,FALSE)*VLOOKUP($Y19,$C$21:$D$32,2,FALSE)*T19</f>
        <v>519649.32250995183</v>
      </c>
      <c r="AB19" s="64">
        <f>HLOOKUP(AB$18,Data!$T$4:$Z$16,ROW()-17,FALSE)*VLOOKUP($Y19,$C$21:$D$32,2,FALSE)*U19</f>
        <v>857759.27304358443</v>
      </c>
      <c r="AC19" s="64">
        <f>HLOOKUP(AC$18,Data!$T$4:$Z$16,ROW()-17,FALSE)*VLOOKUP($Y19,$C$21:$D$32,2,FALSE)*V19</f>
        <v>789967.51649905241</v>
      </c>
    </row>
    <row r="20" spans="1:29" x14ac:dyDescent="0.25">
      <c r="D20" t="s">
        <v>40</v>
      </c>
      <c r="G20" s="64"/>
      <c r="H20" s="64"/>
      <c r="I20" s="64"/>
      <c r="J20" s="64"/>
      <c r="Q20" s="4">
        <f t="shared" ref="Q20:Q30" si="4">Q5</f>
        <v>43132</v>
      </c>
      <c r="R20">
        <f t="shared" ref="R20:R30" si="5">MONTH(Q20)</f>
        <v>2</v>
      </c>
      <c r="S20" s="81">
        <f t="shared" ref="S20:S30" si="6">(S5-Z5)*VLOOKUP($R20,$A$6:$C$17,3,FALSE)</f>
        <v>-0.21419727598028129</v>
      </c>
      <c r="T20" s="81">
        <f t="shared" ref="T20:T30" si="7">(T5-AA5)*VLOOKUP($R20,$E$6:$G$17,3,FALSE)</f>
        <v>-0.13915835638996596</v>
      </c>
      <c r="U20" s="81">
        <f t="shared" ref="U20:U30" si="8">(U5-AB5)*VLOOKUP($R20,$I$6:$K$17,3,FALSE)</f>
        <v>0.13738629629880225</v>
      </c>
      <c r="V20" s="81">
        <f t="shared" ref="V20:V30" si="9">(V5-AC5)*VLOOKUP($R20,$M$6:$O$17,3,FALSE)</f>
        <v>0.28162483430107105</v>
      </c>
      <c r="X20" s="4">
        <f t="shared" ref="X20:X30" si="10">Q5</f>
        <v>43132</v>
      </c>
      <c r="Y20">
        <f t="shared" ref="Y20:Y30" si="11">MONTH(X20)</f>
        <v>2</v>
      </c>
      <c r="Z20" s="64">
        <f>HLOOKUP(Z$18,Data!$T$4:$Z$16,ROW()-17,FALSE)*VLOOKUP($Y20,$C$21:$D$32,2,FALSE)*S20</f>
        <v>-495689.33854983951</v>
      </c>
      <c r="AA20" s="64">
        <f>HLOOKUP(AA$18,Data!$T$4:$Z$16,ROW()-17,FALSE)*VLOOKUP($Y20,$C$21:$D$32,2,FALSE)*T20</f>
        <v>-151462.18162854118</v>
      </c>
      <c r="AB20" s="64">
        <f>HLOOKUP(AB$18,Data!$T$4:$Z$16,ROW()-17,FALSE)*VLOOKUP($Y20,$C$21:$D$32,2,FALSE)*U20</f>
        <v>150860.59469460358</v>
      </c>
      <c r="AC20" s="64">
        <f>HLOOKUP(AC$18,Data!$T$4:$Z$16,ROW()-17,FALSE)*VLOOKUP($Y20,$C$21:$D$32,2,FALSE)*V20</f>
        <v>211323.39016416328</v>
      </c>
    </row>
    <row r="21" spans="1:29" x14ac:dyDescent="0.25">
      <c r="A21" s="4">
        <f>Data!A1</f>
        <v>43101</v>
      </c>
      <c r="C21">
        <f>MONTH(A21)</f>
        <v>1</v>
      </c>
      <c r="D21">
        <f>A22-A21</f>
        <v>31</v>
      </c>
      <c r="G21" s="64"/>
      <c r="H21" s="64"/>
      <c r="I21" s="64"/>
      <c r="J21" s="64"/>
      <c r="Q21" s="4">
        <f t="shared" si="4"/>
        <v>43160</v>
      </c>
      <c r="R21">
        <f t="shared" si="5"/>
        <v>3</v>
      </c>
      <c r="S21" s="81">
        <f t="shared" si="6"/>
        <v>-0.11136856583542415</v>
      </c>
      <c r="T21" s="81">
        <f t="shared" si="7"/>
        <v>-2.7343240085682386E-2</v>
      </c>
      <c r="U21" s="81">
        <f t="shared" si="8"/>
        <v>-2.0340417127139585E-3</v>
      </c>
      <c r="V21" s="81">
        <f t="shared" si="9"/>
        <v>0.16888786143651691</v>
      </c>
      <c r="X21" s="4">
        <f t="shared" si="10"/>
        <v>43160</v>
      </c>
      <c r="Y21">
        <f t="shared" si="11"/>
        <v>3</v>
      </c>
      <c r="Z21" s="64">
        <f>HLOOKUP(Z$18,Data!$T$4:$Z$16,ROW()-17,FALSE)*VLOOKUP($Y21,$C$21:$D$32,2,FALSE)*S21</f>
        <v>-285532.85435998137</v>
      </c>
      <c r="AA21" s="64">
        <f>HLOOKUP(AA$18,Data!$T$4:$Z$16,ROW()-17,FALSE)*VLOOKUP($Y21,$C$21:$D$32,2,FALSE)*T21</f>
        <v>-32964.736814897828</v>
      </c>
      <c r="AB21" s="64">
        <f>HLOOKUP(AB$18,Data!$T$4:$Z$16,ROW()-17,FALSE)*VLOOKUP($Y21,$C$21:$D$32,2,FALSE)*U21</f>
        <v>-2475.803028048027</v>
      </c>
      <c r="AC21" s="64">
        <f>HLOOKUP(AC$18,Data!$T$4:$Z$16,ROW()-17,FALSE)*VLOOKUP($Y21,$C$21:$D$32,2,FALSE)*V21</f>
        <v>140029.31700141352</v>
      </c>
    </row>
    <row r="22" spans="1:29" x14ac:dyDescent="0.25">
      <c r="A22" s="4">
        <f>DATE(YEAR(A21),MONTH(A21)+1,1)</f>
        <v>43132</v>
      </c>
      <c r="C22">
        <f t="shared" ref="C22:C32" si="12">MONTH(A22)</f>
        <v>2</v>
      </c>
      <c r="D22">
        <f>A23-A22</f>
        <v>28</v>
      </c>
      <c r="G22" s="64"/>
      <c r="H22" s="64"/>
      <c r="I22" s="64"/>
      <c r="J22" s="64"/>
      <c r="Q22" s="4">
        <f t="shared" si="4"/>
        <v>43191</v>
      </c>
      <c r="R22">
        <f t="shared" si="5"/>
        <v>4</v>
      </c>
      <c r="S22" s="81">
        <f t="shared" si="6"/>
        <v>9.7152971008045264E-2</v>
      </c>
      <c r="T22" s="81">
        <f t="shared" si="7"/>
        <v>7.3295201548455341E-2</v>
      </c>
      <c r="U22" s="81">
        <f t="shared" si="8"/>
        <v>6.0632178109036747E-2</v>
      </c>
      <c r="V22" s="81">
        <f t="shared" si="9"/>
        <v>0.26797126440445684</v>
      </c>
      <c r="X22" s="4">
        <f t="shared" si="10"/>
        <v>43191</v>
      </c>
      <c r="Y22">
        <f t="shared" si="11"/>
        <v>4</v>
      </c>
      <c r="Z22" s="64">
        <f>HLOOKUP(Z$18,Data!$T$4:$Z$16,ROW()-17,FALSE)*VLOOKUP($Y22,$C$21:$D$32,2,FALSE)*S22</f>
        <v>241039.43566009053</v>
      </c>
      <c r="AA22" s="64">
        <f>HLOOKUP(AA$18,Data!$T$4:$Z$16,ROW()-17,FALSE)*VLOOKUP($Y22,$C$21:$D$32,2,FALSE)*T22</f>
        <v>85564.085335651282</v>
      </c>
      <c r="AB22" s="64">
        <f>HLOOKUP(AB$18,Data!$T$4:$Z$16,ROW()-17,FALSE)*VLOOKUP($Y22,$C$21:$D$32,2,FALSE)*U22</f>
        <v>71458.053510405254</v>
      </c>
      <c r="AC22" s="64">
        <f>HLOOKUP(AC$18,Data!$T$4:$Z$16,ROW()-17,FALSE)*VLOOKUP($Y22,$C$21:$D$32,2,FALSE)*V22</f>
        <v>213961.65606373857</v>
      </c>
    </row>
    <row r="23" spans="1:29" x14ac:dyDescent="0.25">
      <c r="A23" s="4">
        <f t="shared" ref="A23:A33" si="13">DATE(YEAR(A22),MONTH(A22)+1,1)</f>
        <v>43160</v>
      </c>
      <c r="C23">
        <f t="shared" si="12"/>
        <v>3</v>
      </c>
      <c r="D23">
        <f t="shared" ref="D23:D32" si="14">A24-A23</f>
        <v>31</v>
      </c>
      <c r="G23" s="64"/>
      <c r="H23" s="64"/>
      <c r="I23" s="64"/>
      <c r="J23" s="64"/>
      <c r="Q23" s="4">
        <f t="shared" si="4"/>
        <v>43221</v>
      </c>
      <c r="R23">
        <f t="shared" si="5"/>
        <v>5</v>
      </c>
      <c r="S23" s="81">
        <f t="shared" si="6"/>
        <v>0.33367191927196482</v>
      </c>
      <c r="T23" s="81">
        <f t="shared" si="7"/>
        <v>0.35282776708923114</v>
      </c>
      <c r="U23" s="81">
        <f t="shared" si="8"/>
        <v>0.22221775481550679</v>
      </c>
      <c r="V23" s="81">
        <f t="shared" si="9"/>
        <v>0.34507932811863717</v>
      </c>
      <c r="X23" s="4">
        <f t="shared" si="10"/>
        <v>43221</v>
      </c>
      <c r="Y23">
        <f t="shared" si="11"/>
        <v>5</v>
      </c>
      <c r="Z23" s="64">
        <f>HLOOKUP(Z$18,Data!$T$4:$Z$16,ROW()-17,FALSE)*VLOOKUP($Y23,$C$21:$D$32,2,FALSE)*S23</f>
        <v>855393.32411954645</v>
      </c>
      <c r="AA23" s="64">
        <f>HLOOKUP(AA$18,Data!$T$4:$Z$16,ROW()-17,FALSE)*VLOOKUP($Y23,$C$21:$D$32,2,FALSE)*T23</f>
        <v>425278.12643886806</v>
      </c>
      <c r="AB23" s="64">
        <f>HLOOKUP(AB$18,Data!$T$4:$Z$16,ROW()-17,FALSE)*VLOOKUP($Y23,$C$21:$D$32,2,FALSE)*U23</f>
        <v>270452.3406757607</v>
      </c>
      <c r="AC23" s="64">
        <f>HLOOKUP(AC$18,Data!$T$4:$Z$16,ROW()-17,FALSE)*VLOOKUP($Y23,$C$21:$D$32,2,FALSE)*V23</f>
        <v>283065.467141765</v>
      </c>
    </row>
    <row r="24" spans="1:29" x14ac:dyDescent="0.25">
      <c r="A24" s="4">
        <f t="shared" si="13"/>
        <v>43191</v>
      </c>
      <c r="C24">
        <f t="shared" si="12"/>
        <v>4</v>
      </c>
      <c r="D24">
        <f t="shared" si="14"/>
        <v>30</v>
      </c>
      <c r="G24" s="64"/>
      <c r="H24" s="64"/>
      <c r="I24" s="64"/>
      <c r="J24" s="64"/>
      <c r="Q24" s="4">
        <f t="shared" si="4"/>
        <v>43252</v>
      </c>
      <c r="R24">
        <f t="shared" si="5"/>
        <v>6</v>
      </c>
      <c r="S24" s="81">
        <f t="shared" si="6"/>
        <v>5.2039481859041808E-2</v>
      </c>
      <c r="T24" s="81">
        <f t="shared" si="7"/>
        <v>2.1981194431036993E-2</v>
      </c>
      <c r="U24" s="81">
        <f t="shared" si="8"/>
        <v>0</v>
      </c>
      <c r="V24" s="81">
        <f t="shared" si="9"/>
        <v>0</v>
      </c>
      <c r="X24" s="4">
        <f t="shared" si="10"/>
        <v>43252</v>
      </c>
      <c r="Y24">
        <f t="shared" si="11"/>
        <v>6</v>
      </c>
      <c r="Z24" s="64">
        <f>HLOOKUP(Z$18,Data!$T$4:$Z$16,ROW()-17,FALSE)*VLOOKUP($Y24,$C$21:$D$32,2,FALSE)*S24</f>
        <v>129100.5873855481</v>
      </c>
      <c r="AA24" s="64">
        <f>HLOOKUP(AA$18,Data!$T$4:$Z$16,ROW()-17,FALSE)*VLOOKUP($Y24,$C$21:$D$32,2,FALSE)*T24</f>
        <v>25630.292518533446</v>
      </c>
      <c r="AB24" s="64">
        <f>HLOOKUP(AB$18,Data!$T$4:$Z$16,ROW()-17,FALSE)*VLOOKUP($Y24,$C$21:$D$32,2,FALSE)*U24</f>
        <v>0</v>
      </c>
      <c r="AC24" s="64">
        <f>HLOOKUP(AC$18,Data!$T$4:$Z$16,ROW()-17,FALSE)*VLOOKUP($Y24,$C$21:$D$32,2,FALSE)*V24</f>
        <v>0</v>
      </c>
    </row>
    <row r="25" spans="1:29" x14ac:dyDescent="0.25">
      <c r="A25" s="4">
        <f t="shared" si="13"/>
        <v>43221</v>
      </c>
      <c r="C25">
        <f t="shared" si="12"/>
        <v>5</v>
      </c>
      <c r="D25">
        <f t="shared" si="14"/>
        <v>31</v>
      </c>
      <c r="G25" s="64"/>
      <c r="H25" s="64"/>
      <c r="I25" s="64"/>
      <c r="J25" s="64"/>
      <c r="Q25" s="4">
        <f t="shared" si="4"/>
        <v>43282</v>
      </c>
      <c r="R25">
        <f t="shared" si="5"/>
        <v>7</v>
      </c>
      <c r="S25" s="81">
        <f t="shared" si="6"/>
        <v>0</v>
      </c>
      <c r="T25" s="81">
        <f t="shared" si="7"/>
        <v>0</v>
      </c>
      <c r="U25" s="81">
        <f t="shared" si="8"/>
        <v>0</v>
      </c>
      <c r="V25" s="81">
        <f t="shared" si="9"/>
        <v>0</v>
      </c>
      <c r="X25" s="4">
        <f t="shared" si="10"/>
        <v>43282</v>
      </c>
      <c r="Y25">
        <f t="shared" si="11"/>
        <v>7</v>
      </c>
      <c r="Z25" s="64">
        <f>HLOOKUP(Z$18,Data!$T$4:$Z$16,ROW()-17,FALSE)*VLOOKUP($Y25,$C$21:$D$32,2,FALSE)*S25</f>
        <v>0</v>
      </c>
      <c r="AA25" s="64">
        <f>HLOOKUP(AA$18,Data!$T$4:$Z$16,ROW()-17,FALSE)*VLOOKUP($Y25,$C$21:$D$32,2,FALSE)*T25</f>
        <v>0</v>
      </c>
      <c r="AB25" s="64">
        <f>HLOOKUP(AB$18,Data!$T$4:$Z$16,ROW()-17,FALSE)*VLOOKUP($Y25,$C$21:$D$32,2,FALSE)*U25</f>
        <v>0</v>
      </c>
      <c r="AC25" s="64">
        <f>HLOOKUP(AC$18,Data!$T$4:$Z$16,ROW()-17,FALSE)*VLOOKUP($Y25,$C$21:$D$32,2,FALSE)*V25</f>
        <v>0</v>
      </c>
    </row>
    <row r="26" spans="1:29" x14ac:dyDescent="0.25">
      <c r="A26" s="4">
        <f t="shared" si="13"/>
        <v>43252</v>
      </c>
      <c r="C26">
        <f t="shared" si="12"/>
        <v>6</v>
      </c>
      <c r="D26">
        <f t="shared" si="14"/>
        <v>30</v>
      </c>
      <c r="G26" s="64"/>
      <c r="H26" s="64"/>
      <c r="I26" s="64"/>
      <c r="J26" s="64"/>
      <c r="Q26" s="4">
        <f t="shared" si="4"/>
        <v>43313</v>
      </c>
      <c r="R26">
        <f t="shared" si="5"/>
        <v>8</v>
      </c>
      <c r="S26" s="81">
        <f t="shared" si="6"/>
        <v>0</v>
      </c>
      <c r="T26" s="81">
        <f t="shared" si="7"/>
        <v>0</v>
      </c>
      <c r="U26" s="81">
        <f t="shared" si="8"/>
        <v>0</v>
      </c>
      <c r="V26" s="81">
        <f t="shared" si="9"/>
        <v>0</v>
      </c>
      <c r="X26" s="4">
        <f t="shared" si="10"/>
        <v>43313</v>
      </c>
      <c r="Y26">
        <f t="shared" si="11"/>
        <v>8</v>
      </c>
      <c r="Z26" s="64">
        <f>HLOOKUP(Z$18,Data!$T$4:$Z$16,ROW()-17,FALSE)*VLOOKUP($Y26,$C$21:$D$32,2,FALSE)*S26</f>
        <v>0</v>
      </c>
      <c r="AA26" s="64">
        <f>HLOOKUP(AA$18,Data!$T$4:$Z$16,ROW()-17,FALSE)*VLOOKUP($Y26,$C$21:$D$32,2,FALSE)*T26</f>
        <v>0</v>
      </c>
      <c r="AB26" s="64">
        <f>HLOOKUP(AB$18,Data!$T$4:$Z$16,ROW()-17,FALSE)*VLOOKUP($Y26,$C$21:$D$32,2,FALSE)*U26</f>
        <v>0</v>
      </c>
      <c r="AC26" s="64">
        <f>HLOOKUP(AC$18,Data!$T$4:$Z$16,ROW()-17,FALSE)*VLOOKUP($Y26,$C$21:$D$32,2,FALSE)*V26</f>
        <v>0</v>
      </c>
    </row>
    <row r="27" spans="1:29" x14ac:dyDescent="0.25">
      <c r="A27" s="4">
        <f t="shared" si="13"/>
        <v>43282</v>
      </c>
      <c r="C27">
        <f t="shared" si="12"/>
        <v>7</v>
      </c>
      <c r="D27">
        <f t="shared" si="14"/>
        <v>31</v>
      </c>
      <c r="G27" s="64"/>
      <c r="H27" s="64"/>
      <c r="I27" s="64"/>
      <c r="J27" s="64"/>
      <c r="Q27" s="4">
        <f t="shared" si="4"/>
        <v>43344</v>
      </c>
      <c r="R27">
        <f t="shared" si="5"/>
        <v>9</v>
      </c>
      <c r="S27" s="81">
        <f t="shared" si="6"/>
        <v>9.391098679507956E-2</v>
      </c>
      <c r="T27" s="81">
        <f t="shared" si="7"/>
        <v>7.1732642287877749E-2</v>
      </c>
      <c r="U27" s="81">
        <f t="shared" si="8"/>
        <v>0</v>
      </c>
      <c r="V27" s="81">
        <f t="shared" si="9"/>
        <v>0</v>
      </c>
      <c r="X27" s="4">
        <f t="shared" si="10"/>
        <v>43344</v>
      </c>
      <c r="Y27">
        <f t="shared" si="11"/>
        <v>9</v>
      </c>
      <c r="Z27" s="64">
        <f>HLOOKUP(Z$18,Data!$T$4:$Z$16,ROW()-17,FALSE)*VLOOKUP($Y27,$C$21:$D$32,2,FALSE)*S27</f>
        <v>233717.21194678245</v>
      </c>
      <c r="AA27" s="64">
        <f>HLOOKUP(AA$18,Data!$T$4:$Z$16,ROW()-17,FALSE)*VLOOKUP($Y27,$C$21:$D$32,2,FALSE)*T27</f>
        <v>83920.735539011061</v>
      </c>
      <c r="AB27" s="64">
        <f>HLOOKUP(AB$18,Data!$T$4:$Z$16,ROW()-17,FALSE)*VLOOKUP($Y27,$C$21:$D$32,2,FALSE)*U27</f>
        <v>0</v>
      </c>
      <c r="AC27" s="64">
        <f>HLOOKUP(AC$18,Data!$T$4:$Z$16,ROW()-17,FALSE)*VLOOKUP($Y27,$C$21:$D$32,2,FALSE)*V27</f>
        <v>0</v>
      </c>
    </row>
    <row r="28" spans="1:29" x14ac:dyDescent="0.25">
      <c r="A28" s="4">
        <f t="shared" si="13"/>
        <v>43313</v>
      </c>
      <c r="C28">
        <f t="shared" si="12"/>
        <v>8</v>
      </c>
      <c r="D28">
        <f t="shared" si="14"/>
        <v>31</v>
      </c>
      <c r="G28" s="64"/>
      <c r="H28" s="64"/>
      <c r="I28" s="64"/>
      <c r="J28" s="64"/>
      <c r="Q28" s="4">
        <f t="shared" si="4"/>
        <v>43374</v>
      </c>
      <c r="R28">
        <f t="shared" si="5"/>
        <v>10</v>
      </c>
      <c r="S28" s="81">
        <f t="shared" si="6"/>
        <v>0.14921887152789615</v>
      </c>
      <c r="T28" s="81">
        <f t="shared" si="7"/>
        <v>0.13507456395613501</v>
      </c>
      <c r="U28" s="81">
        <f t="shared" si="8"/>
        <v>5.7382075770467104E-2</v>
      </c>
      <c r="V28" s="81">
        <f t="shared" si="9"/>
        <v>3.5457473219282998E-2</v>
      </c>
      <c r="X28" s="4">
        <f t="shared" si="10"/>
        <v>43374</v>
      </c>
      <c r="Y28">
        <f t="shared" si="11"/>
        <v>10</v>
      </c>
      <c r="Z28" s="64">
        <f>HLOOKUP(Z$18,Data!$T$4:$Z$16,ROW()-17,FALSE)*VLOOKUP($Y28,$C$21:$D$32,2,FALSE)*S28</f>
        <v>385230.75046112156</v>
      </c>
      <c r="AA28" s="64">
        <f>HLOOKUP(AA$18,Data!$T$4:$Z$16,ROW()-17,FALSE)*VLOOKUP($Y28,$C$21:$D$32,2,FALSE)*T28</f>
        <v>164075.61313577302</v>
      </c>
      <c r="AB28" s="64">
        <f>HLOOKUP(AB$18,Data!$T$4:$Z$16,ROW()-17,FALSE)*VLOOKUP($Y28,$C$21:$D$32,2,FALSE)*U28</f>
        <v>71208.918130194623</v>
      </c>
      <c r="AC28" s="64">
        <f>HLOOKUP(AC$18,Data!$T$4:$Z$16,ROW()-17,FALSE)*VLOOKUP($Y28,$C$21:$D$32,2,FALSE)*V28</f>
        <v>29311.877588497209</v>
      </c>
    </row>
    <row r="29" spans="1:29" x14ac:dyDescent="0.25">
      <c r="A29" s="4">
        <f t="shared" si="13"/>
        <v>43344</v>
      </c>
      <c r="C29">
        <f t="shared" si="12"/>
        <v>9</v>
      </c>
      <c r="D29">
        <f t="shared" si="14"/>
        <v>30</v>
      </c>
      <c r="G29" s="64"/>
      <c r="H29" s="64"/>
      <c r="I29" s="64"/>
      <c r="J29" s="64"/>
      <c r="Q29" s="4">
        <f t="shared" si="4"/>
        <v>43405</v>
      </c>
      <c r="R29">
        <f t="shared" si="5"/>
        <v>11</v>
      </c>
      <c r="S29" s="81">
        <f t="shared" si="6"/>
        <v>0.58213487166109223</v>
      </c>
      <c r="T29" s="81">
        <f t="shared" si="7"/>
        <v>0.42035952622598005</v>
      </c>
      <c r="U29" s="81">
        <f t="shared" si="8"/>
        <v>3.0063963883681193E-2</v>
      </c>
      <c r="V29" s="81">
        <f t="shared" si="9"/>
        <v>2.37102314979891E-2</v>
      </c>
      <c r="X29" s="4">
        <f t="shared" si="10"/>
        <v>43405</v>
      </c>
      <c r="Y29">
        <f t="shared" si="11"/>
        <v>11</v>
      </c>
      <c r="Z29" s="64">
        <f>HLOOKUP(Z$18,Data!$T$4:$Z$16,ROW()-17,FALSE)*VLOOKUP($Y29,$C$21:$D$32,2,FALSE)*S29</f>
        <v>1458544.7422955832</v>
      </c>
      <c r="AA29" s="64">
        <f>HLOOKUP(AA$18,Data!$T$4:$Z$16,ROW()-17,FALSE)*VLOOKUP($Y29,$C$21:$D$32,2,FALSE)*T29</f>
        <v>496146.14520926197</v>
      </c>
      <c r="AB29" s="64">
        <f>HLOOKUP(AB$18,Data!$T$4:$Z$16,ROW()-17,FALSE)*VLOOKUP($Y29,$C$21:$D$32,2,FALSE)*U29</f>
        <v>36313.961335459673</v>
      </c>
      <c r="AC29" s="64">
        <f>HLOOKUP(AC$18,Data!$T$4:$Z$16,ROW()-17,FALSE)*VLOOKUP($Y29,$C$21:$D$32,2,FALSE)*V29</f>
        <v>19157.629948060214</v>
      </c>
    </row>
    <row r="30" spans="1:29" x14ac:dyDescent="0.25">
      <c r="A30" s="4">
        <f t="shared" si="13"/>
        <v>43374</v>
      </c>
      <c r="C30">
        <f t="shared" si="12"/>
        <v>10</v>
      </c>
      <c r="D30">
        <f t="shared" si="14"/>
        <v>31</v>
      </c>
      <c r="G30" s="64"/>
      <c r="H30" s="64"/>
      <c r="I30" s="64"/>
      <c r="J30" s="64"/>
      <c r="Q30" s="4">
        <f t="shared" si="4"/>
        <v>43435</v>
      </c>
      <c r="R30">
        <f t="shared" si="5"/>
        <v>12</v>
      </c>
      <c r="S30" s="81">
        <f t="shared" si="6"/>
        <v>0.44849393902651996</v>
      </c>
      <c r="T30" s="81">
        <f t="shared" si="7"/>
        <v>0.37695759514176269</v>
      </c>
      <c r="U30" s="81">
        <f t="shared" si="8"/>
        <v>0.70342760974649909</v>
      </c>
      <c r="V30" s="81">
        <f t="shared" si="9"/>
        <v>0.69188621843005571</v>
      </c>
      <c r="X30" s="4">
        <f t="shared" si="10"/>
        <v>43435</v>
      </c>
      <c r="Y30">
        <f t="shared" si="11"/>
        <v>12</v>
      </c>
      <c r="Z30" s="64">
        <f>HLOOKUP(Z$18,Data!$T$4:$Z$16,ROW()-17,FALSE)*VLOOKUP($Y30,$C$21:$D$32,2,FALSE)*S30</f>
        <v>1163512.5772225738</v>
      </c>
      <c r="AA30" s="64">
        <f>HLOOKUP(AA$18,Data!$T$4:$Z$16,ROW()-17,FALSE)*VLOOKUP($Y30,$C$21:$D$32,2,FALSE)*T30</f>
        <v>460965.23392227048</v>
      </c>
      <c r="AB30" s="64">
        <f>HLOOKUP(AB$18,Data!$T$4:$Z$16,ROW()-17,FALSE)*VLOOKUP($Y30,$C$21:$D$32,2,FALSE)*U30</f>
        <v>880340.35702535335</v>
      </c>
      <c r="AC30" s="64">
        <f>HLOOKUP(AC$18,Data!$T$4:$Z$16,ROW()-17,FALSE)*VLOOKUP($Y30,$C$21:$D$32,2,FALSE)*V30</f>
        <v>578980.0739893287</v>
      </c>
    </row>
    <row r="31" spans="1:29" x14ac:dyDescent="0.25">
      <c r="A31" s="4">
        <f t="shared" si="13"/>
        <v>43405</v>
      </c>
      <c r="C31">
        <f t="shared" si="12"/>
        <v>11</v>
      </c>
      <c r="D31">
        <f t="shared" si="14"/>
        <v>30</v>
      </c>
      <c r="G31" s="64"/>
      <c r="H31" s="64"/>
      <c r="I31" s="64"/>
      <c r="J31" s="64"/>
    </row>
    <row r="32" spans="1:29" x14ac:dyDescent="0.25">
      <c r="A32" s="4">
        <f t="shared" si="13"/>
        <v>43435</v>
      </c>
      <c r="C32">
        <f t="shared" si="12"/>
        <v>12</v>
      </c>
      <c r="D32">
        <f t="shared" si="14"/>
        <v>31</v>
      </c>
    </row>
    <row r="33" spans="1:1" x14ac:dyDescent="0.25">
      <c r="A33" s="4">
        <f t="shared" si="13"/>
        <v>43466</v>
      </c>
    </row>
  </sheetData>
  <mergeCells count="20">
    <mergeCell ref="S2:V2"/>
    <mergeCell ref="Z2:AC2"/>
    <mergeCell ref="S17:V17"/>
    <mergeCell ref="Z17:AC17"/>
    <mergeCell ref="O2:O3"/>
    <mergeCell ref="A1:C1"/>
    <mergeCell ref="E1:G1"/>
    <mergeCell ref="I1:K1"/>
    <mergeCell ref="M1:O1"/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M2:M3"/>
    <mergeCell ref="N2:N3"/>
  </mergeCells>
  <printOptions horizontalCentered="1"/>
  <pageMargins left="0.7" right="0.7" top="1" bottom="1" header="0.55000000000000004" footer="0.3"/>
  <pageSetup scale="48" firstPageNumber="4" orientation="landscape" useFirstPageNumber="1" r:id="rId1"/>
  <headerFooter scaleWithDoc="0" alignWithMargins="0">
    <oddHeader>&amp;RDocket No. UG-19____
Exhibit ___(BLR-3)
Page &amp;P of &amp;N</oddHead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C33"/>
  <sheetViews>
    <sheetView tabSelected="1" view="pageBreakPreview" zoomScale="60" zoomScaleNormal="100" workbookViewId="0">
      <selection activeCell="A28" sqref="A28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2" width="15.28515625" customWidth="1"/>
    <col min="24" max="24" width="9.7109375" bestFit="1" customWidth="1"/>
    <col min="25" max="25" width="3" bestFit="1" customWidth="1"/>
    <col min="26" max="26" width="10.5703125" bestFit="1" customWidth="1"/>
    <col min="27" max="29" width="11.28515625" bestFit="1" customWidth="1"/>
  </cols>
  <sheetData>
    <row r="1" spans="1:29" x14ac:dyDescent="0.25">
      <c r="A1" s="100" t="s">
        <v>29</v>
      </c>
      <c r="B1" s="100"/>
      <c r="C1" s="100"/>
      <c r="E1" s="100" t="s">
        <v>30</v>
      </c>
      <c r="F1" s="100"/>
      <c r="G1" s="100"/>
      <c r="I1" s="100" t="s">
        <v>31</v>
      </c>
      <c r="J1" s="100"/>
      <c r="K1" s="100"/>
      <c r="M1" s="100" t="s">
        <v>32</v>
      </c>
      <c r="N1" s="100"/>
      <c r="O1" s="100"/>
    </row>
    <row r="2" spans="1:29" x14ac:dyDescent="0.25">
      <c r="A2" s="101" t="s">
        <v>37</v>
      </c>
      <c r="B2" s="102"/>
      <c r="C2" s="102" t="s">
        <v>38</v>
      </c>
      <c r="E2" s="101" t="s">
        <v>37</v>
      </c>
      <c r="F2" s="102"/>
      <c r="G2" s="102" t="s">
        <v>38</v>
      </c>
      <c r="I2" s="101" t="s">
        <v>37</v>
      </c>
      <c r="J2" s="102"/>
      <c r="K2" s="102" t="s">
        <v>38</v>
      </c>
      <c r="M2" s="101" t="s">
        <v>37</v>
      </c>
      <c r="N2" s="102"/>
      <c r="O2" s="102" t="s">
        <v>38</v>
      </c>
      <c r="Q2" s="79" t="s">
        <v>42</v>
      </c>
      <c r="S2" s="99" t="s">
        <v>43</v>
      </c>
      <c r="T2" s="99"/>
      <c r="U2" s="99"/>
      <c r="V2" s="99"/>
      <c r="X2" s="79" t="s">
        <v>44</v>
      </c>
      <c r="Z2" s="99" t="s">
        <v>45</v>
      </c>
      <c r="AA2" s="99"/>
      <c r="AB2" s="99"/>
      <c r="AC2" s="99"/>
    </row>
    <row r="3" spans="1:29" x14ac:dyDescent="0.25">
      <c r="A3" s="101"/>
      <c r="B3" s="102"/>
      <c r="C3" s="102"/>
      <c r="E3" s="101"/>
      <c r="F3" s="102"/>
      <c r="G3" s="102"/>
      <c r="I3" s="101"/>
      <c r="J3" s="102"/>
      <c r="K3" s="102"/>
      <c r="M3" s="101"/>
      <c r="N3" s="102"/>
      <c r="O3" s="102"/>
      <c r="S3" t="s">
        <v>29</v>
      </c>
      <c r="T3" t="s">
        <v>30</v>
      </c>
      <c r="U3" t="s">
        <v>31</v>
      </c>
      <c r="V3" t="s">
        <v>32</v>
      </c>
      <c r="Z3" t="s">
        <v>29</v>
      </c>
      <c r="AA3" t="s">
        <v>30</v>
      </c>
      <c r="AB3" t="s">
        <v>31</v>
      </c>
      <c r="AC3" t="s">
        <v>32</v>
      </c>
    </row>
    <row r="4" spans="1:29" x14ac:dyDescent="0.25">
      <c r="A4" s="72" t="s">
        <v>39</v>
      </c>
      <c r="B4" s="73"/>
      <c r="C4">
        <v>3.4413012681897701</v>
      </c>
      <c r="E4" s="72" t="s">
        <v>39</v>
      </c>
      <c r="F4" s="73"/>
      <c r="G4">
        <v>4.1786689782651596</v>
      </c>
      <c r="I4" s="72" t="s">
        <v>39</v>
      </c>
      <c r="J4" s="73"/>
      <c r="K4">
        <v>3.6927819980053802</v>
      </c>
      <c r="M4" s="72" t="s">
        <v>39</v>
      </c>
      <c r="N4" s="73"/>
      <c r="O4">
        <v>3.7962928160070102</v>
      </c>
      <c r="Q4" s="4">
        <f>Data!A1</f>
        <v>43101</v>
      </c>
      <c r="R4">
        <f>MONTH(Q4)</f>
        <v>1</v>
      </c>
      <c r="S4" s="80">
        <f>HLOOKUP(S$3,Normals!$B$17:$H$29,$R4+1,FALSE)/VLOOKUP($R4,$C$21:$D$32,2,FALSE)</f>
        <v>20.806451612903224</v>
      </c>
      <c r="T4" s="80">
        <f>HLOOKUP(T$3,Normals!$B$17:$H$29,$R4+1,FALSE)/VLOOKUP($R4,$C$21:$D$32,2,FALSE)</f>
        <v>19</v>
      </c>
      <c r="U4" s="80">
        <f>HLOOKUP(U$3,Normals!$B$17:$H$29,$R4+1,FALSE)/VLOOKUP($R4,$C$21:$D$32,2,FALSE)</f>
        <v>24.516129032258064</v>
      </c>
      <c r="V4" s="80">
        <f>HLOOKUP(V$3,Normals!$B$17:$H$29,$R4+1,FALSE)/VLOOKUP($R4,$C$21:$D$32,2,FALSE)</f>
        <v>29.032258064516128</v>
      </c>
      <c r="X4" s="4">
        <f>Q4</f>
        <v>43101</v>
      </c>
      <c r="Y4">
        <f>MONTH(X4)</f>
        <v>1</v>
      </c>
      <c r="Z4" s="80">
        <f>HLOOKUP(Z$3,Data!$K$23:$Q$35,ROW()-2,FALSE)/VLOOKUP($Y4,$C$21:$D$32,2,FALSE)</f>
        <v>17.370967741935484</v>
      </c>
      <c r="AA4" s="80">
        <f>HLOOKUP(AA$3,Data!$K$23:$Q$35,ROW()-2,FALSE)/VLOOKUP($Y4,$C$21:$D$32,2,FALSE)</f>
        <v>16.112903225806452</v>
      </c>
      <c r="AB4" s="80">
        <f>HLOOKUP(AB$3,Data!$K$23:$Q$35,ROW()-2,FALSE)/VLOOKUP($Y4,$C$21:$D$32,2,FALSE)</f>
        <v>18.56451612903226</v>
      </c>
      <c r="AC4" s="80">
        <f>HLOOKUP(AC$3,Data!$K$23:$Q$35,ROW()-2,FALSE)/VLOOKUP($Y4,$C$21:$D$32,2,FALSE)</f>
        <v>21.419354838709676</v>
      </c>
    </row>
    <row r="5" spans="1:29" x14ac:dyDescent="0.25">
      <c r="A5" s="72" t="s">
        <v>54</v>
      </c>
      <c r="B5" s="73"/>
      <c r="C5" s="73">
        <v>0</v>
      </c>
      <c r="E5" s="72" t="s">
        <v>54</v>
      </c>
      <c r="F5" s="73"/>
      <c r="G5" s="73">
        <v>0</v>
      </c>
      <c r="I5" s="72" t="s">
        <v>54</v>
      </c>
      <c r="J5" s="73"/>
      <c r="K5" s="73">
        <v>0</v>
      </c>
      <c r="M5" s="72" t="s">
        <v>54</v>
      </c>
      <c r="N5" s="73"/>
      <c r="O5" s="73">
        <v>0</v>
      </c>
      <c r="Q5" s="4">
        <f>DATE(YEAR(Q4),MONTH(Q4)+1,1)</f>
        <v>43132</v>
      </c>
      <c r="R5">
        <f t="shared" ref="R5:R15" si="0">MONTH(Q5)</f>
        <v>2</v>
      </c>
      <c r="S5" s="80">
        <f>HLOOKUP(S$3,Normals!$B$17:$H$29,$R5+1,FALSE)/VLOOKUP($R5,$C$21:$D$32,2,FALSE)</f>
        <v>19.25</v>
      </c>
      <c r="T5" s="80">
        <f>HLOOKUP(T$3,Normals!$B$17:$H$29,$R5+1,FALSE)/VLOOKUP($R5,$C$21:$D$32,2,FALSE)</f>
        <v>17.892857142857142</v>
      </c>
      <c r="U5" s="80">
        <f>HLOOKUP(U$3,Normals!$B$17:$H$29,$R5+1,FALSE)/VLOOKUP($R5,$C$21:$D$32,2,FALSE)</f>
        <v>20.892857142857142</v>
      </c>
      <c r="V5" s="80">
        <f>HLOOKUP(V$3,Normals!$B$17:$H$29,$R5+1,FALSE)/VLOOKUP($R5,$C$21:$D$32,2,FALSE)</f>
        <v>23.892857142857142</v>
      </c>
      <c r="X5" s="4">
        <f t="shared" ref="X5:X15" si="1">Q5</f>
        <v>43132</v>
      </c>
      <c r="Y5">
        <f t="shared" ref="Y5:Y15" si="2">MONTH(X5)</f>
        <v>2</v>
      </c>
      <c r="Z5" s="80">
        <f>HLOOKUP(Z$3,Data!$K$23:$Q$35,ROW()-2,FALSE)/VLOOKUP($Y5,$C$21:$D$32,2,FALSE)</f>
        <v>20.892857142857142</v>
      </c>
      <c r="AA5" s="80">
        <f>HLOOKUP(AA$3,Data!$K$23:$Q$35,ROW()-2,FALSE)/VLOOKUP($Y5,$C$21:$D$32,2,FALSE)</f>
        <v>18.928571428571427</v>
      </c>
      <c r="AB5" s="80">
        <f>HLOOKUP(AB$3,Data!$K$23:$Q$35,ROW()-2,FALSE)/VLOOKUP($Y5,$C$21:$D$32,2,FALSE)</f>
        <v>19.767857142857142</v>
      </c>
      <c r="AC5" s="80">
        <f>HLOOKUP(AC$3,Data!$K$23:$Q$35,ROW()-2,FALSE)/VLOOKUP($Y5,$C$21:$D$32,2,FALSE)</f>
        <v>21.714285714285715</v>
      </c>
    </row>
    <row r="6" spans="1:29" x14ac:dyDescent="0.25">
      <c r="A6" s="72">
        <v>1</v>
      </c>
      <c r="B6" s="73"/>
      <c r="C6">
        <v>0.52148289202253295</v>
      </c>
      <c r="E6" s="72">
        <v>1</v>
      </c>
      <c r="F6" s="73"/>
      <c r="G6">
        <v>0.68473310679351795</v>
      </c>
      <c r="I6" s="72">
        <v>1</v>
      </c>
      <c r="J6" s="73"/>
      <c r="K6">
        <v>0.63160730453263902</v>
      </c>
      <c r="M6" s="72">
        <v>1</v>
      </c>
      <c r="N6" s="73"/>
      <c r="O6">
        <v>0.69261952495546397</v>
      </c>
      <c r="Q6" s="4">
        <f t="shared" ref="Q6:Q15" si="3">DATE(YEAR(Q5),MONTH(Q5)+1,1)</f>
        <v>43160</v>
      </c>
      <c r="R6">
        <f t="shared" si="0"/>
        <v>3</v>
      </c>
      <c r="S6" s="80">
        <f>HLOOKUP(S$3,Normals!$B$17:$H$29,$R6+1,FALSE)/VLOOKUP($R6,$C$21:$D$32,2,FALSE)</f>
        <v>15.741935483870968</v>
      </c>
      <c r="T6" s="80">
        <f>HLOOKUP(T$3,Normals!$B$17:$H$29,$R6+1,FALSE)/VLOOKUP($R6,$C$21:$D$32,2,FALSE)</f>
        <v>14.161290322580646</v>
      </c>
      <c r="U6" s="80">
        <f>HLOOKUP(U$3,Normals!$B$17:$H$29,$R6+1,FALSE)/VLOOKUP($R6,$C$21:$D$32,2,FALSE)</f>
        <v>13.741935483870968</v>
      </c>
      <c r="V6" s="80">
        <f>HLOOKUP(V$3,Normals!$B$17:$H$29,$R6+1,FALSE)/VLOOKUP($R6,$C$21:$D$32,2,FALSE)</f>
        <v>16.870967741935484</v>
      </c>
      <c r="X6" s="4">
        <f t="shared" si="1"/>
        <v>43160</v>
      </c>
      <c r="Y6">
        <f t="shared" si="2"/>
        <v>3</v>
      </c>
      <c r="Z6" s="80">
        <f>HLOOKUP(Z$3,Data!$K$23:$Q$35,ROW()-2,FALSE)/VLOOKUP($Y6,$C$21:$D$32,2,FALSE)</f>
        <v>16.64516129032258</v>
      </c>
      <c r="AA6" s="80">
        <f>HLOOKUP(AA$3,Data!$K$23:$Q$35,ROW()-2,FALSE)/VLOOKUP($Y6,$C$21:$D$32,2,FALSE)</f>
        <v>14.370967741935484</v>
      </c>
      <c r="AB6" s="80">
        <f>HLOOKUP(AB$3,Data!$K$23:$Q$35,ROW()-2,FALSE)/VLOOKUP($Y6,$C$21:$D$32,2,FALSE)</f>
        <v>13.758064516129032</v>
      </c>
      <c r="AC6" s="80">
        <f>HLOOKUP(AC$3,Data!$K$23:$Q$35,ROW()-2,FALSE)/VLOOKUP($Y6,$C$21:$D$32,2,FALSE)</f>
        <v>15.483870967741936</v>
      </c>
    </row>
    <row r="7" spans="1:29" x14ac:dyDescent="0.25">
      <c r="A7" s="72">
        <v>2</v>
      </c>
      <c r="B7" s="73"/>
      <c r="C7">
        <v>0.46417047280117901</v>
      </c>
      <c r="E7" s="72">
        <v>2</v>
      </c>
      <c r="F7" s="73"/>
      <c r="G7">
        <v>0.605212467911311</v>
      </c>
      <c r="I7" s="72">
        <v>2</v>
      </c>
      <c r="J7" s="73"/>
      <c r="K7">
        <v>0.61370233758649895</v>
      </c>
      <c r="M7" s="72">
        <v>2</v>
      </c>
      <c r="N7" s="73"/>
      <c r="O7">
        <v>0.67464391081554198</v>
      </c>
      <c r="Q7" s="4">
        <f t="shared" si="3"/>
        <v>43191</v>
      </c>
      <c r="R7">
        <f t="shared" si="0"/>
        <v>4</v>
      </c>
      <c r="S7" s="80">
        <f>HLOOKUP(S$3,Normals!$B$17:$H$29,$R7+1,FALSE)/VLOOKUP($R7,$C$21:$D$32,2,FALSE)</f>
        <v>11.6</v>
      </c>
      <c r="T7" s="80">
        <f>HLOOKUP(T$3,Normals!$B$17:$H$29,$R7+1,FALSE)/VLOOKUP($R7,$C$21:$D$32,2,FALSE)</f>
        <v>10.199999999999999</v>
      </c>
      <c r="U7" s="80">
        <f>HLOOKUP(U$3,Normals!$B$17:$H$29,$R7+1,FALSE)/VLOOKUP($R7,$C$21:$D$32,2,FALSE)</f>
        <v>8.1</v>
      </c>
      <c r="V7" s="80">
        <f>HLOOKUP(V$3,Normals!$B$17:$H$29,$R7+1,FALSE)/VLOOKUP($R7,$C$21:$D$32,2,FALSE)</f>
        <v>11.033333333333333</v>
      </c>
      <c r="X7" s="4">
        <f t="shared" si="1"/>
        <v>43191</v>
      </c>
      <c r="Y7">
        <f t="shared" si="2"/>
        <v>4</v>
      </c>
      <c r="Z7" s="80">
        <f>HLOOKUP(Z$3,Data!$K$23:$Q$35,ROW()-2,FALSE)/VLOOKUP($Y7,$C$21:$D$32,2,FALSE)</f>
        <v>10.683333333333334</v>
      </c>
      <c r="AA7" s="80">
        <f>HLOOKUP(AA$3,Data!$K$23:$Q$35,ROW()-2,FALSE)/VLOOKUP($Y7,$C$21:$D$32,2,FALSE)</f>
        <v>9.5833333333333339</v>
      </c>
      <c r="AB7" s="80">
        <f>HLOOKUP(AB$3,Data!$K$23:$Q$35,ROW()-2,FALSE)/VLOOKUP($Y7,$C$21:$D$32,2,FALSE)</f>
        <v>7.4666666666666668</v>
      </c>
      <c r="AC7" s="80">
        <f>HLOOKUP(AC$3,Data!$K$23:$Q$35,ROW()-2,FALSE)/VLOOKUP($Y7,$C$21:$D$32,2,FALSE)</f>
        <v>8.35</v>
      </c>
    </row>
    <row r="8" spans="1:29" x14ac:dyDescent="0.25">
      <c r="A8" s="72">
        <v>3</v>
      </c>
      <c r="B8" s="73"/>
      <c r="C8">
        <v>0.38376805242249501</v>
      </c>
      <c r="E8" s="72">
        <v>3</v>
      </c>
      <c r="F8" s="73"/>
      <c r="G8">
        <v>0.51938297681920798</v>
      </c>
      <c r="I8" s="72">
        <v>3</v>
      </c>
      <c r="J8" s="73"/>
      <c r="K8">
        <v>0.57526964674412495</v>
      </c>
      <c r="M8" s="72">
        <v>3</v>
      </c>
      <c r="N8" s="73"/>
      <c r="O8">
        <v>0.56867738208674401</v>
      </c>
      <c r="Q8" s="4">
        <f t="shared" si="3"/>
        <v>43221</v>
      </c>
      <c r="R8">
        <f t="shared" si="0"/>
        <v>5</v>
      </c>
      <c r="S8" s="80">
        <f>HLOOKUP(S$3,Normals!$B$17:$H$29,$R8+1,FALSE)/VLOOKUP($R8,$C$21:$D$32,2,FALSE)</f>
        <v>6.354838709677419</v>
      </c>
      <c r="T8" s="80">
        <f>HLOOKUP(T$3,Normals!$B$17:$H$29,$R8+1,FALSE)/VLOOKUP($R8,$C$21:$D$32,2,FALSE)</f>
        <v>5.161290322580645</v>
      </c>
      <c r="U8" s="80">
        <f>HLOOKUP(U$3,Normals!$B$17:$H$29,$R8+1,FALSE)/VLOOKUP($R8,$C$21:$D$32,2,FALSE)</f>
        <v>3.2580645161290325</v>
      </c>
      <c r="V8" s="80">
        <f>HLOOKUP(V$3,Normals!$B$17:$H$29,$R8+1,FALSE)/VLOOKUP($R8,$C$21:$D$32,2,FALSE)</f>
        <v>4.645161290322581</v>
      </c>
      <c r="X8" s="4">
        <f t="shared" si="1"/>
        <v>43221</v>
      </c>
      <c r="Y8">
        <f t="shared" si="2"/>
        <v>5</v>
      </c>
      <c r="Z8" s="80">
        <f>HLOOKUP(Z$3,Data!$K$23:$Q$35,ROW()-2,FALSE)/VLOOKUP($Y8,$C$21:$D$32,2,FALSE)</f>
        <v>2.4516129032258065</v>
      </c>
      <c r="AA8" s="80">
        <f>HLOOKUP(AA$3,Data!$K$23:$Q$35,ROW()-2,FALSE)/VLOOKUP($Y8,$C$21:$D$32,2,FALSE)</f>
        <v>1.6451612903225807</v>
      </c>
      <c r="AB8" s="80">
        <f>HLOOKUP(AB$3,Data!$K$23:$Q$35,ROW()-2,FALSE)/VLOOKUP($Y8,$C$21:$D$32,2,FALSE)</f>
        <v>0.41935483870967744</v>
      </c>
      <c r="AC8" s="80">
        <f>HLOOKUP(AC$3,Data!$K$23:$Q$35,ROW()-2,FALSE)/VLOOKUP($Y8,$C$21:$D$32,2,FALSE)</f>
        <v>0.33870967741935482</v>
      </c>
    </row>
    <row r="9" spans="1:29" x14ac:dyDescent="0.25">
      <c r="A9" s="72">
        <v>4</v>
      </c>
      <c r="B9" s="73"/>
      <c r="C9">
        <v>0.29075805644177599</v>
      </c>
      <c r="E9" s="72">
        <v>4</v>
      </c>
      <c r="F9" s="73"/>
      <c r="G9">
        <v>0.41830022644786402</v>
      </c>
      <c r="I9" s="72">
        <v>4</v>
      </c>
      <c r="J9" s="73"/>
      <c r="K9">
        <v>0.371564432713337</v>
      </c>
      <c r="M9" s="72">
        <v>4</v>
      </c>
      <c r="N9" s="73"/>
      <c r="O9">
        <v>0.41835004075344501</v>
      </c>
      <c r="Q9" s="4">
        <f t="shared" si="3"/>
        <v>43252</v>
      </c>
      <c r="R9">
        <f t="shared" si="0"/>
        <v>6</v>
      </c>
      <c r="S9" s="80">
        <f>HLOOKUP(S$3,Normals!$B$17:$H$29,$R9+1,FALSE)/VLOOKUP($R9,$C$21:$D$32,2,FALSE)</f>
        <v>2.5</v>
      </c>
      <c r="T9" s="80">
        <f>HLOOKUP(T$3,Normals!$B$17:$H$29,$R9+1,FALSE)/VLOOKUP($R9,$C$21:$D$32,2,FALSE)</f>
        <v>1.7333333333333334</v>
      </c>
      <c r="U9" s="80">
        <f>HLOOKUP(U$3,Normals!$B$17:$H$29,$R9+1,FALSE)/VLOOKUP($R9,$C$21:$D$32,2,FALSE)</f>
        <v>0.5</v>
      </c>
      <c r="V9" s="80">
        <f>HLOOKUP(V$3,Normals!$B$17:$H$29,$R9+1,FALSE)/VLOOKUP($R9,$C$21:$D$32,2,FALSE)</f>
        <v>1.1000000000000001</v>
      </c>
      <c r="X9" s="4">
        <f t="shared" si="1"/>
        <v>43252</v>
      </c>
      <c r="Y9">
        <f t="shared" si="2"/>
        <v>6</v>
      </c>
      <c r="Z9" s="80">
        <f>HLOOKUP(Z$3,Data!$K$23:$Q$35,ROW()-2,FALSE)/VLOOKUP($Y9,$C$21:$D$32,2,FALSE)</f>
        <v>1.7166666666666666</v>
      </c>
      <c r="AA9" s="80">
        <f>HLOOKUP(AA$3,Data!$K$23:$Q$35,ROW()-2,FALSE)/VLOOKUP($Y9,$C$21:$D$32,2,FALSE)</f>
        <v>1.5333333333333334</v>
      </c>
      <c r="AB9" s="80">
        <f>HLOOKUP(AB$3,Data!$K$23:$Q$35,ROW()-2,FALSE)/VLOOKUP($Y9,$C$21:$D$32,2,FALSE)</f>
        <v>0.2</v>
      </c>
      <c r="AC9" s="80">
        <f>HLOOKUP(AC$3,Data!$K$23:$Q$35,ROW()-2,FALSE)/VLOOKUP($Y9,$C$21:$D$32,2,FALSE)</f>
        <v>0.75</v>
      </c>
    </row>
    <row r="10" spans="1:29" x14ac:dyDescent="0.25">
      <c r="A10" s="72">
        <v>5</v>
      </c>
      <c r="B10" s="73"/>
      <c r="C10">
        <v>0.22003225004757901</v>
      </c>
      <c r="E10" s="72">
        <v>5</v>
      </c>
      <c r="F10" s="73"/>
      <c r="G10">
        <v>0.35792011686167002</v>
      </c>
      <c r="I10" s="72">
        <v>5</v>
      </c>
      <c r="J10" s="73"/>
      <c r="K10">
        <v>0.29234026763703203</v>
      </c>
      <c r="M10" s="72">
        <v>5</v>
      </c>
      <c r="N10" s="73"/>
      <c r="O10">
        <v>0.31392914034723501</v>
      </c>
      <c r="Q10" s="4">
        <f t="shared" si="3"/>
        <v>43282</v>
      </c>
      <c r="R10">
        <f t="shared" si="0"/>
        <v>7</v>
      </c>
      <c r="S10" s="80">
        <f>HLOOKUP(S$3,Normals!$B$17:$H$29,$R10+1,FALSE)/VLOOKUP($R10,$C$21:$D$32,2,FALSE)</f>
        <v>0.5161290322580645</v>
      </c>
      <c r="T10" s="80">
        <f>HLOOKUP(T$3,Normals!$B$17:$H$29,$R10+1,FALSE)/VLOOKUP($R10,$C$21:$D$32,2,FALSE)</f>
        <v>0.25806451612903225</v>
      </c>
      <c r="U10" s="80">
        <f>HLOOKUP(U$3,Normals!$B$17:$H$29,$R10+1,FALSE)/VLOOKUP($R10,$C$21:$D$32,2,FALSE)</f>
        <v>3.2258064516129031E-2</v>
      </c>
      <c r="V10" s="80">
        <f>HLOOKUP(V$3,Normals!$B$17:$H$29,$R10+1,FALSE)/VLOOKUP($R10,$C$21:$D$32,2,FALSE)</f>
        <v>9.6774193548387094E-2</v>
      </c>
      <c r="X10" s="4">
        <f t="shared" si="1"/>
        <v>43282</v>
      </c>
      <c r="Y10">
        <f t="shared" si="2"/>
        <v>7</v>
      </c>
      <c r="Z10" s="80">
        <f>HLOOKUP(Z$3,Data!$K$23:$Q$35,ROW()-2,FALSE)/VLOOKUP($Y10,$C$21:$D$32,2,FALSE)</f>
        <v>3.2258064516129031E-2</v>
      </c>
      <c r="AA10" s="80">
        <f>HLOOKUP(AA$3,Data!$K$23:$Q$35,ROW()-2,FALSE)/VLOOKUP($Y10,$C$21:$D$32,2,FALSE)</f>
        <v>0.12903225806451613</v>
      </c>
      <c r="AB10" s="80">
        <f>HLOOKUP(AB$3,Data!$K$23:$Q$35,ROW()-2,FALSE)/VLOOKUP($Y10,$C$21:$D$32,2,FALSE)</f>
        <v>0</v>
      </c>
      <c r="AC10" s="80">
        <f>HLOOKUP(AC$3,Data!$K$23:$Q$35,ROW()-2,FALSE)/VLOOKUP($Y10,$C$21:$D$32,2,FALSE)</f>
        <v>0</v>
      </c>
    </row>
    <row r="11" spans="1:29" x14ac:dyDescent="0.25">
      <c r="A11" s="72">
        <v>6</v>
      </c>
      <c r="B11" s="73"/>
      <c r="C11" s="73">
        <v>0</v>
      </c>
      <c r="E11" s="72">
        <v>6</v>
      </c>
      <c r="F11" s="73"/>
      <c r="G11">
        <v>0.43720530522426299</v>
      </c>
      <c r="I11" s="72">
        <v>6</v>
      </c>
      <c r="J11" s="73"/>
      <c r="K11" s="73">
        <v>0</v>
      </c>
      <c r="M11" s="72">
        <v>6</v>
      </c>
      <c r="N11" s="73"/>
      <c r="O11" s="73">
        <v>0</v>
      </c>
      <c r="Q11" s="4">
        <f t="shared" si="3"/>
        <v>43313</v>
      </c>
      <c r="R11">
        <f t="shared" si="0"/>
        <v>8</v>
      </c>
      <c r="S11" s="80">
        <f>HLOOKUP(S$3,Normals!$B$17:$H$29,$R11+1,FALSE)/VLOOKUP($R11,$C$21:$D$32,2,FALSE)</f>
        <v>0.45161290322580644</v>
      </c>
      <c r="T11" s="80">
        <f>HLOOKUP(T$3,Normals!$B$17:$H$29,$R11+1,FALSE)/VLOOKUP($R11,$C$21:$D$32,2,FALSE)</f>
        <v>0.12903225806451613</v>
      </c>
      <c r="U11" s="80">
        <f>HLOOKUP(U$3,Normals!$B$17:$H$29,$R11+1,FALSE)/VLOOKUP($R11,$C$21:$D$32,2,FALSE)</f>
        <v>3.2258064516129031E-2</v>
      </c>
      <c r="V11" s="80">
        <f>HLOOKUP(V$3,Normals!$B$17:$H$29,$R11+1,FALSE)/VLOOKUP($R11,$C$21:$D$32,2,FALSE)</f>
        <v>0.12903225806451613</v>
      </c>
      <c r="X11" s="4">
        <f t="shared" si="1"/>
        <v>43313</v>
      </c>
      <c r="Y11">
        <f t="shared" si="2"/>
        <v>8</v>
      </c>
      <c r="Z11" s="80">
        <f>HLOOKUP(Z$3,Data!$K$23:$Q$35,ROW()-2,FALSE)/VLOOKUP($Y11,$C$21:$D$32,2,FALSE)</f>
        <v>0.14516129032258066</v>
      </c>
      <c r="AA11" s="80">
        <f>HLOOKUP(AA$3,Data!$K$23:$Q$35,ROW()-2,FALSE)/VLOOKUP($Y11,$C$21:$D$32,2,FALSE)</f>
        <v>8.0645161290322578E-2</v>
      </c>
      <c r="AB11" s="80">
        <f>HLOOKUP(AB$3,Data!$K$23:$Q$35,ROW()-2,FALSE)/VLOOKUP($Y11,$C$21:$D$32,2,FALSE)</f>
        <v>0</v>
      </c>
      <c r="AC11" s="80">
        <f>HLOOKUP(AC$3,Data!$K$23:$Q$35,ROW()-2,FALSE)/VLOOKUP($Y11,$C$21:$D$32,2,FALSE)</f>
        <v>3.2258064516129031E-2</v>
      </c>
    </row>
    <row r="12" spans="1:29" x14ac:dyDescent="0.25">
      <c r="A12" s="72">
        <v>7</v>
      </c>
      <c r="B12" s="73"/>
      <c r="C12" s="73">
        <v>0</v>
      </c>
      <c r="E12" s="72">
        <v>7</v>
      </c>
      <c r="F12" s="73"/>
      <c r="G12" s="73">
        <v>0</v>
      </c>
      <c r="I12" s="72">
        <v>7</v>
      </c>
      <c r="J12" s="73"/>
      <c r="K12" s="73">
        <v>0</v>
      </c>
      <c r="M12" s="72">
        <v>7</v>
      </c>
      <c r="N12" s="73"/>
      <c r="O12" s="73">
        <v>0</v>
      </c>
      <c r="Q12" s="4">
        <f t="shared" si="3"/>
        <v>43344</v>
      </c>
      <c r="R12">
        <f t="shared" si="0"/>
        <v>9</v>
      </c>
      <c r="S12" s="80">
        <f>HLOOKUP(S$3,Normals!$B$17:$H$29,$R12+1,FALSE)/VLOOKUP($R12,$C$21:$D$32,2,FALSE)</f>
        <v>3.4666666666666668</v>
      </c>
      <c r="T12" s="80">
        <f>HLOOKUP(T$3,Normals!$B$17:$H$29,$R12+1,FALSE)/VLOOKUP($R12,$C$21:$D$32,2,FALSE)</f>
        <v>1.7</v>
      </c>
      <c r="U12" s="80">
        <f>HLOOKUP(U$3,Normals!$B$17:$H$29,$R12+1,FALSE)/VLOOKUP($R12,$C$21:$D$32,2,FALSE)</f>
        <v>1</v>
      </c>
      <c r="V12" s="80">
        <f>HLOOKUP(V$3,Normals!$B$17:$H$29,$R12+1,FALSE)/VLOOKUP($R12,$C$21:$D$32,2,FALSE)</f>
        <v>2.4333333333333331</v>
      </c>
      <c r="X12" s="4">
        <f t="shared" si="1"/>
        <v>43344</v>
      </c>
      <c r="Y12">
        <f t="shared" si="2"/>
        <v>9</v>
      </c>
      <c r="Z12" s="80">
        <f>HLOOKUP(Z$3,Data!$K$23:$Q$35,ROW()-2,FALSE)/VLOOKUP($Y12,$C$21:$D$32,2,FALSE)</f>
        <v>1.95</v>
      </c>
      <c r="AA12" s="80">
        <f>HLOOKUP(AA$3,Data!$K$23:$Q$35,ROW()-2,FALSE)/VLOOKUP($Y12,$C$21:$D$32,2,FALSE)</f>
        <v>1.0166666666666666</v>
      </c>
      <c r="AB12" s="80">
        <f>HLOOKUP(AB$3,Data!$K$23:$Q$35,ROW()-2,FALSE)/VLOOKUP($Y12,$C$21:$D$32,2,FALSE)</f>
        <v>0.23333333333333334</v>
      </c>
      <c r="AC12" s="80">
        <f>HLOOKUP(AC$3,Data!$K$23:$Q$35,ROW()-2,FALSE)/VLOOKUP($Y12,$C$21:$D$32,2,FALSE)</f>
        <v>2.2999999999999998</v>
      </c>
    </row>
    <row r="13" spans="1:29" x14ac:dyDescent="0.25">
      <c r="A13" s="72">
        <v>8</v>
      </c>
      <c r="B13" s="73"/>
      <c r="C13" s="73">
        <v>0</v>
      </c>
      <c r="E13" s="72">
        <v>8</v>
      </c>
      <c r="F13" s="73"/>
      <c r="G13" s="73">
        <v>0</v>
      </c>
      <c r="I13" s="72">
        <v>8</v>
      </c>
      <c r="J13" s="73"/>
      <c r="K13" s="73">
        <v>0</v>
      </c>
      <c r="M13" s="72">
        <v>8</v>
      </c>
      <c r="N13" s="73"/>
      <c r="O13" s="73">
        <v>0</v>
      </c>
      <c r="Q13" s="4">
        <f t="shared" si="3"/>
        <v>43374</v>
      </c>
      <c r="R13">
        <f t="shared" si="0"/>
        <v>10</v>
      </c>
      <c r="S13" s="80">
        <f>HLOOKUP(S$3,Normals!$B$17:$H$29,$R13+1,FALSE)/VLOOKUP($R13,$C$21:$D$32,2,FALSE)</f>
        <v>10.290322580645162</v>
      </c>
      <c r="T13" s="80">
        <f>HLOOKUP(T$3,Normals!$B$17:$H$29,$R13+1,FALSE)/VLOOKUP($R13,$C$21:$D$32,2,FALSE)</f>
        <v>7.903225806451613</v>
      </c>
      <c r="U13" s="80">
        <f>HLOOKUP(U$3,Normals!$B$17:$H$29,$R13+1,FALSE)/VLOOKUP($R13,$C$21:$D$32,2,FALSE)</f>
        <v>7.419354838709677</v>
      </c>
      <c r="V13" s="80">
        <f>HLOOKUP(V$3,Normals!$B$17:$H$29,$R13+1,FALSE)/VLOOKUP($R13,$C$21:$D$32,2,FALSE)</f>
        <v>11.193548387096774</v>
      </c>
      <c r="X13" s="4">
        <f t="shared" si="1"/>
        <v>43374</v>
      </c>
      <c r="Y13">
        <f t="shared" si="2"/>
        <v>10</v>
      </c>
      <c r="Z13" s="80">
        <f>HLOOKUP(Z$3,Data!$K$23:$Q$35,ROW()-2,FALSE)/VLOOKUP($Y13,$C$21:$D$32,2,FALSE)</f>
        <v>8.9677419354838701</v>
      </c>
      <c r="AA13" s="80">
        <f>HLOOKUP(AA$3,Data!$K$23:$Q$35,ROW()-2,FALSE)/VLOOKUP($Y13,$C$21:$D$32,2,FALSE)</f>
        <v>6.903225806451613</v>
      </c>
      <c r="AB13" s="80">
        <f>HLOOKUP(AB$3,Data!$K$23:$Q$35,ROW()-2,FALSE)/VLOOKUP($Y13,$C$21:$D$32,2,FALSE)</f>
        <v>6.645161290322581</v>
      </c>
      <c r="AC13" s="80">
        <f>HLOOKUP(AC$3,Data!$K$23:$Q$35,ROW()-2,FALSE)/VLOOKUP($Y13,$C$21:$D$32,2,FALSE)</f>
        <v>10.516129032258064</v>
      </c>
    </row>
    <row r="14" spans="1:29" x14ac:dyDescent="0.25">
      <c r="A14" s="72">
        <v>9</v>
      </c>
      <c r="B14" s="73"/>
      <c r="C14" s="73">
        <v>0</v>
      </c>
      <c r="E14" s="72">
        <v>9</v>
      </c>
      <c r="F14" s="73"/>
      <c r="G14">
        <v>0.70850574586009096</v>
      </c>
      <c r="I14" s="72">
        <v>9</v>
      </c>
      <c r="J14" s="73"/>
      <c r="K14" s="73">
        <v>0</v>
      </c>
      <c r="M14" s="72">
        <v>9</v>
      </c>
      <c r="N14" s="73"/>
      <c r="O14">
        <v>0.71288588185042301</v>
      </c>
      <c r="Q14" s="4">
        <f t="shared" si="3"/>
        <v>43405</v>
      </c>
      <c r="R14">
        <f t="shared" si="0"/>
        <v>11</v>
      </c>
      <c r="S14" s="80">
        <f>HLOOKUP(S$3,Normals!$B$17:$H$29,$R14+1,FALSE)/VLOOKUP($R14,$C$21:$D$32,2,FALSE)</f>
        <v>16.8</v>
      </c>
      <c r="T14" s="80">
        <f>HLOOKUP(T$3,Normals!$B$17:$H$29,$R14+1,FALSE)/VLOOKUP($R14,$C$21:$D$32,2,FALSE)</f>
        <v>15.466666666666667</v>
      </c>
      <c r="U14" s="80">
        <f>HLOOKUP(U$3,Normals!$B$17:$H$29,$R14+1,FALSE)/VLOOKUP($R14,$C$21:$D$32,2,FALSE)</f>
        <v>18.2</v>
      </c>
      <c r="V14" s="80">
        <f>HLOOKUP(V$3,Normals!$B$17:$H$29,$R14+1,FALSE)/VLOOKUP($R14,$C$21:$D$32,2,FALSE)</f>
        <v>22.666666666666668</v>
      </c>
      <c r="X14" s="4">
        <f t="shared" si="1"/>
        <v>43405</v>
      </c>
      <c r="Y14">
        <f t="shared" si="2"/>
        <v>11</v>
      </c>
      <c r="Z14" s="80">
        <f>HLOOKUP(Z$3,Data!$K$23:$Q$35,ROW()-2,FALSE)/VLOOKUP($Y14,$C$21:$D$32,2,FALSE)</f>
        <v>13.2</v>
      </c>
      <c r="AA14" s="80">
        <f>HLOOKUP(AA$3,Data!$K$23:$Q$35,ROW()-2,FALSE)/VLOOKUP($Y14,$C$21:$D$32,2,FALSE)</f>
        <v>12.966666666666667</v>
      </c>
      <c r="AB14" s="80">
        <f>HLOOKUP(AB$3,Data!$K$23:$Q$35,ROW()-2,FALSE)/VLOOKUP($Y14,$C$21:$D$32,2,FALSE)</f>
        <v>17.866666666666667</v>
      </c>
      <c r="AC14" s="80">
        <f>HLOOKUP(AC$3,Data!$K$23:$Q$35,ROW()-2,FALSE)/VLOOKUP($Y14,$C$21:$D$32,2,FALSE)</f>
        <v>22.416666666666668</v>
      </c>
    </row>
    <row r="15" spans="1:29" x14ac:dyDescent="0.25">
      <c r="A15" s="72">
        <v>10</v>
      </c>
      <c r="B15" s="73"/>
      <c r="C15">
        <v>0.35178263142973798</v>
      </c>
      <c r="E15" s="72">
        <v>10</v>
      </c>
      <c r="F15" s="73"/>
      <c r="G15">
        <v>0.60504621955086901</v>
      </c>
      <c r="I15" s="72">
        <v>10</v>
      </c>
      <c r="J15" s="73"/>
      <c r="K15">
        <v>0.401487708415603</v>
      </c>
      <c r="M15" s="72">
        <v>10</v>
      </c>
      <c r="N15" s="73"/>
      <c r="O15">
        <v>0.51624778961101103</v>
      </c>
      <c r="Q15" s="4">
        <f t="shared" si="3"/>
        <v>43435</v>
      </c>
      <c r="R15">
        <f t="shared" si="0"/>
        <v>12</v>
      </c>
      <c r="S15" s="80">
        <f>HLOOKUP(S$3,Normals!$B$17:$H$29,$R15+1,FALSE)/VLOOKUP($R15,$C$21:$D$32,2,FALSE)</f>
        <v>21.903225806451612</v>
      </c>
      <c r="T15" s="80">
        <f>HLOOKUP(T$3,Normals!$B$17:$H$29,$R15+1,FALSE)/VLOOKUP($R15,$C$21:$D$32,2,FALSE)</f>
        <v>20.258064516129032</v>
      </c>
      <c r="U15" s="80">
        <f>HLOOKUP(U$3,Normals!$B$17:$H$29,$R15+1,FALSE)/VLOOKUP($R15,$C$21:$D$32,2,FALSE)</f>
        <v>26.548387096774192</v>
      </c>
      <c r="V15" s="80">
        <f>HLOOKUP(V$3,Normals!$B$17:$H$29,$R15+1,FALSE)/VLOOKUP($R15,$C$21:$D$32,2,FALSE)</f>
        <v>31.451612903225808</v>
      </c>
      <c r="X15" s="4">
        <f t="shared" si="1"/>
        <v>43435</v>
      </c>
      <c r="Y15">
        <f t="shared" si="2"/>
        <v>12</v>
      </c>
      <c r="Z15" s="80">
        <f>HLOOKUP(Z$3,Data!$K$23:$Q$35,ROW()-2,FALSE)/VLOOKUP($Y15,$C$21:$D$32,2,FALSE)</f>
        <v>18.89516129032258</v>
      </c>
      <c r="AA15" s="80">
        <f>HLOOKUP(AA$3,Data!$K$23:$Q$35,ROW()-2,FALSE)/VLOOKUP($Y15,$C$21:$D$32,2,FALSE)</f>
        <v>17.838709677419356</v>
      </c>
      <c r="AB15" s="80">
        <f>HLOOKUP(AB$3,Data!$K$23:$Q$35,ROW()-2,FALSE)/VLOOKUP($Y15,$C$21:$D$32,2,FALSE)</f>
        <v>20.338709677419356</v>
      </c>
      <c r="AC15" s="80">
        <f>HLOOKUP(AC$3,Data!$K$23:$Q$35,ROW()-2,FALSE)/VLOOKUP($Y15,$C$21:$D$32,2,FALSE)</f>
        <v>25.467741935483872</v>
      </c>
    </row>
    <row r="16" spans="1:29" x14ac:dyDescent="0.25">
      <c r="A16" s="72">
        <v>11</v>
      </c>
      <c r="B16" s="73"/>
      <c r="C16">
        <v>0.507296482222659</v>
      </c>
      <c r="E16" s="72">
        <v>11</v>
      </c>
      <c r="F16" s="73"/>
      <c r="G16">
        <v>0.67318064473237005</v>
      </c>
      <c r="I16" s="72">
        <v>11</v>
      </c>
      <c r="J16" s="73"/>
      <c r="K16">
        <v>0.45099201626672702</v>
      </c>
      <c r="M16" s="72">
        <v>11</v>
      </c>
      <c r="N16" s="73"/>
      <c r="O16">
        <v>0.51179348068962205</v>
      </c>
    </row>
    <row r="17" spans="1:29" x14ac:dyDescent="0.25">
      <c r="A17" s="72">
        <v>12</v>
      </c>
      <c r="B17" s="73"/>
      <c r="C17">
        <v>0.46799751789850502</v>
      </c>
      <c r="E17" s="72">
        <v>12</v>
      </c>
      <c r="F17" s="73"/>
      <c r="G17">
        <v>0.65174316714574199</v>
      </c>
      <c r="I17" s="72">
        <v>12</v>
      </c>
      <c r="J17" s="73"/>
      <c r="K17">
        <v>0.54938639035922798</v>
      </c>
      <c r="M17" s="72">
        <v>12</v>
      </c>
      <c r="N17" s="73"/>
      <c r="O17">
        <v>0.58389625267244205</v>
      </c>
      <c r="Q17" s="79" t="s">
        <v>46</v>
      </c>
      <c r="S17" s="99" t="s">
        <v>47</v>
      </c>
      <c r="T17" s="99"/>
      <c r="U17" s="99"/>
      <c r="V17" s="99"/>
      <c r="X17" s="79" t="s">
        <v>48</v>
      </c>
      <c r="Z17" s="99" t="s">
        <v>49</v>
      </c>
      <c r="AA17" s="99"/>
      <c r="AB17" s="99"/>
      <c r="AC17" s="99"/>
    </row>
    <row r="18" spans="1:29" x14ac:dyDescent="0.25">
      <c r="A18" t="s">
        <v>55</v>
      </c>
      <c r="C18">
        <v>0</v>
      </c>
      <c r="E18" t="s">
        <v>55</v>
      </c>
      <c r="F18" s="73"/>
      <c r="G18">
        <v>0</v>
      </c>
      <c r="I18" t="s">
        <v>55</v>
      </c>
      <c r="K18">
        <v>0.20453384123123999</v>
      </c>
      <c r="M18" t="s">
        <v>55</v>
      </c>
      <c r="O18">
        <v>0.34684981532896803</v>
      </c>
      <c r="S18" t="s">
        <v>29</v>
      </c>
      <c r="T18" t="s">
        <v>30</v>
      </c>
      <c r="U18" t="s">
        <v>31</v>
      </c>
      <c r="V18" t="s">
        <v>32</v>
      </c>
      <c r="Z18" t="s">
        <v>29</v>
      </c>
      <c r="AA18" t="s">
        <v>30</v>
      </c>
      <c r="AB18" t="s">
        <v>31</v>
      </c>
      <c r="AC18" t="s">
        <v>32</v>
      </c>
    </row>
    <row r="19" spans="1:29" x14ac:dyDescent="0.25">
      <c r="Q19" s="4">
        <f>Q4</f>
        <v>43101</v>
      </c>
      <c r="R19">
        <f>MONTH(Q19)</f>
        <v>1</v>
      </c>
      <c r="S19" s="81">
        <f>(S4-Z4)*VLOOKUP($R19,$A$6:$C$17,3,FALSE)</f>
        <v>1.7915460645290235</v>
      </c>
      <c r="T19" s="81">
        <f>(T4-AA4)*VLOOKUP($R19,$E$6:$G$17,3,FALSE)</f>
        <v>1.976890743807092</v>
      </c>
      <c r="U19" s="81">
        <f>(U4-AB4)*VLOOKUP($R19,$I$6:$K$17,3,FALSE)</f>
        <v>3.7590821834281245</v>
      </c>
      <c r="V19" s="81">
        <f>(V4-AC4)*VLOOKUP($R19,$M$6:$O$17,3,FALSE)</f>
        <v>5.272845415789984</v>
      </c>
      <c r="X19" s="4">
        <f>Q4</f>
        <v>43101</v>
      </c>
      <c r="Y19">
        <f>MONTH(X19)</f>
        <v>1</v>
      </c>
      <c r="Z19" s="64">
        <f>HLOOKUP(Z$18,Data!$AC$4:$AI$16,ROW()-17,FALSE)*VLOOKUP($Y19,$C$21:$D$32,2,FALSE)*S19</f>
        <v>557767.41090801451</v>
      </c>
      <c r="AA19" s="64">
        <f>HLOOKUP(AA$18,Data!$AC$4:$AI$16,ROW()-17,FALSE)*VLOOKUP($Y19,$C$21:$D$32,2,FALSE)*T19</f>
        <v>304456.98967224261</v>
      </c>
      <c r="AB19" s="64">
        <f>HLOOKUP(AB$18,Data!$AC$4:$AI$16,ROW()-17,FALSE)*VLOOKUP($Y19,$C$21:$D$32,2,FALSE)*U19</f>
        <v>639059.00751151482</v>
      </c>
      <c r="AC19" s="64">
        <f>HLOOKUP(AC$18,Data!$AC$4:$AI$16,ROW()-17,FALSE)*VLOOKUP($Y19,$C$21:$D$32,2,FALSE)*V19</f>
        <v>940375.06998823315</v>
      </c>
    </row>
    <row r="20" spans="1:29" x14ac:dyDescent="0.25">
      <c r="D20" t="s">
        <v>40</v>
      </c>
      <c r="Q20" s="4">
        <f t="shared" ref="Q20:Q30" si="4">Q5</f>
        <v>43132</v>
      </c>
      <c r="R20">
        <f t="shared" ref="R20:R30" si="5">MONTH(Q20)</f>
        <v>2</v>
      </c>
      <c r="S20" s="81">
        <f t="shared" ref="S20:S30" si="6">(S5-Z5)*VLOOKUP($R20,$A$6:$C$17,3,FALSE)</f>
        <v>-0.76256577674479387</v>
      </c>
      <c r="T20" s="81">
        <f t="shared" ref="T20:T30" si="7">(T5-AA5)*VLOOKUP($R20,$E$6:$G$17,3,FALSE)</f>
        <v>-0.62682719890814298</v>
      </c>
      <c r="U20" s="81">
        <f t="shared" ref="U20:U30" si="8">(U5-AB5)*VLOOKUP($R20,$I$6:$K$17,3,FALSE)</f>
        <v>0.69041512978481134</v>
      </c>
      <c r="V20" s="81">
        <f t="shared" ref="V20:V30" si="9">(V5-AC5)*VLOOKUP($R20,$M$6:$O$17,3,FALSE)</f>
        <v>1.4697599485624298</v>
      </c>
      <c r="X20" s="4">
        <f t="shared" ref="X20:X30" si="10">Q5</f>
        <v>43132</v>
      </c>
      <c r="Y20">
        <f t="shared" ref="Y20:Y30" si="11">MONTH(X20)</f>
        <v>2</v>
      </c>
      <c r="Z20" s="64">
        <f>HLOOKUP(Z$18,Data!$AC$4:$AI$16,ROW()-17,FALSE)*VLOOKUP($Y20,$C$21:$D$32,2,FALSE)*S20</f>
        <v>-215034.39825271093</v>
      </c>
      <c r="AA20" s="64">
        <f>HLOOKUP(AA$18,Data!$AC$4:$AI$16,ROW()-17,FALSE)*VLOOKUP($Y20,$C$21:$D$32,2,FALSE)*T20</f>
        <v>-87071.31254593232</v>
      </c>
      <c r="AB20" s="64">
        <f>HLOOKUP(AB$18,Data!$AC$4:$AI$16,ROW()-17,FALSE)*VLOOKUP($Y20,$C$21:$D$32,2,FALSE)*U20</f>
        <v>106478.58297593275</v>
      </c>
      <c r="AC20" s="64">
        <f>HLOOKUP(AC$18,Data!$AC$4:$AI$16,ROW()-17,FALSE)*VLOOKUP($Y20,$C$21:$D$32,2,FALSE)*V20</f>
        <v>237166.34433982792</v>
      </c>
    </row>
    <row r="21" spans="1:29" x14ac:dyDescent="0.25">
      <c r="A21" s="4">
        <f>Data!A1</f>
        <v>43101</v>
      </c>
      <c r="C21">
        <f>MONTH(A21)</f>
        <v>1</v>
      </c>
      <c r="D21">
        <f>A22-A21</f>
        <v>31</v>
      </c>
      <c r="Q21" s="4">
        <f t="shared" si="4"/>
        <v>43160</v>
      </c>
      <c r="R21">
        <f t="shared" si="5"/>
        <v>3</v>
      </c>
      <c r="S21" s="81">
        <f t="shared" si="6"/>
        <v>-0.34662920863967261</v>
      </c>
      <c r="T21" s="81">
        <f t="shared" si="7"/>
        <v>-0.10890288223628522</v>
      </c>
      <c r="U21" s="81">
        <f t="shared" si="8"/>
        <v>-9.278542689421106E-3</v>
      </c>
      <c r="V21" s="81">
        <f t="shared" si="9"/>
        <v>0.78881056224935442</v>
      </c>
      <c r="X21" s="4">
        <f t="shared" si="10"/>
        <v>43160</v>
      </c>
      <c r="Y21">
        <f t="shared" si="11"/>
        <v>3</v>
      </c>
      <c r="Z21" s="64">
        <f>HLOOKUP(Z$18,Data!$AC$4:$AI$16,ROW()-17,FALSE)*VLOOKUP($Y21,$C$21:$D$32,2,FALSE)*S21</f>
        <v>-108379.16814853188</v>
      </c>
      <c r="AA21" s="64">
        <f>HLOOKUP(AA$18,Data!$AC$4:$AI$16,ROW()-17,FALSE)*VLOOKUP($Y21,$C$21:$D$32,2,FALSE)*T21</f>
        <v>-16782.043055493788</v>
      </c>
      <c r="AB21" s="64">
        <f>HLOOKUP(AB$18,Data!$AC$4:$AI$16,ROW()-17,FALSE)*VLOOKUP($Y21,$C$21:$D$32,2,FALSE)*U21</f>
        <v>-1584.004972309903</v>
      </c>
      <c r="AC21" s="64">
        <f>HLOOKUP(AC$18,Data!$AC$4:$AI$16,ROW()-17,FALSE)*VLOOKUP($Y21,$C$21:$D$32,2,FALSE)*V21</f>
        <v>140629.93584837715</v>
      </c>
    </row>
    <row r="22" spans="1:29" x14ac:dyDescent="0.25">
      <c r="A22" s="4">
        <f>DATE(YEAR(A21),MONTH(A21)+1,1)</f>
        <v>43132</v>
      </c>
      <c r="C22">
        <f t="shared" ref="C22:C32" si="12">MONTH(A22)</f>
        <v>2</v>
      </c>
      <c r="D22">
        <f>A23-A22</f>
        <v>28</v>
      </c>
      <c r="Q22" s="4">
        <f t="shared" si="4"/>
        <v>43191</v>
      </c>
      <c r="R22">
        <f t="shared" si="5"/>
        <v>4</v>
      </c>
      <c r="S22" s="81">
        <f t="shared" si="6"/>
        <v>0.26652821840496116</v>
      </c>
      <c r="T22" s="81">
        <f t="shared" si="7"/>
        <v>0.25795180630951559</v>
      </c>
      <c r="U22" s="81">
        <f t="shared" si="8"/>
        <v>0.23532414071844659</v>
      </c>
      <c r="V22" s="81">
        <f t="shared" si="9"/>
        <v>1.1225726093550776</v>
      </c>
      <c r="X22" s="4">
        <f t="shared" si="10"/>
        <v>43191</v>
      </c>
      <c r="Y22">
        <f t="shared" si="11"/>
        <v>4</v>
      </c>
      <c r="Z22" s="64">
        <f>HLOOKUP(Z$18,Data!$AC$4:$AI$16,ROW()-17,FALSE)*VLOOKUP($Y22,$C$21:$D$32,2,FALSE)*S22</f>
        <v>80510.17893358662</v>
      </c>
      <c r="AA22" s="64">
        <f>HLOOKUP(AA$18,Data!$AC$4:$AI$16,ROW()-17,FALSE)*VLOOKUP($Y22,$C$21:$D$32,2,FALSE)*T22</f>
        <v>38414.18299561306</v>
      </c>
      <c r="AB22" s="64">
        <f>HLOOKUP(AB$18,Data!$AC$4:$AI$16,ROW()-17,FALSE)*VLOOKUP($Y22,$C$21:$D$32,2,FALSE)*U22</f>
        <v>38807.304045879027</v>
      </c>
      <c r="AC22" s="64">
        <f>HLOOKUP(AC$18,Data!$AC$4:$AI$16,ROW()-17,FALSE)*VLOOKUP($Y22,$C$21:$D$32,2,FALSE)*V22</f>
        <v>192936.55436985719</v>
      </c>
    </row>
    <row r="23" spans="1:29" x14ac:dyDescent="0.25">
      <c r="A23" s="4">
        <f t="shared" ref="A23:A33" si="13">DATE(YEAR(A22),MONTH(A22)+1,1)</f>
        <v>43160</v>
      </c>
      <c r="C23">
        <f t="shared" si="12"/>
        <v>3</v>
      </c>
      <c r="D23">
        <f t="shared" ref="D23:D32" si="14">A24-A23</f>
        <v>31</v>
      </c>
      <c r="Q23" s="4">
        <f t="shared" si="4"/>
        <v>43221</v>
      </c>
      <c r="R23">
        <f t="shared" si="5"/>
        <v>5</v>
      </c>
      <c r="S23" s="81">
        <f t="shared" si="6"/>
        <v>0.85883555663732447</v>
      </c>
      <c r="T23" s="81">
        <f t="shared" si="7"/>
        <v>1.2584933141265171</v>
      </c>
      <c r="U23" s="81">
        <f t="shared" si="8"/>
        <v>0.82986914684060709</v>
      </c>
      <c r="V23" s="81">
        <f t="shared" si="9"/>
        <v>1.3519206527856735</v>
      </c>
      <c r="X23" s="4">
        <f t="shared" si="10"/>
        <v>43221</v>
      </c>
      <c r="Y23">
        <f t="shared" si="11"/>
        <v>5</v>
      </c>
      <c r="Z23" s="64">
        <f>HLOOKUP(Z$18,Data!$AC$4:$AI$16,ROW()-17,FALSE)*VLOOKUP($Y23,$C$21:$D$32,2,FALSE)*S23</f>
        <v>267570.21767035843</v>
      </c>
      <c r="AA23" s="64">
        <f>HLOOKUP(AA$18,Data!$AC$4:$AI$16,ROW()-17,FALSE)*VLOOKUP($Y23,$C$21:$D$32,2,FALSE)*T23</f>
        <v>193505.93198009327</v>
      </c>
      <c r="AB23" s="64">
        <f>HLOOKUP(AB$18,Data!$AC$4:$AI$16,ROW()-17,FALSE)*VLOOKUP($Y23,$C$21:$D$32,2,FALSE)*U23</f>
        <v>141106.80038304263</v>
      </c>
      <c r="AC23" s="64">
        <f>HLOOKUP(AC$18,Data!$AC$4:$AI$16,ROW()-17,FALSE)*VLOOKUP($Y23,$C$21:$D$32,2,FALSE)*V23</f>
        <v>239052.01750817394</v>
      </c>
    </row>
    <row r="24" spans="1:29" x14ac:dyDescent="0.25">
      <c r="A24" s="4">
        <f t="shared" si="13"/>
        <v>43191</v>
      </c>
      <c r="C24">
        <f t="shared" si="12"/>
        <v>4</v>
      </c>
      <c r="D24">
        <f t="shared" si="14"/>
        <v>30</v>
      </c>
      <c r="Q24" s="4">
        <f t="shared" si="4"/>
        <v>43252</v>
      </c>
      <c r="R24">
        <f t="shared" si="5"/>
        <v>6</v>
      </c>
      <c r="S24" s="81">
        <f t="shared" si="6"/>
        <v>0</v>
      </c>
      <c r="T24" s="81">
        <f t="shared" si="7"/>
        <v>8.744106104485258E-2</v>
      </c>
      <c r="U24" s="81">
        <f t="shared" si="8"/>
        <v>0</v>
      </c>
      <c r="V24" s="81">
        <f t="shared" si="9"/>
        <v>0</v>
      </c>
      <c r="X24" s="4">
        <f t="shared" si="10"/>
        <v>43252</v>
      </c>
      <c r="Y24">
        <f t="shared" si="11"/>
        <v>6</v>
      </c>
      <c r="Z24" s="64">
        <f>HLOOKUP(Z$18,Data!$AC$4:$AI$16,ROW()-17,FALSE)*VLOOKUP($Y24,$C$21:$D$32,2,FALSE)*S24</f>
        <v>0</v>
      </c>
      <c r="AA24" s="64">
        <f>HLOOKUP(AA$18,Data!$AC$4:$AI$16,ROW()-17,FALSE)*VLOOKUP($Y24,$C$21:$D$32,2,FALSE)*T24</f>
        <v>12961.388478678498</v>
      </c>
      <c r="AB24" s="64">
        <f>HLOOKUP(AB$18,Data!$AC$4:$AI$16,ROW()-17,FALSE)*VLOOKUP($Y24,$C$21:$D$32,2,FALSE)*U24</f>
        <v>0</v>
      </c>
      <c r="AC24" s="64">
        <f>HLOOKUP(AC$18,Data!$AC$4:$AI$16,ROW()-17,FALSE)*VLOOKUP($Y24,$C$21:$D$32,2,FALSE)*V24</f>
        <v>0</v>
      </c>
    </row>
    <row r="25" spans="1:29" x14ac:dyDescent="0.25">
      <c r="A25" s="4">
        <f t="shared" si="13"/>
        <v>43221</v>
      </c>
      <c r="C25">
        <f t="shared" si="12"/>
        <v>5</v>
      </c>
      <c r="D25">
        <f t="shared" si="14"/>
        <v>31</v>
      </c>
      <c r="Q25" s="4">
        <f t="shared" si="4"/>
        <v>43282</v>
      </c>
      <c r="R25">
        <f t="shared" si="5"/>
        <v>7</v>
      </c>
      <c r="S25" s="81">
        <f t="shared" si="6"/>
        <v>0</v>
      </c>
      <c r="T25" s="81">
        <f t="shared" si="7"/>
        <v>0</v>
      </c>
      <c r="U25" s="81">
        <f t="shared" si="8"/>
        <v>0</v>
      </c>
      <c r="V25" s="81">
        <f t="shared" si="9"/>
        <v>0</v>
      </c>
      <c r="X25" s="4">
        <f t="shared" si="10"/>
        <v>43282</v>
      </c>
      <c r="Y25">
        <f t="shared" si="11"/>
        <v>7</v>
      </c>
      <c r="Z25" s="64">
        <f>HLOOKUP(Z$18,Data!$AC$4:$AI$16,ROW()-17,FALSE)*VLOOKUP($Y25,$C$21:$D$32,2,FALSE)*S25</f>
        <v>0</v>
      </c>
      <c r="AA25" s="64">
        <f>HLOOKUP(AA$18,Data!$AC$4:$AI$16,ROW()-17,FALSE)*VLOOKUP($Y25,$C$21:$D$32,2,FALSE)*T25</f>
        <v>0</v>
      </c>
      <c r="AB25" s="64">
        <f>HLOOKUP(AB$18,Data!$AC$4:$AI$16,ROW()-17,FALSE)*VLOOKUP($Y25,$C$21:$D$32,2,FALSE)*U25</f>
        <v>0</v>
      </c>
      <c r="AC25" s="64">
        <f>HLOOKUP(AC$18,Data!$AC$4:$AI$16,ROW()-17,FALSE)*VLOOKUP($Y25,$C$21:$D$32,2,FALSE)*V25</f>
        <v>0</v>
      </c>
    </row>
    <row r="26" spans="1:29" x14ac:dyDescent="0.25">
      <c r="A26" s="4">
        <f t="shared" si="13"/>
        <v>43252</v>
      </c>
      <c r="C26">
        <f t="shared" si="12"/>
        <v>6</v>
      </c>
      <c r="D26">
        <f t="shared" si="14"/>
        <v>30</v>
      </c>
      <c r="Q26" s="4">
        <f t="shared" si="4"/>
        <v>43313</v>
      </c>
      <c r="R26">
        <f t="shared" si="5"/>
        <v>8</v>
      </c>
      <c r="S26" s="81">
        <f t="shared" si="6"/>
        <v>0</v>
      </c>
      <c r="T26" s="81">
        <f t="shared" si="7"/>
        <v>0</v>
      </c>
      <c r="U26" s="81">
        <f t="shared" si="8"/>
        <v>0</v>
      </c>
      <c r="V26" s="81">
        <f t="shared" si="9"/>
        <v>0</v>
      </c>
      <c r="X26" s="4">
        <f t="shared" si="10"/>
        <v>43313</v>
      </c>
      <c r="Y26">
        <f t="shared" si="11"/>
        <v>8</v>
      </c>
      <c r="Z26" s="64">
        <f>HLOOKUP(Z$18,Data!$AC$4:$AI$16,ROW()-17,FALSE)*VLOOKUP($Y26,$C$21:$D$32,2,FALSE)*S26</f>
        <v>0</v>
      </c>
      <c r="AA26" s="64">
        <f>HLOOKUP(AA$18,Data!$AC$4:$AI$16,ROW()-17,FALSE)*VLOOKUP($Y26,$C$21:$D$32,2,FALSE)*T26</f>
        <v>0</v>
      </c>
      <c r="AB26" s="64">
        <f>HLOOKUP(AB$18,Data!$AC$4:$AI$16,ROW()-17,FALSE)*VLOOKUP($Y26,$C$21:$D$32,2,FALSE)*U26</f>
        <v>0</v>
      </c>
      <c r="AC26" s="64">
        <f>HLOOKUP(AC$18,Data!$AC$4:$AI$16,ROW()-17,FALSE)*VLOOKUP($Y26,$C$21:$D$32,2,FALSE)*V26</f>
        <v>0</v>
      </c>
    </row>
    <row r="27" spans="1:29" x14ac:dyDescent="0.25">
      <c r="A27" s="4">
        <f t="shared" si="13"/>
        <v>43282</v>
      </c>
      <c r="C27">
        <f t="shared" si="12"/>
        <v>7</v>
      </c>
      <c r="D27">
        <f t="shared" si="14"/>
        <v>31</v>
      </c>
      <c r="Q27" s="4">
        <f t="shared" si="4"/>
        <v>43344</v>
      </c>
      <c r="R27">
        <f t="shared" si="5"/>
        <v>9</v>
      </c>
      <c r="S27" s="81">
        <f t="shared" si="6"/>
        <v>0</v>
      </c>
      <c r="T27" s="81">
        <f t="shared" si="7"/>
        <v>0.48414559300439552</v>
      </c>
      <c r="U27" s="81">
        <f t="shared" si="8"/>
        <v>0</v>
      </c>
      <c r="V27" s="81">
        <f t="shared" si="9"/>
        <v>9.5051450913389707E-2</v>
      </c>
      <c r="X27" s="4">
        <f t="shared" si="10"/>
        <v>43344</v>
      </c>
      <c r="Y27">
        <f t="shared" si="11"/>
        <v>9</v>
      </c>
      <c r="Z27" s="64">
        <f>HLOOKUP(Z$18,Data!$AC$4:$AI$16,ROW()-17,FALSE)*VLOOKUP($Y27,$C$21:$D$32,2,FALSE)*S27</f>
        <v>0</v>
      </c>
      <c r="AA27" s="64">
        <f>HLOOKUP(AA$18,Data!$AC$4:$AI$16,ROW()-17,FALSE)*VLOOKUP($Y27,$C$21:$D$32,2,FALSE)*T27</f>
        <v>71750.376883251418</v>
      </c>
      <c r="AB27" s="64">
        <f>HLOOKUP(AB$18,Data!$AC$4:$AI$16,ROW()-17,FALSE)*VLOOKUP($Y27,$C$21:$D$32,2,FALSE)*U27</f>
        <v>0</v>
      </c>
      <c r="AC27" s="64">
        <f>HLOOKUP(AC$18,Data!$AC$4:$AI$16,ROW()-17,FALSE)*VLOOKUP($Y27,$C$21:$D$32,2,FALSE)*V27</f>
        <v>16125.478647456564</v>
      </c>
    </row>
    <row r="28" spans="1:29" x14ac:dyDescent="0.25">
      <c r="A28" s="4">
        <f t="shared" si="13"/>
        <v>43313</v>
      </c>
      <c r="C28">
        <f t="shared" si="12"/>
        <v>8</v>
      </c>
      <c r="D28">
        <f t="shared" si="14"/>
        <v>31</v>
      </c>
      <c r="Q28" s="4">
        <f t="shared" si="4"/>
        <v>43374</v>
      </c>
      <c r="R28">
        <f t="shared" si="5"/>
        <v>10</v>
      </c>
      <c r="S28" s="81">
        <f t="shared" si="6"/>
        <v>0.46526089963287981</v>
      </c>
      <c r="T28" s="81">
        <f t="shared" si="7"/>
        <v>0.60504621955086901</v>
      </c>
      <c r="U28" s="81">
        <f t="shared" si="8"/>
        <v>0.31082919361207945</v>
      </c>
      <c r="V28" s="81">
        <f t="shared" si="9"/>
        <v>0.34971624457520117</v>
      </c>
      <c r="X28" s="4">
        <f t="shared" si="10"/>
        <v>43374</v>
      </c>
      <c r="Y28">
        <f t="shared" si="11"/>
        <v>10</v>
      </c>
      <c r="Z28" s="64">
        <f>HLOOKUP(Z$18,Data!$AC$4:$AI$16,ROW()-17,FALSE)*VLOOKUP($Y28,$C$21:$D$32,2,FALSE)*S28</f>
        <v>145009.72563217819</v>
      </c>
      <c r="AA28" s="64">
        <f>HLOOKUP(AA$18,Data!$AC$4:$AI$16,ROW()-17,FALSE)*VLOOKUP($Y28,$C$21:$D$32,2,FALSE)*T28</f>
        <v>93200.714613396311</v>
      </c>
      <c r="AB28" s="64">
        <f>HLOOKUP(AB$18,Data!$AC$4:$AI$16,ROW()-17,FALSE)*VLOOKUP($Y28,$C$21:$D$32,2,FALSE)*U28</f>
        <v>53449.255645952348</v>
      </c>
      <c r="AC28" s="64">
        <f>HLOOKUP(AC$18,Data!$AC$4:$AI$16,ROW()-17,FALSE)*VLOOKUP($Y28,$C$21:$D$32,2,FALSE)*V28</f>
        <v>61870.748841510867</v>
      </c>
    </row>
    <row r="29" spans="1:29" x14ac:dyDescent="0.25">
      <c r="A29" s="4">
        <f t="shared" si="13"/>
        <v>43344</v>
      </c>
      <c r="C29">
        <f t="shared" si="12"/>
        <v>9</v>
      </c>
      <c r="D29">
        <f t="shared" si="14"/>
        <v>30</v>
      </c>
      <c r="Q29" s="4">
        <f t="shared" si="4"/>
        <v>43405</v>
      </c>
      <c r="R29">
        <f t="shared" si="5"/>
        <v>11</v>
      </c>
      <c r="S29" s="81">
        <f t="shared" si="6"/>
        <v>1.8262673360015731</v>
      </c>
      <c r="T29" s="81">
        <f t="shared" si="7"/>
        <v>1.6829516118309251</v>
      </c>
      <c r="U29" s="81">
        <f t="shared" si="8"/>
        <v>0.15033067208890846</v>
      </c>
      <c r="V29" s="81">
        <f t="shared" si="9"/>
        <v>0.12794837017240551</v>
      </c>
      <c r="X29" s="4">
        <f t="shared" si="10"/>
        <v>43405</v>
      </c>
      <c r="Y29">
        <f t="shared" si="11"/>
        <v>11</v>
      </c>
      <c r="Z29" s="64">
        <f>HLOOKUP(Z$18,Data!$AC$4:$AI$16,ROW()-17,FALSE)*VLOOKUP($Y29,$C$21:$D$32,2,FALSE)*S29</f>
        <v>553906.88300927717</v>
      </c>
      <c r="AA29" s="64">
        <f>HLOOKUP(AA$18,Data!$AC$4:$AI$16,ROW()-17,FALSE)*VLOOKUP($Y29,$C$21:$D$32,2,FALSE)*T29</f>
        <v>252190.29903286413</v>
      </c>
      <c r="AB29" s="64">
        <f>HLOOKUP(AB$18,Data!$AC$4:$AI$16,ROW()-17,FALSE)*VLOOKUP($Y29,$C$21:$D$32,2,FALSE)*U29</f>
        <v>25260.062831099291</v>
      </c>
      <c r="AC29" s="64">
        <f>HLOOKUP(AC$18,Data!$AC$4:$AI$16,ROW()-17,FALSE)*VLOOKUP($Y29,$C$21:$D$32,2,FALSE)*V29</f>
        <v>22132.509072422705</v>
      </c>
    </row>
    <row r="30" spans="1:29" x14ac:dyDescent="0.25">
      <c r="A30" s="4">
        <f t="shared" si="13"/>
        <v>43374</v>
      </c>
      <c r="C30">
        <f t="shared" si="12"/>
        <v>10</v>
      </c>
      <c r="D30">
        <f t="shared" si="14"/>
        <v>31</v>
      </c>
      <c r="Q30" s="4">
        <f t="shared" si="4"/>
        <v>43435</v>
      </c>
      <c r="R30">
        <f t="shared" si="5"/>
        <v>12</v>
      </c>
      <c r="S30" s="81">
        <f t="shared" si="6"/>
        <v>1.4077667272269545</v>
      </c>
      <c r="T30" s="81">
        <f t="shared" si="7"/>
        <v>1.5767979850300202</v>
      </c>
      <c r="U30" s="81">
        <f t="shared" si="8"/>
        <v>3.4115122627145595</v>
      </c>
      <c r="V30" s="81">
        <f t="shared" si="9"/>
        <v>3.4939598345399356</v>
      </c>
      <c r="X30" s="4">
        <f t="shared" si="10"/>
        <v>43435</v>
      </c>
      <c r="Y30">
        <f t="shared" si="11"/>
        <v>12</v>
      </c>
      <c r="Z30" s="64">
        <f>HLOOKUP(Z$18,Data!$AC$4:$AI$16,ROW()-17,FALSE)*VLOOKUP($Y30,$C$21:$D$32,2,FALSE)*S30</f>
        <v>442386.47073088877</v>
      </c>
      <c r="AA30" s="64">
        <f>HLOOKUP(AA$18,Data!$AC$4:$AI$16,ROW()-17,FALSE)*VLOOKUP($Y30,$C$21:$D$32,2,FALSE)*T30</f>
        <v>245039.13726762024</v>
      </c>
      <c r="AB30" s="64">
        <f>HLOOKUP(AB$18,Data!$AC$4:$AI$16,ROW()-17,FALSE)*VLOOKUP($Y30,$C$21:$D$32,2,FALSE)*U30</f>
        <v>594565.18017041881</v>
      </c>
      <c r="AC30" s="64">
        <f>HLOOKUP(AC$18,Data!$AC$4:$AI$16,ROW()-17,FALSE)*VLOOKUP($Y30,$C$21:$D$32,2,FALSE)*V30</f>
        <v>628105.66549540975</v>
      </c>
    </row>
    <row r="31" spans="1:29" x14ac:dyDescent="0.25">
      <c r="A31" s="4">
        <f t="shared" si="13"/>
        <v>43405</v>
      </c>
      <c r="C31">
        <f t="shared" si="12"/>
        <v>11</v>
      </c>
      <c r="D31">
        <f t="shared" si="14"/>
        <v>30</v>
      </c>
    </row>
    <row r="32" spans="1:29" x14ac:dyDescent="0.25">
      <c r="A32" s="4">
        <f t="shared" si="13"/>
        <v>43435</v>
      </c>
      <c r="C32">
        <f t="shared" si="12"/>
        <v>12</v>
      </c>
      <c r="D32">
        <f t="shared" si="14"/>
        <v>31</v>
      </c>
    </row>
    <row r="33" spans="1:1" x14ac:dyDescent="0.25">
      <c r="A33" s="4">
        <f t="shared" si="13"/>
        <v>43466</v>
      </c>
    </row>
  </sheetData>
  <mergeCells count="20">
    <mergeCell ref="S2:V2"/>
    <mergeCell ref="Z2:AC2"/>
    <mergeCell ref="S17:V17"/>
    <mergeCell ref="Z17:AC17"/>
    <mergeCell ref="O2:O3"/>
    <mergeCell ref="A1:C1"/>
    <mergeCell ref="E1:G1"/>
    <mergeCell ref="I1:K1"/>
    <mergeCell ref="M1:O1"/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M2:M3"/>
    <mergeCell ref="N2:N3"/>
  </mergeCells>
  <printOptions horizontalCentered="1"/>
  <pageMargins left="0.7" right="0.7" top="1" bottom="1" header="0.55000000000000004" footer="0.3"/>
  <pageSetup scale="48" firstPageNumber="6" orientation="landscape" useFirstPageNumber="1" r:id="rId1"/>
  <headerFooter scaleWithDoc="0" alignWithMargins="0">
    <oddHeader>&amp;RDocket No. UG-19____
Exhibit ___(BLR-3)
Page &amp;P of &amp;N</oddHead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2A143B775EEB47B26371B22E6028EB" ma:contentTypeVersion="48" ma:contentTypeDescription="" ma:contentTypeScope="" ma:versionID="57225535d4ae0bfbfa2efb1b5fb9ed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190210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0B7878-9C2A-452E-A436-06CC109581DB}"/>
</file>

<file path=customXml/itemProps2.xml><?xml version="1.0" encoding="utf-8"?>
<ds:datastoreItem xmlns:ds="http://schemas.openxmlformats.org/officeDocument/2006/customXml" ds:itemID="{9B762C5F-1DCF-4670-BCF2-86B89A00C068}"/>
</file>

<file path=customXml/itemProps3.xml><?xml version="1.0" encoding="utf-8"?>
<ds:datastoreItem xmlns:ds="http://schemas.openxmlformats.org/officeDocument/2006/customXml" ds:itemID="{8A76AE27-2D3E-4908-ADD9-2C3C2339AE97}"/>
</file>

<file path=customXml/itemProps4.xml><?xml version="1.0" encoding="utf-8"?>
<ds:datastoreItem xmlns:ds="http://schemas.openxmlformats.org/officeDocument/2006/customXml" ds:itemID="{16F06C6A-FA94-4110-A281-E1469BAC2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 Page Exhibit BLR-3</vt:lpstr>
      <vt:lpstr>Summary - 60</vt:lpstr>
      <vt:lpstr>Data</vt:lpstr>
      <vt:lpstr>Normals</vt:lpstr>
      <vt:lpstr>503 - 60</vt:lpstr>
      <vt:lpstr>504 - 60</vt:lpstr>
      <vt:lpstr>Data!Print_Area</vt:lpstr>
      <vt:lpstr>'Summary - 60'!Print_Area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Peters, Maryalice</cp:lastModifiedBy>
  <cp:lastPrinted>2019-03-27T20:23:08Z</cp:lastPrinted>
  <dcterms:created xsi:type="dcterms:W3CDTF">2016-12-19T16:13:13Z</dcterms:created>
  <dcterms:modified xsi:type="dcterms:W3CDTF">2019-03-27T20:23:11Z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0x0101006E56B4D1795A2E4DB2F0B01679ED314A004C2A143B775EEB47B26371B22E6028EB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