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300" windowHeight="8730" tabRatio="841" activeTab="8"/>
  </bookViews>
  <sheets>
    <sheet name="Cover-Ele" sheetId="1" r:id="rId1"/>
    <sheet name="Cover-Gas" sheetId="2" r:id="rId2"/>
    <sheet name="Summary" sheetId="9" r:id="rId3"/>
    <sheet name="PLN-E " sheetId="3" r:id="rId4"/>
    <sheet name="G-WA-ADJ" sheetId="4" r:id="rId5"/>
    <sheet name="PLE-4" sheetId="6" r:id="rId6"/>
    <sheet name="PLE-1" sheetId="5" r:id="rId7"/>
    <sheet name="Comparison" sheetId="7" r:id="rId8"/>
    <sheet name="Non-Reg" sheetId="8" r:id="rId9"/>
    <sheet name="Sheet1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Area" localSheetId="7">Comparison!$A$1:$N$57</definedName>
    <definedName name="_xlnm.Print_Area" localSheetId="0">'Cover-Ele'!$A$1:$E$79</definedName>
    <definedName name="_xlnm.Print_Area" localSheetId="1">'Cover-Gas'!$A$1:$F$81</definedName>
    <definedName name="_xlnm.Print_Area" localSheetId="4">'G-WA-ADJ'!$C$1:$T$74</definedName>
    <definedName name="_xlnm.Print_Area" localSheetId="8">'Non-Reg'!$A$1:$F$29</definedName>
    <definedName name="_xlnm.Print_Area" localSheetId="6">'PLE-1'!$A$1:$T$33</definedName>
    <definedName name="_xlnm.Print_Area" localSheetId="5">'PLE-4'!$A$1:$L$38</definedName>
    <definedName name="_xlnm.Print_Area" localSheetId="3">'PLN-E '!$C$1:$T$129</definedName>
    <definedName name="_xlnm.Print_Area" localSheetId="2">Summary!$A$1:$J$67</definedName>
    <definedName name="_xlnm.Print_Titles" localSheetId="4">'G-WA-ADJ'!$C:$E,'G-WA-ADJ'!$1:$7</definedName>
    <definedName name="_xlnm.Print_Titles" localSheetId="6">'PLE-1'!$1:$3</definedName>
    <definedName name="_xlnm.Print_Titles" localSheetId="3">'PLN-E '!$C:$E,'PLN-E '!$1:$6</definedName>
    <definedName name="_xlnm.Print_Titles" localSheetId="2">Summary!$A:$C</definedName>
    <definedName name="Recover">[1]Macro1!$A$69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D11" i="8" l="1"/>
  <c r="E9" i="9" l="1"/>
  <c r="F9" i="9"/>
  <c r="F11" i="9" s="1"/>
  <c r="F21" i="9" s="1"/>
  <c r="H9" i="9"/>
  <c r="I9" i="9"/>
  <c r="J9" i="9" s="1"/>
  <c r="E10" i="9"/>
  <c r="F10" i="9"/>
  <c r="H10" i="9"/>
  <c r="I10" i="9"/>
  <c r="E11" i="9"/>
  <c r="H11" i="9"/>
  <c r="E13" i="9"/>
  <c r="F13" i="9"/>
  <c r="H13" i="9"/>
  <c r="I13" i="9"/>
  <c r="J13" i="9"/>
  <c r="E15" i="9"/>
  <c r="F15" i="9"/>
  <c r="H15" i="9"/>
  <c r="I15" i="9"/>
  <c r="J15" i="9" s="1"/>
  <c r="E16" i="9"/>
  <c r="F16" i="9"/>
  <c r="H16" i="9"/>
  <c r="I16" i="9"/>
  <c r="E17" i="9"/>
  <c r="F17" i="9"/>
  <c r="H17" i="9"/>
  <c r="I17" i="9"/>
  <c r="J17" i="9"/>
  <c r="J18" i="9"/>
  <c r="E19" i="9"/>
  <c r="F19" i="9"/>
  <c r="H19" i="9"/>
  <c r="I19" i="9"/>
  <c r="E21" i="9"/>
  <c r="H21" i="9"/>
  <c r="A25" i="9"/>
  <c r="F27" i="9"/>
  <c r="E28" i="9"/>
  <c r="E31" i="9"/>
  <c r="F31" i="9"/>
  <c r="H31" i="9"/>
  <c r="I31" i="9"/>
  <c r="E32" i="9"/>
  <c r="E33" i="9" s="1"/>
  <c r="F32" i="9"/>
  <c r="H32" i="9"/>
  <c r="H33" i="9" s="1"/>
  <c r="I32" i="9"/>
  <c r="J32" i="9"/>
  <c r="F33" i="9"/>
  <c r="I33" i="9"/>
  <c r="J33" i="9" s="1"/>
  <c r="E35" i="9"/>
  <c r="F35" i="9"/>
  <c r="H35" i="9"/>
  <c r="I35" i="9"/>
  <c r="J35" i="9" s="1"/>
  <c r="E37" i="9"/>
  <c r="F37" i="9"/>
  <c r="H37" i="9"/>
  <c r="I37" i="9"/>
  <c r="E38" i="9"/>
  <c r="F38" i="9"/>
  <c r="H38" i="9"/>
  <c r="I38" i="9"/>
  <c r="J38" i="9"/>
  <c r="E39" i="9"/>
  <c r="F39" i="9"/>
  <c r="H39" i="9"/>
  <c r="I39" i="9"/>
  <c r="J39" i="9" s="1"/>
  <c r="J40" i="9"/>
  <c r="E41" i="9"/>
  <c r="F41" i="9"/>
  <c r="H41" i="9"/>
  <c r="I41" i="9"/>
  <c r="F43" i="9"/>
  <c r="A49" i="9"/>
  <c r="F51" i="9"/>
  <c r="E52" i="9"/>
  <c r="E55" i="9"/>
  <c r="F55" i="9"/>
  <c r="F67" i="9" s="1"/>
  <c r="H55" i="9"/>
  <c r="I55" i="9"/>
  <c r="J55" i="9" s="1"/>
  <c r="J56" i="9"/>
  <c r="E57" i="9"/>
  <c r="F57" i="9"/>
  <c r="H57" i="9"/>
  <c r="I57" i="9"/>
  <c r="J57" i="9" s="1"/>
  <c r="E59" i="9"/>
  <c r="F59" i="9"/>
  <c r="H59" i="9"/>
  <c r="I59" i="9"/>
  <c r="J59" i="9"/>
  <c r="E61" i="9"/>
  <c r="F61" i="9"/>
  <c r="H61" i="9"/>
  <c r="I61" i="9"/>
  <c r="J61" i="9" s="1"/>
  <c r="E62" i="9"/>
  <c r="F62" i="9"/>
  <c r="H62" i="9"/>
  <c r="I62" i="9"/>
  <c r="J62" i="9" s="1"/>
  <c r="E63" i="9"/>
  <c r="F63" i="9"/>
  <c r="H63" i="9"/>
  <c r="I63" i="9"/>
  <c r="J64" i="9"/>
  <c r="E65" i="9"/>
  <c r="F65" i="9"/>
  <c r="H65" i="9"/>
  <c r="I65" i="9"/>
  <c r="J65" i="9" s="1"/>
  <c r="J66" i="9"/>
  <c r="E67" i="9"/>
  <c r="H67" i="9"/>
  <c r="A71" i="9"/>
  <c r="F73" i="9"/>
  <c r="E74" i="9"/>
  <c r="E77" i="9"/>
  <c r="F77" i="9"/>
  <c r="H77" i="9"/>
  <c r="I77" i="9"/>
  <c r="J77" i="9" s="1"/>
  <c r="J78" i="9"/>
  <c r="E79" i="9"/>
  <c r="F79" i="9"/>
  <c r="H79" i="9"/>
  <c r="I79" i="9"/>
  <c r="J79" i="9" s="1"/>
  <c r="E81" i="9"/>
  <c r="F81" i="9"/>
  <c r="H81" i="9"/>
  <c r="I81" i="9"/>
  <c r="J81" i="9" s="1"/>
  <c r="E83" i="9"/>
  <c r="E89" i="9" s="1"/>
  <c r="F83" i="9"/>
  <c r="H83" i="9"/>
  <c r="H89" i="9" s="1"/>
  <c r="I83" i="9"/>
  <c r="E84" i="9"/>
  <c r="F84" i="9"/>
  <c r="H84" i="9"/>
  <c r="I84" i="9"/>
  <c r="J84" i="9"/>
  <c r="E85" i="9"/>
  <c r="F85" i="9"/>
  <c r="H85" i="9"/>
  <c r="I85" i="9"/>
  <c r="J85" i="9" s="1"/>
  <c r="J86" i="9"/>
  <c r="E87" i="9"/>
  <c r="F87" i="9"/>
  <c r="H87" i="9"/>
  <c r="I87" i="9"/>
  <c r="J88" i="9"/>
  <c r="F89" i="9"/>
  <c r="I89" i="9"/>
  <c r="A93" i="9"/>
  <c r="F95" i="9"/>
  <c r="E99" i="9"/>
  <c r="F99" i="9"/>
  <c r="H99" i="9"/>
  <c r="I99" i="9"/>
  <c r="J99" i="9" s="1"/>
  <c r="E101" i="9"/>
  <c r="E111" i="9" s="1"/>
  <c r="F101" i="9"/>
  <c r="H101" i="9"/>
  <c r="H111" i="9" s="1"/>
  <c r="I101" i="9"/>
  <c r="J101" i="9"/>
  <c r="E103" i="9"/>
  <c r="F103" i="9"/>
  <c r="H103" i="9"/>
  <c r="I103" i="9"/>
  <c r="J103" i="9" s="1"/>
  <c r="E105" i="9"/>
  <c r="F105" i="9"/>
  <c r="H105" i="9"/>
  <c r="I105" i="9"/>
  <c r="J105" i="9"/>
  <c r="E106" i="9"/>
  <c r="F106" i="9"/>
  <c r="H106" i="9"/>
  <c r="I106" i="9"/>
  <c r="J106" i="9" s="1"/>
  <c r="E107" i="9"/>
  <c r="F107" i="9"/>
  <c r="H107" i="9"/>
  <c r="I107" i="9"/>
  <c r="J108" i="9"/>
  <c r="E109" i="9"/>
  <c r="F109" i="9"/>
  <c r="H109" i="9"/>
  <c r="I109" i="9"/>
  <c r="J109" i="9" s="1"/>
  <c r="J110" i="9"/>
  <c r="F111" i="9"/>
  <c r="I111" i="9"/>
  <c r="J111" i="9" s="1"/>
  <c r="H114" i="9"/>
  <c r="I114" i="9"/>
  <c r="F113" i="9" l="1"/>
  <c r="J89" i="9"/>
  <c r="H43" i="9"/>
  <c r="E43" i="9"/>
  <c r="E113" i="9" s="1"/>
  <c r="J107" i="9"/>
  <c r="J87" i="9"/>
  <c r="J83" i="9"/>
  <c r="I67" i="9"/>
  <c r="J67" i="9" s="1"/>
  <c r="J63" i="9"/>
  <c r="I43" i="9"/>
  <c r="J41" i="9"/>
  <c r="J37" i="9"/>
  <c r="J31" i="9"/>
  <c r="J19" i="9"/>
  <c r="J16" i="9"/>
  <c r="I11" i="9"/>
  <c r="J10" i="9"/>
  <c r="J43" i="9"/>
  <c r="H113" i="9"/>
  <c r="D19" i="8"/>
  <c r="C19" i="8"/>
  <c r="G17" i="8"/>
  <c r="G18" i="8" s="1"/>
  <c r="G37" i="6"/>
  <c r="H26" i="6"/>
  <c r="H37" i="6" s="1"/>
  <c r="A22" i="6"/>
  <c r="A21" i="6"/>
  <c r="A18" i="6"/>
  <c r="A17" i="6"/>
  <c r="A16" i="6"/>
  <c r="A15" i="6"/>
  <c r="A14" i="6"/>
  <c r="A13" i="6"/>
  <c r="A11" i="6"/>
  <c r="A10" i="6"/>
  <c r="M8" i="6"/>
  <c r="M7" i="6"/>
  <c r="M6" i="6"/>
  <c r="M5" i="6"/>
  <c r="M4" i="6"/>
  <c r="B35" i="5"/>
  <c r="D23" i="5"/>
  <c r="D39" i="5" s="1"/>
  <c r="C23" i="5"/>
  <c r="C39" i="5" s="1"/>
  <c r="B23" i="5"/>
  <c r="B39" i="5" s="1"/>
  <c r="Z21" i="5"/>
  <c r="Y21" i="5"/>
  <c r="X21" i="5"/>
  <c r="N21" i="5"/>
  <c r="G21" i="5"/>
  <c r="F21" i="5"/>
  <c r="E21" i="5"/>
  <c r="Z20" i="5"/>
  <c r="Y20" i="5"/>
  <c r="X20" i="5"/>
  <c r="N20" i="5"/>
  <c r="G20" i="5"/>
  <c r="F20" i="5"/>
  <c r="E20" i="5"/>
  <c r="Z19" i="5"/>
  <c r="Y19" i="5"/>
  <c r="X19" i="5"/>
  <c r="N19" i="5"/>
  <c r="G19" i="5"/>
  <c r="F19" i="5"/>
  <c r="E19" i="5"/>
  <c r="Z18" i="5"/>
  <c r="G18" i="5" s="1"/>
  <c r="Y18" i="5"/>
  <c r="X18" i="5"/>
  <c r="F18" i="5"/>
  <c r="E18" i="5"/>
  <c r="Z17" i="5"/>
  <c r="Y17" i="5"/>
  <c r="X17" i="5"/>
  <c r="N17" i="5"/>
  <c r="G17" i="5"/>
  <c r="F17" i="5"/>
  <c r="E17" i="5"/>
  <c r="Z16" i="5"/>
  <c r="Y16" i="5"/>
  <c r="X16" i="5"/>
  <c r="N16" i="5"/>
  <c r="G16" i="5"/>
  <c r="F16" i="5"/>
  <c r="E16" i="5"/>
  <c r="Z15" i="5"/>
  <c r="Y15" i="5"/>
  <c r="X15" i="5"/>
  <c r="N15" i="5"/>
  <c r="G15" i="5"/>
  <c r="F15" i="5"/>
  <c r="E15" i="5"/>
  <c r="Z14" i="5"/>
  <c r="Y14" i="5"/>
  <c r="X14" i="5"/>
  <c r="N14" i="5"/>
  <c r="G14" i="5"/>
  <c r="F14" i="5"/>
  <c r="E14" i="5"/>
  <c r="Z13" i="5"/>
  <c r="Y13" i="5"/>
  <c r="X13" i="5"/>
  <c r="N13" i="5"/>
  <c r="G13" i="5"/>
  <c r="F13" i="5"/>
  <c r="E13" i="5"/>
  <c r="Z12" i="5"/>
  <c r="G12" i="5" s="1"/>
  <c r="Y12" i="5"/>
  <c r="X12" i="5"/>
  <c r="F12" i="5"/>
  <c r="E12" i="5"/>
  <c r="Z11" i="5"/>
  <c r="Y11" i="5"/>
  <c r="X11" i="5"/>
  <c r="N11" i="5"/>
  <c r="G11" i="5"/>
  <c r="F11" i="5"/>
  <c r="E11" i="5"/>
  <c r="Z10" i="5"/>
  <c r="Y10" i="5"/>
  <c r="X10" i="5"/>
  <c r="N10" i="5"/>
  <c r="G10" i="5"/>
  <c r="F10" i="5"/>
  <c r="E10" i="5"/>
  <c r="Z9" i="5"/>
  <c r="Y9" i="5"/>
  <c r="X9" i="5"/>
  <c r="N9" i="5"/>
  <c r="G9" i="5"/>
  <c r="F9" i="5"/>
  <c r="E9" i="5"/>
  <c r="E8" i="5"/>
  <c r="A3" i="5"/>
  <c r="W3" i="5" s="1"/>
  <c r="A2" i="5"/>
  <c r="W2" i="5" s="1"/>
  <c r="A1" i="5"/>
  <c r="T76" i="4"/>
  <c r="S76" i="4"/>
  <c r="F76" i="4"/>
  <c r="E76" i="4"/>
  <c r="R70" i="4"/>
  <c r="E70" i="4"/>
  <c r="F69" i="4"/>
  <c r="R69" i="4" s="1"/>
  <c r="E69" i="4"/>
  <c r="R68" i="4"/>
  <c r="E68" i="4"/>
  <c r="R67" i="4"/>
  <c r="E67" i="4"/>
  <c r="R66" i="4"/>
  <c r="E66" i="4"/>
  <c r="G66" i="4" s="1"/>
  <c r="R65" i="4"/>
  <c r="E65" i="4"/>
  <c r="R64" i="4"/>
  <c r="G64" i="4"/>
  <c r="E64" i="4"/>
  <c r="E63" i="4"/>
  <c r="F62" i="4"/>
  <c r="F71" i="4" s="1"/>
  <c r="E62" i="4"/>
  <c r="E71" i="4" s="1"/>
  <c r="O59" i="4"/>
  <c r="F59" i="4"/>
  <c r="R58" i="4"/>
  <c r="E58" i="4"/>
  <c r="R57" i="4"/>
  <c r="E57" i="4"/>
  <c r="R56" i="4"/>
  <c r="E56" i="4"/>
  <c r="R55" i="4"/>
  <c r="R59" i="4" s="1"/>
  <c r="G55" i="4"/>
  <c r="E55" i="4"/>
  <c r="O52" i="4"/>
  <c r="F52" i="4"/>
  <c r="R51" i="4"/>
  <c r="E51" i="4"/>
  <c r="R50" i="4"/>
  <c r="E50" i="4"/>
  <c r="G50" i="4" s="1"/>
  <c r="R49" i="4"/>
  <c r="R52" i="4" s="1"/>
  <c r="E49" i="4"/>
  <c r="E52" i="4" s="1"/>
  <c r="O46" i="4"/>
  <c r="F46" i="4"/>
  <c r="R45" i="4"/>
  <c r="E45" i="4"/>
  <c r="R44" i="4"/>
  <c r="E44" i="4"/>
  <c r="R43" i="4"/>
  <c r="E43" i="4"/>
  <c r="R42" i="4"/>
  <c r="R46" i="4" s="1"/>
  <c r="E42" i="4"/>
  <c r="E46" i="4" s="1"/>
  <c r="O39" i="4"/>
  <c r="F39" i="4"/>
  <c r="R38" i="4"/>
  <c r="E38" i="4"/>
  <c r="R37" i="4"/>
  <c r="E37" i="4"/>
  <c r="G37" i="4" s="1"/>
  <c r="R36" i="4"/>
  <c r="E36" i="4"/>
  <c r="R35" i="4"/>
  <c r="E35" i="4"/>
  <c r="G35" i="4" s="1"/>
  <c r="R34" i="4"/>
  <c r="E34" i="4"/>
  <c r="R33" i="4"/>
  <c r="E33" i="4"/>
  <c r="R32" i="4"/>
  <c r="E32" i="4"/>
  <c r="R31" i="4"/>
  <c r="E31" i="4"/>
  <c r="G31" i="4" s="1"/>
  <c r="R30" i="4"/>
  <c r="E30" i="4"/>
  <c r="R29" i="4"/>
  <c r="E29" i="4"/>
  <c r="G29" i="4" s="1"/>
  <c r="R28" i="4"/>
  <c r="E28" i="4"/>
  <c r="D28" i="4"/>
  <c r="D52" i="4" s="1"/>
  <c r="D74" i="4" s="1"/>
  <c r="R27" i="4"/>
  <c r="E27" i="4"/>
  <c r="R26" i="4"/>
  <c r="E26" i="4"/>
  <c r="R25" i="4"/>
  <c r="E25" i="4"/>
  <c r="R24" i="4"/>
  <c r="E24" i="4"/>
  <c r="R23" i="4"/>
  <c r="E23" i="4"/>
  <c r="R22" i="4"/>
  <c r="E22" i="4"/>
  <c r="R21" i="4"/>
  <c r="E21" i="4"/>
  <c r="R20" i="4"/>
  <c r="R39" i="4" s="1"/>
  <c r="E20" i="4"/>
  <c r="O17" i="4"/>
  <c r="F17" i="4"/>
  <c r="R16" i="4"/>
  <c r="E16" i="4"/>
  <c r="R15" i="4"/>
  <c r="R17" i="4" s="1"/>
  <c r="E15" i="4"/>
  <c r="G15" i="4" s="1"/>
  <c r="F11" i="4"/>
  <c r="F12" i="4" s="1"/>
  <c r="F73" i="4" s="1"/>
  <c r="E11" i="4"/>
  <c r="E10" i="4"/>
  <c r="E9" i="4"/>
  <c r="O6" i="4"/>
  <c r="M6" i="4"/>
  <c r="L6" i="4"/>
  <c r="K6" i="4"/>
  <c r="J6" i="4"/>
  <c r="I6" i="4"/>
  <c r="H6" i="4"/>
  <c r="N5" i="4"/>
  <c r="L5" i="4"/>
  <c r="J5" i="4"/>
  <c r="H5" i="4"/>
  <c r="R4" i="4"/>
  <c r="P4" i="4"/>
  <c r="L4" i="4"/>
  <c r="J4" i="4"/>
  <c r="H4" i="4"/>
  <c r="T130" i="3"/>
  <c r="S130" i="3"/>
  <c r="F130" i="3"/>
  <c r="E130" i="3"/>
  <c r="R124" i="3"/>
  <c r="E124" i="3"/>
  <c r="R123" i="3"/>
  <c r="G123" i="3"/>
  <c r="E123" i="3"/>
  <c r="F122" i="3"/>
  <c r="G122" i="3" s="1"/>
  <c r="E122" i="3"/>
  <c r="R121" i="3"/>
  <c r="E121" i="3"/>
  <c r="R120" i="3"/>
  <c r="E120" i="3"/>
  <c r="G120" i="3" s="1"/>
  <c r="R119" i="3"/>
  <c r="E119" i="3"/>
  <c r="R118" i="3"/>
  <c r="E118" i="3"/>
  <c r="G118" i="3" s="1"/>
  <c r="R117" i="3"/>
  <c r="E117" i="3"/>
  <c r="R116" i="3"/>
  <c r="E116" i="3"/>
  <c r="G116" i="3" s="1"/>
  <c r="R115" i="3"/>
  <c r="E115" i="3"/>
  <c r="R114" i="3"/>
  <c r="G114" i="3"/>
  <c r="E114" i="3"/>
  <c r="F113" i="3"/>
  <c r="F125" i="3" s="1"/>
  <c r="E113" i="3"/>
  <c r="O110" i="3"/>
  <c r="F110" i="3"/>
  <c r="R109" i="3"/>
  <c r="E109" i="3"/>
  <c r="R108" i="3"/>
  <c r="E108" i="3"/>
  <c r="G108" i="3" s="1"/>
  <c r="R107" i="3"/>
  <c r="E107" i="3"/>
  <c r="R106" i="3"/>
  <c r="R110" i="3" s="1"/>
  <c r="E106" i="3"/>
  <c r="E110" i="3" s="1"/>
  <c r="O103" i="3"/>
  <c r="F103" i="3"/>
  <c r="R102" i="3"/>
  <c r="E102" i="3"/>
  <c r="R101" i="3"/>
  <c r="E101" i="3"/>
  <c r="R100" i="3"/>
  <c r="E100" i="3"/>
  <c r="G100" i="3" s="1"/>
  <c r="R99" i="3"/>
  <c r="R103" i="3" s="1"/>
  <c r="E99" i="3"/>
  <c r="O96" i="3"/>
  <c r="F96" i="3"/>
  <c r="R95" i="3"/>
  <c r="E95" i="3"/>
  <c r="R94" i="3"/>
  <c r="E94" i="3"/>
  <c r="R93" i="3"/>
  <c r="E93" i="3"/>
  <c r="R92" i="3"/>
  <c r="R96" i="3" s="1"/>
  <c r="E92" i="3"/>
  <c r="E96" i="3" s="1"/>
  <c r="O89" i="3"/>
  <c r="F89" i="3"/>
  <c r="R88" i="3"/>
  <c r="E88" i="3"/>
  <c r="R87" i="3"/>
  <c r="E87" i="3"/>
  <c r="R86" i="3"/>
  <c r="E86" i="3"/>
  <c r="R85" i="3"/>
  <c r="E85" i="3"/>
  <c r="R84" i="3"/>
  <c r="E84" i="3"/>
  <c r="R83" i="3"/>
  <c r="E83" i="3"/>
  <c r="R82" i="3"/>
  <c r="E82" i="3"/>
  <c r="R81" i="3"/>
  <c r="E81" i="3"/>
  <c r="R80" i="3"/>
  <c r="E80" i="3"/>
  <c r="R79" i="3"/>
  <c r="E79" i="3"/>
  <c r="R78" i="3"/>
  <c r="E78" i="3"/>
  <c r="R77" i="3"/>
  <c r="E77" i="3"/>
  <c r="R76" i="3"/>
  <c r="E76" i="3"/>
  <c r="R75" i="3"/>
  <c r="E75" i="3"/>
  <c r="G75" i="3" s="1"/>
  <c r="R74" i="3"/>
  <c r="E74" i="3"/>
  <c r="R73" i="3"/>
  <c r="E73" i="3"/>
  <c r="R72" i="3"/>
  <c r="E72" i="3"/>
  <c r="R71" i="3"/>
  <c r="E71" i="3"/>
  <c r="R70" i="3"/>
  <c r="R89" i="3" s="1"/>
  <c r="E70" i="3"/>
  <c r="O67" i="3"/>
  <c r="F67" i="3"/>
  <c r="R66" i="3"/>
  <c r="E66" i="3"/>
  <c r="R65" i="3"/>
  <c r="E65" i="3"/>
  <c r="G65" i="3" s="1"/>
  <c r="R64" i="3"/>
  <c r="E64" i="3"/>
  <c r="G64" i="3" s="1"/>
  <c r="R63" i="3"/>
  <c r="G63" i="3"/>
  <c r="E63" i="3"/>
  <c r="R62" i="3"/>
  <c r="E62" i="3"/>
  <c r="R61" i="3"/>
  <c r="E61" i="3"/>
  <c r="G61" i="3" s="1"/>
  <c r="R60" i="3"/>
  <c r="E60" i="3"/>
  <c r="R59" i="3"/>
  <c r="E59" i="3"/>
  <c r="G59" i="3" s="1"/>
  <c r="R58" i="3"/>
  <c r="E58" i="3"/>
  <c r="R57" i="3"/>
  <c r="E57" i="3"/>
  <c r="G57" i="3" s="1"/>
  <c r="R56" i="3"/>
  <c r="E56" i="3"/>
  <c r="R55" i="3"/>
  <c r="G55" i="3"/>
  <c r="E55" i="3"/>
  <c r="R54" i="3"/>
  <c r="R67" i="3" s="1"/>
  <c r="E54" i="3"/>
  <c r="Q51" i="3"/>
  <c r="F48" i="3"/>
  <c r="F49" i="3" s="1"/>
  <c r="E48" i="3"/>
  <c r="R47" i="3"/>
  <c r="E47" i="3"/>
  <c r="E49" i="3" s="1"/>
  <c r="O44" i="3"/>
  <c r="F44" i="3"/>
  <c r="R43" i="3"/>
  <c r="E43" i="3"/>
  <c r="R42" i="3"/>
  <c r="G42" i="3"/>
  <c r="E42" i="3"/>
  <c r="R41" i="3"/>
  <c r="E41" i="3"/>
  <c r="R40" i="3"/>
  <c r="E40" i="3"/>
  <c r="G40" i="3" s="1"/>
  <c r="R39" i="3"/>
  <c r="E39" i="3"/>
  <c r="R38" i="3"/>
  <c r="E38" i="3"/>
  <c r="G38" i="3" s="1"/>
  <c r="R37" i="3"/>
  <c r="E37" i="3"/>
  <c r="R36" i="3"/>
  <c r="E36" i="3"/>
  <c r="R35" i="3"/>
  <c r="R44" i="3" s="1"/>
  <c r="E35" i="3"/>
  <c r="O32" i="3"/>
  <c r="F32" i="3"/>
  <c r="R31" i="3"/>
  <c r="E31" i="3"/>
  <c r="R30" i="3"/>
  <c r="E30" i="3"/>
  <c r="R29" i="3"/>
  <c r="E29" i="3"/>
  <c r="R28" i="3"/>
  <c r="E28" i="3"/>
  <c r="D28" i="3"/>
  <c r="D52" i="3" s="1"/>
  <c r="D74" i="3" s="1"/>
  <c r="R27" i="3"/>
  <c r="E27" i="3"/>
  <c r="R26" i="3"/>
  <c r="E26" i="3"/>
  <c r="R25" i="3"/>
  <c r="E25" i="3"/>
  <c r="R24" i="3"/>
  <c r="E24" i="3"/>
  <c r="R23" i="3"/>
  <c r="E23" i="3"/>
  <c r="R22" i="3"/>
  <c r="R32" i="3" s="1"/>
  <c r="E22" i="3"/>
  <c r="O19" i="3"/>
  <c r="F19" i="3"/>
  <c r="F51" i="3" s="1"/>
  <c r="R18" i="3"/>
  <c r="E18" i="3"/>
  <c r="R17" i="3"/>
  <c r="E17" i="3"/>
  <c r="R16" i="3"/>
  <c r="E16" i="3"/>
  <c r="R15" i="3"/>
  <c r="E15" i="3"/>
  <c r="G15" i="3" s="1"/>
  <c r="R14" i="3"/>
  <c r="E14" i="3"/>
  <c r="R13" i="3"/>
  <c r="E13" i="3"/>
  <c r="G13" i="3" s="1"/>
  <c r="R12" i="3"/>
  <c r="E12" i="3"/>
  <c r="R11" i="3"/>
  <c r="E11" i="3"/>
  <c r="R10" i="3"/>
  <c r="E10" i="3"/>
  <c r="R9" i="3"/>
  <c r="E9" i="3"/>
  <c r="L6" i="3"/>
  <c r="J6" i="3"/>
  <c r="H6" i="3"/>
  <c r="L5" i="3"/>
  <c r="J5" i="3"/>
  <c r="H5" i="3"/>
  <c r="C3" i="3"/>
  <c r="C3" i="4" s="1"/>
  <c r="C1" i="3"/>
  <c r="F81" i="2"/>
  <c r="F72" i="2"/>
  <c r="F66" i="2"/>
  <c r="F55" i="2"/>
  <c r="F44" i="2"/>
  <c r="F48" i="2" s="1"/>
  <c r="F37" i="2"/>
  <c r="F31" i="2"/>
  <c r="F23" i="2"/>
  <c r="F25" i="2" s="1"/>
  <c r="F18" i="2"/>
  <c r="A5" i="2"/>
  <c r="A4" i="2"/>
  <c r="A3" i="2"/>
  <c r="A2" i="2"/>
  <c r="E71" i="1"/>
  <c r="E64" i="1"/>
  <c r="E41" i="1"/>
  <c r="E44" i="1" s="1"/>
  <c r="E34" i="1"/>
  <c r="E23" i="1"/>
  <c r="E28" i="1" s="1"/>
  <c r="E17" i="1"/>
  <c r="E19" i="1" s="1"/>
  <c r="F19" i="8" l="1"/>
  <c r="F23" i="8" s="1"/>
  <c r="E19" i="8"/>
  <c r="E23" i="8" s="1"/>
  <c r="J11" i="9"/>
  <c r="I21" i="9"/>
  <c r="E125" i="3"/>
  <c r="I19" i="5"/>
  <c r="S19" i="5" s="1"/>
  <c r="E17" i="4"/>
  <c r="I9" i="5"/>
  <c r="I23" i="5" s="1"/>
  <c r="Y23" i="5"/>
  <c r="I11" i="5"/>
  <c r="S11" i="5" s="1"/>
  <c r="I14" i="5"/>
  <c r="I16" i="5"/>
  <c r="S16" i="5" s="1"/>
  <c r="I21" i="5"/>
  <c r="E72" i="1"/>
  <c r="E75" i="1" s="1"/>
  <c r="E79" i="1" s="1"/>
  <c r="E51" i="1" s="1"/>
  <c r="F73" i="2"/>
  <c r="F75" i="2" s="1"/>
  <c r="R19" i="3"/>
  <c r="E67" i="3"/>
  <c r="G92" i="3"/>
  <c r="H92" i="3" s="1"/>
  <c r="G106" i="3"/>
  <c r="E59" i="4"/>
  <c r="E23" i="5"/>
  <c r="E39" i="5" s="1"/>
  <c r="E41" i="5" s="1"/>
  <c r="G23" i="5"/>
  <c r="X23" i="5"/>
  <c r="Z23" i="5"/>
  <c r="I10" i="5"/>
  <c r="I12" i="5"/>
  <c r="V12" i="5" s="1"/>
  <c r="I13" i="5"/>
  <c r="I15" i="5"/>
  <c r="R15" i="5" s="1"/>
  <c r="I17" i="5"/>
  <c r="I20" i="5"/>
  <c r="R20" i="5" s="1"/>
  <c r="I18" i="5"/>
  <c r="F49" i="2"/>
  <c r="E45" i="1"/>
  <c r="E47" i="1" s="1"/>
  <c r="F51" i="2"/>
  <c r="H64" i="3"/>
  <c r="I64" i="3" s="1"/>
  <c r="G10" i="3"/>
  <c r="G12" i="3"/>
  <c r="H13" i="3"/>
  <c r="I13" i="3" s="1"/>
  <c r="G14" i="3"/>
  <c r="H15" i="3"/>
  <c r="I15" i="3" s="1"/>
  <c r="G16" i="3"/>
  <c r="G18" i="3"/>
  <c r="E19" i="3"/>
  <c r="G22" i="3"/>
  <c r="G24" i="3"/>
  <c r="G26" i="3"/>
  <c r="G29" i="3"/>
  <c r="G31" i="3"/>
  <c r="E32" i="3"/>
  <c r="G35" i="3"/>
  <c r="G37" i="3"/>
  <c r="H38" i="3"/>
  <c r="G39" i="3"/>
  <c r="H40" i="3"/>
  <c r="G41" i="3"/>
  <c r="H42" i="3"/>
  <c r="G43" i="3"/>
  <c r="E44" i="3"/>
  <c r="G47" i="3"/>
  <c r="G48" i="3"/>
  <c r="G54" i="3"/>
  <c r="H55" i="3"/>
  <c r="G56" i="3"/>
  <c r="H57" i="3"/>
  <c r="G58" i="3"/>
  <c r="H59" i="3"/>
  <c r="G60" i="3"/>
  <c r="H61" i="3"/>
  <c r="G62" i="3"/>
  <c r="H63" i="3"/>
  <c r="I63" i="3" s="1"/>
  <c r="H65" i="3"/>
  <c r="I65" i="3" s="1"/>
  <c r="F127" i="3"/>
  <c r="H114" i="3"/>
  <c r="H118" i="3"/>
  <c r="H122" i="3"/>
  <c r="I122" i="3" s="1"/>
  <c r="H123" i="3"/>
  <c r="G9" i="3"/>
  <c r="G11" i="3"/>
  <c r="G17" i="3"/>
  <c r="G23" i="3"/>
  <c r="G25" i="3"/>
  <c r="G27" i="3"/>
  <c r="G28" i="3"/>
  <c r="G30" i="3"/>
  <c r="G36" i="3"/>
  <c r="H100" i="3"/>
  <c r="H108" i="3"/>
  <c r="H116" i="3"/>
  <c r="H120" i="3"/>
  <c r="I120" i="3" s="1"/>
  <c r="G71" i="3"/>
  <c r="G73" i="3"/>
  <c r="G74" i="3"/>
  <c r="H75" i="3"/>
  <c r="I75" i="3" s="1"/>
  <c r="G76" i="3"/>
  <c r="G78" i="3"/>
  <c r="G80" i="3"/>
  <c r="G82" i="3"/>
  <c r="G84" i="3"/>
  <c r="G86" i="3"/>
  <c r="G88" i="3"/>
  <c r="E89" i="3"/>
  <c r="G94" i="3"/>
  <c r="I100" i="3"/>
  <c r="G102" i="3"/>
  <c r="E103" i="3"/>
  <c r="I108" i="3"/>
  <c r="G113" i="3"/>
  <c r="I114" i="3"/>
  <c r="I116" i="3"/>
  <c r="I118" i="3"/>
  <c r="R122" i="3"/>
  <c r="I123" i="3"/>
  <c r="G9" i="4"/>
  <c r="G10" i="4"/>
  <c r="H10" i="4" s="1"/>
  <c r="E12" i="4"/>
  <c r="H15" i="4"/>
  <c r="H31" i="4"/>
  <c r="H37" i="4"/>
  <c r="H50" i="4"/>
  <c r="G66" i="3"/>
  <c r="G70" i="3"/>
  <c r="G72" i="3"/>
  <c r="G77" i="3"/>
  <c r="G79" i="3"/>
  <c r="G81" i="3"/>
  <c r="G83" i="3"/>
  <c r="G85" i="3"/>
  <c r="G87" i="3"/>
  <c r="G93" i="3"/>
  <c r="G95" i="3"/>
  <c r="G99" i="3"/>
  <c r="G101" i="3"/>
  <c r="H106" i="3"/>
  <c r="G107" i="3"/>
  <c r="G109" i="3"/>
  <c r="G115" i="3"/>
  <c r="G117" i="3"/>
  <c r="G119" i="3"/>
  <c r="G121" i="3"/>
  <c r="G124" i="3"/>
  <c r="G11" i="4"/>
  <c r="H11" i="4" s="1"/>
  <c r="H29" i="4"/>
  <c r="H35" i="4"/>
  <c r="G21" i="4"/>
  <c r="H21" i="4" s="1"/>
  <c r="G23" i="4"/>
  <c r="H23" i="4" s="1"/>
  <c r="G25" i="4"/>
  <c r="H25" i="4" s="1"/>
  <c r="G27" i="4"/>
  <c r="H27" i="4" s="1"/>
  <c r="G28" i="4"/>
  <c r="H28" i="4" s="1"/>
  <c r="G30" i="4"/>
  <c r="H30" i="4" s="1"/>
  <c r="G32" i="4"/>
  <c r="H32" i="4" s="1"/>
  <c r="G34" i="4"/>
  <c r="H34" i="4" s="1"/>
  <c r="G36" i="4"/>
  <c r="H36" i="4" s="1"/>
  <c r="G38" i="4"/>
  <c r="H38" i="4" s="1"/>
  <c r="E39" i="4"/>
  <c r="G42" i="4"/>
  <c r="G44" i="4"/>
  <c r="H44" i="4" s="1"/>
  <c r="H66" i="4"/>
  <c r="R10" i="5"/>
  <c r="P10" i="5"/>
  <c r="C11" i="6" s="1"/>
  <c r="V10" i="5"/>
  <c r="S10" i="5"/>
  <c r="Q10" i="5"/>
  <c r="D11" i="6" s="1"/>
  <c r="O10" i="5"/>
  <c r="S12" i="5"/>
  <c r="O12" i="5"/>
  <c r="P12" i="5"/>
  <c r="C12" i="6" s="1"/>
  <c r="R13" i="5"/>
  <c r="P13" i="5"/>
  <c r="C14" i="6" s="1"/>
  <c r="V13" i="5"/>
  <c r="S13" i="5"/>
  <c r="Q13" i="5"/>
  <c r="D14" i="6" s="1"/>
  <c r="O13" i="5"/>
  <c r="P15" i="5"/>
  <c r="C16" i="6" s="1"/>
  <c r="S15" i="5"/>
  <c r="O15" i="5"/>
  <c r="R17" i="5"/>
  <c r="P17" i="5"/>
  <c r="C18" i="6" s="1"/>
  <c r="V17" i="5"/>
  <c r="S17" i="5"/>
  <c r="Q17" i="5"/>
  <c r="D18" i="6" s="1"/>
  <c r="O17" i="5"/>
  <c r="P20" i="5"/>
  <c r="C19" i="6" s="1"/>
  <c r="S20" i="5"/>
  <c r="O20" i="5"/>
  <c r="G16" i="4"/>
  <c r="H16" i="4" s="1"/>
  <c r="G20" i="4"/>
  <c r="G22" i="4"/>
  <c r="H22" i="4" s="1"/>
  <c r="G24" i="4"/>
  <c r="H24" i="4" s="1"/>
  <c r="G26" i="4"/>
  <c r="H26" i="4" s="1"/>
  <c r="G33" i="4"/>
  <c r="H33" i="4" s="1"/>
  <c r="G43" i="4"/>
  <c r="H43" i="4" s="1"/>
  <c r="G45" i="4"/>
  <c r="H45" i="4" s="1"/>
  <c r="G49" i="4"/>
  <c r="H64" i="4"/>
  <c r="V9" i="5"/>
  <c r="Q9" i="5"/>
  <c r="R9" i="5"/>
  <c r="V11" i="5"/>
  <c r="Q11" i="5"/>
  <c r="D13" i="6" s="1"/>
  <c r="R11" i="5"/>
  <c r="V14" i="5"/>
  <c r="S14" i="5"/>
  <c r="Q14" i="5"/>
  <c r="D15" i="6" s="1"/>
  <c r="O14" i="5"/>
  <c r="R14" i="5"/>
  <c r="P14" i="5"/>
  <c r="C15" i="6" s="1"/>
  <c r="V16" i="5"/>
  <c r="Q16" i="5"/>
  <c r="D17" i="6" s="1"/>
  <c r="R16" i="5"/>
  <c r="R18" i="5"/>
  <c r="P18" i="5"/>
  <c r="V18" i="5"/>
  <c r="S18" i="5"/>
  <c r="Q18" i="5"/>
  <c r="O18" i="5"/>
  <c r="V19" i="5"/>
  <c r="Q19" i="5"/>
  <c r="D22" i="6" s="1"/>
  <c r="R19" i="5"/>
  <c r="V21" i="5"/>
  <c r="S21" i="5"/>
  <c r="Q21" i="5"/>
  <c r="D21" i="6" s="1"/>
  <c r="O21" i="5"/>
  <c r="R21" i="5"/>
  <c r="P21" i="5"/>
  <c r="C21" i="6" s="1"/>
  <c r="G57" i="4"/>
  <c r="H57" i="4" s="1"/>
  <c r="G62" i="4"/>
  <c r="G63" i="4"/>
  <c r="H63" i="4" s="1"/>
  <c r="G68" i="4"/>
  <c r="H68" i="4" s="1"/>
  <c r="G69" i="4"/>
  <c r="H69" i="4" s="1"/>
  <c r="G51" i="4"/>
  <c r="H51" i="4" s="1"/>
  <c r="H55" i="4"/>
  <c r="G56" i="4"/>
  <c r="H56" i="4" s="1"/>
  <c r="G58" i="4"/>
  <c r="H58" i="4" s="1"/>
  <c r="G65" i="4"/>
  <c r="H65" i="4" s="1"/>
  <c r="G67" i="4"/>
  <c r="H67" i="4" s="1"/>
  <c r="G70" i="4"/>
  <c r="H70" i="4" s="1"/>
  <c r="Y25" i="5"/>
  <c r="D22" i="8"/>
  <c r="F26" i="8"/>
  <c r="C22" i="8"/>
  <c r="I26" i="6"/>
  <c r="I113" i="9" l="1"/>
  <c r="J21" i="9"/>
  <c r="P19" i="5"/>
  <c r="C22" i="6" s="1"/>
  <c r="O19" i="5"/>
  <c r="T19" i="5" s="1"/>
  <c r="P16" i="5"/>
  <c r="C17" i="6" s="1"/>
  <c r="O16" i="5"/>
  <c r="T16" i="5" s="1"/>
  <c r="P11" i="5"/>
  <c r="C13" i="6" s="1"/>
  <c r="O11" i="5"/>
  <c r="T11" i="5" s="1"/>
  <c r="P9" i="5"/>
  <c r="O9" i="5"/>
  <c r="T9" i="5" s="1"/>
  <c r="S9" i="5"/>
  <c r="Q20" i="5"/>
  <c r="D19" i="6" s="1"/>
  <c r="V20" i="5"/>
  <c r="Q15" i="5"/>
  <c r="D16" i="6" s="1"/>
  <c r="V15" i="5"/>
  <c r="R12" i="5"/>
  <c r="T12" i="5" s="1"/>
  <c r="Q12" i="5"/>
  <c r="D12" i="6" s="1"/>
  <c r="J75" i="3"/>
  <c r="K75" i="3" s="1"/>
  <c r="J64" i="3"/>
  <c r="K64" i="3" s="1"/>
  <c r="E50" i="1"/>
  <c r="E55" i="1" s="1"/>
  <c r="J63" i="3"/>
  <c r="K63" i="3" s="1"/>
  <c r="J15" i="3"/>
  <c r="K15" i="3" s="1"/>
  <c r="J13" i="3"/>
  <c r="K13" i="3" s="1"/>
  <c r="J26" i="6"/>
  <c r="I36" i="6"/>
  <c r="O63" i="4" s="1"/>
  <c r="R63" i="4" s="1"/>
  <c r="S27" i="5"/>
  <c r="S26" i="5" s="1"/>
  <c r="S31" i="5" s="1"/>
  <c r="I70" i="4"/>
  <c r="J70" i="4" s="1"/>
  <c r="K70" i="4" s="1"/>
  <c r="L70" i="4" s="1"/>
  <c r="M70" i="4" s="1"/>
  <c r="P70" i="4" s="1"/>
  <c r="I65" i="4"/>
  <c r="J65" i="4" s="1"/>
  <c r="K65" i="4" s="1"/>
  <c r="L65" i="4" s="1"/>
  <c r="M65" i="4" s="1"/>
  <c r="P65" i="4" s="1"/>
  <c r="I58" i="4"/>
  <c r="J58" i="4" s="1"/>
  <c r="K58" i="4" s="1"/>
  <c r="L58" i="4" s="1"/>
  <c r="M58" i="4" s="1"/>
  <c r="P58" i="4" s="1"/>
  <c r="I51" i="4"/>
  <c r="J51" i="4" s="1"/>
  <c r="K51" i="4" s="1"/>
  <c r="L51" i="4" s="1"/>
  <c r="M51" i="4" s="1"/>
  <c r="P51" i="4" s="1"/>
  <c r="I57" i="4"/>
  <c r="J57" i="4" s="1"/>
  <c r="K57" i="4" s="1"/>
  <c r="L57" i="4" s="1"/>
  <c r="M57" i="4" s="1"/>
  <c r="P57" i="4" s="1"/>
  <c r="T21" i="5"/>
  <c r="T18" i="5"/>
  <c r="T14" i="5"/>
  <c r="P23" i="5"/>
  <c r="P24" i="5" s="1"/>
  <c r="C10" i="6"/>
  <c r="O23" i="5"/>
  <c r="O24" i="5" s="1"/>
  <c r="S23" i="5"/>
  <c r="S24" i="5" s="1"/>
  <c r="G59" i="4"/>
  <c r="G52" i="4"/>
  <c r="H49" i="4"/>
  <c r="I43" i="4"/>
  <c r="J43" i="4" s="1"/>
  <c r="K43" i="4" s="1"/>
  <c r="L43" i="4" s="1"/>
  <c r="M43" i="4" s="1"/>
  <c r="P43" i="4" s="1"/>
  <c r="I33" i="4"/>
  <c r="J33" i="4" s="1"/>
  <c r="K33" i="4" s="1"/>
  <c r="L33" i="4" s="1"/>
  <c r="M33" i="4" s="1"/>
  <c r="P33" i="4" s="1"/>
  <c r="I24" i="4"/>
  <c r="J24" i="4" s="1"/>
  <c r="K24" i="4" s="1"/>
  <c r="L24" i="4" s="1"/>
  <c r="M24" i="4" s="1"/>
  <c r="P24" i="4" s="1"/>
  <c r="G39" i="4"/>
  <c r="H20" i="4"/>
  <c r="G46" i="4"/>
  <c r="H42" i="4"/>
  <c r="I36" i="4"/>
  <c r="J36" i="4" s="1"/>
  <c r="K36" i="4" s="1"/>
  <c r="L36" i="4" s="1"/>
  <c r="M36" i="4" s="1"/>
  <c r="P36" i="4" s="1"/>
  <c r="I32" i="4"/>
  <c r="J32" i="4" s="1"/>
  <c r="K32" i="4" s="1"/>
  <c r="L32" i="4" s="1"/>
  <c r="M32" i="4" s="1"/>
  <c r="P32" i="4" s="1"/>
  <c r="I28" i="4"/>
  <c r="J28" i="4" s="1"/>
  <c r="K28" i="4" s="1"/>
  <c r="L28" i="4" s="1"/>
  <c r="M28" i="4" s="1"/>
  <c r="P28" i="4" s="1"/>
  <c r="I27" i="4"/>
  <c r="J27" i="4" s="1"/>
  <c r="K27" i="4" s="1"/>
  <c r="L27" i="4" s="1"/>
  <c r="M27" i="4" s="1"/>
  <c r="P27" i="4" s="1"/>
  <c r="I23" i="4"/>
  <c r="J23" i="4" s="1"/>
  <c r="K23" i="4" s="1"/>
  <c r="L23" i="4" s="1"/>
  <c r="M23" i="4" s="1"/>
  <c r="P23" i="4" s="1"/>
  <c r="I29" i="4"/>
  <c r="J29" i="4" s="1"/>
  <c r="K29" i="4" s="1"/>
  <c r="L29" i="4" s="1"/>
  <c r="M29" i="4" s="1"/>
  <c r="P29" i="4" s="1"/>
  <c r="I11" i="4"/>
  <c r="J11" i="4" s="1"/>
  <c r="K11" i="4" s="1"/>
  <c r="L11" i="4" s="1"/>
  <c r="M11" i="4" s="1"/>
  <c r="H121" i="3"/>
  <c r="H117" i="3"/>
  <c r="H107" i="3"/>
  <c r="G103" i="3"/>
  <c r="H99" i="3"/>
  <c r="H93" i="3"/>
  <c r="I93" i="3" s="1"/>
  <c r="H85" i="3"/>
  <c r="I85" i="3" s="1"/>
  <c r="H81" i="3"/>
  <c r="I81" i="3" s="1"/>
  <c r="H77" i="3"/>
  <c r="I77" i="3" s="1"/>
  <c r="G89" i="3"/>
  <c r="H70" i="3"/>
  <c r="I50" i="4"/>
  <c r="J50" i="4" s="1"/>
  <c r="K50" i="4" s="1"/>
  <c r="L50" i="4" s="1"/>
  <c r="M50" i="4" s="1"/>
  <c r="P50" i="4" s="1"/>
  <c r="I31" i="4"/>
  <c r="J31" i="4" s="1"/>
  <c r="K31" i="4" s="1"/>
  <c r="L31" i="4" s="1"/>
  <c r="M31" i="4" s="1"/>
  <c r="P31" i="4" s="1"/>
  <c r="G17" i="4"/>
  <c r="I10" i="4"/>
  <c r="J10" i="4" s="1"/>
  <c r="K10" i="4" s="1"/>
  <c r="L10" i="4" s="1"/>
  <c r="M10" i="4" s="1"/>
  <c r="P10" i="4" s="1"/>
  <c r="H9" i="4"/>
  <c r="G12" i="4"/>
  <c r="J120" i="3"/>
  <c r="K120" i="3" s="1"/>
  <c r="J118" i="3"/>
  <c r="K118" i="3" s="1"/>
  <c r="J116" i="3"/>
  <c r="K116" i="3" s="1"/>
  <c r="J114" i="3"/>
  <c r="K114" i="3" s="1"/>
  <c r="G125" i="3"/>
  <c r="H113" i="3"/>
  <c r="I113" i="3" s="1"/>
  <c r="H102" i="3"/>
  <c r="I102" i="3" s="1"/>
  <c r="I92" i="3"/>
  <c r="H86" i="3"/>
  <c r="H82" i="3"/>
  <c r="H78" i="3"/>
  <c r="H71" i="3"/>
  <c r="J65" i="3"/>
  <c r="K65" i="3" s="1"/>
  <c r="H36" i="3"/>
  <c r="I36" i="3" s="1"/>
  <c r="H28" i="3"/>
  <c r="I28" i="3" s="1"/>
  <c r="H25" i="3"/>
  <c r="I25" i="3" s="1"/>
  <c r="H17" i="3"/>
  <c r="I17" i="3" s="1"/>
  <c r="G19" i="3"/>
  <c r="H9" i="3"/>
  <c r="J122" i="3"/>
  <c r="K122" i="3" s="1"/>
  <c r="G110" i="3"/>
  <c r="G96" i="3"/>
  <c r="H60" i="3"/>
  <c r="I60" i="3" s="1"/>
  <c r="H58" i="3"/>
  <c r="H56" i="3"/>
  <c r="I56" i="3"/>
  <c r="G67" i="3"/>
  <c r="H54" i="3"/>
  <c r="I54" i="3" s="1"/>
  <c r="H48" i="3"/>
  <c r="I48" i="3" s="1"/>
  <c r="G49" i="3"/>
  <c r="H47" i="3"/>
  <c r="H41" i="3"/>
  <c r="I41" i="3" s="1"/>
  <c r="H39" i="3"/>
  <c r="H37" i="3"/>
  <c r="I37" i="3" s="1"/>
  <c r="H31" i="3"/>
  <c r="I31" i="3" s="1"/>
  <c r="H24" i="3"/>
  <c r="I24" i="3" s="1"/>
  <c r="E51" i="3"/>
  <c r="E127" i="3" s="1"/>
  <c r="H18" i="3"/>
  <c r="H10" i="3"/>
  <c r="I55" i="3"/>
  <c r="I38" i="3"/>
  <c r="F54" i="2"/>
  <c r="F59" i="2" s="1"/>
  <c r="I61" i="3"/>
  <c r="I40" i="3"/>
  <c r="I67" i="4"/>
  <c r="J67" i="4" s="1"/>
  <c r="K67" i="4" s="1"/>
  <c r="L67" i="4" s="1"/>
  <c r="M67" i="4" s="1"/>
  <c r="P67" i="4" s="1"/>
  <c r="I56" i="4"/>
  <c r="J56" i="4" s="1"/>
  <c r="K56" i="4" s="1"/>
  <c r="L56" i="4" s="1"/>
  <c r="M56" i="4" s="1"/>
  <c r="P56" i="4" s="1"/>
  <c r="H59" i="4"/>
  <c r="I55" i="4"/>
  <c r="I69" i="4"/>
  <c r="J69" i="4" s="1"/>
  <c r="K69" i="4" s="1"/>
  <c r="L69" i="4" s="1"/>
  <c r="M69" i="4" s="1"/>
  <c r="P69" i="4" s="1"/>
  <c r="I68" i="4"/>
  <c r="J68" i="4" s="1"/>
  <c r="K68" i="4" s="1"/>
  <c r="L68" i="4" s="1"/>
  <c r="M68" i="4" s="1"/>
  <c r="P68" i="4" s="1"/>
  <c r="I63" i="4"/>
  <c r="J63" i="4" s="1"/>
  <c r="K63" i="4" s="1"/>
  <c r="L63" i="4" s="1"/>
  <c r="M63" i="4" s="1"/>
  <c r="P63" i="4" s="1"/>
  <c r="G71" i="4"/>
  <c r="H62" i="4"/>
  <c r="R23" i="5"/>
  <c r="D10" i="6"/>
  <c r="Q23" i="5"/>
  <c r="Q24" i="5" s="1"/>
  <c r="V23" i="5"/>
  <c r="I64" i="4"/>
  <c r="J64" i="4" s="1"/>
  <c r="K64" i="4" s="1"/>
  <c r="L64" i="4" s="1"/>
  <c r="M64" i="4" s="1"/>
  <c r="P64" i="4" s="1"/>
  <c r="I45" i="4"/>
  <c r="J45" i="4" s="1"/>
  <c r="K45" i="4" s="1"/>
  <c r="L45" i="4" s="1"/>
  <c r="M45" i="4" s="1"/>
  <c r="P45" i="4" s="1"/>
  <c r="I26" i="4"/>
  <c r="J26" i="4" s="1"/>
  <c r="K26" i="4" s="1"/>
  <c r="L26" i="4" s="1"/>
  <c r="M26" i="4" s="1"/>
  <c r="P26" i="4" s="1"/>
  <c r="I22" i="4"/>
  <c r="J22" i="4" s="1"/>
  <c r="K22" i="4" s="1"/>
  <c r="L22" i="4" s="1"/>
  <c r="M22" i="4" s="1"/>
  <c r="P22" i="4" s="1"/>
  <c r="I16" i="4"/>
  <c r="J16" i="4" s="1"/>
  <c r="K16" i="4" s="1"/>
  <c r="L16" i="4" s="1"/>
  <c r="M16" i="4" s="1"/>
  <c r="P16" i="4" s="1"/>
  <c r="T17" i="5"/>
  <c r="T13" i="5"/>
  <c r="T10" i="5"/>
  <c r="I66" i="4"/>
  <c r="J66" i="4" s="1"/>
  <c r="K66" i="4" s="1"/>
  <c r="L66" i="4" s="1"/>
  <c r="M66" i="4" s="1"/>
  <c r="P66" i="4" s="1"/>
  <c r="I44" i="4"/>
  <c r="J44" i="4" s="1"/>
  <c r="K44" i="4" s="1"/>
  <c r="L44" i="4" s="1"/>
  <c r="M44" i="4" s="1"/>
  <c r="P44" i="4" s="1"/>
  <c r="I38" i="4"/>
  <c r="J38" i="4" s="1"/>
  <c r="K38" i="4" s="1"/>
  <c r="L38" i="4" s="1"/>
  <c r="M38" i="4" s="1"/>
  <c r="P38" i="4" s="1"/>
  <c r="I34" i="4"/>
  <c r="J34" i="4" s="1"/>
  <c r="K34" i="4" s="1"/>
  <c r="L34" i="4" s="1"/>
  <c r="M34" i="4" s="1"/>
  <c r="P34" i="4" s="1"/>
  <c r="I30" i="4"/>
  <c r="J30" i="4" s="1"/>
  <c r="K30" i="4" s="1"/>
  <c r="L30" i="4" s="1"/>
  <c r="M30" i="4" s="1"/>
  <c r="P30" i="4" s="1"/>
  <c r="I25" i="4"/>
  <c r="J25" i="4" s="1"/>
  <c r="K25" i="4" s="1"/>
  <c r="L25" i="4" s="1"/>
  <c r="M25" i="4" s="1"/>
  <c r="P25" i="4" s="1"/>
  <c r="I21" i="4"/>
  <c r="J21" i="4" s="1"/>
  <c r="K21" i="4" s="1"/>
  <c r="L21" i="4" s="1"/>
  <c r="M21" i="4" s="1"/>
  <c r="P21" i="4" s="1"/>
  <c r="I35" i="4"/>
  <c r="J35" i="4" s="1"/>
  <c r="K35" i="4" s="1"/>
  <c r="L35" i="4" s="1"/>
  <c r="M35" i="4" s="1"/>
  <c r="P35" i="4" s="1"/>
  <c r="H124" i="3"/>
  <c r="H119" i="3"/>
  <c r="H115" i="3"/>
  <c r="H109" i="3"/>
  <c r="H110" i="3" s="1"/>
  <c r="H101" i="3"/>
  <c r="H95" i="3"/>
  <c r="H87" i="3"/>
  <c r="H83" i="3"/>
  <c r="H79" i="3"/>
  <c r="H72" i="3"/>
  <c r="H66" i="3"/>
  <c r="I37" i="4"/>
  <c r="J37" i="4" s="1"/>
  <c r="K37" i="4" s="1"/>
  <c r="L37" i="4" s="1"/>
  <c r="M37" i="4" s="1"/>
  <c r="P37" i="4" s="1"/>
  <c r="H17" i="4"/>
  <c r="I15" i="4"/>
  <c r="E73" i="4"/>
  <c r="J123" i="3"/>
  <c r="K123" i="3" s="1"/>
  <c r="J108" i="3"/>
  <c r="K108" i="3" s="1"/>
  <c r="I106" i="3"/>
  <c r="J100" i="3"/>
  <c r="H94" i="3"/>
  <c r="H88" i="3"/>
  <c r="H84" i="3"/>
  <c r="H80" i="3"/>
  <c r="H76" i="3"/>
  <c r="H74" i="3"/>
  <c r="I74" i="3" s="1"/>
  <c r="H73" i="3"/>
  <c r="I73" i="3" s="1"/>
  <c r="H30" i="3"/>
  <c r="H27" i="3"/>
  <c r="H23" i="3"/>
  <c r="H11" i="3"/>
  <c r="H62" i="3"/>
  <c r="H43" i="3"/>
  <c r="H35" i="3"/>
  <c r="I35" i="3" s="1"/>
  <c r="G44" i="3"/>
  <c r="H29" i="3"/>
  <c r="I29" i="3" s="1"/>
  <c r="H26" i="3"/>
  <c r="I26" i="3" s="1"/>
  <c r="H22" i="3"/>
  <c r="I22" i="3" s="1"/>
  <c r="G32" i="3"/>
  <c r="H16" i="3"/>
  <c r="H14" i="3"/>
  <c r="I14" i="3" s="1"/>
  <c r="H12" i="3"/>
  <c r="I59" i="3"/>
  <c r="I42" i="3"/>
  <c r="I57" i="3"/>
  <c r="T15" i="5" l="1"/>
  <c r="T20" i="5"/>
  <c r="T23" i="5" s="1"/>
  <c r="N35" i="4"/>
  <c r="N70" i="4"/>
  <c r="N37" i="4"/>
  <c r="N16" i="4"/>
  <c r="N22" i="4"/>
  <c r="N26" i="4"/>
  <c r="N45" i="4"/>
  <c r="N10" i="4"/>
  <c r="N31" i="4"/>
  <c r="N11" i="4"/>
  <c r="N29" i="4"/>
  <c r="N33" i="4"/>
  <c r="N43" i="4"/>
  <c r="N57" i="4"/>
  <c r="S118" i="3"/>
  <c r="S116" i="3"/>
  <c r="S114" i="3"/>
  <c r="S106" i="3"/>
  <c r="S63" i="3"/>
  <c r="S61" i="3"/>
  <c r="S42" i="3"/>
  <c r="T14" i="3"/>
  <c r="T29" i="3"/>
  <c r="T31" i="3"/>
  <c r="S36" i="3"/>
  <c r="S38" i="3"/>
  <c r="T41" i="3"/>
  <c r="S59" i="3"/>
  <c r="T62" i="3"/>
  <c r="S9" i="3"/>
  <c r="S11" i="3"/>
  <c r="S13" i="3"/>
  <c r="T16" i="3"/>
  <c r="T18" i="3"/>
  <c r="S23" i="3"/>
  <c r="S25" i="3"/>
  <c r="S27" i="3"/>
  <c r="T39" i="3"/>
  <c r="S48" i="3"/>
  <c r="T56" i="3"/>
  <c r="T61" i="3"/>
  <c r="T9" i="3"/>
  <c r="S10" i="3"/>
  <c r="T17" i="3"/>
  <c r="S18" i="3"/>
  <c r="T23" i="3"/>
  <c r="S24" i="3"/>
  <c r="T27" i="3"/>
  <c r="T30" i="3"/>
  <c r="S31" i="3"/>
  <c r="T36" i="3"/>
  <c r="S37" i="3"/>
  <c r="T38" i="3"/>
  <c r="S39" i="3"/>
  <c r="T40" i="3"/>
  <c r="S41" i="3"/>
  <c r="S47" i="3"/>
  <c r="S49" i="3" s="1"/>
  <c r="T48" i="3"/>
  <c r="S54" i="3"/>
  <c r="T55" i="3"/>
  <c r="S56" i="3"/>
  <c r="T57" i="3"/>
  <c r="S58" i="3"/>
  <c r="T59" i="3"/>
  <c r="S60" i="3"/>
  <c r="S66" i="3"/>
  <c r="T71" i="3"/>
  <c r="T73" i="3"/>
  <c r="S75" i="3"/>
  <c r="S93" i="3"/>
  <c r="S95" i="3"/>
  <c r="T100" i="3"/>
  <c r="S107" i="3"/>
  <c r="S115" i="3"/>
  <c r="T120" i="3"/>
  <c r="S124" i="3"/>
  <c r="T47" i="3"/>
  <c r="S64" i="3"/>
  <c r="T65" i="3"/>
  <c r="T76" i="3"/>
  <c r="T78" i="3"/>
  <c r="T80" i="3"/>
  <c r="T82" i="3"/>
  <c r="T84" i="3"/>
  <c r="T86" i="3"/>
  <c r="T88" i="3"/>
  <c r="S101" i="3"/>
  <c r="T118" i="3"/>
  <c r="S121" i="3"/>
  <c r="T123" i="3"/>
  <c r="S65" i="3"/>
  <c r="T70" i="3"/>
  <c r="S71" i="3"/>
  <c r="T77" i="3"/>
  <c r="S78" i="3"/>
  <c r="T81" i="3"/>
  <c r="S82" i="3"/>
  <c r="T85" i="3"/>
  <c r="S86" i="3"/>
  <c r="S92" i="3"/>
  <c r="T95" i="3"/>
  <c r="T101" i="3"/>
  <c r="S102" i="3"/>
  <c r="T109" i="3"/>
  <c r="T113" i="3"/>
  <c r="T115" i="3"/>
  <c r="T117" i="3"/>
  <c r="T119" i="3"/>
  <c r="S120" i="3"/>
  <c r="T124" i="3"/>
  <c r="T92" i="3"/>
  <c r="T106" i="3"/>
  <c r="S15" i="3"/>
  <c r="S28" i="3"/>
  <c r="S30" i="3"/>
  <c r="T35" i="3"/>
  <c r="T37" i="3"/>
  <c r="T42" i="3"/>
  <c r="S55" i="3"/>
  <c r="T58" i="3"/>
  <c r="T63" i="3"/>
  <c r="T10" i="3"/>
  <c r="T12" i="3"/>
  <c r="S17" i="3"/>
  <c r="T22" i="3"/>
  <c r="T24" i="3"/>
  <c r="T26" i="3"/>
  <c r="S40" i="3"/>
  <c r="T43" i="3"/>
  <c r="S57" i="3"/>
  <c r="T60" i="3"/>
  <c r="T11" i="3"/>
  <c r="S12" i="3"/>
  <c r="T13" i="3"/>
  <c r="S14" i="3"/>
  <c r="T15" i="3"/>
  <c r="S16" i="3"/>
  <c r="S22" i="3"/>
  <c r="T25" i="3"/>
  <c r="S26" i="3"/>
  <c r="T28" i="3"/>
  <c r="S29" i="3"/>
  <c r="S35" i="3"/>
  <c r="S43" i="3"/>
  <c r="S62" i="3"/>
  <c r="S70" i="3"/>
  <c r="S72" i="3"/>
  <c r="T74" i="3"/>
  <c r="T94" i="3"/>
  <c r="S99" i="3"/>
  <c r="T108" i="3"/>
  <c r="T116" i="3"/>
  <c r="S119" i="3"/>
  <c r="T54" i="3"/>
  <c r="T64" i="3"/>
  <c r="S77" i="3"/>
  <c r="S79" i="3"/>
  <c r="S81" i="3"/>
  <c r="S83" i="3"/>
  <c r="S85" i="3"/>
  <c r="S87" i="3"/>
  <c r="T102" i="3"/>
  <c r="S109" i="3"/>
  <c r="T114" i="3"/>
  <c r="S117" i="3"/>
  <c r="S122" i="3"/>
  <c r="T66" i="3"/>
  <c r="T72" i="3"/>
  <c r="S73" i="3"/>
  <c r="S74" i="3"/>
  <c r="T75" i="3"/>
  <c r="S76" i="3"/>
  <c r="T79" i="3"/>
  <c r="S80" i="3"/>
  <c r="T83" i="3"/>
  <c r="S84" i="3"/>
  <c r="T87" i="3"/>
  <c r="S88" i="3"/>
  <c r="T93" i="3"/>
  <c r="S94" i="3"/>
  <c r="T99" i="3"/>
  <c r="S100" i="3"/>
  <c r="T107" i="3"/>
  <c r="S108" i="3"/>
  <c r="T121" i="3"/>
  <c r="T122" i="3"/>
  <c r="S123" i="3"/>
  <c r="S113" i="3"/>
  <c r="L65" i="3"/>
  <c r="M65" i="3" s="1"/>
  <c r="P65" i="3" s="1"/>
  <c r="L116" i="3"/>
  <c r="N116" i="3" s="1"/>
  <c r="L120" i="3"/>
  <c r="N120" i="3" s="1"/>
  <c r="L15" i="3"/>
  <c r="N15" i="3" s="1"/>
  <c r="J35" i="3"/>
  <c r="K35" i="3" s="1"/>
  <c r="L114" i="3"/>
  <c r="N114" i="3" s="1"/>
  <c r="L118" i="3"/>
  <c r="N118" i="3" s="1"/>
  <c r="L13" i="3"/>
  <c r="N13" i="3" s="1"/>
  <c r="L63" i="3"/>
  <c r="N63" i="3" s="1"/>
  <c r="L75" i="3"/>
  <c r="N75" i="3" s="1"/>
  <c r="J26" i="3"/>
  <c r="K26" i="3"/>
  <c r="J29" i="3"/>
  <c r="K29" i="3"/>
  <c r="J74" i="3"/>
  <c r="K74" i="3" s="1"/>
  <c r="L108" i="3"/>
  <c r="N108" i="3" s="1"/>
  <c r="L123" i="3"/>
  <c r="N123" i="3" s="1"/>
  <c r="H71" i="4"/>
  <c r="I62" i="4"/>
  <c r="I59" i="4"/>
  <c r="J55" i="4"/>
  <c r="K61" i="3"/>
  <c r="J61" i="3"/>
  <c r="J55" i="3"/>
  <c r="K55" i="3" s="1"/>
  <c r="J24" i="3"/>
  <c r="K24" i="3" s="1"/>
  <c r="J31" i="3"/>
  <c r="K31" i="3" s="1"/>
  <c r="J37" i="3"/>
  <c r="K37" i="3" s="1"/>
  <c r="J41" i="3"/>
  <c r="K41" i="3" s="1"/>
  <c r="H49" i="3"/>
  <c r="J48" i="3"/>
  <c r="K48" i="3" s="1"/>
  <c r="J54" i="3"/>
  <c r="K54" i="3" s="1"/>
  <c r="J56" i="3"/>
  <c r="K56" i="3" s="1"/>
  <c r="J60" i="3"/>
  <c r="K60" i="3" s="1"/>
  <c r="L122" i="3"/>
  <c r="N122" i="3" s="1"/>
  <c r="H19" i="3"/>
  <c r="I9" i="3"/>
  <c r="J17" i="3"/>
  <c r="K17" i="3" s="1"/>
  <c r="J25" i="3"/>
  <c r="K25" i="3" s="1"/>
  <c r="J28" i="3"/>
  <c r="K28" i="3" s="1"/>
  <c r="J36" i="3"/>
  <c r="K36" i="3" s="1"/>
  <c r="J102" i="3"/>
  <c r="K102" i="3" s="1"/>
  <c r="J113" i="3"/>
  <c r="K113" i="3" s="1"/>
  <c r="H12" i="4"/>
  <c r="I9" i="4"/>
  <c r="H89" i="3"/>
  <c r="I70" i="3"/>
  <c r="J77" i="3"/>
  <c r="K77" i="3" s="1"/>
  <c r="J81" i="3"/>
  <c r="K81" i="3" s="1"/>
  <c r="J85" i="3"/>
  <c r="K85" i="3" s="1"/>
  <c r="J93" i="3"/>
  <c r="K93" i="3" s="1"/>
  <c r="H46" i="4"/>
  <c r="I42" i="4"/>
  <c r="H39" i="4"/>
  <c r="I20" i="4"/>
  <c r="N24" i="4"/>
  <c r="H52" i="4"/>
  <c r="I49" i="4"/>
  <c r="J36" i="6"/>
  <c r="K26" i="6"/>
  <c r="J42" i="3"/>
  <c r="K42" i="3" s="1"/>
  <c r="J14" i="3"/>
  <c r="K14" i="3" s="1"/>
  <c r="H44" i="3"/>
  <c r="J73" i="3"/>
  <c r="K73" i="3" s="1"/>
  <c r="T11" i="4"/>
  <c r="S10" i="4"/>
  <c r="T9" i="4"/>
  <c r="T12" i="4" s="1"/>
  <c r="T10" i="4"/>
  <c r="S29" i="4"/>
  <c r="T32" i="4"/>
  <c r="T34" i="4"/>
  <c r="S43" i="4"/>
  <c r="S45" i="4"/>
  <c r="S16" i="4"/>
  <c r="T21" i="4"/>
  <c r="T23" i="4"/>
  <c r="T25" i="4"/>
  <c r="T27" i="4"/>
  <c r="T30" i="4"/>
  <c r="S37" i="4"/>
  <c r="T16" i="4"/>
  <c r="T22" i="4"/>
  <c r="S23" i="4"/>
  <c r="T26" i="4"/>
  <c r="S27" i="4"/>
  <c r="S28" i="4"/>
  <c r="T31" i="4"/>
  <c r="S32" i="4"/>
  <c r="T35" i="4"/>
  <c r="S36" i="4"/>
  <c r="S42" i="4"/>
  <c r="T45" i="4"/>
  <c r="S51" i="4"/>
  <c r="T68" i="4"/>
  <c r="S70" i="4"/>
  <c r="T42" i="4"/>
  <c r="S49" i="4"/>
  <c r="S52" i="4" s="1"/>
  <c r="S50" i="4"/>
  <c r="S56" i="4"/>
  <c r="S58" i="4"/>
  <c r="T66" i="4"/>
  <c r="T51" i="4"/>
  <c r="T56" i="4"/>
  <c r="S57" i="4"/>
  <c r="S64" i="4"/>
  <c r="S66" i="4"/>
  <c r="T70" i="4"/>
  <c r="S62" i="4"/>
  <c r="S9" i="4"/>
  <c r="S12" i="4" s="1"/>
  <c r="S11" i="4"/>
  <c r="T28" i="4"/>
  <c r="S33" i="4"/>
  <c r="S35" i="4"/>
  <c r="T38" i="4"/>
  <c r="T44" i="4"/>
  <c r="S20" i="4"/>
  <c r="S22" i="4"/>
  <c r="S24" i="4"/>
  <c r="S26" i="4"/>
  <c r="S31" i="4"/>
  <c r="T36" i="4"/>
  <c r="S15" i="4"/>
  <c r="S17" i="4" s="1"/>
  <c r="T20" i="4"/>
  <c r="S21" i="4"/>
  <c r="T24" i="4"/>
  <c r="S25" i="4"/>
  <c r="T29" i="4"/>
  <c r="S30" i="4"/>
  <c r="T33" i="4"/>
  <c r="S34" i="4"/>
  <c r="T37" i="4"/>
  <c r="S38" i="4"/>
  <c r="T43" i="4"/>
  <c r="S44" i="4"/>
  <c r="T49" i="4"/>
  <c r="T52" i="4" s="1"/>
  <c r="T64" i="4"/>
  <c r="S67" i="4"/>
  <c r="T69" i="4"/>
  <c r="T15" i="4"/>
  <c r="T17" i="4" s="1"/>
  <c r="T50" i="4"/>
  <c r="T57" i="4"/>
  <c r="S63" i="4"/>
  <c r="S65" i="4"/>
  <c r="S55" i="4"/>
  <c r="T58" i="4"/>
  <c r="T62" i="4"/>
  <c r="T63" i="4"/>
  <c r="T65" i="4"/>
  <c r="T67" i="4"/>
  <c r="S68" i="4"/>
  <c r="S69" i="4"/>
  <c r="T55" i="4"/>
  <c r="K57" i="3"/>
  <c r="J57" i="3"/>
  <c r="K59" i="3"/>
  <c r="J59" i="3"/>
  <c r="I12" i="3"/>
  <c r="I16" i="3"/>
  <c r="J22" i="3"/>
  <c r="K22" i="3" s="1"/>
  <c r="H32" i="3"/>
  <c r="I43" i="3"/>
  <c r="I62" i="3"/>
  <c r="I11" i="3"/>
  <c r="I23" i="3"/>
  <c r="I27" i="3"/>
  <c r="I30" i="3"/>
  <c r="I76" i="3"/>
  <c r="I80" i="3"/>
  <c r="I84" i="3"/>
  <c r="I88" i="3"/>
  <c r="I94" i="3"/>
  <c r="K100" i="3"/>
  <c r="J106" i="3"/>
  <c r="K106" i="3" s="1"/>
  <c r="I17" i="4"/>
  <c r="J15" i="4"/>
  <c r="I66" i="3"/>
  <c r="I72" i="3"/>
  <c r="I79" i="3"/>
  <c r="I83" i="3"/>
  <c r="I87" i="3"/>
  <c r="I95" i="3"/>
  <c r="I101" i="3"/>
  <c r="I109" i="3"/>
  <c r="I115" i="3"/>
  <c r="I119" i="3"/>
  <c r="I124" i="3"/>
  <c r="N21" i="4"/>
  <c r="N25" i="4"/>
  <c r="N30" i="4"/>
  <c r="N34" i="4"/>
  <c r="N38" i="4"/>
  <c r="N44" i="4"/>
  <c r="N66" i="4"/>
  <c r="N64" i="4"/>
  <c r="R26" i="5"/>
  <c r="R31" i="5" s="1"/>
  <c r="R24" i="5"/>
  <c r="N63" i="4"/>
  <c r="N68" i="4"/>
  <c r="N69" i="4"/>
  <c r="N56" i="4"/>
  <c r="N67" i="4"/>
  <c r="J40" i="3"/>
  <c r="J38" i="3"/>
  <c r="I10" i="3"/>
  <c r="I18" i="3"/>
  <c r="I39" i="3"/>
  <c r="I47" i="3"/>
  <c r="H67" i="3"/>
  <c r="I58" i="3"/>
  <c r="I67" i="3" s="1"/>
  <c r="N65" i="3"/>
  <c r="G51" i="3"/>
  <c r="G127" i="3" s="1"/>
  <c r="I71" i="3"/>
  <c r="I78" i="3"/>
  <c r="I82" i="3"/>
  <c r="I86" i="3"/>
  <c r="J92" i="3"/>
  <c r="H125" i="3"/>
  <c r="G73" i="4"/>
  <c r="N50" i="4"/>
  <c r="H96" i="3"/>
  <c r="H103" i="3"/>
  <c r="I99" i="3"/>
  <c r="I107" i="3"/>
  <c r="I110" i="3" s="1"/>
  <c r="I117" i="3"/>
  <c r="I121" i="3"/>
  <c r="N23" i="4"/>
  <c r="N27" i="4"/>
  <c r="N28" i="4"/>
  <c r="N32" i="4"/>
  <c r="N36" i="4"/>
  <c r="N51" i="4"/>
  <c r="N58" i="4"/>
  <c r="N65" i="4"/>
  <c r="Q27" i="5"/>
  <c r="Q26" i="5" s="1"/>
  <c r="O27" i="5"/>
  <c r="O26" i="5" s="1"/>
  <c r="P27" i="5"/>
  <c r="P26" i="5" s="1"/>
  <c r="L64" i="3"/>
  <c r="N64" i="3" s="1"/>
  <c r="M64" i="3" l="1"/>
  <c r="P64" i="3" s="1"/>
  <c r="S59" i="4"/>
  <c r="T103" i="3"/>
  <c r="T49" i="3"/>
  <c r="I96" i="3"/>
  <c r="M120" i="3"/>
  <c r="P120" i="3" s="1"/>
  <c r="M116" i="3"/>
  <c r="P116" i="3" s="1"/>
  <c r="S125" i="3"/>
  <c r="I32" i="3"/>
  <c r="T59" i="4"/>
  <c r="M123" i="3"/>
  <c r="P123" i="3" s="1"/>
  <c r="M108" i="3"/>
  <c r="P108" i="3" s="1"/>
  <c r="M118" i="3"/>
  <c r="P118" i="3" s="1"/>
  <c r="M114" i="3"/>
  <c r="P114" i="3" s="1"/>
  <c r="L14" i="3"/>
  <c r="N14" i="3" s="1"/>
  <c r="L54" i="3"/>
  <c r="M54" i="3" s="1"/>
  <c r="L37" i="3"/>
  <c r="N37" i="3" s="1"/>
  <c r="L24" i="3"/>
  <c r="N24" i="3" s="1"/>
  <c r="L102" i="3"/>
  <c r="N102" i="3" s="1"/>
  <c r="L56" i="3"/>
  <c r="N56" i="3" s="1"/>
  <c r="L31" i="3"/>
  <c r="N31" i="3" s="1"/>
  <c r="L74" i="3"/>
  <c r="N74" i="3" s="1"/>
  <c r="P35" i="5"/>
  <c r="P29" i="5"/>
  <c r="P31" i="5" s="1"/>
  <c r="C20" i="6" s="1"/>
  <c r="C24" i="6" s="1"/>
  <c r="J117" i="3"/>
  <c r="I103" i="3"/>
  <c r="J99" i="3"/>
  <c r="J86" i="3"/>
  <c r="K86" i="3" s="1"/>
  <c r="J78" i="3"/>
  <c r="K78" i="3" s="1"/>
  <c r="I49" i="3"/>
  <c r="J47" i="3"/>
  <c r="J39" i="3"/>
  <c r="J18" i="3"/>
  <c r="J119" i="3"/>
  <c r="K119" i="3" s="1"/>
  <c r="J109" i="3"/>
  <c r="K109" i="3" s="1"/>
  <c r="J95" i="3"/>
  <c r="K95" i="3" s="1"/>
  <c r="J83" i="3"/>
  <c r="K83" i="3" s="1"/>
  <c r="J72" i="3"/>
  <c r="K72" i="3" s="1"/>
  <c r="J17" i="4"/>
  <c r="K15" i="4"/>
  <c r="L106" i="3"/>
  <c r="J94" i="3"/>
  <c r="J84" i="3"/>
  <c r="J76" i="3"/>
  <c r="J27" i="3"/>
  <c r="K27" i="3" s="1"/>
  <c r="J11" i="3"/>
  <c r="K11" i="3" s="1"/>
  <c r="J43" i="3"/>
  <c r="J16" i="3"/>
  <c r="J12" i="3"/>
  <c r="L59" i="3"/>
  <c r="M59" i="3" s="1"/>
  <c r="P59" i="3" s="1"/>
  <c r="L57" i="3"/>
  <c r="M57" i="3" s="1"/>
  <c r="P57" i="3" s="1"/>
  <c r="T39" i="4"/>
  <c r="S46" i="4"/>
  <c r="L26" i="6"/>
  <c r="K36" i="6"/>
  <c r="I52" i="4"/>
  <c r="J49" i="4"/>
  <c r="I39" i="4"/>
  <c r="J20" i="4"/>
  <c r="I46" i="4"/>
  <c r="J42" i="4"/>
  <c r="I89" i="3"/>
  <c r="J70" i="3"/>
  <c r="I19" i="3"/>
  <c r="J9" i="3"/>
  <c r="H51" i="3"/>
  <c r="H127" i="3" s="1"/>
  <c r="M122" i="3"/>
  <c r="P122" i="3" s="1"/>
  <c r="J59" i="4"/>
  <c r="K55" i="4"/>
  <c r="I71" i="4"/>
  <c r="J62" i="4"/>
  <c r="M75" i="3"/>
  <c r="P75" i="3" s="1"/>
  <c r="M63" i="3"/>
  <c r="P63" i="3" s="1"/>
  <c r="M13" i="3"/>
  <c r="P13" i="3" s="1"/>
  <c r="L35" i="3"/>
  <c r="M35" i="3" s="1"/>
  <c r="J44" i="3"/>
  <c r="M15" i="3"/>
  <c r="P15" i="3" s="1"/>
  <c r="S44" i="3"/>
  <c r="T32" i="3"/>
  <c r="T96" i="3"/>
  <c r="T125" i="3"/>
  <c r="S67" i="3"/>
  <c r="Q35" i="5"/>
  <c r="Q29" i="5"/>
  <c r="Q31" i="5" s="1"/>
  <c r="D20" i="6" s="1"/>
  <c r="D24" i="6" s="1"/>
  <c r="O35" i="5"/>
  <c r="O29" i="5"/>
  <c r="O31" i="5" s="1"/>
  <c r="J121" i="3"/>
  <c r="K121" i="3" s="1"/>
  <c r="J107" i="3"/>
  <c r="K107" i="3" s="1"/>
  <c r="K92" i="3"/>
  <c r="J82" i="3"/>
  <c r="K82" i="3" s="1"/>
  <c r="J71" i="3"/>
  <c r="K71" i="3" s="1"/>
  <c r="J58" i="3"/>
  <c r="K58" i="3" s="1"/>
  <c r="J10" i="3"/>
  <c r="K10" i="3" s="1"/>
  <c r="K38" i="3"/>
  <c r="K40" i="3"/>
  <c r="J124" i="3"/>
  <c r="J115" i="3"/>
  <c r="J101" i="3"/>
  <c r="J87" i="3"/>
  <c r="J79" i="3"/>
  <c r="J66" i="3"/>
  <c r="J110" i="3"/>
  <c r="N106" i="3"/>
  <c r="L100" i="3"/>
  <c r="N100" i="3" s="1"/>
  <c r="J88" i="3"/>
  <c r="K88" i="3" s="1"/>
  <c r="J80" i="3"/>
  <c r="K80" i="3" s="1"/>
  <c r="J30" i="3"/>
  <c r="J23" i="3"/>
  <c r="J32" i="3" s="1"/>
  <c r="J62" i="3"/>
  <c r="K62" i="3" s="1"/>
  <c r="L22" i="3"/>
  <c r="M22" i="3" s="1"/>
  <c r="N59" i="3"/>
  <c r="N57" i="3"/>
  <c r="T71" i="4"/>
  <c r="S39" i="4"/>
  <c r="S71" i="4"/>
  <c r="T46" i="4"/>
  <c r="L73" i="3"/>
  <c r="N73" i="3" s="1"/>
  <c r="L42" i="3"/>
  <c r="M42" i="3" s="1"/>
  <c r="P42" i="3" s="1"/>
  <c r="L93" i="3"/>
  <c r="N93" i="3" s="1"/>
  <c r="L85" i="3"/>
  <c r="N85" i="3" s="1"/>
  <c r="L81" i="3"/>
  <c r="N81" i="3" s="1"/>
  <c r="L77" i="3"/>
  <c r="N77" i="3" s="1"/>
  <c r="J9" i="4"/>
  <c r="I12" i="4"/>
  <c r="H73" i="4"/>
  <c r="L113" i="3"/>
  <c r="M113" i="3" s="1"/>
  <c r="I125" i="3"/>
  <c r="L36" i="3"/>
  <c r="N36" i="3" s="1"/>
  <c r="L28" i="3"/>
  <c r="N28" i="3" s="1"/>
  <c r="L25" i="3"/>
  <c r="N25" i="3" s="1"/>
  <c r="L17" i="3"/>
  <c r="N17" i="3" s="1"/>
  <c r="L60" i="3"/>
  <c r="N60" i="3" s="1"/>
  <c r="J67" i="3"/>
  <c r="L48" i="3"/>
  <c r="N48" i="3" s="1"/>
  <c r="L41" i="3"/>
  <c r="N41" i="3" s="1"/>
  <c r="L55" i="3"/>
  <c r="M55" i="3" s="1"/>
  <c r="P55" i="3" s="1"/>
  <c r="L61" i="3"/>
  <c r="N61" i="3" s="1"/>
  <c r="L29" i="3"/>
  <c r="N29" i="3" s="1"/>
  <c r="L26" i="3"/>
  <c r="N26" i="3" s="1"/>
  <c r="I44" i="3"/>
  <c r="T67" i="3"/>
  <c r="S103" i="3"/>
  <c r="S89" i="3"/>
  <c r="S32" i="3"/>
  <c r="T44" i="3"/>
  <c r="T110" i="3"/>
  <c r="S96" i="3"/>
  <c r="T89" i="3"/>
  <c r="T19" i="3"/>
  <c r="T51" i="3" s="1"/>
  <c r="S19" i="3"/>
  <c r="S110" i="3"/>
  <c r="S51" i="3" l="1"/>
  <c r="I73" i="4"/>
  <c r="S73" i="4"/>
  <c r="M25" i="3"/>
  <c r="P25" i="3" s="1"/>
  <c r="M28" i="3"/>
  <c r="P28" i="3" s="1"/>
  <c r="M36" i="3"/>
  <c r="P36" i="3" s="1"/>
  <c r="M73" i="3"/>
  <c r="P73" i="3" s="1"/>
  <c r="M24" i="3"/>
  <c r="P24" i="3" s="1"/>
  <c r="M37" i="3"/>
  <c r="P37" i="3" s="1"/>
  <c r="S127" i="3"/>
  <c r="M17" i="3"/>
  <c r="P17" i="3" s="1"/>
  <c r="T73" i="4"/>
  <c r="M26" i="3"/>
  <c r="P26" i="3" s="1"/>
  <c r="M29" i="3"/>
  <c r="P29" i="3" s="1"/>
  <c r="M41" i="3"/>
  <c r="P41" i="3" s="1"/>
  <c r="M48" i="3"/>
  <c r="M100" i="3"/>
  <c r="P100" i="3" s="1"/>
  <c r="B24" i="6"/>
  <c r="O33" i="5"/>
  <c r="E24" i="6" s="1"/>
  <c r="C41" i="6"/>
  <c r="G31" i="6"/>
  <c r="H31" i="6"/>
  <c r="H36" i="6" s="1"/>
  <c r="L62" i="3"/>
  <c r="M62" i="3" s="1"/>
  <c r="L80" i="3"/>
  <c r="M80" i="3" s="1"/>
  <c r="P80" i="3" s="1"/>
  <c r="L88" i="3"/>
  <c r="M88" i="3" s="1"/>
  <c r="P88" i="3" s="1"/>
  <c r="L40" i="3"/>
  <c r="N40" i="3" s="1"/>
  <c r="L10" i="3"/>
  <c r="M10" i="3"/>
  <c r="P10" i="3" s="1"/>
  <c r="L58" i="3"/>
  <c r="M58" i="3"/>
  <c r="P58" i="3" s="1"/>
  <c r="L71" i="3"/>
  <c r="M71" i="3"/>
  <c r="P71" i="3" s="1"/>
  <c r="L82" i="3"/>
  <c r="M82" i="3"/>
  <c r="P82" i="3" s="1"/>
  <c r="L92" i="3"/>
  <c r="M92" i="3" s="1"/>
  <c r="L107" i="3"/>
  <c r="M107" i="3" s="1"/>
  <c r="P107" i="3" s="1"/>
  <c r="L121" i="3"/>
  <c r="M121" i="3" s="1"/>
  <c r="P121" i="3" s="1"/>
  <c r="J32" i="6"/>
  <c r="J37" i="6" s="1"/>
  <c r="D41" i="6"/>
  <c r="K32" i="6"/>
  <c r="K37" i="6" s="1"/>
  <c r="I32" i="6"/>
  <c r="T127" i="3"/>
  <c r="P35" i="3"/>
  <c r="N35" i="3"/>
  <c r="J71" i="4"/>
  <c r="K62" i="4"/>
  <c r="N55" i="3"/>
  <c r="I51" i="3"/>
  <c r="I127" i="3" s="1"/>
  <c r="J125" i="3"/>
  <c r="J46" i="4"/>
  <c r="K42" i="4"/>
  <c r="J39" i="4"/>
  <c r="K20" i="4"/>
  <c r="J52" i="4"/>
  <c r="K49" i="4"/>
  <c r="N42" i="3"/>
  <c r="L11" i="3"/>
  <c r="M11" i="3" s="1"/>
  <c r="P11" i="3" s="1"/>
  <c r="L27" i="3"/>
  <c r="M27" i="3" s="1"/>
  <c r="P27" i="3" s="1"/>
  <c r="L72" i="3"/>
  <c r="M72" i="3" s="1"/>
  <c r="P72" i="3" s="1"/>
  <c r="L83" i="3"/>
  <c r="M83" i="3" s="1"/>
  <c r="P83" i="3" s="1"/>
  <c r="L95" i="3"/>
  <c r="M95" i="3" s="1"/>
  <c r="P95" i="3" s="1"/>
  <c r="L109" i="3"/>
  <c r="L110" i="3" s="1"/>
  <c r="L119" i="3"/>
  <c r="M119" i="3" s="1"/>
  <c r="P119" i="3" s="1"/>
  <c r="J49" i="3"/>
  <c r="L78" i="3"/>
  <c r="M78" i="3" s="1"/>
  <c r="P78" i="3" s="1"/>
  <c r="L86" i="3"/>
  <c r="M86" i="3" s="1"/>
  <c r="P86" i="3" s="1"/>
  <c r="N54" i="3"/>
  <c r="M14" i="3"/>
  <c r="P14" i="3" s="1"/>
  <c r="M61" i="3"/>
  <c r="P61" i="3" s="1"/>
  <c r="M60" i="3"/>
  <c r="P60" i="3" s="1"/>
  <c r="N113" i="3"/>
  <c r="J12" i="4"/>
  <c r="K9" i="4"/>
  <c r="M77" i="3"/>
  <c r="P77" i="3" s="1"/>
  <c r="M81" i="3"/>
  <c r="P81" i="3" s="1"/>
  <c r="M85" i="3"/>
  <c r="P85" i="3" s="1"/>
  <c r="M93" i="3"/>
  <c r="P93" i="3" s="1"/>
  <c r="P22" i="3"/>
  <c r="N22" i="3"/>
  <c r="N62" i="3"/>
  <c r="K23" i="3"/>
  <c r="K30" i="3"/>
  <c r="N80" i="3"/>
  <c r="N88" i="3"/>
  <c r="K66" i="3"/>
  <c r="K79" i="3"/>
  <c r="K87" i="3"/>
  <c r="K101" i="3"/>
  <c r="K115" i="3"/>
  <c r="K124" i="3"/>
  <c r="L38" i="3"/>
  <c r="N38" i="3" s="1"/>
  <c r="N10" i="3"/>
  <c r="N58" i="3"/>
  <c r="N71" i="3"/>
  <c r="N82" i="3"/>
  <c r="N107" i="3"/>
  <c r="N121" i="3"/>
  <c r="K59" i="4"/>
  <c r="L55" i="4"/>
  <c r="J19" i="3"/>
  <c r="K9" i="3"/>
  <c r="J89" i="3"/>
  <c r="K70" i="3"/>
  <c r="K12" i="3"/>
  <c r="K16" i="3"/>
  <c r="K43" i="3"/>
  <c r="N11" i="3"/>
  <c r="N27" i="3"/>
  <c r="K76" i="3"/>
  <c r="K84" i="3"/>
  <c r="K94" i="3"/>
  <c r="M106" i="3"/>
  <c r="K110" i="3"/>
  <c r="K17" i="4"/>
  <c r="L15" i="4"/>
  <c r="N72" i="3"/>
  <c r="N83" i="3"/>
  <c r="N95" i="3"/>
  <c r="N109" i="3"/>
  <c r="N119" i="3"/>
  <c r="K18" i="3"/>
  <c r="K39" i="3"/>
  <c r="K47" i="3"/>
  <c r="N78" i="3"/>
  <c r="N86" i="3"/>
  <c r="J96" i="3"/>
  <c r="J103" i="3"/>
  <c r="K99" i="3"/>
  <c r="K117" i="3"/>
  <c r="M74" i="3"/>
  <c r="P74" i="3" s="1"/>
  <c r="M31" i="3"/>
  <c r="P31" i="3" s="1"/>
  <c r="M56" i="3"/>
  <c r="P56" i="3" s="1"/>
  <c r="M102" i="3"/>
  <c r="P102" i="3" s="1"/>
  <c r="P54" i="3"/>
  <c r="K67" i="3"/>
  <c r="J51" i="3" l="1"/>
  <c r="J73" i="4"/>
  <c r="N110" i="3"/>
  <c r="M109" i="3"/>
  <c r="P109" i="3" s="1"/>
  <c r="P92" i="3"/>
  <c r="P62" i="3"/>
  <c r="L117" i="3"/>
  <c r="N117" i="3" s="1"/>
  <c r="L39" i="3"/>
  <c r="N39" i="3" s="1"/>
  <c r="K103" i="3"/>
  <c r="L99" i="3"/>
  <c r="K49" i="3"/>
  <c r="L47" i="3"/>
  <c r="L18" i="3"/>
  <c r="N18" i="3" s="1"/>
  <c r="L17" i="4"/>
  <c r="M15" i="4"/>
  <c r="N15" i="4"/>
  <c r="N17" i="4" s="1"/>
  <c r="L94" i="3"/>
  <c r="N94" i="3" s="1"/>
  <c r="L76" i="3"/>
  <c r="N76" i="3" s="1"/>
  <c r="L16" i="3"/>
  <c r="N16" i="3" s="1"/>
  <c r="K89" i="3"/>
  <c r="L70" i="3"/>
  <c r="L59" i="4"/>
  <c r="M55" i="4"/>
  <c r="N55" i="4"/>
  <c r="N59" i="4" s="1"/>
  <c r="K44" i="3"/>
  <c r="M38" i="3"/>
  <c r="L115" i="3"/>
  <c r="K125" i="3"/>
  <c r="L87" i="3"/>
  <c r="N87" i="3" s="1"/>
  <c r="L66" i="3"/>
  <c r="M66" i="3" s="1"/>
  <c r="L23" i="3"/>
  <c r="M23" i="3" s="1"/>
  <c r="K32" i="3"/>
  <c r="K39" i="4"/>
  <c r="L20" i="4"/>
  <c r="L32" i="6"/>
  <c r="I37" i="6"/>
  <c r="K96" i="3"/>
  <c r="M40" i="3"/>
  <c r="P40" i="3" s="1"/>
  <c r="L31" i="6"/>
  <c r="G36" i="6"/>
  <c r="M110" i="3"/>
  <c r="P106" i="3"/>
  <c r="P110" i="3" s="1"/>
  <c r="L84" i="3"/>
  <c r="N84" i="3" s="1"/>
  <c r="L43" i="3"/>
  <c r="N43" i="3" s="1"/>
  <c r="L12" i="3"/>
  <c r="N12" i="3" s="1"/>
  <c r="K19" i="3"/>
  <c r="K51" i="3" s="1"/>
  <c r="L9" i="3"/>
  <c r="L124" i="3"/>
  <c r="N124" i="3" s="1"/>
  <c r="L101" i="3"/>
  <c r="N101" i="3" s="1"/>
  <c r="L79" i="3"/>
  <c r="N79" i="3" s="1"/>
  <c r="L30" i="3"/>
  <c r="N30" i="3" s="1"/>
  <c r="L9" i="4"/>
  <c r="K12" i="4"/>
  <c r="K52" i="4"/>
  <c r="L49" i="4"/>
  <c r="K46" i="4"/>
  <c r="L42" i="4"/>
  <c r="J127" i="3"/>
  <c r="K71" i="4"/>
  <c r="L62" i="4"/>
  <c r="N44" i="3"/>
  <c r="L96" i="3"/>
  <c r="N92" i="3"/>
  <c r="N96" i="3" s="1"/>
  <c r="K30" i="6"/>
  <c r="I30" i="6"/>
  <c r="G30" i="6"/>
  <c r="B41" i="6"/>
  <c r="J30" i="6"/>
  <c r="H30" i="6"/>
  <c r="B21" i="6"/>
  <c r="B18" i="6"/>
  <c r="B16" i="6"/>
  <c r="B14" i="6"/>
  <c r="B13" i="6"/>
  <c r="B11" i="6"/>
  <c r="B22" i="6"/>
  <c r="B20" i="6"/>
  <c r="B19" i="6"/>
  <c r="B17" i="6"/>
  <c r="B15" i="6"/>
  <c r="B12" i="6"/>
  <c r="B10" i="6"/>
  <c r="M79" i="3" l="1"/>
  <c r="P79" i="3" s="1"/>
  <c r="M101" i="3"/>
  <c r="P101" i="3" s="1"/>
  <c r="M124" i="3"/>
  <c r="P124" i="3" s="1"/>
  <c r="M12" i="3"/>
  <c r="P12" i="3" s="1"/>
  <c r="M43" i="3"/>
  <c r="P43" i="3" s="1"/>
  <c r="M84" i="3"/>
  <c r="P84" i="3" s="1"/>
  <c r="M76" i="3"/>
  <c r="P76" i="3" s="1"/>
  <c r="M94" i="3"/>
  <c r="P94" i="3" s="1"/>
  <c r="M39" i="3"/>
  <c r="P39" i="3" s="1"/>
  <c r="P23" i="3"/>
  <c r="P66" i="3"/>
  <c r="P67" i="3" s="1"/>
  <c r="M67" i="3"/>
  <c r="K10" i="6"/>
  <c r="I10" i="6"/>
  <c r="G10" i="6"/>
  <c r="J10" i="6"/>
  <c r="H10" i="6"/>
  <c r="E10" i="6"/>
  <c r="J15" i="6"/>
  <c r="H15" i="6"/>
  <c r="E15" i="6"/>
  <c r="K15" i="6"/>
  <c r="I15" i="6"/>
  <c r="G15" i="6"/>
  <c r="K19" i="6"/>
  <c r="I19" i="6"/>
  <c r="G19" i="6"/>
  <c r="J19" i="6"/>
  <c r="H19" i="6"/>
  <c r="E19" i="6"/>
  <c r="K22" i="6"/>
  <c r="I22" i="6"/>
  <c r="G22" i="6"/>
  <c r="J22" i="6"/>
  <c r="H22" i="6"/>
  <c r="E22" i="6"/>
  <c r="J13" i="6"/>
  <c r="H13" i="6"/>
  <c r="E13" i="6"/>
  <c r="K13" i="6"/>
  <c r="I13" i="6"/>
  <c r="G13" i="6"/>
  <c r="J16" i="6"/>
  <c r="H16" i="6"/>
  <c r="E16" i="6"/>
  <c r="K16" i="6"/>
  <c r="I16" i="6"/>
  <c r="G16" i="6"/>
  <c r="K21" i="6"/>
  <c r="I21" i="6"/>
  <c r="G21" i="6"/>
  <c r="J21" i="6"/>
  <c r="H21" i="6"/>
  <c r="E21" i="6"/>
  <c r="J35" i="6"/>
  <c r="J38" i="6" s="1"/>
  <c r="J33" i="6"/>
  <c r="G35" i="6"/>
  <c r="G33" i="6"/>
  <c r="L30" i="6"/>
  <c r="K35" i="6"/>
  <c r="K38" i="6" s="1"/>
  <c r="K33" i="6"/>
  <c r="L46" i="4"/>
  <c r="M42" i="4"/>
  <c r="N42" i="4"/>
  <c r="N46" i="4" s="1"/>
  <c r="L52" i="4"/>
  <c r="M49" i="4"/>
  <c r="N49" i="4"/>
  <c r="N52" i="4" s="1"/>
  <c r="K73" i="4"/>
  <c r="L19" i="3"/>
  <c r="N9" i="3"/>
  <c r="N19" i="3" s="1"/>
  <c r="M9" i="3"/>
  <c r="L39" i="4"/>
  <c r="M20" i="4"/>
  <c r="N20" i="4"/>
  <c r="N39" i="4" s="1"/>
  <c r="M87" i="3"/>
  <c r="P87" i="3" s="1"/>
  <c r="N115" i="3"/>
  <c r="N125" i="3" s="1"/>
  <c r="L125" i="3"/>
  <c r="P38" i="3"/>
  <c r="P44" i="3" s="1"/>
  <c r="M44" i="3"/>
  <c r="M16" i="3"/>
  <c r="P16" i="3" s="1"/>
  <c r="L49" i="3"/>
  <c r="N47" i="3"/>
  <c r="N49" i="3" s="1"/>
  <c r="L103" i="3"/>
  <c r="N99" i="3"/>
  <c r="N103" i="3" s="1"/>
  <c r="M99" i="3"/>
  <c r="M117" i="3"/>
  <c r="P117" i="3" s="1"/>
  <c r="P96" i="3"/>
  <c r="J12" i="6"/>
  <c r="H12" i="6"/>
  <c r="E12" i="6"/>
  <c r="K12" i="6"/>
  <c r="I12" i="6"/>
  <c r="G12" i="6"/>
  <c r="J17" i="6"/>
  <c r="H17" i="6"/>
  <c r="E17" i="6"/>
  <c r="K17" i="6"/>
  <c r="I17" i="6"/>
  <c r="G17" i="6"/>
  <c r="K20" i="6"/>
  <c r="J20" i="6"/>
  <c r="H20" i="6"/>
  <c r="E20" i="6"/>
  <c r="I20" i="6"/>
  <c r="G20" i="6"/>
  <c r="K11" i="6"/>
  <c r="I11" i="6"/>
  <c r="G11" i="6"/>
  <c r="J11" i="6"/>
  <c r="H11" i="6"/>
  <c r="E11" i="6"/>
  <c r="J14" i="6"/>
  <c r="H14" i="6"/>
  <c r="E14" i="6"/>
  <c r="K14" i="6"/>
  <c r="I14" i="6"/>
  <c r="G14" i="6"/>
  <c r="J18" i="6"/>
  <c r="H18" i="6"/>
  <c r="E18" i="6"/>
  <c r="K18" i="6"/>
  <c r="I18" i="6"/>
  <c r="G18" i="6"/>
  <c r="H35" i="6"/>
  <c r="H38" i="6" s="1"/>
  <c r="H33" i="6"/>
  <c r="I35" i="6"/>
  <c r="I33" i="6"/>
  <c r="L71" i="4"/>
  <c r="M62" i="4"/>
  <c r="N62" i="4"/>
  <c r="N71" i="4" s="1"/>
  <c r="L12" i="4"/>
  <c r="M9" i="4"/>
  <c r="N9" i="4"/>
  <c r="N12" i="4" s="1"/>
  <c r="N73" i="4" s="1"/>
  <c r="M30" i="3"/>
  <c r="P30" i="3" s="1"/>
  <c r="L36" i="6"/>
  <c r="O48" i="3"/>
  <c r="O11" i="4"/>
  <c r="L37" i="6"/>
  <c r="L44" i="3"/>
  <c r="N23" i="3"/>
  <c r="N32" i="3" s="1"/>
  <c r="L32" i="3"/>
  <c r="N66" i="3"/>
  <c r="N67" i="3" s="1"/>
  <c r="L67" i="3"/>
  <c r="K127" i="3"/>
  <c r="M115" i="3"/>
  <c r="M59" i="4"/>
  <c r="P55" i="4"/>
  <c r="P59" i="4" s="1"/>
  <c r="L89" i="3"/>
  <c r="N70" i="3"/>
  <c r="N89" i="3" s="1"/>
  <c r="M70" i="3"/>
  <c r="M17" i="4"/>
  <c r="P15" i="4"/>
  <c r="P17" i="4" s="1"/>
  <c r="M18" i="3"/>
  <c r="P18" i="3" s="1"/>
  <c r="M47" i="3"/>
  <c r="M96" i="3"/>
  <c r="L18" i="6" l="1"/>
  <c r="M18" i="6" s="1"/>
  <c r="L73" i="4"/>
  <c r="N76" i="4" s="1"/>
  <c r="L14" i="6"/>
  <c r="M14" i="6" s="1"/>
  <c r="L20" i="6"/>
  <c r="M20" i="6" s="1"/>
  <c r="L17" i="6"/>
  <c r="M17" i="6" s="1"/>
  <c r="M49" i="3"/>
  <c r="P47" i="3"/>
  <c r="P70" i="3"/>
  <c r="P89" i="3" s="1"/>
  <c r="M89" i="3"/>
  <c r="O49" i="3"/>
  <c r="O51" i="3" s="1"/>
  <c r="R48" i="3"/>
  <c r="R49" i="3" s="1"/>
  <c r="R51" i="3" s="1"/>
  <c r="P48" i="3"/>
  <c r="M12" i="4"/>
  <c r="P9" i="4"/>
  <c r="I38" i="6"/>
  <c r="O76" i="4" s="1"/>
  <c r="R76" i="4" s="1"/>
  <c r="O62" i="4"/>
  <c r="L11" i="6"/>
  <c r="M11" i="6" s="1"/>
  <c r="N51" i="3"/>
  <c r="N127" i="3" s="1"/>
  <c r="M52" i="4"/>
  <c r="P49" i="4"/>
  <c r="P52" i="4" s="1"/>
  <c r="L33" i="6"/>
  <c r="L16" i="6"/>
  <c r="M16" i="6" s="1"/>
  <c r="L13" i="6"/>
  <c r="M13" i="6" s="1"/>
  <c r="L15" i="6"/>
  <c r="M15" i="6" s="1"/>
  <c r="J24" i="6"/>
  <c r="J27" i="6" s="1"/>
  <c r="I24" i="6"/>
  <c r="I27" i="6" s="1"/>
  <c r="M32" i="3"/>
  <c r="P115" i="3"/>
  <c r="M125" i="3"/>
  <c r="R11" i="4"/>
  <c r="R12" i="4" s="1"/>
  <c r="O12" i="4"/>
  <c r="P11" i="4"/>
  <c r="M71" i="4"/>
  <c r="P62" i="4"/>
  <c r="P71" i="4" s="1"/>
  <c r="L12" i="6"/>
  <c r="M12" i="6" s="1"/>
  <c r="P99" i="3"/>
  <c r="P103" i="3" s="1"/>
  <c r="M103" i="3"/>
  <c r="P20" i="4"/>
  <c r="P39" i="4" s="1"/>
  <c r="M39" i="4"/>
  <c r="P9" i="3"/>
  <c r="P19" i="3" s="1"/>
  <c r="M19" i="3"/>
  <c r="M51" i="3" s="1"/>
  <c r="L51" i="3"/>
  <c r="L127" i="3" s="1"/>
  <c r="N130" i="3" s="1"/>
  <c r="M46" i="4"/>
  <c r="P42" i="4"/>
  <c r="P46" i="4" s="1"/>
  <c r="L35" i="6"/>
  <c r="G38" i="6"/>
  <c r="O113" i="3"/>
  <c r="L21" i="6"/>
  <c r="M21" i="6" s="1"/>
  <c r="L22" i="6"/>
  <c r="M22" i="6" s="1"/>
  <c r="L19" i="6"/>
  <c r="M19" i="6" s="1"/>
  <c r="H24" i="6"/>
  <c r="H27" i="6" s="1"/>
  <c r="G24" i="6"/>
  <c r="G27" i="6" s="1"/>
  <c r="L10" i="6"/>
  <c r="K24" i="6"/>
  <c r="K27" i="6" s="1"/>
  <c r="P32" i="3"/>
  <c r="L24" i="6" l="1"/>
  <c r="M27" i="6" s="1"/>
  <c r="M10" i="6"/>
  <c r="M24" i="6" s="1"/>
  <c r="O125" i="3"/>
  <c r="O127" i="3" s="1"/>
  <c r="R113" i="3"/>
  <c r="R125" i="3" s="1"/>
  <c r="R127" i="3" s="1"/>
  <c r="P113" i="3"/>
  <c r="P125" i="3" s="1"/>
  <c r="M73" i="4"/>
  <c r="P49" i="3"/>
  <c r="L27" i="6"/>
  <c r="L38" i="6"/>
  <c r="O130" i="3"/>
  <c r="R130" i="3" s="1"/>
  <c r="P51" i="3"/>
  <c r="M127" i="3"/>
  <c r="O71" i="4"/>
  <c r="O73" i="4" s="1"/>
  <c r="R62" i="4"/>
  <c r="R71" i="4" s="1"/>
  <c r="R73" i="4" s="1"/>
  <c r="P12" i="4"/>
  <c r="P73" i="4" s="1"/>
  <c r="P130" i="3" l="1"/>
  <c r="P76" i="4"/>
  <c r="P127" i="3"/>
  <c r="P131" i="3" s="1"/>
  <c r="M41" i="6"/>
</calcChain>
</file>

<file path=xl/comments1.xml><?xml version="1.0" encoding="utf-8"?>
<comments xmlns="http://schemas.openxmlformats.org/spreadsheetml/2006/main">
  <authors>
    <author>Huang, Joanna (UTC)</author>
    <author>sz0rsr</author>
  </authors>
  <commentList>
    <comment ref="E24" authorId="0">
      <text>
        <r>
          <rPr>
            <b/>
            <sz val="9"/>
            <color indexed="81"/>
            <rFont val="Tahoma"/>
            <family val="2"/>
          </rPr>
          <t xml:space="preserve">matched with PLE-1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cell O28</t>
        </r>
      </text>
    </comment>
    <comment ref="B26" authorId="1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Jan 11 PT (Paid Time Off) loading rate is 17.5%
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  <author>Huang, Joanna (UTC)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 xml:space="preserve">excludes any 1-leave cashout…
</t>
        </r>
      </text>
    </comment>
    <comment ref="O33" authorId="1">
      <text>
        <r>
          <rPr>
            <b/>
            <sz val="9"/>
            <color indexed="81"/>
            <rFont val="Tahoma"/>
            <family val="2"/>
          </rPr>
          <t xml:space="preserve">matched with PLE-4 cell  E24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<sst xmlns="http://schemas.openxmlformats.org/spreadsheetml/2006/main" count="979" uniqueCount="403">
  <si>
    <t xml:space="preserve">AVISTA UTILITIES  </t>
  </si>
  <si>
    <t xml:space="preserve">WASHINGTON ELECTRIC RESULTS  </t>
  </si>
  <si>
    <t>TWELVE MONTHS ENDED DECEMBER 31, 2011</t>
  </si>
  <si>
    <t xml:space="preserve">(000'S OF DOLLARS)  </t>
  </si>
  <si>
    <t xml:space="preserve">Pro Forma </t>
  </si>
  <si>
    <t>Line</t>
  </si>
  <si>
    <t>Labor</t>
  </si>
  <si>
    <t>No.</t>
  </si>
  <si>
    <t>DESCRIPTION</t>
  </si>
  <si>
    <t>Exec</t>
  </si>
  <si>
    <t xml:space="preserve">Adjustment Number </t>
  </si>
  <si>
    <t>Workpaper Reference</t>
  </si>
  <si>
    <t>E-PLE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</si>
  <si>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</si>
  <si>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</si>
  <si>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</si>
  <si>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</si>
  <si>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</si>
  <si>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</si>
  <si>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</si>
  <si>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</si>
  <si>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</si>
  <si>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</si>
  <si>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</si>
  <si>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</si>
  <si>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</si>
  <si>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</si>
  <si>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</si>
  <si>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</si>
  <si>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</si>
  <si>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</si>
  <si>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</si>
  <si>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</si>
  <si>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</si>
  <si>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</si>
  <si>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</si>
  <si>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</si>
  <si>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</si>
  <si>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</si>
  <si>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</si>
  <si>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</si>
  <si>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</si>
  <si>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</si>
  <si>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</si>
  <si>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</si>
  <si>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</si>
  <si>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</si>
  <si>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</si>
  <si>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</si>
  <si>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</si>
  <si>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</si>
  <si>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</si>
  <si>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</si>
  <si>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</si>
  <si>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</si>
  <si>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</si>
  <si>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 xml:space="preserve">DEFERRED DEBITS AND CREDITS </t>
  </si>
  <si>
    <t xml:space="preserve">WORKING CAPITAL </t>
  </si>
  <si>
    <t xml:space="preserve">TOTAL RATE BASE  </t>
  </si>
  <si>
    <t>Pro Forma</t>
  </si>
  <si>
    <t>Employee</t>
  </si>
  <si>
    <t>a</t>
  </si>
  <si>
    <t>G-PLE</t>
  </si>
  <si>
    <t>REVENUES</t>
  </si>
  <si>
    <t>Total General Business</t>
  </si>
  <si>
    <t>Total Transportation</t>
  </si>
  <si>
    <t>Other Revenues</t>
  </si>
  <si>
    <t>Total Gas Revenues</t>
  </si>
  <si>
    <t>EXPENSES</t>
  </si>
  <si>
    <t xml:space="preserve">Production Expenses 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</si>
  <si>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</si>
  <si>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</si>
  <si>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</si>
  <si>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</si>
  <si>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</si>
  <si>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</si>
  <si>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</si>
  <si>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</si>
  <si>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</si>
  <si>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</si>
  <si>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</si>
  <si>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</si>
  <si>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</si>
  <si>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</si>
  <si>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</si>
  <si>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</si>
  <si>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</si>
  <si>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</si>
  <si>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</si>
  <si>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</si>
  <si>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</si>
  <si>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</si>
  <si>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</si>
  <si>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</si>
  <si>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</si>
  <si>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</si>
  <si>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</si>
  <si>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</si>
  <si>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DEPREC/AMORT</t>
  </si>
  <si>
    <t>Total Accum. Depreciation/Amort.</t>
  </si>
  <si>
    <t>NET PLANT</t>
  </si>
  <si>
    <t>DEFERRED FIT</t>
  </si>
  <si>
    <t>GAS INVENTORY</t>
  </si>
  <si>
    <t>GAIN ON SALE OF BUILDING</t>
  </si>
  <si>
    <t>OTHER</t>
  </si>
  <si>
    <t>WORKING CAPITAL</t>
  </si>
  <si>
    <t>TOTAL RATE BASE</t>
  </si>
  <si>
    <t>Adjusted Electric Labor Dollars - Washington</t>
  </si>
  <si>
    <t>PLN</t>
  </si>
  <si>
    <t>2011 Increase</t>
  </si>
  <si>
    <t>2012 Increase</t>
  </si>
  <si>
    <t>2013 Increase</t>
  </si>
  <si>
    <t>Total</t>
  </si>
  <si>
    <t>Add Back</t>
  </si>
  <si>
    <t>Total 2013</t>
  </si>
  <si>
    <t>Net 2012</t>
  </si>
  <si>
    <t>Pension</t>
  </si>
  <si>
    <t>Medical</t>
  </si>
  <si>
    <t>Remove</t>
  </si>
  <si>
    <t>Adjusted</t>
  </si>
  <si>
    <t>Adjusted for</t>
  </si>
  <si>
    <t>2011,2012,2013</t>
  </si>
  <si>
    <t>Exec Pro Forma</t>
  </si>
  <si>
    <t>2011 to 2013</t>
  </si>
  <si>
    <t>Total WA</t>
  </si>
  <si>
    <t>Officers</t>
  </si>
  <si>
    <t>2011Increase</t>
  </si>
  <si>
    <t>Increase</t>
  </si>
  <si>
    <t>2013 Exec</t>
  </si>
  <si>
    <t>Adjustment</t>
  </si>
  <si>
    <t>Production</t>
  </si>
  <si>
    <t>Steam</t>
  </si>
  <si>
    <t>Supervision &amp; Eng.</t>
  </si>
  <si>
    <t>Fuel</t>
  </si>
  <si>
    <t>Steam Expense</t>
  </si>
  <si>
    <t>Electric Expense</t>
  </si>
  <si>
    <t>Misc. Steam Pwr. Exp.</t>
  </si>
  <si>
    <t>Structures</t>
  </si>
  <si>
    <t>Boiler Plant</t>
  </si>
  <si>
    <t>Electric Plant</t>
  </si>
  <si>
    <t>Misc. Steam Plant</t>
  </si>
  <si>
    <t>Total Steam</t>
  </si>
  <si>
    <t>Hydro</t>
  </si>
  <si>
    <t>Water For Power</t>
  </si>
  <si>
    <t>Hydraulic Expense</t>
  </si>
  <si>
    <t>Misc. Hydro Expense</t>
  </si>
  <si>
    <t>Res., Dams &amp; Wtrways</t>
  </si>
  <si>
    <t>Misc. Hydro Plant</t>
  </si>
  <si>
    <t>Total Hydro</t>
  </si>
  <si>
    <t>Other Generation</t>
  </si>
  <si>
    <t>Generation Expense</t>
  </si>
  <si>
    <t>Misc. Other Gen.</t>
  </si>
  <si>
    <t>Other Gen Opr -Rents</t>
  </si>
  <si>
    <t>Gen. &amp; Elec. Equip.</t>
  </si>
  <si>
    <t>Misc. Other Gen. Plant</t>
  </si>
  <si>
    <t>Total Other Generation</t>
  </si>
  <si>
    <t>Other Power Supply</t>
  </si>
  <si>
    <t>Sys. Cntrol &amp; Ld. Disp.</t>
  </si>
  <si>
    <t>Other Expense</t>
  </si>
  <si>
    <t>Total Other Power Supply</t>
  </si>
  <si>
    <t>Transmission</t>
  </si>
  <si>
    <t>Load Dispatching</t>
  </si>
  <si>
    <t>Station Expense</t>
  </si>
  <si>
    <t>Overhead Line Exp.</t>
  </si>
  <si>
    <t>Underground Line Exp.</t>
  </si>
  <si>
    <t>Misc. Trans. Exp.</t>
  </si>
  <si>
    <t>Station Equip.</t>
  </si>
  <si>
    <t>Overhead Lines</t>
  </si>
  <si>
    <t>Underground Lines</t>
  </si>
  <si>
    <t>Misc. Trans. Plant</t>
  </si>
  <si>
    <t>Total Transmission</t>
  </si>
  <si>
    <t>St. Lt. &amp; Signl. Sys.</t>
  </si>
  <si>
    <t>Meter Expense</t>
  </si>
  <si>
    <t>Cust. Install. Expense</t>
  </si>
  <si>
    <t>Misc. Dist. Expense</t>
  </si>
  <si>
    <t>Rent</t>
  </si>
  <si>
    <t>Station Equipment</t>
  </si>
  <si>
    <t>Undergrd. Lines</t>
  </si>
  <si>
    <t>Line Transformers</t>
  </si>
  <si>
    <t xml:space="preserve">St. Lt. &amp; Signl. Sys. </t>
  </si>
  <si>
    <t>Meters</t>
  </si>
  <si>
    <t>Customer Accounts</t>
  </si>
  <si>
    <t>Supervision</t>
  </si>
  <si>
    <t>Meter Reading Exp.</t>
  </si>
  <si>
    <t>Cust. Records &amp; Coll.</t>
  </si>
  <si>
    <t>Misc. Cust. Accts.</t>
  </si>
  <si>
    <t>Total Cust Accounts</t>
  </si>
  <si>
    <t>Cust Service &amp; Info</t>
  </si>
  <si>
    <t>Cust. Assistance Exp.</t>
  </si>
  <si>
    <t>Advertising</t>
  </si>
  <si>
    <t>Miscellaneous</t>
  </si>
  <si>
    <t>Total Cust Svc &amp; Info</t>
  </si>
  <si>
    <t>Sales</t>
  </si>
  <si>
    <t>Demonstrating &amp; Selling</t>
  </si>
  <si>
    <t>Misc Cust Serv &amp; Info</t>
  </si>
  <si>
    <t>Total Sales</t>
  </si>
  <si>
    <t>Admin &amp; General</t>
  </si>
  <si>
    <t>Salaries</t>
  </si>
  <si>
    <t>Office Supplies &amp; Exp.</t>
  </si>
  <si>
    <t>Outside Services</t>
  </si>
  <si>
    <t>Property Ins. Premium</t>
  </si>
  <si>
    <t>Injuries &amp; Damages</t>
  </si>
  <si>
    <t>Empl. Pensions &amp; Bene.</t>
  </si>
  <si>
    <t>Franchise Requirements</t>
  </si>
  <si>
    <t>Reg. Comm. Expenses</t>
  </si>
  <si>
    <t>Misc. General Exp.</t>
  </si>
  <si>
    <t>Rents</t>
  </si>
  <si>
    <t>Mtce. of Gen. Plant</t>
  </si>
  <si>
    <t>Total Admin &amp; General</t>
  </si>
  <si>
    <t>Total Electric Labor</t>
  </si>
  <si>
    <t>E-PLN-1</t>
  </si>
  <si>
    <t>PLE-2</t>
  </si>
  <si>
    <t>PLE-4</t>
  </si>
  <si>
    <t>PEB-1</t>
  </si>
  <si>
    <t>AVISTA UTILITIES</t>
  </si>
  <si>
    <t>Adjusted Natural Gas System Labor Dollars - Washington</t>
  </si>
  <si>
    <t>807-Administrative Expenses</t>
  </si>
  <si>
    <t>807-Purchased Gas Expenses</t>
  </si>
  <si>
    <t>813-Other Gas Expenses</t>
  </si>
  <si>
    <t>814-Oper. supervision &amp; engineering</t>
  </si>
  <si>
    <t>820-Meas. &amp; reg. station expenses</t>
  </si>
  <si>
    <t>870-Oper. supervision &amp; engineering</t>
  </si>
  <si>
    <t>871-Distribution Load Dispatching</t>
  </si>
  <si>
    <t>874-Mains &amp; services expenses</t>
  </si>
  <si>
    <t>875-Meas. &amp; reg. station exp.-General</t>
  </si>
  <si>
    <t>876-Meas. &amp; reg. station exp.-Industrial</t>
  </si>
  <si>
    <t>877-Meas. &amp; reg. station exp.-City gate</t>
  </si>
  <si>
    <t>878-Meter &amp; house regulator expenses</t>
  </si>
  <si>
    <t>879-Customer installations expenses</t>
  </si>
  <si>
    <t>880-Other expenses</t>
  </si>
  <si>
    <t>881-Rents</t>
  </si>
  <si>
    <t>885-Maint. supervision &amp; engineering</t>
  </si>
  <si>
    <t>886-Structures &amp; Improvements</t>
  </si>
  <si>
    <t>887-Maint. of mains</t>
  </si>
  <si>
    <t>889-Maint. meas. &amp; reg. st. equip.-General</t>
  </si>
  <si>
    <t>890-Maint. meas. &amp; reg. st. equip.-Indust</t>
  </si>
  <si>
    <t>891-Maint. meas. &amp; reg. st. equip.-City gate</t>
  </si>
  <si>
    <t>892-Maint. of services &amp; lines</t>
  </si>
  <si>
    <t>893-Maint. meters &amp; house regulators</t>
  </si>
  <si>
    <t>901-Supervision</t>
  </si>
  <si>
    <t>902-Meter reading expenses</t>
  </si>
  <si>
    <t>903-Customer records &amp; collection exp</t>
  </si>
  <si>
    <t>905- Misc. customer accounts expenses</t>
  </si>
  <si>
    <t>908-Customer assistance expenses</t>
  </si>
  <si>
    <t>909-Advertising</t>
  </si>
  <si>
    <t>910-Misc Customer Service &amp; Info Exp</t>
  </si>
  <si>
    <t>911-Supervision</t>
  </si>
  <si>
    <t>912-Demonstrating &amp; selling expenses</t>
  </si>
  <si>
    <t>913-Advertising</t>
  </si>
  <si>
    <t>916- Misc Sales Expense</t>
  </si>
  <si>
    <t>920-Administrative &amp; general salaries</t>
  </si>
  <si>
    <t>923-Outside services employed</t>
  </si>
  <si>
    <t>924-Property insurance</t>
  </si>
  <si>
    <t>925-Injuries &amp; damages</t>
  </si>
  <si>
    <t>928-Regulatory commission expenses</t>
  </si>
  <si>
    <t>930-Misc. general expenses</t>
  </si>
  <si>
    <t>935-Maintenance of general plant</t>
  </si>
  <si>
    <t>Total WA  Gas Labor</t>
  </si>
  <si>
    <t>G-PLN-1</t>
  </si>
  <si>
    <t>PLE-1</t>
  </si>
  <si>
    <t>Avista Utilities</t>
  </si>
  <si>
    <t>Pro Forma Officer Compensation Expense</t>
  </si>
  <si>
    <t>Actual</t>
  </si>
  <si>
    <t>Forecast</t>
  </si>
  <si>
    <t>Less</t>
  </si>
  <si>
    <t>Pro forma</t>
  </si>
  <si>
    <t>Pro forma Utility/Subsidiary %</t>
  </si>
  <si>
    <t>Pro forma Utility/Subsidiary $</t>
  </si>
  <si>
    <t>OL, Hol</t>
  </si>
  <si>
    <t xml:space="preserve">Perf. Shrs </t>
  </si>
  <si>
    <t>%</t>
  </si>
  <si>
    <t>Exp Level</t>
  </si>
  <si>
    <t>Capital</t>
  </si>
  <si>
    <t>Change</t>
  </si>
  <si>
    <t>Incr. over PY</t>
  </si>
  <si>
    <t xml:space="preserve">Step 1: </t>
  </si>
  <si>
    <t>Allocation Utility ( 76.36%) v.s. Non-Utility (23.64%)</t>
  </si>
  <si>
    <t>% Increase</t>
  </si>
  <si>
    <t xml:space="preserve">Step 2: </t>
  </si>
  <si>
    <t>Total to be allocated to Accounts</t>
  </si>
  <si>
    <t>Pro Forma Labor-Executive</t>
  </si>
  <si>
    <t>Ret. Perf. Shares</t>
  </si>
  <si>
    <t>OL Cash</t>
  </si>
  <si>
    <t>Loaded Labor</t>
  </si>
  <si>
    <t>Pro Forma 2012 Officer Compensation</t>
  </si>
  <si>
    <t>By Utility Jurisdiction</t>
  </si>
  <si>
    <t>Electric</t>
  </si>
  <si>
    <t>Gas</t>
  </si>
  <si>
    <t>Note  1</t>
  </si>
  <si>
    <t>Note  4</t>
  </si>
  <si>
    <t>Note  7</t>
  </si>
  <si>
    <t>Note  8</t>
  </si>
  <si>
    <t>Notes  7 &amp; 4</t>
  </si>
  <si>
    <t>Note 1</t>
  </si>
  <si>
    <t>Notes  8 &amp; 10</t>
  </si>
  <si>
    <t>Note 10</t>
  </si>
  <si>
    <t>Acct 920</t>
  </si>
  <si>
    <t>Acct 557</t>
  </si>
  <si>
    <t>Acct 813</t>
  </si>
  <si>
    <t>WA El</t>
  </si>
  <si>
    <t>ID El</t>
  </si>
  <si>
    <t>WA Gas</t>
  </si>
  <si>
    <t>ID Gas</t>
  </si>
  <si>
    <t>OR Gas</t>
  </si>
  <si>
    <t>Payroll Loading for Paid Time Off (PL)</t>
  </si>
  <si>
    <t>Total Pro Forma Impact</t>
  </si>
  <si>
    <t>Labor Broken Out by Account</t>
  </si>
  <si>
    <t>Loaded for Time Off</t>
  </si>
  <si>
    <t>Checks</t>
  </si>
  <si>
    <t>Compensation (base salary+S-T incentive) Analysis</t>
  </si>
  <si>
    <t xml:space="preserve">Total </t>
  </si>
  <si>
    <t>Percentile</t>
  </si>
  <si>
    <t>Avista</t>
  </si>
  <si>
    <t>Base Salary Analysis</t>
  </si>
  <si>
    <t>Short-Term Incentive Analysis</t>
  </si>
  <si>
    <t>Long-Term Incentive Analysis</t>
  </si>
  <si>
    <t>Percentage</t>
  </si>
  <si>
    <t>Positions</t>
  </si>
  <si>
    <t>(in thousands)</t>
  </si>
  <si>
    <t>Higher</t>
  </si>
  <si>
    <t>CEO</t>
  </si>
  <si>
    <t>Sr. VP and CFO</t>
  </si>
  <si>
    <t>Sr VP Gen Counsel &amp; CCO</t>
  </si>
  <si>
    <t>President of Avista Utilities</t>
  </si>
  <si>
    <t>Sr VP HR &amp; Corp Sec</t>
  </si>
  <si>
    <t>VP Transmission &amp; distribution</t>
  </si>
  <si>
    <t>VP Power Resources</t>
  </si>
  <si>
    <t>VP &amp; Chief Counsel Regulatory</t>
  </si>
  <si>
    <t>VP Customer Solutions</t>
  </si>
  <si>
    <t>VP &amp; Controller</t>
  </si>
  <si>
    <t>VP State &amp; Fed Regulatory</t>
  </si>
  <si>
    <t>VP &amp; CIO</t>
  </si>
  <si>
    <t>VP finance</t>
  </si>
  <si>
    <t>Average</t>
  </si>
  <si>
    <t>Compensation(base salary+S-T incentive) Analysis</t>
  </si>
  <si>
    <t>Total Compensation Analysis</t>
  </si>
  <si>
    <t>2012 Projected</t>
  </si>
  <si>
    <t>2013 Projected</t>
  </si>
  <si>
    <t>Revenue</t>
  </si>
  <si>
    <t># of Employees</t>
  </si>
  <si>
    <t>Avista Capital, Inc.</t>
  </si>
  <si>
    <t>Regulated v.s. non-regulated allocation for officer's compensation</t>
  </si>
  <si>
    <t>Ecova, Inc. (consolidated, includes Ecos IQ)</t>
  </si>
  <si>
    <t>Avista Development, Inc.</t>
  </si>
  <si>
    <t>Avista Energy, Inc.</t>
  </si>
  <si>
    <t xml:space="preserve">Avista Northwest Resources, LLC </t>
  </si>
  <si>
    <t>Avista Power, LLC</t>
  </si>
  <si>
    <t>Avista Utility</t>
  </si>
  <si>
    <t>Avista Subsidiary</t>
  </si>
  <si>
    <t>Avista Turbine Power, Inc.</t>
  </si>
  <si>
    <t>Avista Ventures, Inc.</t>
  </si>
  <si>
    <t xml:space="preserve">Operating Revenue </t>
  </si>
  <si>
    <t>Pentzer Corporation</t>
  </si>
  <si>
    <t>Pentzer Venture Holding II, Inc.</t>
  </si>
  <si>
    <t>Bay Area Manufacturing, Inc.</t>
  </si>
  <si>
    <t>Advanced Manufacturing and Development, Inc.</t>
  </si>
  <si>
    <t>Avista Capital II</t>
  </si>
  <si>
    <t>Projected</t>
  </si>
  <si>
    <t>Spokane Energy, LLC</t>
  </si>
  <si>
    <t>Steam Plant Square, LLC</t>
  </si>
  <si>
    <t>Steam Plant Brew Pub, LLC</t>
  </si>
  <si>
    <t>Current 3-year Average</t>
  </si>
  <si>
    <t>Courtyard Office Center, LLC</t>
  </si>
  <si>
    <t>Allocation:</t>
  </si>
  <si>
    <t>Regulated</t>
  </si>
  <si>
    <t>Non-regulated</t>
  </si>
  <si>
    <t>Weighted</t>
  </si>
  <si>
    <t>Staff proposed allocation</t>
  </si>
  <si>
    <t>Avist proposed allocation</t>
  </si>
  <si>
    <t>Total OR Gas Expense</t>
  </si>
  <si>
    <t>Total Admin&amp; General</t>
  </si>
  <si>
    <t>Sales &amp; Marketing</t>
  </si>
  <si>
    <t>customer Accounts</t>
  </si>
  <si>
    <t>Benefit</t>
  </si>
  <si>
    <t>Pro Forma Incr</t>
  </si>
  <si>
    <t>Oregon Gas</t>
  </si>
  <si>
    <t>2010 to 2012</t>
  </si>
  <si>
    <t>Non-Exec</t>
  </si>
  <si>
    <t>Summary</t>
  </si>
  <si>
    <t>Total ID Gas Expense</t>
  </si>
  <si>
    <t>Idaho Gas</t>
  </si>
  <si>
    <t>Total WA Gas Expense</t>
  </si>
  <si>
    <t>G-WA-ADJ</t>
  </si>
  <si>
    <t>Washington Gas</t>
  </si>
  <si>
    <t>Total Id Electric Expense</t>
  </si>
  <si>
    <t>Total Production and Transmission</t>
  </si>
  <si>
    <t>Idaho Electric</t>
  </si>
  <si>
    <t>Total WA Electric Expense</t>
  </si>
  <si>
    <t>E-WA-ADJ</t>
  </si>
  <si>
    <t>Washington Electric</t>
  </si>
  <si>
    <t>Net 2013</t>
  </si>
  <si>
    <t>Twelve Months Ended December 31, 2011</t>
  </si>
  <si>
    <t xml:space="preserve">Data Sources: Confidential Attachment G, of Ms. Feltes’ Exhibit No. ___(KSF-2C), page 205 of 212 </t>
  </si>
  <si>
    <t>Data Sources: Confidential Attachment G, of Ms. Feltes’ Exhibit No. ___(KSF-2C), page 192-204 of 212</t>
  </si>
  <si>
    <t>Data Sources: Avista Response to Public Counsel Data Request No. 174C and 22C</t>
  </si>
  <si>
    <t>XXXXXXXXXXXXXXXXXXXXXXXXX</t>
  </si>
  <si>
    <t>REDACTED VERSION</t>
  </si>
  <si>
    <t>XXXX</t>
  </si>
  <si>
    <t>XXXXXXX</t>
  </si>
  <si>
    <t>XXXXXXXXXX</t>
  </si>
  <si>
    <t>XXXXXXXX</t>
  </si>
  <si>
    <t>XXXXX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</si>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</sst>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dmin &quot;0.000%"/>
    <numFmt numFmtId="165" formatCode="&quot;Union &quot;0.000%"/>
    <numFmt numFmtId="166" formatCode="_(* #,##0_);_(* \(#,##0\);_(* &quot;-&quot;??_);_(@_)"/>
    <numFmt numFmtId="167" formatCode="00000"/>
    <numFmt numFmtId="168" formatCode="_(&quot;$&quot;* #,##0_);_(&quot;$&quot;* \(#,##0\);_(&quot;$&quot;* &quot;-&quot;??_);_(@_)"/>
    <numFmt numFmtId="169" formatCode="#,##0.000_);\(#,##0.000\)"/>
    <numFmt numFmtId="170" formatCode="&quot;WA &quot;0.000%"/>
    <numFmt numFmtId="171" formatCode="&quot;ID &quot;0.000%"/>
    <numFmt numFmtId="172" formatCode="0.000%"/>
    <numFmt numFmtId="173" formatCode="&quot;OR &quot;0.000%"/>
    <numFmt numFmtId="174" formatCode="&quot;El Note 7   &quot;0.000%"/>
    <numFmt numFmtId="175" formatCode="&quot;Gas Note 7   &quot;0.000%"/>
    <numFmt numFmtId="176" formatCode="&quot;OR Note 7  &quot;0.000%"/>
    <numFmt numFmtId="177" formatCode="&quot;Gas Note 8   &quot;0.000%"/>
    <numFmt numFmtId="178" formatCode="&quot;OR Note 8  &quot;0.000%"/>
    <numFmt numFmtId="179" formatCode="#,##0.0000_);\(#,##0.0000\)"/>
    <numFmt numFmtId="180" formatCode="0_);\(0\)"/>
    <numFmt numFmtId="181" formatCode="0.0%"/>
  </numFmts>
  <fonts count="47">
    <font>
      <sz val="10"/>
      <name val="Times New Roman"/>
    </font>
    <font>
      <b/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u/>
      <sz val="10"/>
      <color indexed="36"/>
      <name val="Times New Roman"/>
      <family val="1"/>
    </font>
    <font>
      <sz val="9"/>
      <color rgb="FF0033CC"/>
      <name val="Times New Roman"/>
      <family val="1"/>
    </font>
    <font>
      <sz val="10"/>
      <name val="Times New Roman"/>
      <family val="1"/>
    </font>
    <font>
      <sz val="10"/>
      <name val="Geneva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name val="Times New Roman"/>
      <family val="1"/>
    </font>
    <font>
      <sz val="9"/>
      <color rgb="FF0000FF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color indexed="8"/>
      <name val="MS Sans Serif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8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14"/>
      <name val="Times New Roman"/>
      <family val="1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name val="Times New Roman"/>
      <family val="1"/>
    </font>
    <font>
      <sz val="8"/>
      <name val="Times New Roman"/>
      <family val="1"/>
    </font>
    <font>
      <sz val="8"/>
      <color indexed="12"/>
      <name val="Times New Roman"/>
      <family val="1"/>
    </font>
    <font>
      <u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u/>
      <sz val="9.9499999999999993"/>
      <color indexed="8"/>
      <name val="Times New Roman"/>
      <family val="1"/>
    </font>
    <font>
      <sz val="10"/>
      <name val="Arial"/>
      <family val="2"/>
    </font>
    <font>
      <sz val="8"/>
      <color rgb="FFFF0000"/>
      <name val="Times New Roman"/>
      <family val="1"/>
    </font>
    <font>
      <b/>
      <sz val="9"/>
      <color indexed="12"/>
      <name val="Times New Roman"/>
      <family val="1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8" fillId="0" borderId="0"/>
    <xf numFmtId="0" fontId="21" fillId="0" borderId="0"/>
    <xf numFmtId="44" fontId="42" fillId="0" borderId="0" applyFont="0" applyFill="0" applyBorder="0" applyAlignment="0" applyProtection="0"/>
    <xf numFmtId="0" fontId="21" fillId="0" borderId="0"/>
    <xf numFmtId="0" fontId="43" fillId="0" borderId="0"/>
    <xf numFmtId="9" fontId="42" fillId="0" borderId="0" applyFont="0" applyFill="0" applyBorder="0" applyAlignment="0" applyProtection="0"/>
  </cellStyleXfs>
  <cellXfs count="445">
    <xf numFmtId="0" fontId="0" fillId="0" borderId="0" xfId="0"/>
    <xf numFmtId="0" fontId="3" fillId="0" borderId="0" xfId="4" applyNumberFormat="1" applyFont="1" applyAlignment="1">
      <alignment horizontal="left"/>
    </xf>
    <xf numFmtId="0" fontId="3" fillId="0" borderId="0" xfId="4" applyFont="1"/>
    <xf numFmtId="0" fontId="3" fillId="0" borderId="0" xfId="4" applyNumberFormat="1" applyFont="1" applyAlignment="1">
      <alignment horizontal="center"/>
    </xf>
    <xf numFmtId="41" fontId="3" fillId="0" borderId="0" xfId="4" applyNumberFormat="1" applyFont="1" applyFill="1"/>
    <xf numFmtId="0" fontId="4" fillId="0" borderId="0" xfId="4" applyNumberFormat="1" applyFont="1" applyAlignment="1">
      <alignment horizontal="center"/>
    </xf>
    <xf numFmtId="0" fontId="4" fillId="0" borderId="0" xfId="4" applyFont="1" applyAlignment="1">
      <alignment horizontal="center"/>
    </xf>
    <xf numFmtId="41" fontId="4" fillId="0" borderId="0" xfId="4" applyNumberFormat="1" applyFont="1" applyFill="1" applyAlignment="1">
      <alignment horizontal="center"/>
    </xf>
    <xf numFmtId="0" fontId="4" fillId="0" borderId="1" xfId="4" applyNumberFormat="1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41" fontId="4" fillId="0" borderId="1" xfId="5" applyNumberFormat="1" applyFont="1" applyFill="1" applyBorder="1" applyAlignment="1">
      <alignment horizontal="center"/>
    </xf>
    <xf numFmtId="0" fontId="4" fillId="0" borderId="4" xfId="4" applyNumberFormat="1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0" fontId="4" fillId="0" borderId="6" xfId="4" applyNumberFormat="1" applyFont="1" applyBorder="1" applyAlignment="1">
      <alignment horizontal="center"/>
    </xf>
    <xf numFmtId="0" fontId="4" fillId="0" borderId="7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41" fontId="4" fillId="0" borderId="6" xfId="4" applyNumberFormat="1" applyFont="1" applyFill="1" applyBorder="1" applyAlignment="1">
      <alignment horizontal="center"/>
    </xf>
    <xf numFmtId="2" fontId="4" fillId="0" borderId="0" xfId="4" applyNumberFormat="1" applyFont="1" applyAlignment="1">
      <alignment horizontal="center"/>
    </xf>
    <xf numFmtId="2" fontId="3" fillId="0" borderId="0" xfId="4" applyNumberFormat="1" applyFont="1" applyAlignment="1">
      <alignment horizontal="left"/>
    </xf>
    <xf numFmtId="2" fontId="4" fillId="0" borderId="0" xfId="6" applyNumberFormat="1" applyFont="1" applyFill="1" applyAlignment="1" applyProtection="1">
      <alignment horizontal="center"/>
    </xf>
    <xf numFmtId="37" fontId="3" fillId="0" borderId="0" xfId="4" applyNumberFormat="1" applyFont="1" applyAlignment="1">
      <alignment horizontal="center"/>
    </xf>
    <xf numFmtId="5" fontId="3" fillId="0" borderId="0" xfId="4" applyNumberFormat="1" applyFont="1"/>
    <xf numFmtId="5" fontId="6" fillId="0" borderId="0" xfId="5" applyNumberFormat="1" applyFont="1" applyFill="1" applyBorder="1"/>
    <xf numFmtId="37" fontId="3" fillId="0" borderId="0" xfId="4" applyNumberFormat="1" applyFont="1"/>
    <xf numFmtId="41" fontId="6" fillId="0" borderId="0" xfId="4" applyNumberFormat="1" applyFont="1" applyFill="1"/>
    <xf numFmtId="41" fontId="6" fillId="0" borderId="8" xfId="4" applyNumberFormat="1" applyFont="1" applyFill="1" applyBorder="1"/>
    <xf numFmtId="37" fontId="3" fillId="0" borderId="0" xfId="4" applyNumberFormat="1" applyFont="1" applyFill="1"/>
    <xf numFmtId="37" fontId="3" fillId="0" borderId="0" xfId="4" applyNumberFormat="1" applyFont="1" applyFill="1" applyAlignment="1">
      <alignment horizontal="center"/>
    </xf>
    <xf numFmtId="41" fontId="3" fillId="0" borderId="8" xfId="4" applyNumberFormat="1" applyFont="1" applyFill="1" applyBorder="1"/>
    <xf numFmtId="1" fontId="3" fillId="0" borderId="0" xfId="7" applyNumberFormat="1" applyFont="1" applyAlignment="1">
      <alignment horizontal="center"/>
    </xf>
    <xf numFmtId="9" fontId="3" fillId="0" borderId="0" xfId="3" applyFont="1"/>
    <xf numFmtId="41" fontId="3" fillId="0" borderId="0" xfId="4" applyNumberFormat="1" applyFont="1"/>
    <xf numFmtId="3" fontId="3" fillId="0" borderId="0" xfId="7" applyNumberFormat="1" applyFont="1" applyAlignment="1">
      <alignment horizontal="center"/>
    </xf>
    <xf numFmtId="5" fontId="3" fillId="0" borderId="9" xfId="4" applyNumberFormat="1" applyFont="1" applyFill="1" applyBorder="1"/>
    <xf numFmtId="3" fontId="3" fillId="0" borderId="0" xfId="7" applyNumberFormat="1" applyFont="1" applyFill="1" applyAlignment="1">
      <alignment horizontal="center"/>
    </xf>
    <xf numFmtId="5" fontId="6" fillId="0" borderId="0" xfId="4" applyNumberFormat="1" applyFont="1" applyFill="1"/>
    <xf numFmtId="41" fontId="6" fillId="0" borderId="0" xfId="4" applyNumberFormat="1" applyFont="1"/>
    <xf numFmtId="41" fontId="3" fillId="0" borderId="3" xfId="4" applyNumberFormat="1" applyFont="1" applyFill="1" applyBorder="1"/>
    <xf numFmtId="41" fontId="3" fillId="0" borderId="0" xfId="4" applyNumberFormat="1" applyFont="1" applyFill="1" applyBorder="1"/>
    <xf numFmtId="41" fontId="3" fillId="0" borderId="0" xfId="3" applyNumberFormat="1" applyFont="1" applyFill="1"/>
    <xf numFmtId="3" fontId="3" fillId="0" borderId="0" xfId="0" applyNumberFormat="1" applyFont="1"/>
    <xf numFmtId="3" fontId="9" fillId="0" borderId="0" xfId="8" applyNumberFormat="1" applyFont="1" applyFill="1"/>
    <xf numFmtId="0" fontId="3" fillId="0" borderId="0" xfId="8" applyNumberFormat="1" applyFont="1" applyAlignment="1">
      <alignment horizontal="center"/>
    </xf>
    <xf numFmtId="0" fontId="3" fillId="0" borderId="0" xfId="8" applyFont="1"/>
    <xf numFmtId="0" fontId="7" fillId="0" borderId="0" xfId="0" applyFont="1"/>
    <xf numFmtId="3" fontId="9" fillId="0" borderId="0" xfId="4" applyNumberFormat="1" applyFont="1" applyFill="1"/>
    <xf numFmtId="0" fontId="7" fillId="0" borderId="0" xfId="0" applyFont="1" applyBorder="1"/>
    <xf numFmtId="0" fontId="7" fillId="0" borderId="0" xfId="0" applyFont="1" applyFill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37" fontId="7" fillId="0" borderId="0" xfId="0" applyNumberFormat="1" applyFont="1"/>
    <xf numFmtId="37" fontId="7" fillId="0" borderId="0" xfId="0" applyNumberFormat="1" applyFont="1" applyBorder="1"/>
    <xf numFmtId="37" fontId="7" fillId="0" borderId="0" xfId="0" applyNumberFormat="1" applyFont="1" applyFill="1"/>
    <xf numFmtId="0" fontId="7" fillId="0" borderId="0" xfId="0" applyFont="1" applyFill="1" applyAlignment="1">
      <alignment horizontal="left"/>
    </xf>
    <xf numFmtId="0" fontId="13" fillId="0" borderId="0" xfId="0" applyFont="1"/>
    <xf numFmtId="0" fontId="7" fillId="0" borderId="0" xfId="0" applyFont="1" applyAlignment="1">
      <alignment horizontal="right"/>
    </xf>
    <xf numFmtId="37" fontId="18" fillId="0" borderId="0" xfId="0" applyNumberFormat="1" applyFont="1"/>
    <xf numFmtId="0" fontId="18" fillId="0" borderId="0" xfId="0" applyFont="1" applyBorder="1"/>
    <xf numFmtId="166" fontId="18" fillId="0" borderId="0" xfId="1" applyNumberFormat="1" applyFont="1"/>
    <xf numFmtId="166" fontId="18" fillId="0" borderId="0" xfId="1" applyNumberFormat="1" applyFont="1" applyFill="1"/>
    <xf numFmtId="0" fontId="7" fillId="0" borderId="0" xfId="9" applyFont="1" applyAlignment="1">
      <alignment horizontal="left"/>
    </xf>
    <xf numFmtId="0" fontId="7" fillId="0" borderId="0" xfId="9" applyFont="1"/>
    <xf numFmtId="37" fontId="7" fillId="0" borderId="0" xfId="1" applyNumberFormat="1" applyFont="1" applyBorder="1"/>
    <xf numFmtId="37" fontId="13" fillId="0" borderId="0" xfId="1" applyNumberFormat="1" applyFont="1" applyBorder="1"/>
    <xf numFmtId="0" fontId="17" fillId="0" borderId="0" xfId="0" applyFont="1"/>
    <xf numFmtId="37" fontId="18" fillId="0" borderId="0" xfId="0" applyNumberFormat="1" applyFont="1" applyBorder="1"/>
    <xf numFmtId="0" fontId="22" fillId="0" borderId="0" xfId="10" applyFont="1" applyAlignment="1">
      <alignment horizontal="left"/>
    </xf>
    <xf numFmtId="37" fontId="0" fillId="0" borderId="0" xfId="0" applyNumberFormat="1"/>
    <xf numFmtId="0" fontId="23" fillId="0" borderId="0" xfId="10" applyFont="1" applyAlignment="1">
      <alignment horizontal="left"/>
    </xf>
    <xf numFmtId="37" fontId="28" fillId="0" borderId="0" xfId="10" applyNumberFormat="1" applyFont="1"/>
    <xf numFmtId="10" fontId="14" fillId="0" borderId="0" xfId="3" applyNumberFormat="1" applyFont="1" applyFill="1" applyAlignment="1">
      <alignment horizontal="center"/>
    </xf>
    <xf numFmtId="37" fontId="13" fillId="0" borderId="0" xfId="0" applyNumberFormat="1" applyFont="1"/>
    <xf numFmtId="0" fontId="30" fillId="0" borderId="0" xfId="10" applyFont="1" applyAlignment="1">
      <alignment horizontal="center"/>
    </xf>
    <xf numFmtId="0" fontId="30" fillId="0" borderId="0" xfId="10" applyFont="1" applyFill="1" applyBorder="1" applyAlignment="1">
      <alignment horizontal="center"/>
    </xf>
    <xf numFmtId="37" fontId="13" fillId="0" borderId="8" xfId="10" applyNumberFormat="1" applyFont="1" applyBorder="1" applyAlignment="1">
      <alignment horizontal="center"/>
    </xf>
    <xf numFmtId="37" fontId="13" fillId="0" borderId="8" xfId="0" applyNumberFormat="1" applyFont="1" applyBorder="1" applyAlignment="1">
      <alignment horizontal="center"/>
    </xf>
    <xf numFmtId="37" fontId="13" fillId="0" borderId="0" xfId="0" applyNumberFormat="1" applyFont="1" applyAlignment="1">
      <alignment horizontal="center"/>
    </xf>
    <xf numFmtId="167" fontId="7" fillId="0" borderId="0" xfId="10" applyNumberFormat="1" applyFont="1" applyFill="1" applyBorder="1" applyAlignment="1">
      <alignment horizontal="center"/>
    </xf>
    <xf numFmtId="168" fontId="28" fillId="0" borderId="0" xfId="2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37" fontId="7" fillId="0" borderId="0" xfId="0" applyNumberFormat="1" applyFont="1" applyFill="1" applyBorder="1"/>
    <xf numFmtId="37" fontId="0" fillId="0" borderId="0" xfId="0" applyNumberFormat="1" applyFill="1" applyBorder="1"/>
    <xf numFmtId="167" fontId="28" fillId="0" borderId="0" xfId="10" applyNumberFormat="1" applyFont="1" applyFill="1" applyBorder="1" applyAlignment="1">
      <alignment horizontal="center"/>
    </xf>
    <xf numFmtId="37" fontId="14" fillId="0" borderId="0" xfId="0" applyNumberFormat="1" applyFont="1"/>
    <xf numFmtId="37" fontId="14" fillId="0" borderId="0" xfId="0" applyNumberFormat="1" applyFont="1" applyFill="1" applyBorder="1"/>
    <xf numFmtId="0" fontId="28" fillId="0" borderId="0" xfId="10" applyFont="1"/>
    <xf numFmtId="37" fontId="0" fillId="0" borderId="0" xfId="0" applyNumberFormat="1" applyBorder="1"/>
    <xf numFmtId="37" fontId="0" fillId="0" borderId="9" xfId="0" applyNumberFormat="1" applyBorder="1"/>
    <xf numFmtId="10" fontId="0" fillId="0" borderId="0" xfId="3" applyNumberFormat="1" applyFont="1"/>
    <xf numFmtId="37" fontId="28" fillId="0" borderId="0" xfId="10" applyNumberFormat="1" applyFont="1" applyBorder="1"/>
    <xf numFmtId="37" fontId="28" fillId="0" borderId="0" xfId="10" applyNumberFormat="1" applyFont="1" applyBorder="1" applyAlignment="1">
      <alignment horizontal="right"/>
    </xf>
    <xf numFmtId="37" fontId="0" fillId="0" borderId="0" xfId="0" applyNumberFormat="1" applyFill="1"/>
    <xf numFmtId="10" fontId="28" fillId="0" borderId="0" xfId="3" applyNumberFormat="1" applyFont="1" applyBorder="1"/>
    <xf numFmtId="37" fontId="28" fillId="0" borderId="0" xfId="10" applyNumberFormat="1" applyFont="1" applyFill="1" applyBorder="1"/>
    <xf numFmtId="39" fontId="28" fillId="0" borderId="0" xfId="10" applyNumberFormat="1" applyFont="1"/>
    <xf numFmtId="37" fontId="28" fillId="2" borderId="9" xfId="10" applyNumberFormat="1" applyFont="1" applyFill="1" applyBorder="1"/>
    <xf numFmtId="37" fontId="28" fillId="0" borderId="9" xfId="10" applyNumberFormat="1" applyFont="1" applyFill="1" applyBorder="1"/>
    <xf numFmtId="169" fontId="28" fillId="0" borderId="0" xfId="10" applyNumberFormat="1" applyFont="1" applyFill="1" applyBorder="1"/>
    <xf numFmtId="0" fontId="7" fillId="0" borderId="0" xfId="10" applyFont="1"/>
    <xf numFmtId="172" fontId="7" fillId="0" borderId="0" xfId="10" applyNumberFormat="1" applyFont="1"/>
    <xf numFmtId="0" fontId="15" fillId="0" borderId="0" xfId="10" applyFont="1" applyBorder="1" applyAlignment="1">
      <alignment horizontal="center"/>
    </xf>
    <xf numFmtId="37" fontId="7" fillId="0" borderId="0" xfId="10" applyNumberFormat="1" applyFont="1"/>
    <xf numFmtId="37" fontId="7" fillId="0" borderId="0" xfId="10" applyNumberFormat="1" applyFont="1" applyBorder="1"/>
    <xf numFmtId="37" fontId="7" fillId="0" borderId="8" xfId="10" applyNumberFormat="1" applyFont="1" applyBorder="1"/>
    <xf numFmtId="166" fontId="7" fillId="0" borderId="0" xfId="1" applyNumberFormat="1" applyFont="1"/>
    <xf numFmtId="0" fontId="29" fillId="0" borderId="0" xfId="10" applyFont="1"/>
    <xf numFmtId="0" fontId="39" fillId="0" borderId="0" xfId="10" applyFont="1"/>
    <xf numFmtId="0" fontId="3" fillId="0" borderId="0" xfId="4" applyNumberFormat="1" applyFont="1" applyFill="1" applyAlignment="1">
      <alignment horizontal="left"/>
    </xf>
    <xf numFmtId="0" fontId="0" fillId="0" borderId="0" xfId="0" applyBorder="1"/>
    <xf numFmtId="0" fontId="0" fillId="0" borderId="33" xfId="0" applyBorder="1"/>
    <xf numFmtId="0" fontId="0" fillId="0" borderId="34" xfId="0" applyBorder="1"/>
    <xf numFmtId="0" fontId="0" fillId="0" borderId="37" xfId="0" applyBorder="1"/>
    <xf numFmtId="0" fontId="0" fillId="0" borderId="41" xfId="0" applyBorder="1"/>
    <xf numFmtId="0" fontId="0" fillId="0" borderId="41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6" fontId="0" fillId="0" borderId="8" xfId="1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0" xfId="0" applyNumberFormat="1"/>
    <xf numFmtId="166" fontId="0" fillId="0" borderId="0" xfId="1" applyNumberFormat="1" applyFont="1" applyBorder="1"/>
    <xf numFmtId="181" fontId="0" fillId="0" borderId="0" xfId="3" applyNumberFormat="1" applyFont="1"/>
    <xf numFmtId="10" fontId="0" fillId="0" borderId="0" xfId="0" applyNumberFormat="1"/>
    <xf numFmtId="0" fontId="44" fillId="0" borderId="0" xfId="0" applyFont="1"/>
    <xf numFmtId="37" fontId="13" fillId="0" borderId="9" xfId="0" applyNumberFormat="1" applyFont="1" applyFill="1" applyBorder="1"/>
    <xf numFmtId="37" fontId="7" fillId="0" borderId="9" xfId="0" applyNumberFormat="1" applyFont="1" applyBorder="1"/>
    <xf numFmtId="0" fontId="44" fillId="0" borderId="0" xfId="0" applyFont="1" applyFill="1"/>
    <xf numFmtId="37" fontId="13" fillId="0" borderId="0" xfId="0" applyNumberFormat="1" applyFont="1" applyFill="1"/>
    <xf numFmtId="0" fontId="7" fillId="0" borderId="3" xfId="0" applyFont="1" applyBorder="1"/>
    <xf numFmtId="37" fontId="13" fillId="0" borderId="8" xfId="0" applyNumberFormat="1" applyFont="1" applyFill="1" applyBorder="1"/>
    <xf numFmtId="37" fontId="13" fillId="0" borderId="0" xfId="0" applyNumberFormat="1" applyFont="1" applyFill="1" applyBorder="1"/>
    <xf numFmtId="0" fontId="13" fillId="0" borderId="0" xfId="0" applyFont="1" applyFill="1"/>
    <xf numFmtId="0" fontId="7" fillId="0" borderId="0" xfId="0" applyFont="1" applyFill="1" applyBorder="1"/>
    <xf numFmtId="0" fontId="13" fillId="0" borderId="8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5" fillId="0" borderId="0" xfId="0" applyFont="1"/>
    <xf numFmtId="0" fontId="13" fillId="0" borderId="0" xfId="0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3" fontId="45" fillId="0" borderId="0" xfId="0" applyNumberFormat="1" applyFont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Fill="1"/>
    <xf numFmtId="0" fontId="13" fillId="0" borderId="0" xfId="0" applyFont="1" applyFill="1" applyAlignment="1">
      <alignment horizontal="left"/>
    </xf>
    <xf numFmtId="0" fontId="7" fillId="0" borderId="32" xfId="0" applyFont="1" applyBorder="1"/>
    <xf numFmtId="0" fontId="23" fillId="3" borderId="0" xfId="4" applyNumberFormat="1" applyFont="1" applyFill="1" applyAlignment="1">
      <alignment horizontal="left"/>
    </xf>
    <xf numFmtId="0" fontId="23" fillId="3" borderId="0" xfId="0" applyFont="1" applyFill="1"/>
    <xf numFmtId="0" fontId="23" fillId="3" borderId="0" xfId="4" applyFont="1" applyFill="1"/>
    <xf numFmtId="0" fontId="3" fillId="3" borderId="0" xfId="4" applyFont="1" applyFill="1"/>
    <xf numFmtId="0" fontId="4" fillId="3" borderId="0" xfId="4" applyFont="1" applyFill="1"/>
    <xf numFmtId="0" fontId="0" fillId="3" borderId="0" xfId="0" applyFill="1"/>
    <xf numFmtId="0" fontId="3" fillId="3" borderId="0" xfId="4" applyNumberFormat="1" applyFont="1" applyFill="1" applyAlignment="1">
      <alignment horizontal="center"/>
    </xf>
    <xf numFmtId="0" fontId="3" fillId="3" borderId="0" xfId="4" applyNumberFormat="1" applyFont="1" applyFill="1" applyAlignment="1">
      <alignment horizontal="left"/>
    </xf>
    <xf numFmtId="0" fontId="7" fillId="3" borderId="0" xfId="0" applyFont="1" applyFill="1"/>
    <xf numFmtId="0" fontId="0" fillId="3" borderId="0" xfId="0" applyFill="1" applyAlignment="1">
      <alignment horizontal="center"/>
    </xf>
    <xf numFmtId="0" fontId="0" fillId="3" borderId="34" xfId="0" applyFill="1" applyBorder="1"/>
    <xf numFmtId="0" fontId="0" fillId="3" borderId="35" xfId="0" applyFill="1" applyBorder="1"/>
    <xf numFmtId="0" fontId="0" fillId="3" borderId="41" xfId="0" applyFill="1" applyBorder="1"/>
    <xf numFmtId="0" fontId="0" fillId="3" borderId="0" xfId="0" applyFill="1" applyBorder="1"/>
    <xf numFmtId="0" fontId="0" fillId="3" borderId="42" xfId="0" applyFill="1" applyBorder="1"/>
    <xf numFmtId="166" fontId="0" fillId="3" borderId="0" xfId="1" applyNumberFormat="1" applyFont="1" applyFill="1" applyBorder="1"/>
    <xf numFmtId="3" fontId="0" fillId="3" borderId="42" xfId="0" applyNumberFormat="1" applyFill="1" applyBorder="1"/>
    <xf numFmtId="0" fontId="13" fillId="3" borderId="0" xfId="0" applyFont="1" applyFill="1" applyBorder="1"/>
    <xf numFmtId="0" fontId="7" fillId="3" borderId="38" xfId="0" applyFont="1" applyFill="1" applyBorder="1"/>
    <xf numFmtId="0" fontId="7" fillId="3" borderId="39" xfId="0" applyFont="1" applyFill="1" applyBorder="1"/>
    <xf numFmtId="166" fontId="0" fillId="3" borderId="44" xfId="1" applyNumberFormat="1" applyFont="1" applyFill="1" applyBorder="1"/>
    <xf numFmtId="166" fontId="0" fillId="3" borderId="45" xfId="1" applyNumberFormat="1" applyFont="1" applyFill="1" applyBorder="1" applyAlignment="1"/>
    <xf numFmtId="0" fontId="13" fillId="3" borderId="0" xfId="0" applyFont="1" applyFill="1"/>
    <xf numFmtId="10" fontId="0" fillId="3" borderId="0" xfId="3" applyNumberFormat="1" applyFont="1" applyFill="1"/>
    <xf numFmtId="10" fontId="0" fillId="3" borderId="0" xfId="0" applyNumberFormat="1" applyFill="1"/>
    <xf numFmtId="10" fontId="20" fillId="3" borderId="16" xfId="0" applyNumberFormat="1" applyFont="1" applyFill="1" applyBorder="1"/>
    <xf numFmtId="10" fontId="20" fillId="3" borderId="16" xfId="3" applyNumberFormat="1" applyFont="1" applyFill="1" applyBorder="1"/>
    <xf numFmtId="0" fontId="0" fillId="4" borderId="0" xfId="0" applyFill="1"/>
    <xf numFmtId="0" fontId="22" fillId="3" borderId="0" xfId="10" applyFont="1" applyFill="1" applyAlignment="1">
      <alignment horizontal="left"/>
    </xf>
    <xf numFmtId="37" fontId="0" fillId="3" borderId="0" xfId="0" applyNumberFormat="1" applyFill="1"/>
    <xf numFmtId="0" fontId="23" fillId="3" borderId="0" xfId="10" applyFont="1" applyFill="1" applyAlignment="1">
      <alignment horizontal="left"/>
    </xf>
    <xf numFmtId="0" fontId="24" fillId="3" borderId="0" xfId="10" applyFont="1" applyFill="1"/>
    <xf numFmtId="0" fontId="25" fillId="3" borderId="0" xfId="10" applyFont="1" applyFill="1"/>
    <xf numFmtId="37" fontId="26" fillId="3" borderId="0" xfId="10" applyNumberFormat="1" applyFont="1" applyFill="1"/>
    <xf numFmtId="37" fontId="27" fillId="3" borderId="0" xfId="10" applyNumberFormat="1" applyFont="1" applyFill="1"/>
    <xf numFmtId="37" fontId="28" fillId="3" borderId="0" xfId="10" applyNumberFormat="1" applyFont="1" applyFill="1"/>
    <xf numFmtId="37" fontId="28" fillId="3" borderId="0" xfId="10" applyNumberFormat="1" applyFont="1" applyFill="1" applyAlignment="1">
      <alignment horizontal="center"/>
    </xf>
    <xf numFmtId="37" fontId="28" fillId="3" borderId="0" xfId="10" applyNumberFormat="1" applyFont="1" applyFill="1" applyAlignment="1">
      <alignment horizontal="right"/>
    </xf>
    <xf numFmtId="37" fontId="29" fillId="3" borderId="0" xfId="10" applyNumberFormat="1" applyFont="1" applyFill="1"/>
    <xf numFmtId="0" fontId="13" fillId="3" borderId="0" xfId="10" applyNumberFormat="1" applyFont="1" applyFill="1" applyAlignment="1">
      <alignment horizontal="center"/>
    </xf>
    <xf numFmtId="0" fontId="29" fillId="3" borderId="0" xfId="10" applyNumberFormat="1" applyFont="1" applyFill="1" applyAlignment="1">
      <alignment horizontal="center"/>
    </xf>
    <xf numFmtId="37" fontId="13" fillId="3" borderId="0" xfId="0" applyNumberFormat="1" applyFont="1" applyFill="1"/>
    <xf numFmtId="0" fontId="30" fillId="3" borderId="0" xfId="1" quotePrefix="1" applyNumberFormat="1" applyFont="1" applyFill="1" applyAlignment="1">
      <alignment horizontal="center"/>
    </xf>
    <xf numFmtId="37" fontId="31" fillId="3" borderId="0" xfId="10" applyNumberFormat="1" applyFont="1" applyFill="1" applyAlignment="1">
      <alignment horizontal="center"/>
    </xf>
    <xf numFmtId="37" fontId="13" fillId="3" borderId="0" xfId="10" applyNumberFormat="1" applyFont="1" applyFill="1" applyAlignment="1">
      <alignment horizontal="center"/>
    </xf>
    <xf numFmtId="37" fontId="13" fillId="3" borderId="8" xfId="0" applyNumberFormat="1" applyFont="1" applyFill="1" applyBorder="1"/>
    <xf numFmtId="37" fontId="29" fillId="3" borderId="8" xfId="10" applyNumberFormat="1" applyFont="1" applyFill="1" applyBorder="1" applyAlignment="1">
      <alignment horizontal="center"/>
    </xf>
    <xf numFmtId="0" fontId="29" fillId="3" borderId="8" xfId="10" applyNumberFormat="1" applyFont="1" applyFill="1" applyBorder="1" applyAlignment="1">
      <alignment horizontal="center"/>
    </xf>
    <xf numFmtId="37" fontId="13" fillId="3" borderId="8" xfId="10" applyNumberFormat="1" applyFont="1" applyFill="1" applyBorder="1" applyAlignment="1">
      <alignment horizontal="center"/>
    </xf>
    <xf numFmtId="0" fontId="13" fillId="3" borderId="8" xfId="0" applyNumberFormat="1" applyFont="1" applyFill="1" applyBorder="1" applyAlignment="1">
      <alignment horizontal="center"/>
    </xf>
    <xf numFmtId="37" fontId="13" fillId="3" borderId="8" xfId="0" applyNumberFormat="1" applyFont="1" applyFill="1" applyBorder="1" applyAlignment="1">
      <alignment horizontal="center"/>
    </xf>
    <xf numFmtId="167" fontId="7" fillId="3" borderId="0" xfId="10" applyNumberFormat="1" applyFont="1" applyFill="1" applyBorder="1" applyAlignment="1">
      <alignment horizontal="center"/>
    </xf>
    <xf numFmtId="37" fontId="14" fillId="3" borderId="0" xfId="10" applyNumberFormat="1" applyFont="1" applyFill="1" applyBorder="1" applyAlignment="1">
      <alignment horizontal="right"/>
    </xf>
    <xf numFmtId="37" fontId="7" fillId="3" borderId="0" xfId="10" applyNumberFormat="1" applyFont="1" applyFill="1" applyBorder="1" applyAlignment="1">
      <alignment horizontal="right"/>
    </xf>
    <xf numFmtId="10" fontId="7" fillId="3" borderId="0" xfId="3" applyNumberFormat="1" applyFont="1" applyFill="1" applyBorder="1" applyAlignment="1">
      <alignment horizontal="right"/>
    </xf>
    <xf numFmtId="37" fontId="7" fillId="3" borderId="0" xfId="0" applyNumberFormat="1" applyFont="1" applyFill="1" applyAlignment="1">
      <alignment horizontal="right"/>
    </xf>
    <xf numFmtId="9" fontId="14" fillId="3" borderId="0" xfId="0" applyNumberFormat="1" applyFont="1" applyFill="1"/>
    <xf numFmtId="167" fontId="28" fillId="3" borderId="0" xfId="10" applyNumberFormat="1" applyFont="1" applyFill="1" applyBorder="1" applyAlignment="1">
      <alignment horizontal="center"/>
    </xf>
    <xf numFmtId="37" fontId="7" fillId="3" borderId="0" xfId="10" applyNumberFormat="1" applyFont="1" applyFill="1" applyBorder="1" applyAlignment="1">
      <alignment horizontal="left"/>
    </xf>
    <xf numFmtId="37" fontId="7" fillId="3" borderId="0" xfId="0" applyNumberFormat="1" applyFont="1" applyFill="1"/>
    <xf numFmtId="37" fontId="7" fillId="3" borderId="0" xfId="0" applyNumberFormat="1" applyFont="1" applyFill="1" applyBorder="1" applyAlignment="1">
      <alignment horizontal="right"/>
    </xf>
    <xf numFmtId="9" fontId="14" fillId="3" borderId="0" xfId="0" applyNumberFormat="1" applyFont="1" applyFill="1" applyBorder="1"/>
    <xf numFmtId="37" fontId="0" fillId="3" borderId="0" xfId="0" applyNumberFormat="1" applyFill="1" applyBorder="1"/>
    <xf numFmtId="37" fontId="14" fillId="3" borderId="8" xfId="10" applyNumberFormat="1" applyFont="1" applyFill="1" applyBorder="1" applyAlignment="1">
      <alignment horizontal="right"/>
    </xf>
    <xf numFmtId="37" fontId="7" fillId="3" borderId="8" xfId="10" applyNumberFormat="1" applyFont="1" applyFill="1" applyBorder="1" applyAlignment="1">
      <alignment horizontal="right"/>
    </xf>
    <xf numFmtId="10" fontId="7" fillId="3" borderId="8" xfId="3" applyNumberFormat="1" applyFont="1" applyFill="1" applyBorder="1" applyAlignment="1">
      <alignment horizontal="right"/>
    </xf>
    <xf numFmtId="37" fontId="7" fillId="3" borderId="8" xfId="0" applyNumberFormat="1" applyFont="1" applyFill="1" applyBorder="1" applyAlignment="1">
      <alignment horizontal="right"/>
    </xf>
    <xf numFmtId="37" fontId="0" fillId="3" borderId="8" xfId="0" applyNumberFormat="1" applyFill="1" applyBorder="1"/>
    <xf numFmtId="167" fontId="28" fillId="3" borderId="0" xfId="10" applyNumberFormat="1" applyFont="1" applyFill="1" applyAlignment="1">
      <alignment horizontal="center"/>
    </xf>
    <xf numFmtId="37" fontId="28" fillId="3" borderId="13" xfId="10" applyNumberFormat="1" applyFont="1" applyFill="1" applyBorder="1" applyAlignment="1">
      <alignment horizontal="right"/>
    </xf>
    <xf numFmtId="37" fontId="28" fillId="3" borderId="0" xfId="10" applyNumberFormat="1" applyFont="1" applyFill="1" applyBorder="1" applyAlignment="1">
      <alignment horizontal="right"/>
    </xf>
    <xf numFmtId="37" fontId="28" fillId="3" borderId="3" xfId="10" applyNumberFormat="1" applyFont="1" applyFill="1" applyBorder="1" applyAlignment="1">
      <alignment horizontal="right"/>
    </xf>
    <xf numFmtId="37" fontId="0" fillId="3" borderId="9" xfId="0" applyNumberFormat="1" applyFill="1" applyBorder="1"/>
    <xf numFmtId="10" fontId="17" fillId="3" borderId="16" xfId="3" applyNumberFormat="1" applyFont="1" applyFill="1" applyBorder="1"/>
    <xf numFmtId="37" fontId="28" fillId="3" borderId="0" xfId="10" applyNumberFormat="1" applyFont="1" applyFill="1" applyBorder="1"/>
    <xf numFmtId="37" fontId="13" fillId="3" borderId="17" xfId="0" applyNumberFormat="1" applyFont="1" applyFill="1" applyBorder="1"/>
    <xf numFmtId="37" fontId="13" fillId="3" borderId="18" xfId="0" applyNumberFormat="1" applyFont="1" applyFill="1" applyBorder="1"/>
    <xf numFmtId="37" fontId="13" fillId="3" borderId="19" xfId="0" applyNumberFormat="1" applyFont="1" applyFill="1" applyBorder="1"/>
    <xf numFmtId="37" fontId="14" fillId="3" borderId="0" xfId="10" quotePrefix="1" applyNumberFormat="1" applyFont="1" applyFill="1" applyBorder="1" applyAlignment="1">
      <alignment horizontal="center"/>
    </xf>
    <xf numFmtId="37" fontId="17" fillId="3" borderId="16" xfId="0" applyNumberFormat="1" applyFont="1" applyFill="1" applyBorder="1"/>
    <xf numFmtId="0" fontId="7" fillId="3" borderId="0" xfId="10" applyFont="1" applyFill="1" applyAlignment="1">
      <alignment horizontal="left"/>
    </xf>
    <xf numFmtId="0" fontId="7" fillId="3" borderId="0" xfId="10" applyFont="1" applyFill="1"/>
    <xf numFmtId="0" fontId="14" fillId="3" borderId="0" xfId="10" applyFont="1" applyFill="1" applyAlignment="1">
      <alignment horizontal="left"/>
    </xf>
    <xf numFmtId="0" fontId="35" fillId="3" borderId="0" xfId="10" applyFont="1" applyFill="1" applyAlignment="1">
      <alignment horizontal="left"/>
    </xf>
    <xf numFmtId="0" fontId="36" fillId="3" borderId="0" xfId="0" applyFont="1" applyFill="1" applyAlignment="1">
      <alignment horizontal="right"/>
    </xf>
    <xf numFmtId="170" fontId="37" fillId="3" borderId="23" xfId="10" applyNumberFormat="1" applyFont="1" applyFill="1" applyBorder="1" applyAlignment="1">
      <alignment horizontal="center"/>
    </xf>
    <xf numFmtId="171" fontId="37" fillId="3" borderId="24" xfId="10" applyNumberFormat="1" applyFont="1" applyFill="1" applyBorder="1" applyAlignment="1">
      <alignment horizontal="center"/>
    </xf>
    <xf numFmtId="0" fontId="7" fillId="3" borderId="2" xfId="0" applyFont="1" applyFill="1" applyBorder="1"/>
    <xf numFmtId="0" fontId="7" fillId="3" borderId="3" xfId="0" applyFont="1" applyFill="1" applyBorder="1"/>
    <xf numFmtId="0" fontId="7" fillId="3" borderId="10" xfId="10" applyFont="1" applyFill="1" applyBorder="1"/>
    <xf numFmtId="170" fontId="37" fillId="3" borderId="25" xfId="10" applyNumberFormat="1" applyFont="1" applyFill="1" applyBorder="1" applyAlignment="1">
      <alignment horizontal="center"/>
    </xf>
    <xf numFmtId="171" fontId="37" fillId="3" borderId="26" xfId="10" applyNumberFormat="1" applyFont="1" applyFill="1" applyBorder="1" applyAlignment="1">
      <alignment horizontal="center"/>
    </xf>
    <xf numFmtId="171" fontId="37" fillId="3" borderId="27" xfId="10" applyNumberFormat="1" applyFont="1" applyFill="1" applyBorder="1" applyAlignment="1">
      <alignment horizontal="center"/>
    </xf>
    <xf numFmtId="173" fontId="37" fillId="3" borderId="28" xfId="10" applyNumberFormat="1" applyFont="1" applyFill="1" applyBorder="1" applyAlignment="1">
      <alignment horizontal="center"/>
    </xf>
    <xf numFmtId="0" fontId="7" fillId="3" borderId="11" xfId="10" applyFont="1" applyFill="1" applyBorder="1"/>
    <xf numFmtId="0" fontId="28" fillId="3" borderId="5" xfId="10" applyFont="1" applyFill="1" applyBorder="1"/>
    <xf numFmtId="0" fontId="28" fillId="3" borderId="11" xfId="10" applyFont="1" applyFill="1" applyBorder="1"/>
    <xf numFmtId="0" fontId="28" fillId="3" borderId="0" xfId="10" applyFont="1" applyFill="1" applyBorder="1"/>
    <xf numFmtId="0" fontId="24" fillId="3" borderId="0" xfId="10" applyFont="1" applyFill="1" applyAlignment="1">
      <alignment horizontal="right"/>
    </xf>
    <xf numFmtId="0" fontId="24" fillId="3" borderId="0" xfId="10" applyFont="1" applyFill="1" applyAlignment="1">
      <alignment horizontal="center"/>
    </xf>
    <xf numFmtId="0" fontId="28" fillId="3" borderId="7" xfId="10" applyFont="1" applyFill="1" applyBorder="1"/>
    <xf numFmtId="0" fontId="28" fillId="3" borderId="12" xfId="10" applyFont="1" applyFill="1" applyBorder="1"/>
    <xf numFmtId="170" fontId="37" fillId="3" borderId="29" xfId="10" applyNumberFormat="1" applyFont="1" applyFill="1" applyBorder="1" applyAlignment="1">
      <alignment horizontal="center"/>
    </xf>
    <xf numFmtId="171" fontId="37" fillId="3" borderId="30" xfId="10" applyNumberFormat="1" applyFont="1" applyFill="1" applyBorder="1" applyAlignment="1">
      <alignment horizontal="center"/>
    </xf>
    <xf numFmtId="173" fontId="37" fillId="3" borderId="31" xfId="10" applyNumberFormat="1" applyFont="1" applyFill="1" applyBorder="1" applyAlignment="1">
      <alignment horizontal="center"/>
    </xf>
    <xf numFmtId="0" fontId="7" fillId="3" borderId="12" xfId="10" applyFont="1" applyFill="1" applyBorder="1"/>
    <xf numFmtId="0" fontId="38" fillId="3" borderId="0" xfId="10" applyFont="1" applyFill="1" applyAlignment="1">
      <alignment horizontal="center"/>
    </xf>
    <xf numFmtId="170" fontId="15" fillId="3" borderId="0" xfId="10" applyNumberFormat="1" applyFont="1" applyFill="1" applyBorder="1" applyAlignment="1">
      <alignment horizontal="center"/>
    </xf>
    <xf numFmtId="171" fontId="15" fillId="3" borderId="0" xfId="10" applyNumberFormat="1" applyFont="1" applyFill="1" applyBorder="1" applyAlignment="1">
      <alignment horizontal="center"/>
    </xf>
    <xf numFmtId="0" fontId="15" fillId="3" borderId="0" xfId="10" applyFont="1" applyFill="1" applyAlignment="1">
      <alignment horizontal="center"/>
    </xf>
    <xf numFmtId="37" fontId="7" fillId="3" borderId="0" xfId="10" applyNumberFormat="1" applyFont="1" applyFill="1"/>
    <xf numFmtId="37" fontId="28" fillId="3" borderId="3" xfId="10" applyNumberFormat="1" applyFont="1" applyFill="1" applyBorder="1"/>
    <xf numFmtId="3" fontId="28" fillId="3" borderId="3" xfId="10" applyNumberFormat="1" applyFont="1" applyFill="1" applyBorder="1"/>
    <xf numFmtId="0" fontId="28" fillId="3" borderId="0" xfId="10" applyFont="1" applyFill="1" applyBorder="1" applyAlignment="1">
      <alignment horizontal="right"/>
    </xf>
    <xf numFmtId="37" fontId="17" fillId="3" borderId="16" xfId="10" applyNumberFormat="1" applyFont="1" applyFill="1" applyBorder="1"/>
    <xf numFmtId="0" fontId="28" fillId="3" borderId="0" xfId="10" applyFont="1" applyFill="1"/>
    <xf numFmtId="179" fontId="14" fillId="3" borderId="0" xfId="10" applyNumberFormat="1" applyFont="1" applyFill="1"/>
    <xf numFmtId="179" fontId="7" fillId="3" borderId="0" xfId="10" applyNumberFormat="1" applyFont="1" applyFill="1"/>
    <xf numFmtId="0" fontId="29" fillId="3" borderId="0" xfId="10" applyFont="1" applyFill="1" applyBorder="1"/>
    <xf numFmtId="37" fontId="13" fillId="3" borderId="0" xfId="10" applyNumberFormat="1" applyFont="1" applyFill="1" applyBorder="1"/>
    <xf numFmtId="0" fontId="13" fillId="3" borderId="0" xfId="10" applyFont="1" applyFill="1"/>
    <xf numFmtId="37" fontId="7" fillId="3" borderId="0" xfId="10" applyNumberFormat="1" applyFont="1" applyFill="1" applyBorder="1"/>
    <xf numFmtId="37" fontId="7" fillId="3" borderId="9" xfId="10" applyNumberFormat="1" applyFont="1" applyFill="1" applyBorder="1"/>
    <xf numFmtId="37" fontId="7" fillId="3" borderId="32" xfId="10" applyNumberFormat="1" applyFont="1" applyFill="1" applyBorder="1"/>
    <xf numFmtId="0" fontId="38" fillId="3" borderId="0" xfId="10" applyFont="1" applyFill="1"/>
    <xf numFmtId="37" fontId="13" fillId="3" borderId="0" xfId="10" applyNumberFormat="1" applyFont="1" applyFill="1"/>
    <xf numFmtId="180" fontId="28" fillId="3" borderId="0" xfId="10" applyNumberFormat="1" applyFont="1" applyFill="1"/>
    <xf numFmtId="37" fontId="28" fillId="3" borderId="8" xfId="10" applyNumberFormat="1" applyFont="1" applyFill="1" applyBorder="1"/>
    <xf numFmtId="37" fontId="28" fillId="3" borderId="20" xfId="10" applyNumberFormat="1" applyFont="1" applyFill="1" applyBorder="1"/>
    <xf numFmtId="0" fontId="39" fillId="3" borderId="0" xfId="10" applyFont="1" applyFill="1"/>
    <xf numFmtId="166" fontId="39" fillId="3" borderId="0" xfId="1" applyNumberFormat="1" applyFont="1" applyFill="1"/>
    <xf numFmtId="0" fontId="19" fillId="3" borderId="0" xfId="9" applyFont="1" applyFill="1" applyAlignment="1">
      <alignment horizontal="left"/>
    </xf>
    <xf numFmtId="0" fontId="13" fillId="3" borderId="0" xfId="9" applyFont="1" applyFill="1" applyAlignment="1">
      <alignment horizontal="left"/>
    </xf>
    <xf numFmtId="0" fontId="7" fillId="3" borderId="0" xfId="9" applyFont="1" applyFill="1" applyAlignment="1">
      <alignment horizontal="left"/>
    </xf>
    <xf numFmtId="0" fontId="7" fillId="3" borderId="0" xfId="9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3" fontId="7" fillId="3" borderId="0" xfId="0" quotePrefix="1" applyNumberFormat="1" applyFont="1" applyFill="1" applyAlignment="1">
      <alignment horizontal="center"/>
    </xf>
    <xf numFmtId="0" fontId="7" fillId="3" borderId="0" xfId="9" applyFont="1" applyFill="1"/>
    <xf numFmtId="0" fontId="15" fillId="3" borderId="0" xfId="0" applyFont="1" applyFill="1" applyBorder="1" applyAlignment="1">
      <alignment horizontal="center"/>
    </xf>
    <xf numFmtId="165" fontId="15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7" fillId="3" borderId="0" xfId="0" applyFont="1" applyFill="1" applyBorder="1"/>
    <xf numFmtId="0" fontId="7" fillId="3" borderId="0" xfId="0" applyFont="1" applyFill="1" applyAlignment="1">
      <alignment horizontal="left"/>
    </xf>
    <xf numFmtId="37" fontId="13" fillId="3" borderId="0" xfId="1" applyNumberFormat="1" applyFont="1" applyFill="1"/>
    <xf numFmtId="37" fontId="7" fillId="3" borderId="0" xfId="0" applyNumberFormat="1" applyFont="1" applyFill="1" applyBorder="1"/>
    <xf numFmtId="37" fontId="7" fillId="3" borderId="13" xfId="9" applyNumberFormat="1" applyFont="1" applyFill="1" applyBorder="1"/>
    <xf numFmtId="37" fontId="7" fillId="3" borderId="0" xfId="9" applyNumberFormat="1" applyFont="1" applyFill="1" applyBorder="1"/>
    <xf numFmtId="37" fontId="7" fillId="3" borderId="8" xfId="9" applyNumberFormat="1" applyFont="1" applyFill="1" applyBorder="1"/>
    <xf numFmtId="37" fontId="7" fillId="3" borderId="0" xfId="9" applyNumberFormat="1" applyFont="1" applyFill="1"/>
    <xf numFmtId="37" fontId="7" fillId="3" borderId="0" xfId="1" applyNumberFormat="1" applyFont="1" applyFill="1" applyBorder="1"/>
    <xf numFmtId="37" fontId="13" fillId="3" borderId="0" xfId="1" applyNumberFormat="1" applyFont="1" applyFill="1" applyBorder="1"/>
    <xf numFmtId="37" fontId="7" fillId="3" borderId="0" xfId="1" applyNumberFormat="1" applyFont="1" applyFill="1"/>
    <xf numFmtId="164" fontId="13" fillId="3" borderId="0" xfId="0" applyNumberFormat="1" applyFont="1" applyFill="1" applyAlignment="1">
      <alignment horizontal="center"/>
    </xf>
    <xf numFmtId="37" fontId="7" fillId="3" borderId="16" xfId="0" applyNumberFormat="1" applyFont="1" applyFill="1" applyBorder="1"/>
    <xf numFmtId="0" fontId="13" fillId="3" borderId="0" xfId="9" applyFont="1" applyFill="1"/>
    <xf numFmtId="37" fontId="13" fillId="3" borderId="0" xfId="9" applyNumberFormat="1" applyFont="1" applyFill="1"/>
    <xf numFmtId="37" fontId="13" fillId="3" borderId="0" xfId="0" applyNumberFormat="1" applyFont="1" applyFill="1" applyAlignment="1">
      <alignment horizontal="center"/>
    </xf>
    <xf numFmtId="37" fontId="13" fillId="3" borderId="0" xfId="9" applyNumberFormat="1" applyFont="1" applyFill="1" applyAlignment="1">
      <alignment horizontal="center"/>
    </xf>
    <xf numFmtId="37" fontId="13" fillId="3" borderId="0" xfId="9" applyNumberFormat="1" applyFont="1" applyFill="1" applyBorder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165" fontId="16" fillId="3" borderId="0" xfId="0" applyNumberFormat="1" applyFont="1" applyFill="1" applyAlignment="1">
      <alignment horizontal="center"/>
    </xf>
    <xf numFmtId="37" fontId="7" fillId="3" borderId="13" xfId="0" applyNumberFormat="1" applyFont="1" applyFill="1" applyBorder="1"/>
    <xf numFmtId="37" fontId="7" fillId="3" borderId="8" xfId="0" applyNumberFormat="1" applyFont="1" applyFill="1" applyBorder="1"/>
    <xf numFmtId="37" fontId="13" fillId="3" borderId="15" xfId="0" applyNumberFormat="1" applyFont="1" applyFill="1" applyBorder="1"/>
    <xf numFmtId="37" fontId="7" fillId="3" borderId="15" xfId="0" applyNumberFormat="1" applyFont="1" applyFill="1" applyBorder="1"/>
    <xf numFmtId="39" fontId="7" fillId="3" borderId="0" xfId="0" applyNumberFormat="1" applyFont="1" applyFill="1"/>
    <xf numFmtId="0" fontId="36" fillId="3" borderId="0" xfId="0" applyFont="1" applyFill="1"/>
    <xf numFmtId="0" fontId="36" fillId="3" borderId="0" xfId="0" applyFont="1" applyFill="1" applyAlignment="1">
      <alignment horizontal="left"/>
    </xf>
    <xf numFmtId="0" fontId="36" fillId="3" borderId="0" xfId="0" applyFont="1" applyFill="1" applyBorder="1" applyAlignment="1">
      <alignment horizontal="left"/>
    </xf>
    <xf numFmtId="0" fontId="44" fillId="3" borderId="0" xfId="0" applyFont="1" applyFill="1"/>
    <xf numFmtId="0" fontId="14" fillId="3" borderId="0" xfId="0" applyFont="1" applyFill="1" applyAlignment="1">
      <alignment horizontal="left"/>
    </xf>
    <xf numFmtId="0" fontId="30" fillId="3" borderId="0" xfId="0" applyFont="1" applyFill="1" applyAlignment="1">
      <alignment horizontal="center"/>
    </xf>
    <xf numFmtId="0" fontId="30" fillId="3" borderId="0" xfId="0" applyFont="1" applyFill="1" applyBorder="1" applyAlignment="1">
      <alignment horizontal="center"/>
    </xf>
    <xf numFmtId="3" fontId="45" fillId="3" borderId="0" xfId="0" applyNumberFormat="1" applyFont="1" applyFill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5" fillId="3" borderId="0" xfId="0" applyFont="1" applyFill="1"/>
    <xf numFmtId="0" fontId="13" fillId="3" borderId="8" xfId="0" applyFont="1" applyFill="1" applyBorder="1" applyAlignment="1">
      <alignment horizontal="center"/>
    </xf>
    <xf numFmtId="37" fontId="7" fillId="3" borderId="3" xfId="0" applyNumberFormat="1" applyFont="1" applyFill="1" applyBorder="1"/>
    <xf numFmtId="0" fontId="13" fillId="3" borderId="3" xfId="0" applyFont="1" applyFill="1" applyBorder="1"/>
    <xf numFmtId="37" fontId="13" fillId="3" borderId="9" xfId="0" applyNumberFormat="1" applyFont="1" applyFill="1" applyBorder="1"/>
    <xf numFmtId="0" fontId="7" fillId="3" borderId="32" xfId="0" applyFont="1" applyFill="1" applyBorder="1"/>
    <xf numFmtId="37" fontId="13" fillId="3" borderId="0" xfId="0" applyNumberFormat="1" applyFont="1" applyFill="1" applyBorder="1"/>
    <xf numFmtId="37" fontId="7" fillId="3" borderId="14" xfId="0" applyNumberFormat="1" applyFont="1" applyFill="1" applyBorder="1"/>
    <xf numFmtId="3" fontId="3" fillId="3" borderId="0" xfId="0" applyNumberFormat="1" applyFont="1" applyFill="1"/>
    <xf numFmtId="3" fontId="9" fillId="3" borderId="0" xfId="8" applyNumberFormat="1" applyFont="1" applyFill="1"/>
    <xf numFmtId="0" fontId="4" fillId="3" borderId="0" xfId="4" applyNumberFormat="1" applyFont="1" applyFill="1" applyAlignment="1">
      <alignment horizontal="center"/>
    </xf>
    <xf numFmtId="0" fontId="4" fillId="3" borderId="0" xfId="4" applyFont="1" applyFill="1" applyAlignment="1">
      <alignment horizontal="center"/>
    </xf>
    <xf numFmtId="3" fontId="10" fillId="3" borderId="0" xfId="8" applyNumberFormat="1" applyFont="1" applyFill="1" applyAlignment="1">
      <alignment horizontal="center"/>
    </xf>
    <xf numFmtId="0" fontId="4" fillId="3" borderId="1" xfId="4" applyNumberFormat="1" applyFont="1" applyFill="1" applyBorder="1" applyAlignment="1">
      <alignment horizontal="center"/>
    </xf>
    <xf numFmtId="0" fontId="4" fillId="3" borderId="2" xfId="4" applyNumberFormat="1" applyFont="1" applyFill="1" applyBorder="1" applyAlignment="1">
      <alignment horizontal="center"/>
    </xf>
    <xf numFmtId="0" fontId="4" fillId="3" borderId="2" xfId="4" applyFont="1" applyFill="1" applyBorder="1" applyAlignment="1">
      <alignment horizontal="center"/>
    </xf>
    <xf numFmtId="0" fontId="4" fillId="3" borderId="3" xfId="4" applyFont="1" applyFill="1" applyBorder="1" applyAlignment="1">
      <alignment horizontal="center"/>
    </xf>
    <xf numFmtId="0" fontId="4" fillId="3" borderId="10" xfId="4" applyFont="1" applyFill="1" applyBorder="1" applyAlignment="1">
      <alignment horizontal="center"/>
    </xf>
    <xf numFmtId="3" fontId="10" fillId="3" borderId="1" xfId="8" applyNumberFormat="1" applyFont="1" applyFill="1" applyBorder="1" applyAlignment="1">
      <alignment horizontal="center"/>
    </xf>
    <xf numFmtId="0" fontId="4" fillId="3" borderId="4" xfId="4" applyNumberFormat="1" applyFont="1" applyFill="1" applyBorder="1" applyAlignment="1">
      <alignment horizontal="center"/>
    </xf>
    <xf numFmtId="0" fontId="4" fillId="3" borderId="5" xfId="4" applyNumberFormat="1" applyFont="1" applyFill="1" applyBorder="1" applyAlignment="1">
      <alignment horizontal="center"/>
    </xf>
    <xf numFmtId="0" fontId="4" fillId="3" borderId="5" xfId="4" applyFont="1" applyFill="1" applyBorder="1" applyAlignment="1">
      <alignment horizontal="center"/>
    </xf>
    <xf numFmtId="0" fontId="4" fillId="3" borderId="0" xfId="4" applyFont="1" applyFill="1" applyBorder="1" applyAlignment="1">
      <alignment horizontal="center"/>
    </xf>
    <xf numFmtId="0" fontId="4" fillId="3" borderId="11" xfId="4" applyFont="1" applyFill="1" applyBorder="1" applyAlignment="1">
      <alignment horizontal="center"/>
    </xf>
    <xf numFmtId="3" fontId="10" fillId="3" borderId="4" xfId="4" applyNumberFormat="1" applyFont="1" applyFill="1" applyBorder="1" applyAlignment="1">
      <alignment horizontal="center"/>
    </xf>
    <xf numFmtId="0" fontId="4" fillId="3" borderId="6" xfId="4" applyNumberFormat="1" applyFont="1" applyFill="1" applyBorder="1" applyAlignment="1">
      <alignment horizontal="center"/>
    </xf>
    <xf numFmtId="0" fontId="4" fillId="3" borderId="7" xfId="4" applyNumberFormat="1" applyFont="1" applyFill="1" applyBorder="1" applyAlignment="1">
      <alignment horizontal="center"/>
    </xf>
    <xf numFmtId="0" fontId="4" fillId="3" borderId="7" xfId="4" applyFont="1" applyFill="1" applyBorder="1" applyAlignment="1">
      <alignment horizontal="center"/>
    </xf>
    <xf numFmtId="0" fontId="4" fillId="3" borderId="8" xfId="4" applyFont="1" applyFill="1" applyBorder="1" applyAlignment="1">
      <alignment horizontal="center"/>
    </xf>
    <xf numFmtId="0" fontId="4" fillId="3" borderId="12" xfId="4" applyFont="1" applyFill="1" applyBorder="1" applyAlignment="1">
      <alignment horizontal="center"/>
    </xf>
    <xf numFmtId="3" fontId="10" fillId="3" borderId="6" xfId="4" applyNumberFormat="1" applyFont="1" applyFill="1" applyBorder="1" applyAlignment="1">
      <alignment horizontal="center"/>
    </xf>
    <xf numFmtId="0" fontId="11" fillId="3" borderId="0" xfId="4" applyNumberFormat="1" applyFont="1" applyFill="1" applyAlignment="1">
      <alignment horizontal="center"/>
    </xf>
    <xf numFmtId="0" fontId="11" fillId="3" borderId="0" xfId="4" applyFont="1" applyFill="1" applyAlignment="1">
      <alignment horizontal="center"/>
    </xf>
    <xf numFmtId="4" fontId="10" fillId="3" borderId="0" xfId="8" applyNumberFormat="1" applyFont="1" applyFill="1" applyBorder="1" applyAlignment="1">
      <alignment horizontal="center"/>
    </xf>
    <xf numFmtId="0" fontId="3" fillId="3" borderId="0" xfId="8" applyNumberFormat="1" applyFont="1" applyFill="1" applyAlignment="1">
      <alignment horizontal="center"/>
    </xf>
    <xf numFmtId="0" fontId="3" fillId="3" borderId="0" xfId="8" applyFont="1" applyFill="1"/>
    <xf numFmtId="5" fontId="3" fillId="3" borderId="0" xfId="8" applyNumberFormat="1" applyFont="1" applyFill="1"/>
    <xf numFmtId="42" fontId="12" fillId="3" borderId="0" xfId="5" applyNumberFormat="1" applyFont="1" applyFill="1"/>
    <xf numFmtId="37" fontId="3" fillId="3" borderId="0" xfId="8" applyNumberFormat="1" applyFont="1" applyFill="1"/>
    <xf numFmtId="41" fontId="12" fillId="3" borderId="0" xfId="5" applyNumberFormat="1" applyFont="1" applyFill="1"/>
    <xf numFmtId="41" fontId="12" fillId="3" borderId="8" xfId="5" applyNumberFormat="1" applyFont="1" applyFill="1" applyBorder="1"/>
    <xf numFmtId="41" fontId="9" fillId="3" borderId="0" xfId="8" applyNumberFormat="1" applyFont="1" applyFill="1"/>
    <xf numFmtId="41" fontId="9" fillId="3" borderId="0" xfId="5" applyNumberFormat="1" applyFont="1" applyFill="1"/>
    <xf numFmtId="41" fontId="12" fillId="3" borderId="0" xfId="5" applyNumberFormat="1" applyFont="1" applyFill="1" applyBorder="1"/>
    <xf numFmtId="0" fontId="3" fillId="3" borderId="0" xfId="0" applyFont="1" applyFill="1"/>
    <xf numFmtId="41" fontId="9" fillId="3" borderId="8" xfId="8" applyNumberFormat="1" applyFont="1" applyFill="1" applyBorder="1"/>
    <xf numFmtId="37" fontId="9" fillId="3" borderId="0" xfId="8" applyNumberFormat="1" applyFont="1" applyFill="1"/>
    <xf numFmtId="42" fontId="9" fillId="3" borderId="9" xfId="8" applyNumberFormat="1" applyFont="1" applyFill="1" applyBorder="1"/>
    <xf numFmtId="41" fontId="9" fillId="3" borderId="13" xfId="8" applyNumberFormat="1" applyFont="1" applyFill="1" applyBorder="1"/>
    <xf numFmtId="41" fontId="9" fillId="3" borderId="0" xfId="8" applyNumberFormat="1" applyFont="1" applyFill="1" applyBorder="1"/>
    <xf numFmtId="0" fontId="3" fillId="3" borderId="0" xfId="8" applyNumberFormat="1" applyFont="1" applyFill="1" applyBorder="1" applyAlignment="1">
      <alignment horizontal="center"/>
    </xf>
    <xf numFmtId="37" fontId="3" fillId="3" borderId="0" xfId="8" applyNumberFormat="1" applyFont="1" applyFill="1" applyBorder="1"/>
    <xf numFmtId="37" fontId="9" fillId="3" borderId="0" xfId="8" applyNumberFormat="1" applyFont="1" applyFill="1" applyBorder="1"/>
    <xf numFmtId="41" fontId="9" fillId="3" borderId="14" xfId="8" applyNumberFormat="1" applyFont="1" applyFill="1" applyBorder="1"/>
    <xf numFmtId="0" fontId="7" fillId="4" borderId="0" xfId="0" applyFont="1" applyFill="1"/>
    <xf numFmtId="0" fontId="13" fillId="4" borderId="0" xfId="0" applyFont="1" applyFill="1"/>
    <xf numFmtId="41" fontId="4" fillId="3" borderId="4" xfId="4" applyNumberFormat="1" applyFont="1" applyFill="1" applyBorder="1" applyAlignment="1">
      <alignment horizontal="center"/>
    </xf>
    <xf numFmtId="177" fontId="37" fillId="3" borderId="25" xfId="10" applyNumberFormat="1" applyFont="1" applyFill="1" applyBorder="1" applyAlignment="1">
      <alignment horizontal="center"/>
    </xf>
    <xf numFmtId="177" fontId="37" fillId="3" borderId="27" xfId="10" applyNumberFormat="1" applyFont="1" applyFill="1" applyBorder="1" applyAlignment="1">
      <alignment horizontal="center"/>
    </xf>
    <xf numFmtId="178" fontId="37" fillId="3" borderId="28" xfId="10" applyNumberFormat="1" applyFont="1" applyFill="1" applyBorder="1" applyAlignment="1">
      <alignment horizontal="center"/>
    </xf>
    <xf numFmtId="178" fontId="37" fillId="3" borderId="26" xfId="10" applyNumberFormat="1" applyFont="1" applyFill="1" applyBorder="1" applyAlignment="1">
      <alignment horizontal="center"/>
    </xf>
    <xf numFmtId="0" fontId="7" fillId="3" borderId="21" xfId="10" applyFont="1" applyFill="1" applyBorder="1" applyAlignment="1">
      <alignment horizontal="center"/>
    </xf>
    <xf numFmtId="0" fontId="7" fillId="3" borderId="22" xfId="10" applyFont="1" applyFill="1" applyBorder="1" applyAlignment="1">
      <alignment horizontal="center"/>
    </xf>
    <xf numFmtId="0" fontId="7" fillId="3" borderId="13" xfId="10" applyFont="1" applyFill="1" applyBorder="1" applyAlignment="1">
      <alignment horizontal="center"/>
    </xf>
    <xf numFmtId="0" fontId="28" fillId="3" borderId="13" xfId="10" applyFont="1" applyFill="1" applyBorder="1" applyAlignment="1">
      <alignment horizontal="center"/>
    </xf>
    <xf numFmtId="174" fontId="37" fillId="3" borderId="25" xfId="10" applyNumberFormat="1" applyFont="1" applyFill="1" applyBorder="1" applyAlignment="1">
      <alignment horizontal="center"/>
    </xf>
    <xf numFmtId="174" fontId="37" fillId="3" borderId="26" xfId="10" applyNumberFormat="1" applyFont="1" applyFill="1" applyBorder="1" applyAlignment="1">
      <alignment horizontal="center"/>
    </xf>
    <xf numFmtId="175" fontId="37" fillId="3" borderId="25" xfId="10" applyNumberFormat="1" applyFont="1" applyFill="1" applyBorder="1" applyAlignment="1">
      <alignment horizontal="center"/>
    </xf>
    <xf numFmtId="175" fontId="37" fillId="3" borderId="27" xfId="10" applyNumberFormat="1" applyFont="1" applyFill="1" applyBorder="1" applyAlignment="1">
      <alignment horizontal="center"/>
    </xf>
    <xf numFmtId="176" fontId="37" fillId="3" borderId="28" xfId="10" applyNumberFormat="1" applyFont="1" applyFill="1" applyBorder="1" applyAlignment="1">
      <alignment horizontal="center"/>
    </xf>
    <xf numFmtId="176" fontId="37" fillId="3" borderId="26" xfId="10" applyNumberFormat="1" applyFont="1" applyFill="1" applyBorder="1" applyAlignment="1">
      <alignment horizontal="center"/>
    </xf>
    <xf numFmtId="37" fontId="13" fillId="3" borderId="8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3" borderId="36" xfId="0" applyFont="1" applyFill="1" applyBorder="1" applyAlignment="1">
      <alignment horizontal="center"/>
    </xf>
    <xf numFmtId="9" fontId="14" fillId="3" borderId="8" xfId="0" applyNumberFormat="1" applyFont="1" applyFill="1" applyBorder="1"/>
    <xf numFmtId="167" fontId="28" fillId="3" borderId="8" xfId="10" applyNumberFormat="1" applyFont="1" applyFill="1" applyBorder="1" applyAlignment="1">
      <alignment horizontal="center"/>
    </xf>
    <xf numFmtId="37" fontId="7" fillId="5" borderId="0" xfId="0" applyNumberFormat="1" applyFont="1" applyFill="1"/>
    <xf numFmtId="37" fontId="0" fillId="5" borderId="0" xfId="0" applyNumberFormat="1" applyFill="1"/>
    <xf numFmtId="10" fontId="13" fillId="5" borderId="0" xfId="3" applyNumberFormat="1" applyFont="1" applyFill="1"/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14" fontId="0" fillId="5" borderId="40" xfId="0" applyNumberFormat="1" applyFill="1" applyBorder="1"/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46" fillId="5" borderId="0" xfId="0" applyFont="1" applyFill="1" applyBorder="1"/>
    <xf numFmtId="0" fontId="46" fillId="5" borderId="42" xfId="0" applyFont="1" applyFill="1" applyBorder="1"/>
    <xf numFmtId="0" fontId="0" fillId="5" borderId="0" xfId="0" applyFill="1" applyBorder="1"/>
    <xf numFmtId="0" fontId="0" fillId="5" borderId="42" xfId="0" applyFill="1" applyBorder="1"/>
    <xf numFmtId="0" fontId="0" fillId="5" borderId="37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34" xfId="0" applyFill="1" applyBorder="1" applyAlignment="1"/>
    <xf numFmtId="0" fontId="0" fillId="5" borderId="35" xfId="0" applyFill="1" applyBorder="1" applyAlignment="1"/>
    <xf numFmtId="0" fontId="0" fillId="5" borderId="36" xfId="0" applyFill="1" applyBorder="1" applyAlignment="1"/>
    <xf numFmtId="0" fontId="0" fillId="5" borderId="41" xfId="0" applyFill="1" applyBorder="1"/>
    <xf numFmtId="0" fontId="0" fillId="5" borderId="34" xfId="0" applyFill="1" applyBorder="1" applyAlignment="1">
      <alignment horizontal="center"/>
    </xf>
    <xf numFmtId="0" fontId="46" fillId="5" borderId="41" xfId="0" applyFont="1" applyFill="1" applyBorder="1"/>
    <xf numFmtId="0" fontId="0" fillId="5" borderId="41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/>
    <xf numFmtId="10" fontId="0" fillId="5" borderId="0" xfId="3" applyNumberFormat="1" applyFont="1" applyFill="1"/>
    <xf numFmtId="0" fontId="0" fillId="5" borderId="0" xfId="0" applyFont="1" applyFill="1" applyBorder="1"/>
    <xf numFmtId="10" fontId="0" fillId="5" borderId="14" xfId="3" applyNumberFormat="1" applyFont="1" applyFill="1" applyBorder="1"/>
    <xf numFmtId="10" fontId="41" fillId="5" borderId="16" xfId="3" applyNumberFormat="1" applyFont="1" applyFill="1" applyBorder="1"/>
    <xf numFmtId="10" fontId="41" fillId="5" borderId="14" xfId="3" applyNumberFormat="1" applyFont="1" applyFill="1" applyBorder="1"/>
    <xf numFmtId="166" fontId="13" fillId="5" borderId="0" xfId="1" applyNumberFormat="1" applyFont="1" applyFill="1" applyBorder="1"/>
    <xf numFmtId="0" fontId="13" fillId="5" borderId="0" xfId="0" applyFont="1" applyFill="1" applyBorder="1"/>
    <xf numFmtId="3" fontId="13" fillId="5" borderId="42" xfId="0" applyNumberFormat="1" applyFont="1" applyFill="1" applyBorder="1"/>
    <xf numFmtId="3" fontId="0" fillId="5" borderId="0" xfId="1" applyNumberFormat="1" applyFont="1" applyFill="1"/>
    <xf numFmtId="3" fontId="0" fillId="5" borderId="0" xfId="0" applyNumberFormat="1" applyFill="1"/>
    <xf numFmtId="3" fontId="0" fillId="5" borderId="14" xfId="0" applyNumberFormat="1" applyFill="1" applyBorder="1"/>
  </cellXfs>
  <cellStyles count="15">
    <cellStyle name="Comma" xfId="1" builtinId="3"/>
    <cellStyle name="Currency" xfId="2" builtinId="4"/>
    <cellStyle name="Currency 2" xfId="11"/>
    <cellStyle name="Followed Hyperlink" xfId="6" builtinId="9"/>
    <cellStyle name="Normal" xfId="0" builtinId="0"/>
    <cellStyle name="Normal 2" xfId="12"/>
    <cellStyle name="Normal 3" xfId="13"/>
    <cellStyle name="Normal_1296GasLabor$" xfId="9"/>
    <cellStyle name="Normal_DFIT-WaEle_SUM" xfId="7"/>
    <cellStyle name="Normal_execcompR1" xfId="10"/>
    <cellStyle name="Normal_IDGas6_97" xfId="5"/>
    <cellStyle name="Normal_WAElec6_97" xfId="4"/>
    <cellStyle name="Normal_WAGas6_97" xfId="8"/>
    <cellStyle name="Percent" xfId="3" builtinId="5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vista\UE-120436%20GRC\Company's%20workpaper\N.%20UE__Andrews%20Electric%20WPs%20(AVA-Apr2012)\3.02%20PF%20-%20Labor%20Non-Exec\Downloads\Total%20Labor%20for%20Pension-Medi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vista\UE-120436%20GRC\Company's%20workpaper\N.%20UE__Andrews%20Electric%20WPs%20(AVA-Apr2012)\2012%20WA%20Electric%20RR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vista\UE-120436%20GRC\Company's%20workpaper\N.%20UE__Andrews%20Nat.%20Gas%20WPs%20(AVA-Apr2012)\2012%20WA%20Gas%20RR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vista\UE-120436%20GRC\Joanna%20Huang\Labor\WA%20PF%20-%202012%20Labor%20&amp;%20Benefit%20J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DETAIL-INPUT"/>
      <sheetName val="LEAD SHEETS-DO NOT ENTER"/>
      <sheetName val="ADJ SUMMARY"/>
      <sheetName val="ROO INPUT"/>
      <sheetName val="DEBT CALC"/>
      <sheetName val="RETAIL REVENUE CREDIT"/>
      <sheetName val="COMPARISON -SETTLEMENT"/>
    </sheetNames>
    <sheetDataSet>
      <sheetData sheetId="0"/>
      <sheetData sheetId="1">
        <row r="11">
          <cell r="N11">
            <v>2.9700000000000001E-2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DETAIL INPUT"/>
      <sheetName val="LEAD SHEETS-DO NOT ENTER"/>
      <sheetName val="ADJ SUMMARY"/>
      <sheetName val="DEBT CALC"/>
      <sheetName val="ROO INPUT"/>
      <sheetName val="Recap Summary-for sttlmt disc"/>
    </sheetNames>
    <sheetDataSet>
      <sheetData sheetId="0"/>
      <sheetData sheetId="1">
        <row r="14">
          <cell r="M14">
            <v>2.9700000000000001E-2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AVISTA UTILITIES</v>
          </cell>
          <cell r="B3">
            <v>0</v>
          </cell>
          <cell r="C3">
            <v>0</v>
          </cell>
        </row>
        <row r="4">
          <cell r="A4" t="str">
            <v xml:space="preserve">WASHINGTON NATURAL GAS RESULTS </v>
          </cell>
          <cell r="B4">
            <v>0</v>
          </cell>
          <cell r="C4">
            <v>0</v>
          </cell>
        </row>
        <row r="5">
          <cell r="A5" t="str">
            <v>TWELVE MONTHS ENDED DECEMBER 31, 2011</v>
          </cell>
          <cell r="B5">
            <v>0</v>
          </cell>
          <cell r="C5">
            <v>0</v>
          </cell>
        </row>
        <row r="6">
          <cell r="A6" t="str">
            <v xml:space="preserve">(000'S OF DOLLARS)   </v>
          </cell>
          <cell r="B6">
            <v>0</v>
          </cell>
          <cell r="C6">
            <v>0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-Ele"/>
      <sheetName val="Cover-Gas"/>
      <sheetName val="PLN-E "/>
      <sheetName val="G-WA-ADJ"/>
      <sheetName val="E-PLN-6"/>
      <sheetName val="PLE-1"/>
      <sheetName val="PLE-4"/>
      <sheetName val="Comparison"/>
      <sheetName val="Non-Reg"/>
      <sheetName val="PLE-2"/>
      <sheetName val="PLE-3"/>
      <sheetName val="E-PLN-5"/>
      <sheetName val="E-PLN-1"/>
      <sheetName val="E-ID-ADJ"/>
      <sheetName val="G-ID-ADJ"/>
      <sheetName val="G-OR-ADJ"/>
      <sheetName val="G-PLN-1"/>
      <sheetName val="G-PLN-2"/>
      <sheetName val="PEB-1"/>
      <sheetName val="PEB-2"/>
      <sheetName val="PEB-3"/>
      <sheetName val="G-PLN-3"/>
      <sheetName val="G-PLN-4"/>
      <sheetName val="Sheet1"/>
    </sheetNames>
    <sheetDataSet>
      <sheetData sheetId="0" refreshError="1"/>
      <sheetData sheetId="1" refreshError="1"/>
      <sheetData sheetId="2">
        <row r="51">
          <cell r="N51">
            <v>418249</v>
          </cell>
          <cell r="R51">
            <v>-47524</v>
          </cell>
          <cell r="S51">
            <v>428377</v>
          </cell>
          <cell r="T51">
            <v>447775</v>
          </cell>
        </row>
        <row r="67">
          <cell r="N67">
            <v>108720</v>
          </cell>
          <cell r="R67">
            <v>0</v>
          </cell>
          <cell r="S67">
            <v>114428</v>
          </cell>
          <cell r="T67">
            <v>119609</v>
          </cell>
        </row>
        <row r="89">
          <cell r="N89">
            <v>392294</v>
          </cell>
          <cell r="R89">
            <v>0</v>
          </cell>
          <cell r="S89">
            <v>383550</v>
          </cell>
          <cell r="T89">
            <v>400917</v>
          </cell>
        </row>
        <row r="96">
          <cell r="N96">
            <v>173184</v>
          </cell>
          <cell r="R96">
            <v>0</v>
          </cell>
          <cell r="S96">
            <v>182443</v>
          </cell>
          <cell r="T96">
            <v>190703</v>
          </cell>
        </row>
        <row r="103">
          <cell r="N103">
            <v>14264</v>
          </cell>
          <cell r="R103">
            <v>0</v>
          </cell>
          <cell r="S103">
            <v>15728</v>
          </cell>
          <cell r="T103">
            <v>16439</v>
          </cell>
        </row>
        <row r="110">
          <cell r="N110">
            <v>24</v>
          </cell>
          <cell r="R110">
            <v>0</v>
          </cell>
          <cell r="S110">
            <v>26</v>
          </cell>
          <cell r="T110">
            <v>27</v>
          </cell>
        </row>
        <row r="125">
          <cell r="N125">
            <v>391799</v>
          </cell>
          <cell r="R125">
            <v>-632118</v>
          </cell>
          <cell r="S125">
            <v>488348</v>
          </cell>
          <cell r="T125">
            <v>510460</v>
          </cell>
        </row>
      </sheetData>
      <sheetData sheetId="3">
        <row r="12">
          <cell r="N12">
            <v>18204</v>
          </cell>
          <cell r="R12">
            <v>-13881</v>
          </cell>
          <cell r="S12">
            <v>21558</v>
          </cell>
          <cell r="T12">
            <v>22534</v>
          </cell>
        </row>
        <row r="17">
          <cell r="N17">
            <v>185</v>
          </cell>
          <cell r="R17">
            <v>0</v>
          </cell>
          <cell r="S17">
            <v>204</v>
          </cell>
          <cell r="T17">
            <v>213</v>
          </cell>
        </row>
        <row r="39">
          <cell r="N39">
            <v>184504</v>
          </cell>
          <cell r="R39">
            <v>0</v>
          </cell>
          <cell r="S39">
            <v>180026</v>
          </cell>
          <cell r="T39">
            <v>188175</v>
          </cell>
        </row>
        <row r="46">
          <cell r="N46">
            <v>105472</v>
          </cell>
          <cell r="R46">
            <v>0</v>
          </cell>
          <cell r="S46">
            <v>111157</v>
          </cell>
          <cell r="T46">
            <v>116190</v>
          </cell>
        </row>
        <row r="52">
          <cell r="N52">
            <v>8940</v>
          </cell>
          <cell r="R52">
            <v>0</v>
          </cell>
          <cell r="S52">
            <v>9856</v>
          </cell>
          <cell r="T52">
            <v>10303</v>
          </cell>
        </row>
        <row r="59">
          <cell r="N59">
            <v>15</v>
          </cell>
          <cell r="R59">
            <v>0</v>
          </cell>
          <cell r="S59">
            <v>18</v>
          </cell>
          <cell r="T59">
            <v>18</v>
          </cell>
        </row>
        <row r="71">
          <cell r="N71">
            <v>99892</v>
          </cell>
          <cell r="R71">
            <v>-180987</v>
          </cell>
          <cell r="S71">
            <v>125962</v>
          </cell>
          <cell r="T71">
            <v>131663</v>
          </cell>
        </row>
      </sheetData>
      <sheetData sheetId="4">
        <row r="11">
          <cell r="D11">
            <v>6.9899999999999997E-3</v>
          </cell>
        </row>
        <row r="13">
          <cell r="D13">
            <v>0.03</v>
          </cell>
        </row>
        <row r="20">
          <cell r="E20">
            <v>7.0800000000000004E-3</v>
          </cell>
        </row>
        <row r="32">
          <cell r="D32">
            <v>4.5399999999999998E-3</v>
          </cell>
        </row>
        <row r="34">
          <cell r="D34">
            <v>0.03</v>
          </cell>
        </row>
        <row r="41">
          <cell r="E41">
            <v>4.1000000000000003E-3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16">
          <cell r="F16">
            <v>111600</v>
          </cell>
        </row>
        <row r="17">
          <cell r="F17">
            <v>1445402</v>
          </cell>
          <cell r="H17">
            <v>401629</v>
          </cell>
        </row>
        <row r="18">
          <cell r="F18">
            <v>3145</v>
          </cell>
          <cell r="H18">
            <v>874</v>
          </cell>
        </row>
        <row r="19">
          <cell r="H19">
            <v>34686</v>
          </cell>
        </row>
        <row r="22">
          <cell r="F22">
            <v>1560147</v>
          </cell>
          <cell r="H22">
            <v>437189</v>
          </cell>
        </row>
      </sheetData>
      <sheetData sheetId="10">
        <row r="2">
          <cell r="C2">
            <v>670000</v>
          </cell>
          <cell r="D2">
            <v>670000</v>
          </cell>
          <cell r="E2">
            <v>670000</v>
          </cell>
        </row>
        <row r="3">
          <cell r="C3">
            <v>345000</v>
          </cell>
          <cell r="D3">
            <v>345000</v>
          </cell>
          <cell r="E3">
            <v>345000</v>
          </cell>
        </row>
        <row r="4">
          <cell r="C4">
            <v>305000</v>
          </cell>
          <cell r="D4">
            <v>305000</v>
          </cell>
          <cell r="E4">
            <v>305000</v>
          </cell>
        </row>
        <row r="5">
          <cell r="C5">
            <v>290000</v>
          </cell>
          <cell r="D5">
            <v>290000</v>
          </cell>
          <cell r="E5">
            <v>290000</v>
          </cell>
        </row>
        <row r="6">
          <cell r="C6">
            <v>255000</v>
          </cell>
          <cell r="D6">
            <v>255000</v>
          </cell>
          <cell r="E6">
            <v>255000</v>
          </cell>
        </row>
        <row r="7">
          <cell r="C7">
            <v>218000</v>
          </cell>
          <cell r="D7">
            <v>218000</v>
          </cell>
          <cell r="E7">
            <v>218000</v>
          </cell>
        </row>
        <row r="8">
          <cell r="C8">
            <v>205000</v>
          </cell>
          <cell r="D8">
            <v>205000</v>
          </cell>
          <cell r="E8">
            <v>205000</v>
          </cell>
        </row>
        <row r="9">
          <cell r="C9">
            <v>265000</v>
          </cell>
          <cell r="D9">
            <v>265000</v>
          </cell>
          <cell r="E9">
            <v>265000</v>
          </cell>
        </row>
        <row r="10">
          <cell r="C10">
            <v>248000</v>
          </cell>
          <cell r="D10">
            <v>248000</v>
          </cell>
          <cell r="E10">
            <v>248000</v>
          </cell>
        </row>
        <row r="11">
          <cell r="C11">
            <v>215000</v>
          </cell>
          <cell r="D11">
            <v>215000</v>
          </cell>
          <cell r="E11">
            <v>215000</v>
          </cell>
        </row>
        <row r="12">
          <cell r="C12">
            <v>248000</v>
          </cell>
          <cell r="D12">
            <v>248000</v>
          </cell>
          <cell r="E12">
            <v>248000</v>
          </cell>
        </row>
        <row r="13">
          <cell r="C13">
            <v>205000</v>
          </cell>
          <cell r="D13">
            <v>205000</v>
          </cell>
          <cell r="E13">
            <v>205000</v>
          </cell>
        </row>
        <row r="14">
          <cell r="C14">
            <v>230000</v>
          </cell>
          <cell r="D14">
            <v>230000</v>
          </cell>
          <cell r="E14">
            <v>230000</v>
          </cell>
        </row>
      </sheetData>
      <sheetData sheetId="11" refreshError="1"/>
      <sheetData sheetId="12">
        <row r="1">
          <cell r="A1" t="str">
            <v>AVISTA UTILITIES</v>
          </cell>
        </row>
        <row r="11">
          <cell r="N11">
            <v>145499.84</v>
          </cell>
        </row>
        <row r="12">
          <cell r="N12">
            <v>519037.2</v>
          </cell>
        </row>
        <row r="13">
          <cell r="N13">
            <v>280757.90999999997</v>
          </cell>
        </row>
        <row r="14">
          <cell r="N14">
            <v>282035.03999999998</v>
          </cell>
        </row>
        <row r="15">
          <cell r="N15">
            <v>108179.88</v>
          </cell>
        </row>
        <row r="16">
          <cell r="N16">
            <v>77849.37</v>
          </cell>
        </row>
        <row r="17">
          <cell r="N17">
            <v>2081.1999999999998</v>
          </cell>
        </row>
        <row r="18">
          <cell r="N18">
            <v>307689.11</v>
          </cell>
        </row>
        <row r="19">
          <cell r="N19">
            <v>119367.6</v>
          </cell>
        </row>
        <row r="20">
          <cell r="N20">
            <v>50090.94</v>
          </cell>
        </row>
        <row r="24">
          <cell r="N24">
            <v>940523.89</v>
          </cell>
        </row>
        <row r="25">
          <cell r="N25">
            <v>2046.59</v>
          </cell>
        </row>
        <row r="26">
          <cell r="N26">
            <v>255933.66</v>
          </cell>
        </row>
        <row r="27">
          <cell r="N27">
            <v>2354640.75</v>
          </cell>
        </row>
        <row r="28">
          <cell r="N28">
            <v>76469.320000000007</v>
          </cell>
        </row>
        <row r="29">
          <cell r="N29">
            <v>211616.86</v>
          </cell>
        </row>
        <row r="30">
          <cell r="N30">
            <v>114182.11</v>
          </cell>
        </row>
        <row r="31">
          <cell r="N31">
            <v>263639.15000000002</v>
          </cell>
        </row>
        <row r="32">
          <cell r="N32">
            <v>780259.34</v>
          </cell>
        </row>
        <row r="33">
          <cell r="N33">
            <v>142029.66</v>
          </cell>
        </row>
        <row r="37">
          <cell r="N37">
            <v>98878.21</v>
          </cell>
        </row>
        <row r="38">
          <cell r="N38">
            <v>0</v>
          </cell>
        </row>
        <row r="39">
          <cell r="N39">
            <v>117348.07</v>
          </cell>
        </row>
        <row r="40">
          <cell r="N40">
            <v>95591.78</v>
          </cell>
        </row>
        <row r="41">
          <cell r="N41">
            <v>0</v>
          </cell>
        </row>
        <row r="42">
          <cell r="N42">
            <v>114204.29</v>
          </cell>
        </row>
        <row r="43">
          <cell r="N43">
            <v>2861.66</v>
          </cell>
        </row>
        <row r="44">
          <cell r="N44">
            <v>160670.28</v>
          </cell>
        </row>
        <row r="45">
          <cell r="N45">
            <v>21159.63</v>
          </cell>
        </row>
        <row r="49">
          <cell r="N49">
            <v>178309.47</v>
          </cell>
        </row>
        <row r="50">
          <cell r="N50">
            <v>2160303.8199999998</v>
          </cell>
        </row>
        <row r="56">
          <cell r="N56">
            <v>613931.81999999995</v>
          </cell>
        </row>
        <row r="57">
          <cell r="N57">
            <v>877639.49</v>
          </cell>
        </row>
        <row r="58">
          <cell r="N58">
            <v>83527.98</v>
          </cell>
        </row>
        <row r="59">
          <cell r="N59">
            <v>31648.59</v>
          </cell>
        </row>
        <row r="60">
          <cell r="N60">
            <v>0</v>
          </cell>
        </row>
        <row r="61">
          <cell r="N61">
            <v>303994.55</v>
          </cell>
        </row>
        <row r="62">
          <cell r="N62">
            <v>400.52</v>
          </cell>
        </row>
        <row r="63">
          <cell r="N63">
            <v>297533.64</v>
          </cell>
        </row>
        <row r="64">
          <cell r="N64">
            <v>125225.07</v>
          </cell>
        </row>
        <row r="65">
          <cell r="N65">
            <v>284683.03000000003</v>
          </cell>
        </row>
        <row r="66">
          <cell r="N66">
            <v>43204.04</v>
          </cell>
        </row>
        <row r="67">
          <cell r="N67">
            <v>589.79999999999995</v>
          </cell>
        </row>
        <row r="68">
          <cell r="N68">
            <v>4354.2700000000004</v>
          </cell>
        </row>
        <row r="72">
          <cell r="N72">
            <v>779515.58</v>
          </cell>
        </row>
        <row r="73">
          <cell r="N73">
            <v>0</v>
          </cell>
        </row>
        <row r="74">
          <cell r="N74">
            <v>185121.7</v>
          </cell>
        </row>
        <row r="75">
          <cell r="N75">
            <v>1028259.91</v>
          </cell>
        </row>
        <row r="76">
          <cell r="N76">
            <v>328814.59000000003</v>
          </cell>
        </row>
        <row r="77">
          <cell r="N77">
            <v>36098.03</v>
          </cell>
        </row>
        <row r="78">
          <cell r="N78">
            <v>1009017.15</v>
          </cell>
        </row>
        <row r="79">
          <cell r="N79">
            <v>250183.56</v>
          </cell>
        </row>
        <row r="80">
          <cell r="N80">
            <v>2471330.33</v>
          </cell>
        </row>
        <row r="81">
          <cell r="N81">
            <v>750.28</v>
          </cell>
        </row>
        <row r="82">
          <cell r="N82">
            <v>262364.81</v>
          </cell>
        </row>
        <row r="83">
          <cell r="N83">
            <v>91622.18</v>
          </cell>
        </row>
        <row r="84">
          <cell r="N84">
            <v>248549.53</v>
          </cell>
        </row>
        <row r="85">
          <cell r="N85">
            <v>980760.64</v>
          </cell>
        </row>
        <row r="86">
          <cell r="N86">
            <v>421438.24</v>
          </cell>
        </row>
        <row r="87">
          <cell r="N87">
            <v>412667.24</v>
          </cell>
        </row>
        <row r="88">
          <cell r="N88">
            <v>178309.9</v>
          </cell>
        </row>
        <row r="89">
          <cell r="N89">
            <v>48458.239999999998</v>
          </cell>
        </row>
        <row r="90">
          <cell r="N90">
            <v>205311.46</v>
          </cell>
        </row>
        <row r="94">
          <cell r="N94">
            <v>258677.69</v>
          </cell>
        </row>
        <row r="95">
          <cell r="N95">
            <v>1371063.68</v>
          </cell>
        </row>
        <row r="96">
          <cell r="N96">
            <v>2578188.2000000002</v>
          </cell>
        </row>
        <row r="97">
          <cell r="N97">
            <v>43853.54</v>
          </cell>
        </row>
        <row r="101">
          <cell r="N101">
            <v>0</v>
          </cell>
        </row>
        <row r="102">
          <cell r="N102">
            <v>220879.83</v>
          </cell>
        </row>
        <row r="103">
          <cell r="N103">
            <v>121158.11</v>
          </cell>
        </row>
        <row r="104">
          <cell r="N104">
            <v>24485.48</v>
          </cell>
        </row>
        <row r="108">
          <cell r="N108">
            <v>0</v>
          </cell>
        </row>
        <row r="109">
          <cell r="N109">
            <v>3657.04</v>
          </cell>
        </row>
        <row r="110">
          <cell r="N110">
            <v>0</v>
          </cell>
        </row>
        <row r="111">
          <cell r="N111">
            <v>-3056.03</v>
          </cell>
        </row>
        <row r="115">
          <cell r="N115">
            <v>9429212.0199999996</v>
          </cell>
        </row>
        <row r="116">
          <cell r="N116">
            <v>33229.980000000003</v>
          </cell>
        </row>
        <row r="117">
          <cell r="N117">
            <v>3143.73</v>
          </cell>
        </row>
        <row r="118">
          <cell r="N118">
            <v>1848.48</v>
          </cell>
        </row>
        <row r="119">
          <cell r="N119">
            <v>0</v>
          </cell>
        </row>
        <row r="120">
          <cell r="N120">
            <v>215921.03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652108.87</v>
          </cell>
        </row>
        <row r="124">
          <cell r="N124">
            <v>115086.76</v>
          </cell>
        </row>
        <row r="125">
          <cell r="N125">
            <v>0</v>
          </cell>
        </row>
        <row r="126">
          <cell r="N126">
            <v>930293.9</v>
          </cell>
        </row>
        <row r="129">
          <cell r="N129">
            <v>37588315.109999999</v>
          </cell>
        </row>
      </sheetData>
      <sheetData sheetId="13">
        <row r="51">
          <cell r="N51">
            <v>234189</v>
          </cell>
          <cell r="R51">
            <v>-25529</v>
          </cell>
          <cell r="S51">
            <v>228245</v>
          </cell>
          <cell r="T51">
            <v>62256</v>
          </cell>
        </row>
        <row r="67">
          <cell r="N67">
            <v>62588</v>
          </cell>
          <cell r="R67">
            <v>0</v>
          </cell>
          <cell r="S67">
            <v>61082</v>
          </cell>
          <cell r="T67">
            <v>0</v>
          </cell>
        </row>
        <row r="89">
          <cell r="N89">
            <v>186616</v>
          </cell>
          <cell r="R89">
            <v>0</v>
          </cell>
          <cell r="S89">
            <v>177783</v>
          </cell>
          <cell r="T89">
            <v>0</v>
          </cell>
        </row>
        <row r="96">
          <cell r="N96">
            <v>75732</v>
          </cell>
          <cell r="R96">
            <v>0</v>
          </cell>
          <cell r="S96">
            <v>74535</v>
          </cell>
          <cell r="T96">
            <v>0</v>
          </cell>
        </row>
        <row r="103">
          <cell r="N103">
            <v>9643</v>
          </cell>
          <cell r="R103">
            <v>0</v>
          </cell>
          <cell r="S103">
            <v>9551</v>
          </cell>
          <cell r="T103">
            <v>0</v>
          </cell>
        </row>
        <row r="110">
          <cell r="N110">
            <v>78</v>
          </cell>
          <cell r="R110">
            <v>0</v>
          </cell>
          <cell r="S110">
            <v>77</v>
          </cell>
          <cell r="T110">
            <v>0</v>
          </cell>
        </row>
        <row r="125">
          <cell r="N125">
            <v>211738</v>
          </cell>
          <cell r="R125">
            <v>-331735</v>
          </cell>
          <cell r="S125">
            <v>240260</v>
          </cell>
          <cell r="T125">
            <v>765111</v>
          </cell>
        </row>
      </sheetData>
      <sheetData sheetId="14">
        <row r="12">
          <cell r="N12">
            <v>9833</v>
          </cell>
          <cell r="R12">
            <v>-7231</v>
          </cell>
          <cell r="S12">
            <v>10485</v>
          </cell>
          <cell r="T12">
            <v>19403</v>
          </cell>
        </row>
        <row r="17">
          <cell r="N17">
            <v>90</v>
          </cell>
          <cell r="R17">
            <v>0</v>
          </cell>
          <cell r="S17">
            <v>89</v>
          </cell>
          <cell r="T17">
            <v>0</v>
          </cell>
        </row>
        <row r="39">
          <cell r="N39">
            <v>101580</v>
          </cell>
          <cell r="R39">
            <v>0</v>
          </cell>
          <cell r="S39">
            <v>96591</v>
          </cell>
          <cell r="T39">
            <v>0</v>
          </cell>
        </row>
        <row r="46">
          <cell r="N46">
            <v>43468</v>
          </cell>
          <cell r="R46">
            <v>0</v>
          </cell>
          <cell r="S46">
            <v>42805</v>
          </cell>
          <cell r="T46">
            <v>0</v>
          </cell>
        </row>
        <row r="52">
          <cell r="N52">
            <v>5912</v>
          </cell>
          <cell r="R52">
            <v>0</v>
          </cell>
          <cell r="S52">
            <v>5858</v>
          </cell>
          <cell r="T52">
            <v>0</v>
          </cell>
        </row>
        <row r="59">
          <cell r="N59">
            <v>47</v>
          </cell>
          <cell r="R59">
            <v>0</v>
          </cell>
          <cell r="S59">
            <v>47</v>
          </cell>
          <cell r="T59">
            <v>0</v>
          </cell>
        </row>
        <row r="71">
          <cell r="N71">
            <v>53325</v>
          </cell>
          <cell r="R71">
            <v>-78700</v>
          </cell>
          <cell r="S71">
            <v>60549</v>
          </cell>
          <cell r="T71">
            <v>206817</v>
          </cell>
        </row>
      </sheetData>
      <sheetData sheetId="15">
        <row r="12">
          <cell r="N12">
            <v>16257</v>
          </cell>
          <cell r="Q12">
            <v>-9534</v>
          </cell>
          <cell r="R12">
            <v>13353</v>
          </cell>
          <cell r="S12">
            <v>10927</v>
          </cell>
        </row>
        <row r="17">
          <cell r="N17">
            <v>0</v>
          </cell>
          <cell r="Q17">
            <v>0</v>
          </cell>
          <cell r="R17">
            <v>0</v>
          </cell>
          <cell r="S17">
            <v>0</v>
          </cell>
        </row>
        <row r="41">
          <cell r="N41">
            <v>188926</v>
          </cell>
          <cell r="Q41">
            <v>0</v>
          </cell>
          <cell r="R41">
            <v>121059</v>
          </cell>
          <cell r="S41">
            <v>157907</v>
          </cell>
        </row>
        <row r="48">
          <cell r="N48">
            <v>77221</v>
          </cell>
          <cell r="Q48">
            <v>0</v>
          </cell>
          <cell r="R48">
            <v>57770</v>
          </cell>
          <cell r="S48">
            <v>53366</v>
          </cell>
        </row>
        <row r="55">
          <cell r="N55">
            <v>8132</v>
          </cell>
          <cell r="Q55">
            <v>0</v>
          </cell>
          <cell r="R55">
            <v>6199</v>
          </cell>
          <cell r="S55">
            <v>5459</v>
          </cell>
        </row>
        <row r="62">
          <cell r="N62">
            <v>0</v>
          </cell>
          <cell r="Q62">
            <v>0</v>
          </cell>
          <cell r="R62">
            <v>0</v>
          </cell>
          <cell r="S62">
            <v>0</v>
          </cell>
        </row>
        <row r="76">
          <cell r="N76">
            <v>82628</v>
          </cell>
          <cell r="Q76">
            <v>-115443</v>
          </cell>
          <cell r="R76">
            <v>73261</v>
          </cell>
          <cell r="S76">
            <v>56283</v>
          </cell>
        </row>
      </sheetData>
      <sheetData sheetId="16">
        <row r="10">
          <cell r="L10">
            <v>0</v>
          </cell>
        </row>
        <row r="11">
          <cell r="L11">
            <v>0</v>
          </cell>
        </row>
        <row r="12">
          <cell r="L12">
            <v>502422.91</v>
          </cell>
        </row>
        <row r="16">
          <cell r="L16">
            <v>4757.0600000000004</v>
          </cell>
        </row>
        <row r="17">
          <cell r="L17">
            <v>0</v>
          </cell>
        </row>
        <row r="21">
          <cell r="L21">
            <v>424081.34</v>
          </cell>
        </row>
        <row r="22">
          <cell r="L22">
            <v>0</v>
          </cell>
        </row>
        <row r="24">
          <cell r="L24">
            <v>890798.24</v>
          </cell>
        </row>
        <row r="25">
          <cell r="L25">
            <v>35145.360000000001</v>
          </cell>
        </row>
        <row r="26">
          <cell r="L26">
            <v>4145.24</v>
          </cell>
        </row>
        <row r="27">
          <cell r="L27">
            <v>38798.550000000003</v>
          </cell>
        </row>
        <row r="28">
          <cell r="L28">
            <v>337017.84</v>
          </cell>
        </row>
        <row r="29">
          <cell r="L29">
            <v>524406.71</v>
          </cell>
        </row>
        <row r="30">
          <cell r="L30">
            <v>684927.87</v>
          </cell>
        </row>
        <row r="31">
          <cell r="L31">
            <v>73</v>
          </cell>
        </row>
        <row r="32">
          <cell r="L32">
            <v>37386.78</v>
          </cell>
        </row>
        <row r="33">
          <cell r="L33">
            <v>0</v>
          </cell>
        </row>
        <row r="34">
          <cell r="L34">
            <v>564494.13</v>
          </cell>
        </row>
        <row r="36">
          <cell r="L36">
            <v>43529.33</v>
          </cell>
        </row>
        <row r="37">
          <cell r="L37">
            <v>24196.84</v>
          </cell>
        </row>
        <row r="38">
          <cell r="L38">
            <v>24451.65</v>
          </cell>
        </row>
        <row r="39">
          <cell r="L39">
            <v>289036.26</v>
          </cell>
        </row>
        <row r="40">
          <cell r="L40">
            <v>218111.67</v>
          </cell>
        </row>
        <row r="41">
          <cell r="L41">
            <v>55070.75</v>
          </cell>
        </row>
        <row r="45">
          <cell r="L45">
            <v>162583.56</v>
          </cell>
        </row>
        <row r="46">
          <cell r="L46">
            <v>826451.94</v>
          </cell>
        </row>
        <row r="47">
          <cell r="L47">
            <v>1574022.42</v>
          </cell>
        </row>
        <row r="48">
          <cell r="L48">
            <v>27561.83</v>
          </cell>
        </row>
        <row r="53">
          <cell r="L53">
            <v>138229.47</v>
          </cell>
        </row>
        <row r="54">
          <cell r="L54">
            <v>76092.479999999996</v>
          </cell>
        </row>
        <row r="55">
          <cell r="L55">
            <v>15389.57</v>
          </cell>
        </row>
        <row r="59">
          <cell r="L59">
            <v>0</v>
          </cell>
        </row>
        <row r="60">
          <cell r="L60">
            <v>2298.5100000000002</v>
          </cell>
        </row>
        <row r="61">
          <cell r="L61">
            <v>0</v>
          </cell>
        </row>
        <row r="62">
          <cell r="L62">
            <v>-1899.48</v>
          </cell>
        </row>
        <row r="66">
          <cell r="L66">
            <v>2418010.7000000002</v>
          </cell>
        </row>
        <row r="67">
          <cell r="L67">
            <v>8299.5400000000009</v>
          </cell>
        </row>
        <row r="68">
          <cell r="L68">
            <v>852.43</v>
          </cell>
        </row>
        <row r="69">
          <cell r="L69">
            <v>-287.38</v>
          </cell>
        </row>
        <row r="70">
          <cell r="L70">
            <v>0</v>
          </cell>
        </row>
        <row r="71">
          <cell r="L71">
            <v>57577.72</v>
          </cell>
        </row>
        <row r="73">
          <cell r="L73">
            <v>203428</v>
          </cell>
        </row>
        <row r="74">
          <cell r="L74">
            <v>24659.08</v>
          </cell>
        </row>
        <row r="76">
          <cell r="L76">
            <v>223093.66</v>
          </cell>
        </row>
        <row r="79">
          <cell r="L79">
            <v>10459215.58</v>
          </cell>
        </row>
      </sheetData>
      <sheetData sheetId="17" refreshError="1"/>
      <sheetData sheetId="18">
        <row r="15">
          <cell r="G15">
            <v>1612901</v>
          </cell>
          <cell r="H15">
            <v>1685930</v>
          </cell>
        </row>
        <row r="23">
          <cell r="G23">
            <v>448778</v>
          </cell>
          <cell r="H23">
            <v>469098</v>
          </cell>
        </row>
        <row r="33">
          <cell r="G33">
            <v>3341271</v>
          </cell>
          <cell r="H33">
            <v>3492557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1"/>
  <sheetViews>
    <sheetView topLeftCell="A4" zoomScale="115" zoomScaleNormal="115" workbookViewId="0">
      <selection activeCell="L46" sqref="L46"/>
    </sheetView>
  </sheetViews>
  <sheetFormatPr defaultRowHeight="12.75"/>
  <cols>
    <col min="1" max="1" width="4.6640625" style="3" customWidth="1"/>
    <col min="2" max="3" width="1.6640625" style="2" customWidth="1"/>
    <col min="4" max="4" width="33.6640625" style="2" customWidth="1"/>
    <col min="5" max="5" width="11.5" style="4" bestFit="1" customWidth="1"/>
  </cols>
  <sheetData>
    <row r="2" spans="1:12">
      <c r="A2" s="1" t="s">
        <v>0</v>
      </c>
      <c r="D2" s="3"/>
    </row>
    <row r="3" spans="1:12">
      <c r="A3" s="1" t="s">
        <v>1</v>
      </c>
      <c r="D3" s="3"/>
    </row>
    <row r="4" spans="1:12">
      <c r="A4" s="1" t="s">
        <v>2</v>
      </c>
      <c r="D4" s="3"/>
    </row>
    <row r="5" spans="1:12">
      <c r="A5" s="1" t="s">
        <v>3</v>
      </c>
      <c r="D5" s="3"/>
    </row>
    <row r="6" spans="1:12">
      <c r="A6" s="5"/>
      <c r="B6" s="6"/>
      <c r="C6" s="6"/>
      <c r="D6" s="5"/>
      <c r="E6" s="7"/>
    </row>
    <row r="7" spans="1:12">
      <c r="A7" s="8"/>
      <c r="B7" s="9"/>
      <c r="C7" s="10"/>
      <c r="D7" s="10"/>
      <c r="E7" s="11" t="s">
        <v>4</v>
      </c>
    </row>
    <row r="8" spans="1:12">
      <c r="A8" s="12" t="s">
        <v>5</v>
      </c>
      <c r="B8" s="13"/>
      <c r="C8" s="348"/>
      <c r="D8" s="348"/>
      <c r="E8" s="382" t="s">
        <v>6</v>
      </c>
      <c r="F8" s="154"/>
      <c r="I8" s="176"/>
      <c r="J8" s="176"/>
      <c r="K8" s="154"/>
      <c r="L8" s="154"/>
    </row>
    <row r="9" spans="1:12">
      <c r="A9" s="14" t="s">
        <v>7</v>
      </c>
      <c r="B9" s="15"/>
      <c r="C9" s="16"/>
      <c r="D9" s="16" t="s">
        <v>8</v>
      </c>
      <c r="E9" s="17" t="s">
        <v>9</v>
      </c>
    </row>
    <row r="10" spans="1:12">
      <c r="A10" s="18"/>
      <c r="B10" s="19" t="s">
        <v>10</v>
      </c>
      <c r="C10" s="18"/>
      <c r="D10" s="18"/>
      <c r="E10" s="20">
        <v>3.03</v>
      </c>
    </row>
    <row r="11" spans="1:12">
      <c r="A11" s="18"/>
      <c r="B11" s="19" t="s">
        <v>11</v>
      </c>
      <c r="C11" s="18"/>
      <c r="D11" s="18"/>
      <c r="E11" s="20" t="s">
        <v>12</v>
      </c>
    </row>
    <row r="12" spans="1:12">
      <c r="A12" s="18"/>
      <c r="B12" s="19"/>
      <c r="C12" s="18"/>
      <c r="D12" s="18"/>
      <c r="E12" s="20"/>
    </row>
    <row r="13" spans="1:12">
      <c r="B13" s="2" t="s">
        <v>13</v>
      </c>
    </row>
    <row r="14" spans="1:12">
      <c r="A14" s="21">
        <v>1</v>
      </c>
      <c r="B14" s="22" t="s">
        <v>14</v>
      </c>
      <c r="C14" s="22"/>
      <c r="D14" s="22"/>
      <c r="E14" s="23">
        <v>0</v>
      </c>
    </row>
    <row r="15" spans="1:12">
      <c r="A15" s="21">
        <v>2</v>
      </c>
      <c r="B15" s="24" t="s">
        <v>15</v>
      </c>
      <c r="C15" s="24"/>
      <c r="D15" s="24"/>
      <c r="E15" s="25">
        <v>0</v>
      </c>
    </row>
    <row r="16" spans="1:12">
      <c r="A16" s="21">
        <v>3</v>
      </c>
      <c r="B16" s="24" t="s">
        <v>16</v>
      </c>
      <c r="C16" s="24"/>
      <c r="D16" s="24"/>
      <c r="E16" s="26">
        <v>0</v>
      </c>
    </row>
    <row r="17" spans="1:5">
      <c r="A17" s="21">
        <v>4</v>
      </c>
      <c r="B17" s="24" t="s">
        <v>17</v>
      </c>
      <c r="C17" s="24"/>
      <c r="D17" s="24"/>
      <c r="E17" s="4">
        <f>SUM(E14:E16)</f>
        <v>0</v>
      </c>
    </row>
    <row r="18" spans="1:5">
      <c r="A18" s="21">
        <v>5</v>
      </c>
      <c r="B18" s="24" t="s">
        <v>18</v>
      </c>
      <c r="C18" s="24"/>
      <c r="D18" s="24"/>
      <c r="E18" s="26">
        <v>0</v>
      </c>
    </row>
    <row r="19" spans="1:5">
      <c r="A19" s="21">
        <v>6</v>
      </c>
      <c r="B19" s="24" t="s">
        <v>19</v>
      </c>
      <c r="C19" s="24"/>
      <c r="D19" s="24"/>
      <c r="E19" s="4">
        <f>SUM(E17:E18)</f>
        <v>0</v>
      </c>
    </row>
    <row r="20" spans="1:5">
      <c r="A20" s="21"/>
      <c r="B20" s="24"/>
      <c r="C20" s="24"/>
      <c r="D20" s="24"/>
    </row>
    <row r="21" spans="1:5">
      <c r="A21" s="21"/>
      <c r="B21" s="24" t="s">
        <v>20</v>
      </c>
      <c r="C21" s="24"/>
      <c r="D21" s="24"/>
    </row>
    <row r="22" spans="1:5">
      <c r="A22" s="21"/>
      <c r="B22" s="24" t="s">
        <v>21</v>
      </c>
      <c r="C22" s="24"/>
      <c r="D22" s="24"/>
    </row>
    <row r="23" spans="1:5">
      <c r="A23" s="21">
        <v>7</v>
      </c>
      <c r="B23" s="24"/>
      <c r="C23" s="24" t="s">
        <v>22</v>
      </c>
      <c r="D23" s="24"/>
      <c r="E23" s="25">
        <f>+Summary!F9/1000</f>
        <v>-47.524000000000001</v>
      </c>
    </row>
    <row r="24" spans="1:5">
      <c r="A24" s="21">
        <v>8</v>
      </c>
      <c r="B24" s="24"/>
      <c r="C24" s="24" t="s">
        <v>23</v>
      </c>
      <c r="D24" s="24"/>
      <c r="E24" s="25">
        <v>0</v>
      </c>
    </row>
    <row r="25" spans="1:5">
      <c r="A25" s="21">
        <v>9</v>
      </c>
      <c r="B25" s="24"/>
      <c r="C25" s="24" t="s">
        <v>24</v>
      </c>
      <c r="D25" s="24"/>
      <c r="E25" s="25">
        <v>0</v>
      </c>
    </row>
    <row r="26" spans="1:5">
      <c r="A26" s="21">
        <v>10</v>
      </c>
      <c r="B26" s="24"/>
      <c r="C26" s="27" t="s">
        <v>25</v>
      </c>
      <c r="D26" s="27"/>
      <c r="E26" s="25"/>
    </row>
    <row r="27" spans="1:5">
      <c r="A27" s="21">
        <v>11</v>
      </c>
      <c r="B27" s="24"/>
      <c r="C27" s="24" t="s">
        <v>26</v>
      </c>
      <c r="D27" s="24"/>
      <c r="E27" s="26">
        <v>0</v>
      </c>
    </row>
    <row r="28" spans="1:5">
      <c r="A28" s="21">
        <v>12</v>
      </c>
      <c r="B28" s="24" t="s">
        <v>27</v>
      </c>
      <c r="C28" s="24"/>
      <c r="D28" s="24"/>
      <c r="E28" s="4">
        <f>SUM(E23:E27)</f>
        <v>-47.524000000000001</v>
      </c>
    </row>
    <row r="29" spans="1:5">
      <c r="A29" s="21"/>
      <c r="B29" s="24"/>
      <c r="C29" s="24"/>
      <c r="D29" s="24"/>
    </row>
    <row r="30" spans="1:5">
      <c r="A30" s="21"/>
      <c r="B30" s="24" t="s">
        <v>28</v>
      </c>
      <c r="C30" s="24"/>
      <c r="D30" s="24"/>
    </row>
    <row r="31" spans="1:5">
      <c r="A31" s="21">
        <v>13</v>
      </c>
      <c r="B31" s="24"/>
      <c r="C31" s="24" t="s">
        <v>22</v>
      </c>
      <c r="D31" s="24"/>
      <c r="E31" s="25">
        <v>0</v>
      </c>
    </row>
    <row r="32" spans="1:5">
      <c r="A32" s="21">
        <v>14</v>
      </c>
      <c r="B32" s="24"/>
      <c r="C32" s="24" t="s">
        <v>29</v>
      </c>
      <c r="D32" s="24"/>
      <c r="E32" s="25">
        <v>0</v>
      </c>
    </row>
    <row r="33" spans="1:5">
      <c r="A33" s="21">
        <v>15</v>
      </c>
      <c r="B33" s="24"/>
      <c r="C33" s="24" t="s">
        <v>26</v>
      </c>
      <c r="D33" s="24"/>
      <c r="E33" s="26">
        <v>0</v>
      </c>
    </row>
    <row r="34" spans="1:5">
      <c r="A34" s="21">
        <v>16</v>
      </c>
      <c r="B34" s="24" t="s">
        <v>30</v>
      </c>
      <c r="C34" s="24"/>
      <c r="D34" s="24"/>
      <c r="E34" s="4">
        <f>SUM(E31:E33)</f>
        <v>0</v>
      </c>
    </row>
    <row r="35" spans="1:5">
      <c r="A35" s="24"/>
      <c r="B35" s="24"/>
      <c r="C35" s="24"/>
      <c r="D35" s="24"/>
    </row>
    <row r="36" spans="1:5">
      <c r="A36" s="21">
        <v>17</v>
      </c>
      <c r="B36" s="24" t="s">
        <v>31</v>
      </c>
      <c r="C36" s="24"/>
      <c r="D36" s="24"/>
      <c r="E36" s="25">
        <v>0</v>
      </c>
    </row>
    <row r="37" spans="1:5">
      <c r="A37" s="21">
        <v>18</v>
      </c>
      <c r="B37" s="24" t="s">
        <v>32</v>
      </c>
      <c r="C37" s="24"/>
      <c r="D37" s="24"/>
      <c r="E37" s="25">
        <v>0</v>
      </c>
    </row>
    <row r="38" spans="1:5">
      <c r="A38" s="21">
        <v>19</v>
      </c>
      <c r="B38" s="24" t="s">
        <v>33</v>
      </c>
      <c r="C38" s="24"/>
      <c r="D38" s="24"/>
      <c r="E38" s="25">
        <v>0</v>
      </c>
    </row>
    <row r="39" spans="1:5">
      <c r="A39" s="21"/>
      <c r="B39" s="24"/>
      <c r="C39" s="24"/>
      <c r="D39" s="24"/>
    </row>
    <row r="40" spans="1:5">
      <c r="A40" s="24"/>
      <c r="B40" s="24" t="s">
        <v>34</v>
      </c>
      <c r="C40" s="24"/>
      <c r="D40" s="24"/>
    </row>
    <row r="41" spans="1:5">
      <c r="A41" s="21">
        <v>20</v>
      </c>
      <c r="B41" s="24"/>
      <c r="C41" s="24" t="s">
        <v>22</v>
      </c>
      <c r="D41" s="24"/>
      <c r="E41" s="25">
        <f>+Summary!F19/1000</f>
        <v>-632.11800000000005</v>
      </c>
    </row>
    <row r="42" spans="1:5">
      <c r="A42" s="21">
        <v>21</v>
      </c>
      <c r="B42" s="24"/>
      <c r="C42" s="24" t="s">
        <v>29</v>
      </c>
      <c r="D42" s="24"/>
      <c r="E42" s="25">
        <v>0</v>
      </c>
    </row>
    <row r="43" spans="1:5">
      <c r="A43" s="28">
        <v>22</v>
      </c>
      <c r="B43" s="24"/>
      <c r="C43" s="24" t="s">
        <v>26</v>
      </c>
      <c r="D43" s="24"/>
      <c r="E43" s="26">
        <v>0</v>
      </c>
    </row>
    <row r="44" spans="1:5">
      <c r="A44" s="21">
        <v>23</v>
      </c>
      <c r="B44" s="24" t="s">
        <v>35</v>
      </c>
      <c r="C44" s="24"/>
      <c r="D44" s="24"/>
      <c r="E44" s="29">
        <f>SUM(E41:E43)</f>
        <v>-632.11800000000005</v>
      </c>
    </row>
    <row r="45" spans="1:5">
      <c r="A45" s="21">
        <v>24</v>
      </c>
      <c r="B45" s="24" t="s">
        <v>36</v>
      </c>
      <c r="C45" s="24"/>
      <c r="D45" s="24"/>
      <c r="E45" s="29">
        <f>E44+E38+E37+E36+E34+E28</f>
        <v>-679.64200000000005</v>
      </c>
    </row>
    <row r="46" spans="1:5">
      <c r="A46" s="24"/>
      <c r="B46" s="24"/>
      <c r="C46" s="24"/>
      <c r="D46" s="24"/>
    </row>
    <row r="47" spans="1:5">
      <c r="A47" s="21">
        <v>25</v>
      </c>
      <c r="B47" s="24" t="s">
        <v>37</v>
      </c>
      <c r="C47" s="24"/>
      <c r="D47" s="24"/>
      <c r="E47" s="4">
        <f>E19-E45</f>
        <v>679.64200000000005</v>
      </c>
    </row>
    <row r="48" spans="1:5">
      <c r="A48" s="21"/>
      <c r="B48" s="24"/>
      <c r="C48" s="24"/>
      <c r="D48" s="24"/>
    </row>
    <row r="49" spans="1:5">
      <c r="A49" s="30"/>
      <c r="B49" s="24" t="s">
        <v>38</v>
      </c>
      <c r="C49" s="24"/>
      <c r="D49" s="24"/>
    </row>
    <row r="50" spans="1:5">
      <c r="A50" s="28">
        <v>26</v>
      </c>
      <c r="B50" s="24" t="s">
        <v>39</v>
      </c>
      <c r="C50" s="24"/>
      <c r="D50" s="31"/>
      <c r="E50" s="32">
        <f>E47*0.35</f>
        <v>237.87469999999999</v>
      </c>
    </row>
    <row r="51" spans="1:5">
      <c r="A51" s="21">
        <v>27</v>
      </c>
      <c r="B51" s="27" t="s">
        <v>40</v>
      </c>
      <c r="C51" s="27"/>
      <c r="D51" s="27"/>
      <c r="E51" s="4">
        <f>(E79*'[2]RR SUMMARY'!$N$11)*-0.35</f>
        <v>0</v>
      </c>
    </row>
    <row r="52" spans="1:5">
      <c r="A52" s="21">
        <v>28</v>
      </c>
      <c r="B52" s="24" t="s">
        <v>41</v>
      </c>
      <c r="C52" s="24"/>
      <c r="D52" s="24"/>
      <c r="E52" s="25">
        <v>0</v>
      </c>
    </row>
    <row r="53" spans="1:5">
      <c r="A53" s="30">
        <v>29</v>
      </c>
      <c r="B53" s="24" t="s">
        <v>42</v>
      </c>
      <c r="C53" s="24"/>
      <c r="D53" s="24"/>
      <c r="E53" s="26">
        <v>0</v>
      </c>
    </row>
    <row r="55" spans="1:5" ht="13.5" thickBot="1">
      <c r="A55" s="33">
        <v>30</v>
      </c>
      <c r="B55" s="22" t="s">
        <v>43</v>
      </c>
      <c r="C55" s="22"/>
      <c r="D55" s="22"/>
      <c r="E55" s="34">
        <f>E47-SUM(E50:E53)</f>
        <v>441.76730000000009</v>
      </c>
    </row>
    <row r="56" spans="1:5" ht="13.5" thickTop="1">
      <c r="A56" s="33"/>
    </row>
    <row r="57" spans="1:5">
      <c r="A57" s="33"/>
      <c r="B57" s="2" t="s">
        <v>44</v>
      </c>
    </row>
    <row r="58" spans="1:5">
      <c r="B58" s="2" t="s">
        <v>45</v>
      </c>
    </row>
    <row r="59" spans="1:5">
      <c r="A59" s="35">
        <v>31</v>
      </c>
      <c r="B59" s="22"/>
      <c r="C59" s="22" t="s">
        <v>46</v>
      </c>
      <c r="D59" s="22"/>
      <c r="E59" s="36">
        <v>0</v>
      </c>
    </row>
    <row r="60" spans="1:5">
      <c r="A60" s="33">
        <v>32</v>
      </c>
      <c r="B60" s="24"/>
      <c r="C60" s="24" t="s">
        <v>47</v>
      </c>
      <c r="D60" s="24"/>
      <c r="E60" s="25">
        <v>0</v>
      </c>
    </row>
    <row r="61" spans="1:5">
      <c r="A61" s="33">
        <v>33</v>
      </c>
      <c r="B61" s="24"/>
      <c r="C61" s="24" t="s">
        <v>48</v>
      </c>
      <c r="D61" s="24"/>
      <c r="E61" s="25">
        <v>0</v>
      </c>
    </row>
    <row r="62" spans="1:5">
      <c r="A62" s="33">
        <v>34</v>
      </c>
      <c r="B62" s="24"/>
      <c r="C62" s="24" t="s">
        <v>28</v>
      </c>
      <c r="D62" s="24"/>
      <c r="E62" s="25">
        <v>0</v>
      </c>
    </row>
    <row r="63" spans="1:5">
      <c r="A63" s="33">
        <v>35</v>
      </c>
      <c r="B63" s="24"/>
      <c r="C63" s="24" t="s">
        <v>49</v>
      </c>
      <c r="D63" s="24"/>
      <c r="E63" s="26">
        <v>0</v>
      </c>
    </row>
    <row r="64" spans="1:5">
      <c r="A64" s="33">
        <v>36</v>
      </c>
      <c r="B64" s="24" t="s">
        <v>50</v>
      </c>
      <c r="C64" s="24"/>
      <c r="D64" s="24"/>
      <c r="E64" s="4">
        <f>SUM(E59:E63)</f>
        <v>0</v>
      </c>
    </row>
    <row r="65" spans="1:5">
      <c r="A65" s="33"/>
      <c r="B65" s="24" t="s">
        <v>51</v>
      </c>
      <c r="C65" s="24"/>
      <c r="D65" s="24"/>
      <c r="E65" s="25">
        <v>0</v>
      </c>
    </row>
    <row r="66" spans="1:5">
      <c r="A66" s="33">
        <v>37</v>
      </c>
      <c r="B66" s="24"/>
      <c r="C66" s="22" t="s">
        <v>46</v>
      </c>
      <c r="D66" s="24"/>
      <c r="E66" s="37">
        <v>0</v>
      </c>
    </row>
    <row r="67" spans="1:5">
      <c r="A67" s="33">
        <v>38</v>
      </c>
      <c r="B67" s="24"/>
      <c r="C67" s="24" t="s">
        <v>47</v>
      </c>
      <c r="D67" s="24"/>
      <c r="E67" s="37">
        <v>0</v>
      </c>
    </row>
    <row r="68" spans="1:5">
      <c r="A68" s="33">
        <v>39</v>
      </c>
      <c r="B68" s="24"/>
      <c r="C68" s="24" t="s">
        <v>48</v>
      </c>
      <c r="D68" s="24"/>
      <c r="E68" s="37">
        <v>0</v>
      </c>
    </row>
    <row r="69" spans="1:5">
      <c r="A69" s="33">
        <v>40</v>
      </c>
      <c r="B69" s="24"/>
      <c r="C69" s="24" t="s">
        <v>28</v>
      </c>
      <c r="D69" s="24"/>
      <c r="E69" s="37">
        <v>0</v>
      </c>
    </row>
    <row r="70" spans="1:5">
      <c r="A70" s="33">
        <v>41</v>
      </c>
      <c r="B70" s="24"/>
      <c r="C70" s="24" t="s">
        <v>49</v>
      </c>
      <c r="D70" s="24"/>
      <c r="E70" s="37">
        <v>0</v>
      </c>
    </row>
    <row r="71" spans="1:5">
      <c r="A71" s="33">
        <v>42</v>
      </c>
      <c r="B71" s="24" t="s">
        <v>52</v>
      </c>
      <c r="C71" s="24"/>
      <c r="D71" s="24"/>
      <c r="E71" s="38">
        <f>SUM(E66:E70)</f>
        <v>0</v>
      </c>
    </row>
    <row r="72" spans="1:5">
      <c r="A72" s="33">
        <v>43</v>
      </c>
      <c r="B72" s="24" t="s">
        <v>53</v>
      </c>
      <c r="C72" s="24"/>
      <c r="D72" s="24"/>
      <c r="E72" s="38">
        <f>E64-E71</f>
        <v>0</v>
      </c>
    </row>
    <row r="73" spans="1:5">
      <c r="A73" s="33"/>
      <c r="B73" s="24"/>
      <c r="C73" s="24"/>
      <c r="D73" s="24"/>
      <c r="E73" s="39"/>
    </row>
    <row r="74" spans="1:5">
      <c r="A74" s="30">
        <v>44</v>
      </c>
      <c r="B74" s="24" t="s">
        <v>54</v>
      </c>
      <c r="C74" s="24"/>
      <c r="D74" s="24"/>
      <c r="E74" s="26">
        <v>0</v>
      </c>
    </row>
    <row r="75" spans="1:5">
      <c r="A75" s="30">
        <v>45</v>
      </c>
      <c r="B75" s="24"/>
      <c r="C75" s="24" t="s">
        <v>55</v>
      </c>
      <c r="D75" s="24"/>
      <c r="E75" s="39">
        <f>SUM(E72:E74)</f>
        <v>0</v>
      </c>
    </row>
    <row r="76" spans="1:5">
      <c r="A76" s="33">
        <v>46</v>
      </c>
      <c r="B76" s="24" t="s">
        <v>56</v>
      </c>
      <c r="C76" s="24"/>
      <c r="D76" s="24"/>
      <c r="E76" s="25">
        <v>0</v>
      </c>
    </row>
    <row r="77" spans="1:5">
      <c r="A77" s="33">
        <v>47</v>
      </c>
      <c r="B77" s="24" t="s">
        <v>57</v>
      </c>
      <c r="C77" s="24"/>
      <c r="D77" s="24"/>
      <c r="E77" s="26">
        <v>0</v>
      </c>
    </row>
    <row r="78" spans="1:5">
      <c r="A78" s="30"/>
      <c r="B78" s="24"/>
      <c r="C78" s="24"/>
      <c r="D78" s="24"/>
    </row>
    <row r="79" spans="1:5" ht="13.5" thickBot="1">
      <c r="A79" s="21">
        <v>48</v>
      </c>
      <c r="B79" s="22" t="s">
        <v>58</v>
      </c>
      <c r="C79" s="22"/>
      <c r="D79" s="22"/>
      <c r="E79" s="34">
        <f>SUM(E75:E77)</f>
        <v>0</v>
      </c>
    </row>
    <row r="80" spans="1:5" ht="13.5" thickTop="1">
      <c r="A80" s="21"/>
    </row>
    <row r="81" spans="5:5">
      <c r="E81" s="40"/>
    </row>
  </sheetData>
  <pageMargins left="0.7" right="0.7" top="0.75" bottom="0.75" header="0.3" footer="0.3"/>
  <pageSetup scale="67" fitToWidth="0" orientation="portrait" r:id="rId1"/>
  <headerFooter>
    <oddHeader>&amp;RExhibit No. ___ (JH-6)
Dockets UE-120436 &amp;&amp; UG-120437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zoomScale="115" zoomScaleNormal="115" workbookViewId="0">
      <selection activeCell="L46" sqref="L46"/>
    </sheetView>
  </sheetViews>
  <sheetFormatPr defaultRowHeight="12.75"/>
  <cols>
    <col min="1" max="1" width="4.6640625" style="3" customWidth="1"/>
    <col min="2" max="3" width="1.6640625" style="2" customWidth="1"/>
    <col min="4" max="4" width="2.6640625" style="2" customWidth="1"/>
    <col min="5" max="5" width="22.5" style="41" customWidth="1"/>
    <col min="6" max="6" width="13.5" style="42" customWidth="1"/>
  </cols>
  <sheetData>
    <row r="1" spans="1:12">
      <c r="A1" s="155"/>
      <c r="B1" s="152"/>
      <c r="C1" s="152"/>
      <c r="D1" s="152"/>
      <c r="E1" s="334"/>
      <c r="F1" s="335"/>
    </row>
    <row r="2" spans="1:12">
      <c r="A2" s="156" t="str">
        <f>'[3]ROO INPUT'!A3:C3</f>
        <v>AVISTA UTILITIES</v>
      </c>
      <c r="B2" s="152"/>
      <c r="C2" s="152"/>
      <c r="D2" s="155"/>
      <c r="E2" s="334"/>
      <c r="F2" s="335"/>
    </row>
    <row r="3" spans="1:12">
      <c r="A3" s="156" t="str">
        <f>'[3]ROO INPUT'!A4:C4</f>
        <v xml:space="preserve">WASHINGTON NATURAL GAS RESULTS </v>
      </c>
      <c r="B3" s="152"/>
      <c r="C3" s="152"/>
      <c r="D3" s="155"/>
      <c r="E3" s="334"/>
      <c r="F3" s="335"/>
    </row>
    <row r="4" spans="1:12">
      <c r="A4" s="156" t="str">
        <f>'[3]ROO INPUT'!A5:C5</f>
        <v>TWELVE MONTHS ENDED DECEMBER 31, 2011</v>
      </c>
      <c r="B4" s="152"/>
      <c r="C4" s="152"/>
      <c r="D4" s="155"/>
      <c r="E4" s="334"/>
      <c r="F4" s="335"/>
    </row>
    <row r="5" spans="1:12">
      <c r="A5" s="156" t="str">
        <f>'[3]ROO INPUT'!A6:C6</f>
        <v xml:space="preserve">(000'S OF DOLLARS)   </v>
      </c>
      <c r="B5" s="152"/>
      <c r="C5" s="152"/>
      <c r="D5" s="155"/>
      <c r="E5" s="334"/>
      <c r="F5" s="335"/>
    </row>
    <row r="6" spans="1:12">
      <c r="A6" s="156"/>
      <c r="B6" s="152"/>
      <c r="C6" s="152"/>
      <c r="D6" s="155"/>
      <c r="E6" s="334"/>
      <c r="F6" s="335"/>
    </row>
    <row r="7" spans="1:12">
      <c r="A7" s="336"/>
      <c r="B7" s="336"/>
      <c r="C7" s="337"/>
      <c r="D7" s="337"/>
      <c r="E7" s="336"/>
      <c r="F7" s="338"/>
    </row>
    <row r="8" spans="1:12">
      <c r="A8" s="339"/>
      <c r="B8" s="340"/>
      <c r="C8" s="341"/>
      <c r="D8" s="342"/>
      <c r="E8" s="343"/>
      <c r="F8" s="344" t="s">
        <v>59</v>
      </c>
      <c r="I8" s="176"/>
      <c r="J8" s="176"/>
      <c r="K8" s="154"/>
      <c r="L8" s="154"/>
    </row>
    <row r="9" spans="1:12">
      <c r="A9" s="345" t="s">
        <v>5</v>
      </c>
      <c r="B9" s="346"/>
      <c r="C9" s="347"/>
      <c r="D9" s="348"/>
      <c r="E9" s="349"/>
      <c r="F9" s="350" t="s">
        <v>6</v>
      </c>
    </row>
    <row r="10" spans="1:12">
      <c r="A10" s="351" t="s">
        <v>7</v>
      </c>
      <c r="B10" s="352"/>
      <c r="C10" s="353"/>
      <c r="D10" s="354"/>
      <c r="E10" s="355" t="s">
        <v>8</v>
      </c>
      <c r="F10" s="356" t="s">
        <v>9</v>
      </c>
    </row>
    <row r="11" spans="1:12">
      <c r="A11" s="357"/>
      <c r="B11" s="357"/>
      <c r="C11" s="358"/>
      <c r="D11" s="358"/>
      <c r="E11" s="358" t="s">
        <v>61</v>
      </c>
      <c r="F11" s="359">
        <v>3.01</v>
      </c>
    </row>
    <row r="12" spans="1:12">
      <c r="A12" s="357"/>
      <c r="B12" s="357"/>
      <c r="C12" s="358"/>
      <c r="D12" s="358"/>
      <c r="E12" s="358"/>
      <c r="F12" s="338" t="s">
        <v>62</v>
      </c>
    </row>
    <row r="13" spans="1:12">
      <c r="A13" s="357"/>
      <c r="B13" s="357"/>
      <c r="C13" s="358"/>
      <c r="D13" s="358"/>
      <c r="E13" s="358"/>
      <c r="F13" s="335"/>
    </row>
    <row r="14" spans="1:12">
      <c r="A14" s="360"/>
      <c r="B14" s="361" t="s">
        <v>63</v>
      </c>
      <c r="C14" s="361"/>
      <c r="D14" s="361"/>
      <c r="E14" s="361"/>
      <c r="F14" s="335"/>
    </row>
    <row r="15" spans="1:12">
      <c r="A15" s="360">
        <v>1</v>
      </c>
      <c r="B15" s="362"/>
      <c r="C15" s="362" t="s">
        <v>64</v>
      </c>
      <c r="D15" s="362"/>
      <c r="E15" s="362"/>
      <c r="F15" s="363">
        <v>0</v>
      </c>
    </row>
    <row r="16" spans="1:12">
      <c r="A16" s="360">
        <v>2</v>
      </c>
      <c r="B16" s="361"/>
      <c r="C16" s="364" t="s">
        <v>65</v>
      </c>
      <c r="D16" s="364"/>
      <c r="E16" s="364"/>
      <c r="F16" s="365">
        <v>0</v>
      </c>
    </row>
    <row r="17" spans="1:6">
      <c r="A17" s="360">
        <v>3</v>
      </c>
      <c r="B17" s="361"/>
      <c r="C17" s="364" t="s">
        <v>66</v>
      </c>
      <c r="D17" s="364"/>
      <c r="E17" s="364"/>
      <c r="F17" s="366">
        <v>0</v>
      </c>
    </row>
    <row r="18" spans="1:6">
      <c r="A18" s="360">
        <v>4</v>
      </c>
      <c r="B18" s="361" t="s">
        <v>67</v>
      </c>
      <c r="C18" s="364"/>
      <c r="D18" s="364"/>
      <c r="E18" s="364"/>
      <c r="F18" s="367">
        <f>SUM(F15:F17)</f>
        <v>0</v>
      </c>
    </row>
    <row r="19" spans="1:6">
      <c r="A19" s="360"/>
      <c r="B19" s="361"/>
      <c r="C19" s="364"/>
      <c r="D19" s="364"/>
      <c r="E19" s="364"/>
      <c r="F19" s="368"/>
    </row>
    <row r="20" spans="1:6">
      <c r="A20" s="360"/>
      <c r="B20" s="361" t="s">
        <v>68</v>
      </c>
      <c r="C20" s="364"/>
      <c r="D20" s="364"/>
      <c r="E20" s="364"/>
      <c r="F20" s="368"/>
    </row>
    <row r="21" spans="1:6">
      <c r="A21" s="360"/>
      <c r="B21" s="361"/>
      <c r="C21" s="364" t="s">
        <v>69</v>
      </c>
      <c r="D21" s="364"/>
      <c r="E21" s="364"/>
      <c r="F21" s="365"/>
    </row>
    <row r="22" spans="1:6">
      <c r="A22" s="360">
        <v>5</v>
      </c>
      <c r="B22" s="361"/>
      <c r="C22" s="364"/>
      <c r="D22" s="364" t="s">
        <v>70</v>
      </c>
      <c r="E22" s="364"/>
      <c r="F22" s="365">
        <v>0</v>
      </c>
    </row>
    <row r="23" spans="1:6">
      <c r="A23" s="360">
        <v>6</v>
      </c>
      <c r="B23" s="361"/>
      <c r="C23" s="364"/>
      <c r="D23" s="364" t="s">
        <v>71</v>
      </c>
      <c r="E23" s="364"/>
      <c r="F23" s="365">
        <f>+Summary!F55/1000</f>
        <v>-13.881</v>
      </c>
    </row>
    <row r="24" spans="1:6">
      <c r="A24" s="360">
        <v>7</v>
      </c>
      <c r="B24" s="361"/>
      <c r="C24" s="364"/>
      <c r="D24" s="364" t="s">
        <v>72</v>
      </c>
      <c r="E24" s="364"/>
      <c r="F24" s="366">
        <v>0</v>
      </c>
    </row>
    <row r="25" spans="1:6">
      <c r="A25" s="360">
        <v>8</v>
      </c>
      <c r="B25" s="361"/>
      <c r="C25" s="364"/>
      <c r="D25" s="364"/>
      <c r="E25" s="364" t="s">
        <v>73</v>
      </c>
      <c r="F25" s="367">
        <f>SUM(F22:F24)</f>
        <v>-13.881</v>
      </c>
    </row>
    <row r="26" spans="1:6">
      <c r="A26" s="360"/>
      <c r="B26" s="361"/>
      <c r="C26" s="364"/>
      <c r="D26" s="364"/>
      <c r="E26" s="364"/>
      <c r="F26" s="367"/>
    </row>
    <row r="27" spans="1:6">
      <c r="A27" s="360"/>
      <c r="B27" s="361"/>
      <c r="C27" s="364" t="s">
        <v>74</v>
      </c>
      <c r="D27" s="364"/>
      <c r="E27" s="364"/>
      <c r="F27" s="368"/>
    </row>
    <row r="28" spans="1:6">
      <c r="A28" s="360">
        <v>9</v>
      </c>
      <c r="B28" s="361"/>
      <c r="C28" s="364"/>
      <c r="D28" s="364" t="s">
        <v>75</v>
      </c>
      <c r="E28" s="364"/>
      <c r="F28" s="365">
        <v>0</v>
      </c>
    </row>
    <row r="29" spans="1:6">
      <c r="A29" s="360">
        <v>10</v>
      </c>
      <c r="B29" s="361"/>
      <c r="C29" s="364"/>
      <c r="D29" s="364" t="s">
        <v>76</v>
      </c>
      <c r="E29" s="364"/>
      <c r="F29" s="365">
        <v>0</v>
      </c>
    </row>
    <row r="30" spans="1:6">
      <c r="A30" s="360">
        <v>11</v>
      </c>
      <c r="B30" s="361"/>
      <c r="C30" s="364"/>
      <c r="D30" s="364" t="s">
        <v>77</v>
      </c>
      <c r="E30" s="364"/>
      <c r="F30" s="366">
        <v>0</v>
      </c>
    </row>
    <row r="31" spans="1:6">
      <c r="A31" s="360">
        <v>12</v>
      </c>
      <c r="B31" s="361"/>
      <c r="C31" s="364"/>
      <c r="D31" s="364"/>
      <c r="E31" s="364" t="s">
        <v>78</v>
      </c>
      <c r="F31" s="367">
        <f>SUM(F28:F30)</f>
        <v>0</v>
      </c>
    </row>
    <row r="32" spans="1:6">
      <c r="A32" s="360"/>
      <c r="B32" s="361"/>
      <c r="C32" s="364"/>
      <c r="D32" s="364"/>
      <c r="E32" s="364"/>
      <c r="F32" s="367"/>
    </row>
    <row r="33" spans="1:6">
      <c r="A33" s="360"/>
      <c r="B33" s="361"/>
      <c r="C33" s="364" t="s">
        <v>79</v>
      </c>
      <c r="D33" s="364"/>
      <c r="E33" s="364"/>
      <c r="F33" s="368"/>
    </row>
    <row r="34" spans="1:6">
      <c r="A34" s="360">
        <v>13</v>
      </c>
      <c r="B34" s="361"/>
      <c r="C34" s="364"/>
      <c r="D34" s="364" t="s">
        <v>75</v>
      </c>
      <c r="E34" s="364"/>
      <c r="F34" s="365">
        <v>0</v>
      </c>
    </row>
    <row r="35" spans="1:6">
      <c r="A35" s="360">
        <v>14</v>
      </c>
      <c r="B35" s="361"/>
      <c r="C35" s="364"/>
      <c r="D35" s="364" t="s">
        <v>76</v>
      </c>
      <c r="E35" s="364"/>
      <c r="F35" s="365">
        <v>0</v>
      </c>
    </row>
    <row r="36" spans="1:6">
      <c r="A36" s="360">
        <v>15</v>
      </c>
      <c r="B36" s="361"/>
      <c r="C36" s="364"/>
      <c r="D36" s="364" t="s">
        <v>77</v>
      </c>
      <c r="E36" s="364"/>
      <c r="F36" s="366">
        <v>0</v>
      </c>
    </row>
    <row r="37" spans="1:6">
      <c r="A37" s="360">
        <v>16</v>
      </c>
      <c r="B37" s="361"/>
      <c r="C37" s="364"/>
      <c r="D37" s="364"/>
      <c r="E37" s="364" t="s">
        <v>80</v>
      </c>
      <c r="F37" s="367">
        <f>SUM(F34:F36)</f>
        <v>0</v>
      </c>
    </row>
    <row r="38" spans="1:6">
      <c r="A38" s="360"/>
      <c r="B38" s="361"/>
      <c r="C38" s="364"/>
      <c r="D38" s="364"/>
      <c r="E38" s="364"/>
      <c r="F38" s="367"/>
    </row>
    <row r="39" spans="1:6">
      <c r="A39" s="360">
        <v>17</v>
      </c>
      <c r="B39" s="361" t="s">
        <v>81</v>
      </c>
      <c r="C39" s="364"/>
      <c r="D39" s="364"/>
      <c r="E39" s="364"/>
      <c r="F39" s="369">
        <v>0</v>
      </c>
    </row>
    <row r="40" spans="1:6">
      <c r="A40" s="360">
        <v>18</v>
      </c>
      <c r="B40" s="361" t="s">
        <v>82</v>
      </c>
      <c r="C40" s="364"/>
      <c r="D40" s="364"/>
      <c r="E40" s="364"/>
      <c r="F40" s="365">
        <v>0</v>
      </c>
    </row>
    <row r="41" spans="1:6">
      <c r="A41" s="360">
        <v>19</v>
      </c>
      <c r="B41" s="361" t="s">
        <v>83</v>
      </c>
      <c r="C41" s="364"/>
      <c r="D41" s="364"/>
      <c r="E41" s="364"/>
      <c r="F41" s="365">
        <v>0</v>
      </c>
    </row>
    <row r="42" spans="1:6">
      <c r="A42" s="360"/>
      <c r="B42" s="361"/>
      <c r="C42" s="364"/>
      <c r="D42" s="364"/>
      <c r="E42" s="364"/>
      <c r="F42" s="365"/>
    </row>
    <row r="43" spans="1:6">
      <c r="A43" s="360"/>
      <c r="B43" s="361" t="s">
        <v>84</v>
      </c>
      <c r="C43" s="364"/>
      <c r="D43" s="364"/>
      <c r="E43" s="364"/>
      <c r="F43" s="365"/>
    </row>
    <row r="44" spans="1:6">
      <c r="A44" s="360">
        <v>20</v>
      </c>
      <c r="B44" s="361"/>
      <c r="C44" s="364" t="s">
        <v>75</v>
      </c>
      <c r="D44" s="364"/>
      <c r="E44" s="364"/>
      <c r="F44" s="365">
        <f>+Summary!F65/1000</f>
        <v>-180.98699999999999</v>
      </c>
    </row>
    <row r="45" spans="1:6">
      <c r="A45" s="360">
        <v>21</v>
      </c>
      <c r="B45" s="361"/>
      <c r="C45" s="364" t="s">
        <v>29</v>
      </c>
      <c r="D45" s="364"/>
      <c r="E45" s="364"/>
      <c r="F45" s="365">
        <v>0</v>
      </c>
    </row>
    <row r="46" spans="1:6">
      <c r="A46" s="360">
        <v>22</v>
      </c>
      <c r="B46" s="361"/>
      <c r="C46" s="370" t="s">
        <v>85</v>
      </c>
      <c r="D46" s="364"/>
      <c r="E46" s="364"/>
      <c r="F46" s="365"/>
    </row>
    <row r="47" spans="1:6">
      <c r="A47" s="360">
        <v>23</v>
      </c>
      <c r="B47" s="361"/>
      <c r="C47" s="364" t="s">
        <v>77</v>
      </c>
      <c r="D47" s="364"/>
      <c r="E47" s="364"/>
      <c r="F47" s="366">
        <v>0</v>
      </c>
    </row>
    <row r="48" spans="1:6">
      <c r="A48" s="360">
        <v>24</v>
      </c>
      <c r="B48" s="361"/>
      <c r="C48" s="364"/>
      <c r="D48" s="364" t="s">
        <v>86</v>
      </c>
      <c r="E48" s="157"/>
      <c r="F48" s="371">
        <f>SUM(F44:F47)</f>
        <v>-180.98699999999999</v>
      </c>
    </row>
    <row r="49" spans="1:6">
      <c r="A49" s="360">
        <v>25</v>
      </c>
      <c r="B49" s="361" t="s">
        <v>87</v>
      </c>
      <c r="C49" s="364"/>
      <c r="D49" s="364"/>
      <c r="E49" s="364"/>
      <c r="F49" s="371">
        <f>F21+F25+F31+F37+F39+F40+F41+F48</f>
        <v>-194.86799999999999</v>
      </c>
    </row>
    <row r="50" spans="1:6">
      <c r="A50" s="360"/>
      <c r="B50" s="361"/>
      <c r="C50" s="364"/>
      <c r="D50" s="364"/>
      <c r="E50" s="364"/>
      <c r="F50" s="367"/>
    </row>
    <row r="51" spans="1:6">
      <c r="A51" s="360">
        <v>26</v>
      </c>
      <c r="B51" s="361" t="s">
        <v>88</v>
      </c>
      <c r="C51" s="364"/>
      <c r="D51" s="364"/>
      <c r="E51" s="364"/>
      <c r="F51" s="367">
        <f>F18-F49</f>
        <v>194.86799999999999</v>
      </c>
    </row>
    <row r="52" spans="1:6">
      <c r="A52" s="360"/>
      <c r="B52" s="361"/>
      <c r="C52" s="364"/>
      <c r="D52" s="364"/>
      <c r="E52" s="364"/>
      <c r="F52" s="367"/>
    </row>
    <row r="53" spans="1:6">
      <c r="A53" s="360"/>
      <c r="B53" s="361" t="s">
        <v>89</v>
      </c>
      <c r="C53" s="364"/>
      <c r="D53" s="364"/>
      <c r="E53" s="364"/>
      <c r="F53" s="368"/>
    </row>
    <row r="54" spans="1:6">
      <c r="A54" s="360">
        <v>27</v>
      </c>
      <c r="B54" s="361"/>
      <c r="C54" s="364" t="s">
        <v>90</v>
      </c>
      <c r="D54" s="364"/>
      <c r="E54" s="364"/>
      <c r="F54" s="368">
        <f>F51*0.35</f>
        <v>68.203799999999987</v>
      </c>
    </row>
    <row r="55" spans="1:6">
      <c r="A55" s="360">
        <v>28</v>
      </c>
      <c r="B55" s="361"/>
      <c r="C55" s="372" t="s">
        <v>40</v>
      </c>
      <c r="D55" s="364"/>
      <c r="E55" s="364"/>
      <c r="F55" s="368">
        <f>(F81*'[3]RR SUMMARY'!$M$14)*-0.35</f>
        <v>0</v>
      </c>
    </row>
    <row r="56" spans="1:6">
      <c r="A56" s="360">
        <v>29</v>
      </c>
      <c r="B56" s="361"/>
      <c r="C56" s="364" t="s">
        <v>91</v>
      </c>
      <c r="D56" s="364"/>
      <c r="E56" s="364"/>
      <c r="F56" s="365">
        <v>0</v>
      </c>
    </row>
    <row r="57" spans="1:6">
      <c r="A57" s="360">
        <v>30</v>
      </c>
      <c r="B57" s="361"/>
      <c r="C57" s="364" t="s">
        <v>92</v>
      </c>
      <c r="D57" s="364"/>
      <c r="E57" s="364"/>
      <c r="F57" s="366">
        <v>0</v>
      </c>
    </row>
    <row r="58" spans="1:6">
      <c r="A58" s="360"/>
      <c r="B58" s="361"/>
      <c r="C58" s="361"/>
      <c r="D58" s="361"/>
      <c r="E58" s="361"/>
      <c r="F58" s="367"/>
    </row>
    <row r="59" spans="1:6" ht="13.5" thickBot="1">
      <c r="A59" s="360">
        <v>31</v>
      </c>
      <c r="B59" s="362" t="s">
        <v>93</v>
      </c>
      <c r="C59" s="362"/>
      <c r="D59" s="362"/>
      <c r="E59" s="362"/>
      <c r="F59" s="373">
        <f>F51-SUM(F54:F57)</f>
        <v>126.66420000000001</v>
      </c>
    </row>
    <row r="60" spans="1:6" ht="13.5" thickTop="1">
      <c r="A60" s="360"/>
      <c r="B60" s="361"/>
      <c r="C60" s="361"/>
      <c r="D60" s="361"/>
      <c r="E60" s="361"/>
      <c r="F60" s="367"/>
    </row>
    <row r="61" spans="1:6">
      <c r="A61" s="360"/>
      <c r="B61" s="361"/>
      <c r="C61" s="361"/>
      <c r="D61" s="361"/>
      <c r="E61" s="361"/>
      <c r="F61" s="367"/>
    </row>
    <row r="62" spans="1:6">
      <c r="A62" s="360"/>
      <c r="B62" s="361" t="s">
        <v>94</v>
      </c>
      <c r="C62" s="361"/>
      <c r="D62" s="361"/>
      <c r="E62" s="361"/>
      <c r="F62" s="368"/>
    </row>
    <row r="63" spans="1:6">
      <c r="A63" s="360">
        <v>32</v>
      </c>
      <c r="B63" s="364"/>
      <c r="C63" s="364" t="s">
        <v>74</v>
      </c>
      <c r="D63" s="364"/>
      <c r="E63" s="364"/>
      <c r="F63" s="363">
        <v>0</v>
      </c>
    </row>
    <row r="64" spans="1:6">
      <c r="A64" s="360">
        <v>33</v>
      </c>
      <c r="B64" s="364"/>
      <c r="C64" s="364" t="s">
        <v>95</v>
      </c>
      <c r="D64" s="364"/>
      <c r="E64" s="364"/>
      <c r="F64" s="365">
        <v>0</v>
      </c>
    </row>
    <row r="65" spans="1:6">
      <c r="A65" s="360">
        <v>34</v>
      </c>
      <c r="B65" s="364"/>
      <c r="C65" s="364" t="s">
        <v>96</v>
      </c>
      <c r="D65" s="364"/>
      <c r="E65" s="364"/>
      <c r="F65" s="366">
        <v>0</v>
      </c>
    </row>
    <row r="66" spans="1:6">
      <c r="A66" s="360">
        <v>35</v>
      </c>
      <c r="B66" s="364"/>
      <c r="C66" s="364"/>
      <c r="D66" s="364"/>
      <c r="E66" s="364" t="s">
        <v>97</v>
      </c>
      <c r="F66" s="367">
        <f>SUM(F63:F65)</f>
        <v>0</v>
      </c>
    </row>
    <row r="67" spans="1:6">
      <c r="A67" s="360"/>
      <c r="B67" s="364"/>
      <c r="C67" s="364"/>
      <c r="D67" s="364"/>
      <c r="E67" s="364"/>
      <c r="F67" s="367"/>
    </row>
    <row r="68" spans="1:6">
      <c r="A68" s="360"/>
      <c r="B68" s="364" t="s">
        <v>98</v>
      </c>
      <c r="C68" s="364"/>
      <c r="D68" s="364"/>
      <c r="E68" s="364"/>
      <c r="F68" s="368"/>
    </row>
    <row r="69" spans="1:6">
      <c r="A69" s="360">
        <v>36</v>
      </c>
      <c r="B69" s="364"/>
      <c r="C69" s="364" t="s">
        <v>74</v>
      </c>
      <c r="D69" s="364"/>
      <c r="E69" s="364"/>
      <c r="F69" s="368">
        <v>0</v>
      </c>
    </row>
    <row r="70" spans="1:6">
      <c r="A70" s="360">
        <v>37</v>
      </c>
      <c r="B70" s="364"/>
      <c r="C70" s="364" t="s">
        <v>95</v>
      </c>
      <c r="D70" s="364"/>
      <c r="E70" s="364"/>
      <c r="F70" s="368">
        <v>0</v>
      </c>
    </row>
    <row r="71" spans="1:6">
      <c r="A71" s="360">
        <v>38</v>
      </c>
      <c r="B71" s="364"/>
      <c r="C71" s="364" t="s">
        <v>96</v>
      </c>
      <c r="D71" s="364"/>
      <c r="E71" s="364"/>
      <c r="F71" s="368">
        <v>0</v>
      </c>
    </row>
    <row r="72" spans="1:6">
      <c r="A72" s="360">
        <v>39</v>
      </c>
      <c r="B72" s="364" t="s">
        <v>99</v>
      </c>
      <c r="C72" s="364"/>
      <c r="D72" s="364"/>
      <c r="E72" s="157"/>
      <c r="F72" s="374">
        <f>SUM(F69:F71)</f>
        <v>0</v>
      </c>
    </row>
    <row r="73" spans="1:6">
      <c r="A73" s="360">
        <v>40</v>
      </c>
      <c r="B73" s="372" t="s">
        <v>100</v>
      </c>
      <c r="C73" s="364"/>
      <c r="D73" s="364"/>
      <c r="E73" s="364"/>
      <c r="F73" s="375">
        <f>F66-F72</f>
        <v>0</v>
      </c>
    </row>
    <row r="74" spans="1:6">
      <c r="A74" s="376">
        <v>41</v>
      </c>
      <c r="B74" s="377" t="s">
        <v>101</v>
      </c>
      <c r="C74" s="377"/>
      <c r="D74" s="377"/>
      <c r="E74" s="377"/>
      <c r="F74" s="366"/>
    </row>
    <row r="75" spans="1:6">
      <c r="A75" s="376">
        <v>42</v>
      </c>
      <c r="B75" s="377"/>
      <c r="C75" s="378" t="s">
        <v>55</v>
      </c>
      <c r="D75" s="377"/>
      <c r="E75" s="377"/>
      <c r="F75" s="375">
        <f>F73+F74</f>
        <v>0</v>
      </c>
    </row>
    <row r="76" spans="1:6">
      <c r="A76" s="360">
        <v>43</v>
      </c>
      <c r="B76" s="364" t="s">
        <v>102</v>
      </c>
      <c r="C76" s="364"/>
      <c r="D76" s="364"/>
      <c r="E76" s="364"/>
      <c r="F76" s="365"/>
    </row>
    <row r="77" spans="1:6">
      <c r="A77" s="360">
        <v>44</v>
      </c>
      <c r="B77" s="364" t="s">
        <v>103</v>
      </c>
      <c r="C77" s="364"/>
      <c r="D77" s="364"/>
      <c r="E77" s="364"/>
      <c r="F77" s="369"/>
    </row>
    <row r="78" spans="1:6">
      <c r="A78" s="360">
        <v>45</v>
      </c>
      <c r="B78" s="364" t="s">
        <v>104</v>
      </c>
      <c r="C78" s="364"/>
      <c r="D78" s="364"/>
      <c r="E78" s="364"/>
      <c r="F78" s="369"/>
    </row>
    <row r="79" spans="1:6">
      <c r="A79" s="360">
        <v>46</v>
      </c>
      <c r="B79" s="364" t="s">
        <v>105</v>
      </c>
      <c r="C79" s="364"/>
      <c r="D79" s="364"/>
      <c r="E79" s="364"/>
      <c r="F79" s="366"/>
    </row>
    <row r="80" spans="1:6">
      <c r="A80" s="360"/>
      <c r="B80" s="361"/>
      <c r="C80" s="361"/>
      <c r="D80" s="361"/>
      <c r="E80" s="361"/>
      <c r="F80" s="335"/>
    </row>
    <row r="81" spans="1:6" ht="13.5" thickBot="1">
      <c r="A81" s="360">
        <v>47</v>
      </c>
      <c r="B81" s="362" t="s">
        <v>106</v>
      </c>
      <c r="C81" s="362"/>
      <c r="D81" s="362"/>
      <c r="E81" s="362"/>
      <c r="F81" s="379">
        <f>F79+F80</f>
        <v>0</v>
      </c>
    </row>
    <row r="82" spans="1:6" ht="13.5" thickTop="1">
      <c r="A82" s="43"/>
      <c r="B82" s="44"/>
      <c r="C82" s="44"/>
      <c r="D82" s="44"/>
      <c r="E82" s="44"/>
    </row>
    <row r="83" spans="1:6">
      <c r="F83" s="46"/>
    </row>
    <row r="84" spans="1:6">
      <c r="F84" s="46"/>
    </row>
    <row r="85" spans="1:6">
      <c r="F85" s="46"/>
    </row>
    <row r="86" spans="1:6">
      <c r="F86" s="46"/>
    </row>
    <row r="87" spans="1:6" s="42" customFormat="1" ht="12">
      <c r="A87" s="3"/>
      <c r="B87" s="2"/>
      <c r="C87" s="2"/>
      <c r="D87" s="2"/>
      <c r="E87" s="41"/>
    </row>
    <row r="88" spans="1:6" s="42" customFormat="1" ht="12">
      <c r="A88" s="3"/>
      <c r="B88" s="2"/>
      <c r="C88" s="2"/>
      <c r="D88" s="2"/>
      <c r="E88" s="41"/>
    </row>
  </sheetData>
  <pageMargins left="0.7" right="0.7" top="0.75" bottom="0.75" header="0.3" footer="0.3"/>
  <pageSetup scale="66" fitToWidth="0" orientation="portrait" r:id="rId1"/>
  <headerFooter>
    <oddHeader>&amp;RExhibit No. ___ (JH-6)
Dockets UE-120436 &amp;&amp; UG-120437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L114"/>
  <sheetViews>
    <sheetView zoomScaleNormal="100" workbookViewId="0">
      <selection activeCell="L46" sqref="L46"/>
    </sheetView>
  </sheetViews>
  <sheetFormatPr defaultRowHeight="12.75"/>
  <cols>
    <col min="1" max="1" width="3.5" customWidth="1"/>
    <col min="2" max="2" width="13.5" customWidth="1"/>
    <col min="3" max="3" width="21.6640625" customWidth="1"/>
    <col min="4" max="4" width="12.83203125" style="127" customWidth="1"/>
    <col min="5" max="5" width="16" style="45" hidden="1" customWidth="1"/>
    <col min="6" max="6" width="15.6640625" style="45" customWidth="1"/>
    <col min="7" max="7" width="2.83203125" style="47" hidden="1" customWidth="1"/>
    <col min="8" max="8" width="11.1640625" style="45" hidden="1" customWidth="1"/>
    <col min="9" max="9" width="12.6640625" style="45" hidden="1" customWidth="1"/>
    <col min="10" max="10" width="16.1640625" hidden="1" customWidth="1"/>
  </cols>
  <sheetData>
    <row r="1" spans="1:12">
      <c r="A1" s="310" t="s">
        <v>214</v>
      </c>
      <c r="B1" s="292"/>
      <c r="C1" s="157"/>
      <c r="D1" s="320"/>
      <c r="E1" s="157"/>
      <c r="F1" s="157"/>
      <c r="G1" s="291"/>
      <c r="H1" s="157"/>
      <c r="I1" s="157"/>
      <c r="J1" s="154"/>
    </row>
    <row r="2" spans="1:12">
      <c r="A2" s="310" t="s">
        <v>378</v>
      </c>
      <c r="B2" s="292"/>
      <c r="C2" s="157"/>
      <c r="D2" s="320"/>
      <c r="E2" s="157"/>
      <c r="F2" s="157"/>
      <c r="G2" s="291"/>
      <c r="H2" s="157"/>
      <c r="I2" s="157"/>
      <c r="J2" s="154"/>
    </row>
    <row r="3" spans="1:12">
      <c r="A3" s="321" t="s">
        <v>391</v>
      </c>
      <c r="B3" s="292"/>
      <c r="C3" s="157"/>
      <c r="D3" s="320"/>
      <c r="E3" s="157"/>
      <c r="F3" s="157"/>
      <c r="G3" s="291"/>
      <c r="H3" s="157"/>
      <c r="I3" s="157"/>
      <c r="J3" s="154"/>
    </row>
    <row r="4" spans="1:12">
      <c r="A4" s="292"/>
      <c r="B4" s="292"/>
      <c r="C4" s="157"/>
      <c r="D4" s="320"/>
      <c r="E4" s="157"/>
      <c r="F4" s="157"/>
      <c r="G4" s="291"/>
      <c r="H4" s="157"/>
      <c r="I4" s="157"/>
      <c r="J4" s="154"/>
    </row>
    <row r="5" spans="1:12">
      <c r="A5" s="292"/>
      <c r="B5" s="292"/>
      <c r="C5" s="157"/>
      <c r="D5" s="320"/>
      <c r="E5" s="309" t="s">
        <v>377</v>
      </c>
      <c r="F5" s="322" t="s">
        <v>390</v>
      </c>
      <c r="G5" s="323"/>
      <c r="H5" s="309" t="s">
        <v>112</v>
      </c>
      <c r="I5" s="309" t="s">
        <v>112</v>
      </c>
      <c r="J5" s="154"/>
    </row>
    <row r="6" spans="1:12">
      <c r="A6" s="292"/>
      <c r="B6" s="292"/>
      <c r="C6" s="157"/>
      <c r="D6" s="320"/>
      <c r="E6" s="324" t="s">
        <v>123</v>
      </c>
      <c r="F6" s="309" t="s">
        <v>122</v>
      </c>
      <c r="G6" s="325"/>
      <c r="H6" s="309" t="s">
        <v>116</v>
      </c>
      <c r="I6" s="309" t="s">
        <v>117</v>
      </c>
      <c r="J6" s="309" t="s">
        <v>112</v>
      </c>
    </row>
    <row r="7" spans="1:12">
      <c r="A7" s="326" t="s">
        <v>389</v>
      </c>
      <c r="B7" s="292"/>
      <c r="C7" s="157"/>
      <c r="D7" s="320"/>
      <c r="E7" s="327" t="s">
        <v>374</v>
      </c>
      <c r="F7" s="327" t="s">
        <v>129</v>
      </c>
      <c r="G7" s="325"/>
      <c r="H7" s="327" t="s">
        <v>59</v>
      </c>
      <c r="I7" s="327" t="s">
        <v>59</v>
      </c>
      <c r="J7" s="327" t="s">
        <v>373</v>
      </c>
    </row>
    <row r="8" spans="1:12">
      <c r="A8" s="157"/>
      <c r="B8" s="292"/>
      <c r="C8" s="157"/>
      <c r="D8" s="320"/>
      <c r="E8" s="157"/>
      <c r="F8" s="157"/>
      <c r="G8" s="291"/>
      <c r="H8" s="157"/>
      <c r="I8" s="380"/>
      <c r="J8" s="381"/>
      <c r="K8" s="154"/>
      <c r="L8" s="154"/>
    </row>
    <row r="9" spans="1:12">
      <c r="A9" s="157" t="s">
        <v>73</v>
      </c>
      <c r="B9" s="292"/>
      <c r="C9" s="157"/>
      <c r="D9" s="320" t="s">
        <v>388</v>
      </c>
      <c r="E9" s="208">
        <f>'[4]PLN-E '!N51</f>
        <v>418249</v>
      </c>
      <c r="F9" s="208">
        <f>'[4]PLN-E '!R51</f>
        <v>-47524</v>
      </c>
      <c r="G9" s="294"/>
      <c r="H9" s="208">
        <f>'[4]PLN-E '!S51</f>
        <v>428377</v>
      </c>
      <c r="I9" s="208">
        <f>'[4]PLN-E '!T51</f>
        <v>447775</v>
      </c>
      <c r="J9" s="208">
        <f>I9+H9</f>
        <v>876152</v>
      </c>
    </row>
    <row r="10" spans="1:12" ht="13.5" thickBot="1">
      <c r="A10" s="157" t="s">
        <v>170</v>
      </c>
      <c r="B10" s="292"/>
      <c r="C10" s="157"/>
      <c r="D10" s="320" t="s">
        <v>388</v>
      </c>
      <c r="E10" s="208">
        <f>'[4]PLN-E '!N67</f>
        <v>108720</v>
      </c>
      <c r="F10" s="208">
        <f>'[4]PLN-E '!R67</f>
        <v>0</v>
      </c>
      <c r="G10" s="294"/>
      <c r="H10" s="208">
        <f>'[4]PLN-E '!S67</f>
        <v>114428</v>
      </c>
      <c r="I10" s="208">
        <f>'[4]PLN-E '!T67</f>
        <v>119609</v>
      </c>
      <c r="J10" s="208">
        <f>I10+H10</f>
        <v>234037</v>
      </c>
    </row>
    <row r="11" spans="1:12" ht="14.25" thickTop="1" thickBot="1">
      <c r="A11" s="157"/>
      <c r="B11" s="157" t="s">
        <v>385</v>
      </c>
      <c r="C11" s="157"/>
      <c r="D11" s="320"/>
      <c r="E11" s="315">
        <f>E9+E10</f>
        <v>526969</v>
      </c>
      <c r="F11" s="328">
        <f>F9+F10</f>
        <v>-47524</v>
      </c>
      <c r="G11" s="294"/>
      <c r="H11" s="328">
        <f>H9+H10</f>
        <v>542805</v>
      </c>
      <c r="I11" s="328">
        <f>I9+I10</f>
        <v>567384</v>
      </c>
      <c r="J11" s="328">
        <f>I11+H11</f>
        <v>1110189</v>
      </c>
    </row>
    <row r="12" spans="1:12" ht="14.25" thickTop="1" thickBot="1">
      <c r="A12" s="157"/>
      <c r="B12" s="292"/>
      <c r="C12" s="157"/>
      <c r="D12" s="320"/>
      <c r="E12" s="157"/>
      <c r="F12" s="157"/>
      <c r="G12" s="291"/>
      <c r="H12" s="157"/>
      <c r="I12" s="157"/>
      <c r="J12" s="157"/>
    </row>
    <row r="13" spans="1:12" ht="14.25" thickTop="1" thickBot="1">
      <c r="A13" s="157" t="s">
        <v>80</v>
      </c>
      <c r="B13" s="292"/>
      <c r="C13" s="157"/>
      <c r="D13" s="320" t="s">
        <v>388</v>
      </c>
      <c r="E13" s="315">
        <f>'[4]PLN-E '!N89</f>
        <v>392294</v>
      </c>
      <c r="F13" s="208">
        <f>'[4]PLN-E '!R89</f>
        <v>0</v>
      </c>
      <c r="G13" s="294"/>
      <c r="H13" s="208">
        <f>'[4]PLN-E '!S89</f>
        <v>383550</v>
      </c>
      <c r="I13" s="208">
        <f>'[4]PLN-E '!T89</f>
        <v>400917</v>
      </c>
      <c r="J13" s="208">
        <f>I13+H13</f>
        <v>784467</v>
      </c>
    </row>
    <row r="14" spans="1:12" ht="13.5" thickTop="1">
      <c r="A14" s="157"/>
      <c r="B14" s="292"/>
      <c r="C14" s="157"/>
      <c r="D14" s="320"/>
      <c r="E14" s="157"/>
      <c r="F14" s="157"/>
      <c r="G14" s="291"/>
      <c r="H14" s="157"/>
      <c r="I14" s="157"/>
      <c r="J14" s="157"/>
    </row>
    <row r="15" spans="1:12">
      <c r="A15" s="157" t="s">
        <v>181</v>
      </c>
      <c r="B15" s="292"/>
      <c r="C15" s="157"/>
      <c r="D15" s="320" t="s">
        <v>388</v>
      </c>
      <c r="E15" s="208">
        <f>'[4]PLN-E '!N96</f>
        <v>173184</v>
      </c>
      <c r="F15" s="208">
        <f>'[4]PLN-E '!R96</f>
        <v>0</v>
      </c>
      <c r="G15" s="294"/>
      <c r="H15" s="208">
        <f>'[4]PLN-E '!S96</f>
        <v>182443</v>
      </c>
      <c r="I15" s="208">
        <f>'[4]PLN-E '!T96</f>
        <v>190703</v>
      </c>
      <c r="J15" s="208">
        <f>I15+H15</f>
        <v>373146</v>
      </c>
    </row>
    <row r="16" spans="1:12">
      <c r="A16" s="157" t="s">
        <v>187</v>
      </c>
      <c r="B16" s="292"/>
      <c r="C16" s="157"/>
      <c r="D16" s="320" t="s">
        <v>388</v>
      </c>
      <c r="E16" s="208">
        <f>'[4]PLN-E '!N103</f>
        <v>14264</v>
      </c>
      <c r="F16" s="208">
        <f>'[4]PLN-E '!R103</f>
        <v>0</v>
      </c>
      <c r="G16" s="294"/>
      <c r="H16" s="208">
        <f>'[4]PLN-E '!S103</f>
        <v>15728</v>
      </c>
      <c r="I16" s="208">
        <f>'[4]PLN-E '!T103</f>
        <v>16439</v>
      </c>
      <c r="J16" s="208">
        <f>I16+H16</f>
        <v>32167</v>
      </c>
    </row>
    <row r="17" spans="1:10">
      <c r="A17" s="157" t="s">
        <v>371</v>
      </c>
      <c r="B17" s="292"/>
      <c r="C17" s="157"/>
      <c r="D17" s="320" t="s">
        <v>388</v>
      </c>
      <c r="E17" s="208">
        <f>'[4]PLN-E '!N110</f>
        <v>24</v>
      </c>
      <c r="F17" s="208">
        <f>'[4]PLN-E '!R110</f>
        <v>0</v>
      </c>
      <c r="G17" s="294"/>
      <c r="H17" s="208">
        <f>'[4]PLN-E '!S110</f>
        <v>26</v>
      </c>
      <c r="I17" s="208">
        <f>'[4]PLN-E '!T110</f>
        <v>27</v>
      </c>
      <c r="J17" s="208">
        <f>I17+H17</f>
        <v>53</v>
      </c>
    </row>
    <row r="18" spans="1:10" ht="13.5" thickBot="1">
      <c r="A18" s="157"/>
      <c r="B18" s="292"/>
      <c r="C18" s="157"/>
      <c r="D18" s="320"/>
      <c r="E18" s="157"/>
      <c r="F18" s="157"/>
      <c r="G18" s="291"/>
      <c r="H18" s="157"/>
      <c r="I18" s="157"/>
      <c r="J18" s="157">
        <f>I18+H18</f>
        <v>0</v>
      </c>
    </row>
    <row r="19" spans="1:10" ht="14.25" thickTop="1" thickBot="1">
      <c r="A19" s="157" t="s">
        <v>208</v>
      </c>
      <c r="B19" s="292"/>
      <c r="C19" s="157"/>
      <c r="D19" s="320" t="s">
        <v>388</v>
      </c>
      <c r="E19" s="315">
        <f>'[4]PLN-E '!N125</f>
        <v>391799</v>
      </c>
      <c r="F19" s="208">
        <f>'[4]PLN-E '!R125</f>
        <v>-632118</v>
      </c>
      <c r="G19" s="294"/>
      <c r="H19" s="208">
        <f>'[4]PLN-E '!S125</f>
        <v>488348</v>
      </c>
      <c r="I19" s="208">
        <f>'[4]PLN-E '!T125</f>
        <v>510460</v>
      </c>
      <c r="J19" s="313">
        <f>I19+H19</f>
        <v>998808</v>
      </c>
    </row>
    <row r="20" spans="1:10" ht="13.5" thickTop="1">
      <c r="A20" s="157"/>
      <c r="B20" s="292"/>
      <c r="C20" s="157"/>
      <c r="D20" s="320"/>
      <c r="E20" s="237"/>
      <c r="F20" s="329"/>
      <c r="G20" s="291"/>
      <c r="H20" s="329"/>
      <c r="I20" s="329"/>
      <c r="J20" s="154"/>
    </row>
    <row r="21" spans="1:10" ht="13.5" thickBot="1">
      <c r="A21" s="157" t="s">
        <v>387</v>
      </c>
      <c r="B21" s="292"/>
      <c r="C21" s="157"/>
      <c r="D21" s="320"/>
      <c r="E21" s="208">
        <f>SUM(E11:E19)</f>
        <v>1498534</v>
      </c>
      <c r="F21" s="190">
        <f>SUM(F11:F19)</f>
        <v>-679642</v>
      </c>
      <c r="G21" s="294"/>
      <c r="H21" s="190">
        <f>SUM(H11:H19)</f>
        <v>1612900</v>
      </c>
      <c r="I21" s="190">
        <f>SUM(I11:I19)</f>
        <v>1685930</v>
      </c>
      <c r="J21" s="330">
        <f>I21+H21</f>
        <v>3298830</v>
      </c>
    </row>
    <row r="22" spans="1:10" ht="14.25" thickTop="1" thickBot="1">
      <c r="A22" s="157"/>
      <c r="B22" s="292"/>
      <c r="C22" s="157"/>
      <c r="D22" s="320"/>
      <c r="E22" s="331"/>
      <c r="F22" s="331"/>
      <c r="G22" s="291"/>
      <c r="H22" s="331"/>
      <c r="I22" s="331"/>
      <c r="J22" s="154"/>
    </row>
    <row r="23" spans="1:10" ht="13.5" hidden="1" thickBot="1">
      <c r="A23" s="310" t="s">
        <v>214</v>
      </c>
      <c r="B23" s="292"/>
      <c r="C23" s="157"/>
      <c r="D23" s="320"/>
      <c r="E23" s="157"/>
      <c r="F23" s="157"/>
      <c r="G23" s="291"/>
      <c r="H23" s="157"/>
      <c r="I23" s="157"/>
      <c r="J23" s="154"/>
    </row>
    <row r="24" spans="1:10" ht="13.5" hidden="1" thickBot="1">
      <c r="A24" s="310" t="s">
        <v>378</v>
      </c>
      <c r="B24" s="292"/>
      <c r="C24" s="157"/>
      <c r="D24" s="320"/>
      <c r="E24" s="157"/>
      <c r="F24" s="157"/>
      <c r="G24" s="291"/>
      <c r="H24" s="157"/>
      <c r="I24" s="157"/>
      <c r="J24" s="154"/>
    </row>
    <row r="25" spans="1:10" ht="13.5" hidden="1" thickBot="1">
      <c r="A25" s="292" t="str">
        <f>A3</f>
        <v>Twelve Months Ended December 31, 2011</v>
      </c>
      <c r="B25" s="292"/>
      <c r="C25" s="157"/>
      <c r="D25" s="320"/>
      <c r="E25" s="157"/>
      <c r="F25" s="157"/>
      <c r="G25" s="291"/>
      <c r="H25" s="157"/>
      <c r="I25" s="157"/>
      <c r="J25" s="154"/>
    </row>
    <row r="26" spans="1:10" ht="13.5" hidden="1" thickBot="1">
      <c r="A26" s="292"/>
      <c r="B26" s="292"/>
      <c r="C26" s="157"/>
      <c r="D26" s="320"/>
      <c r="E26" s="157"/>
      <c r="F26" s="157"/>
      <c r="G26" s="291"/>
      <c r="H26" s="157"/>
      <c r="I26" s="157"/>
      <c r="J26" s="154"/>
    </row>
    <row r="27" spans="1:10" ht="13.5" hidden="1" thickBot="1">
      <c r="A27" s="292"/>
      <c r="B27" s="292"/>
      <c r="C27" s="157"/>
      <c r="D27" s="320"/>
      <c r="E27" s="309" t="s">
        <v>377</v>
      </c>
      <c r="F27" s="322" t="str">
        <f>F5</f>
        <v>Net 2013</v>
      </c>
      <c r="G27" s="323"/>
      <c r="H27" s="309" t="s">
        <v>112</v>
      </c>
      <c r="I27" s="309" t="s">
        <v>112</v>
      </c>
      <c r="J27" s="154"/>
    </row>
    <row r="28" spans="1:10" ht="13.5" hidden="1" thickBot="1">
      <c r="A28" s="292"/>
      <c r="B28" s="292"/>
      <c r="C28" s="157"/>
      <c r="D28" s="320"/>
      <c r="E28" s="324" t="str">
        <f>E6</f>
        <v>2011 to 2013</v>
      </c>
      <c r="F28" s="309" t="s">
        <v>122</v>
      </c>
      <c r="G28" s="325"/>
      <c r="H28" s="309" t="s">
        <v>116</v>
      </c>
      <c r="I28" s="309" t="s">
        <v>117</v>
      </c>
      <c r="J28" s="309" t="s">
        <v>112</v>
      </c>
    </row>
    <row r="29" spans="1:10" ht="13.5" hidden="1" thickBot="1">
      <c r="A29" s="326" t="s">
        <v>386</v>
      </c>
      <c r="B29" s="292"/>
      <c r="C29" s="157"/>
      <c r="D29" s="320"/>
      <c r="E29" s="327" t="s">
        <v>374</v>
      </c>
      <c r="F29" s="327" t="s">
        <v>129</v>
      </c>
      <c r="G29" s="325"/>
      <c r="H29" s="327" t="s">
        <v>59</v>
      </c>
      <c r="I29" s="327" t="s">
        <v>59</v>
      </c>
      <c r="J29" s="327" t="s">
        <v>373</v>
      </c>
    </row>
    <row r="30" spans="1:10" ht="13.5" hidden="1" thickBot="1">
      <c r="A30" s="157"/>
      <c r="B30" s="292"/>
      <c r="C30" s="157"/>
      <c r="D30" s="320"/>
      <c r="E30" s="157"/>
      <c r="F30" s="157"/>
      <c r="G30" s="291"/>
      <c r="H30" s="157"/>
      <c r="I30" s="157"/>
      <c r="J30" s="171"/>
    </row>
    <row r="31" spans="1:10" ht="13.5" hidden="1" thickBot="1">
      <c r="A31" s="157" t="s">
        <v>73</v>
      </c>
      <c r="B31" s="292"/>
      <c r="C31" s="157"/>
      <c r="D31" s="320"/>
      <c r="E31" s="208">
        <f>'[4]E-ID-ADJ'!N51</f>
        <v>234189</v>
      </c>
      <c r="F31" s="208">
        <f>'[4]E-ID-ADJ'!R51</f>
        <v>-25529</v>
      </c>
      <c r="G31" s="294"/>
      <c r="H31" s="208">
        <f>'[4]E-ID-ADJ'!S51</f>
        <v>228245</v>
      </c>
      <c r="I31" s="208">
        <f>'[4]E-ID-ADJ'!T51</f>
        <v>62256</v>
      </c>
      <c r="J31" s="190">
        <f>I31+H31</f>
        <v>290501</v>
      </c>
    </row>
    <row r="32" spans="1:10" ht="13.5" hidden="1" thickBot="1">
      <c r="A32" s="157" t="s">
        <v>170</v>
      </c>
      <c r="B32" s="292"/>
      <c r="C32" s="157"/>
      <c r="D32" s="320"/>
      <c r="E32" s="208">
        <f>'[4]E-ID-ADJ'!N67</f>
        <v>62588</v>
      </c>
      <c r="F32" s="208">
        <f>'[4]E-ID-ADJ'!R67</f>
        <v>0</v>
      </c>
      <c r="G32" s="294"/>
      <c r="H32" s="208">
        <f>'[4]E-ID-ADJ'!S67</f>
        <v>61082</v>
      </c>
      <c r="I32" s="208">
        <f>'[4]E-ID-ADJ'!T67</f>
        <v>0</v>
      </c>
      <c r="J32" s="194">
        <f>I32+H32</f>
        <v>61082</v>
      </c>
    </row>
    <row r="33" spans="1:10" ht="13.5" hidden="1" thickBot="1">
      <c r="A33" s="157"/>
      <c r="B33" s="157" t="s">
        <v>385</v>
      </c>
      <c r="C33" s="157"/>
      <c r="D33" s="320"/>
      <c r="E33" s="328">
        <f>E31+E32</f>
        <v>296777</v>
      </c>
      <c r="F33" s="328">
        <f>F31+F32</f>
        <v>-25529</v>
      </c>
      <c r="G33" s="294"/>
      <c r="H33" s="328">
        <f>H31+H32</f>
        <v>289327</v>
      </c>
      <c r="I33" s="328">
        <f>I31+I32</f>
        <v>62256</v>
      </c>
      <c r="J33" s="190">
        <f>I33+H33</f>
        <v>351583</v>
      </c>
    </row>
    <row r="34" spans="1:10" ht="13.5" hidden="1" thickBot="1">
      <c r="A34" s="157"/>
      <c r="B34" s="292"/>
      <c r="C34" s="157"/>
      <c r="D34" s="320"/>
      <c r="E34" s="157"/>
      <c r="F34" s="157"/>
      <c r="G34" s="291"/>
      <c r="H34" s="157"/>
      <c r="I34" s="157"/>
      <c r="J34" s="190"/>
    </row>
    <row r="35" spans="1:10" ht="13.5" hidden="1" thickBot="1">
      <c r="A35" s="157" t="s">
        <v>80</v>
      </c>
      <c r="B35" s="292"/>
      <c r="C35" s="157"/>
      <c r="D35" s="320"/>
      <c r="E35" s="208">
        <f>'[4]E-ID-ADJ'!N89</f>
        <v>186616</v>
      </c>
      <c r="F35" s="208">
        <f>'[4]E-ID-ADJ'!R89</f>
        <v>0</v>
      </c>
      <c r="G35" s="294"/>
      <c r="H35" s="208">
        <f>'[4]E-ID-ADJ'!S89</f>
        <v>177783</v>
      </c>
      <c r="I35" s="208">
        <f>'[4]E-ID-ADJ'!T89</f>
        <v>0</v>
      </c>
      <c r="J35" s="190">
        <f>I35+H35</f>
        <v>177783</v>
      </c>
    </row>
    <row r="36" spans="1:10" ht="13.5" hidden="1" thickBot="1">
      <c r="A36" s="157"/>
      <c r="B36" s="292"/>
      <c r="C36" s="157"/>
      <c r="D36" s="320"/>
      <c r="E36" s="157"/>
      <c r="F36" s="157"/>
      <c r="G36" s="291"/>
      <c r="H36" s="157"/>
      <c r="I36" s="157"/>
      <c r="J36" s="190"/>
    </row>
    <row r="37" spans="1:10" ht="13.5" hidden="1" thickBot="1">
      <c r="A37" s="157" t="s">
        <v>181</v>
      </c>
      <c r="B37" s="292"/>
      <c r="C37" s="157"/>
      <c r="D37" s="320"/>
      <c r="E37" s="208">
        <f>'[4]E-ID-ADJ'!N96</f>
        <v>75732</v>
      </c>
      <c r="F37" s="208">
        <f>'[4]E-ID-ADJ'!R96</f>
        <v>0</v>
      </c>
      <c r="G37" s="294"/>
      <c r="H37" s="208">
        <f>'[4]E-ID-ADJ'!S96</f>
        <v>74535</v>
      </c>
      <c r="I37" s="208">
        <f>'[4]E-ID-ADJ'!T96</f>
        <v>0</v>
      </c>
      <c r="J37" s="190">
        <f>I37+H37</f>
        <v>74535</v>
      </c>
    </row>
    <row r="38" spans="1:10" ht="13.5" hidden="1" thickBot="1">
      <c r="A38" s="157" t="s">
        <v>187</v>
      </c>
      <c r="B38" s="292"/>
      <c r="C38" s="157"/>
      <c r="D38" s="320"/>
      <c r="E38" s="208">
        <f>'[4]E-ID-ADJ'!N103</f>
        <v>9643</v>
      </c>
      <c r="F38" s="208">
        <f>'[4]E-ID-ADJ'!R103</f>
        <v>0</v>
      </c>
      <c r="G38" s="294"/>
      <c r="H38" s="208">
        <f>'[4]E-ID-ADJ'!S103</f>
        <v>9551</v>
      </c>
      <c r="I38" s="208">
        <f>'[4]E-ID-ADJ'!T103</f>
        <v>0</v>
      </c>
      <c r="J38" s="190">
        <f>I38+H38</f>
        <v>9551</v>
      </c>
    </row>
    <row r="39" spans="1:10" ht="13.5" hidden="1" thickBot="1">
      <c r="A39" s="157" t="s">
        <v>371</v>
      </c>
      <c r="B39" s="292"/>
      <c r="C39" s="157"/>
      <c r="D39" s="320"/>
      <c r="E39" s="208">
        <f>'[4]E-ID-ADJ'!N110</f>
        <v>78</v>
      </c>
      <c r="F39" s="208">
        <f>'[4]E-ID-ADJ'!R110</f>
        <v>0</v>
      </c>
      <c r="G39" s="294"/>
      <c r="H39" s="208">
        <f>'[4]E-ID-ADJ'!S110</f>
        <v>77</v>
      </c>
      <c r="I39" s="208">
        <f>'[4]E-ID-ADJ'!T110</f>
        <v>0</v>
      </c>
      <c r="J39" s="190">
        <f>I39+H39</f>
        <v>77</v>
      </c>
    </row>
    <row r="40" spans="1:10" ht="13.5" hidden="1" thickBot="1">
      <c r="A40" s="157"/>
      <c r="B40" s="292"/>
      <c r="C40" s="157"/>
      <c r="D40" s="320"/>
      <c r="E40" s="157"/>
      <c r="F40" s="157"/>
      <c r="G40" s="291"/>
      <c r="H40" s="157"/>
      <c r="I40" s="157"/>
      <c r="J40" s="190">
        <f>I40+H40</f>
        <v>0</v>
      </c>
    </row>
    <row r="41" spans="1:10" ht="13.5" hidden="1" thickBot="1">
      <c r="A41" s="157" t="s">
        <v>208</v>
      </c>
      <c r="B41" s="292"/>
      <c r="C41" s="157"/>
      <c r="D41" s="320"/>
      <c r="E41" s="208">
        <f>'[4]E-ID-ADJ'!N125</f>
        <v>211738</v>
      </c>
      <c r="F41" s="208">
        <f>'[4]E-ID-ADJ'!R125</f>
        <v>-331735</v>
      </c>
      <c r="G41" s="294"/>
      <c r="H41" s="208">
        <f>'[4]E-ID-ADJ'!S125</f>
        <v>240260</v>
      </c>
      <c r="I41" s="208">
        <f>'[4]E-ID-ADJ'!T125</f>
        <v>765111</v>
      </c>
      <c r="J41" s="194">
        <f>I41+H41</f>
        <v>1005371</v>
      </c>
    </row>
    <row r="42" spans="1:10" ht="13.5" hidden="1" thickBot="1">
      <c r="A42" s="157"/>
      <c r="B42" s="292"/>
      <c r="C42" s="157"/>
      <c r="D42" s="320"/>
      <c r="E42" s="237"/>
      <c r="F42" s="237"/>
      <c r="G42" s="291"/>
      <c r="H42" s="237"/>
      <c r="I42" s="237"/>
      <c r="J42" s="190"/>
    </row>
    <row r="43" spans="1:10" ht="13.5" hidden="1" thickBot="1">
      <c r="A43" s="157" t="s">
        <v>384</v>
      </c>
      <c r="B43" s="292"/>
      <c r="C43" s="157"/>
      <c r="D43" s="320"/>
      <c r="E43" s="208">
        <f>SUM(E33:E41)</f>
        <v>780584</v>
      </c>
      <c r="F43" s="208">
        <f>SUM(F33:F41)</f>
        <v>-357264</v>
      </c>
      <c r="G43" s="294"/>
      <c r="H43" s="208">
        <f>SUM(H33:H41)</f>
        <v>791533</v>
      </c>
      <c r="I43" s="208">
        <f>SUM(I33:I41)</f>
        <v>827367</v>
      </c>
      <c r="J43" s="330">
        <f>I43+H43</f>
        <v>1618900</v>
      </c>
    </row>
    <row r="44" spans="1:10" ht="13.5" thickTop="1">
      <c r="A44" s="292"/>
      <c r="B44" s="292"/>
      <c r="C44" s="157"/>
      <c r="D44" s="320"/>
      <c r="E44" s="331"/>
      <c r="F44" s="331"/>
      <c r="G44" s="291"/>
      <c r="H44" s="331"/>
      <c r="I44" s="331"/>
      <c r="J44" s="154"/>
    </row>
    <row r="45" spans="1:10">
      <c r="A45" s="292"/>
      <c r="B45" s="292"/>
      <c r="C45" s="157"/>
      <c r="D45" s="320"/>
      <c r="E45" s="157"/>
      <c r="F45" s="157"/>
      <c r="G45" s="291"/>
      <c r="H45" s="157"/>
      <c r="I45" s="157"/>
      <c r="J45" s="154"/>
    </row>
    <row r="46" spans="1:10">
      <c r="A46" s="292"/>
      <c r="B46" s="292"/>
      <c r="C46" s="157"/>
      <c r="D46" s="320"/>
      <c r="E46" s="157"/>
      <c r="F46" s="157"/>
      <c r="G46" s="291"/>
      <c r="H46" s="157"/>
      <c r="I46" s="157"/>
      <c r="J46" s="154"/>
    </row>
    <row r="47" spans="1:10">
      <c r="A47" s="310" t="s">
        <v>214</v>
      </c>
      <c r="B47" s="292"/>
      <c r="C47" s="157"/>
      <c r="D47" s="320"/>
      <c r="E47" s="157"/>
      <c r="F47" s="157"/>
      <c r="G47" s="291"/>
      <c r="H47" s="157"/>
      <c r="I47" s="157"/>
      <c r="J47" s="154"/>
    </row>
    <row r="48" spans="1:10">
      <c r="A48" s="310" t="s">
        <v>378</v>
      </c>
      <c r="B48" s="292"/>
      <c r="C48" s="157"/>
      <c r="D48" s="320"/>
      <c r="E48" s="157"/>
      <c r="F48" s="157"/>
      <c r="G48" s="291"/>
      <c r="H48" s="157"/>
      <c r="I48" s="157"/>
      <c r="J48" s="154"/>
    </row>
    <row r="49" spans="1:10">
      <c r="A49" s="292" t="str">
        <f>A3</f>
        <v>Twelve Months Ended December 31, 2011</v>
      </c>
      <c r="B49" s="292"/>
      <c r="C49" s="157"/>
      <c r="D49" s="320"/>
      <c r="E49" s="157"/>
      <c r="F49" s="157"/>
      <c r="G49" s="291"/>
      <c r="H49" s="157"/>
      <c r="I49" s="157"/>
      <c r="J49" s="154"/>
    </row>
    <row r="50" spans="1:10">
      <c r="A50" s="292"/>
      <c r="B50" s="292"/>
      <c r="C50" s="157"/>
      <c r="D50" s="320"/>
      <c r="E50" s="157"/>
      <c r="F50" s="157"/>
      <c r="G50" s="291"/>
      <c r="H50" s="157"/>
      <c r="I50" s="157"/>
      <c r="J50" s="154"/>
    </row>
    <row r="51" spans="1:10">
      <c r="A51" s="292"/>
      <c r="B51" s="292"/>
      <c r="C51" s="157"/>
      <c r="D51" s="320"/>
      <c r="E51" s="309" t="s">
        <v>377</v>
      </c>
      <c r="F51" s="322" t="str">
        <f>F27</f>
        <v>Net 2013</v>
      </c>
      <c r="G51" s="323"/>
      <c r="H51" s="309" t="s">
        <v>112</v>
      </c>
      <c r="I51" s="309" t="s">
        <v>112</v>
      </c>
      <c r="J51" s="154"/>
    </row>
    <row r="52" spans="1:10">
      <c r="A52" s="292"/>
      <c r="B52" s="292"/>
      <c r="C52" s="157"/>
      <c r="D52" s="320"/>
      <c r="E52" s="324" t="str">
        <f>E28</f>
        <v>2011 to 2013</v>
      </c>
      <c r="F52" s="309" t="s">
        <v>122</v>
      </c>
      <c r="G52" s="325"/>
      <c r="H52" s="309" t="s">
        <v>116</v>
      </c>
      <c r="I52" s="309" t="s">
        <v>117</v>
      </c>
      <c r="J52" s="309" t="s">
        <v>112</v>
      </c>
    </row>
    <row r="53" spans="1:10">
      <c r="A53" s="326" t="s">
        <v>383</v>
      </c>
      <c r="B53" s="292"/>
      <c r="C53" s="157"/>
      <c r="D53" s="320"/>
      <c r="E53" s="327" t="s">
        <v>374</v>
      </c>
      <c r="F53" s="327" t="s">
        <v>129</v>
      </c>
      <c r="G53" s="325"/>
      <c r="H53" s="327" t="s">
        <v>59</v>
      </c>
      <c r="I53" s="327" t="s">
        <v>59</v>
      </c>
      <c r="J53" s="327" t="s">
        <v>373</v>
      </c>
    </row>
    <row r="54" spans="1:10">
      <c r="A54" s="157"/>
      <c r="B54" s="292"/>
      <c r="C54" s="157"/>
      <c r="D54" s="320"/>
      <c r="E54" s="157"/>
      <c r="F54" s="157"/>
      <c r="G54" s="291"/>
      <c r="H54" s="157"/>
      <c r="I54" s="157"/>
      <c r="J54" s="171"/>
    </row>
    <row r="55" spans="1:10">
      <c r="A55" s="287" t="s">
        <v>73</v>
      </c>
      <c r="B55" s="292"/>
      <c r="C55" s="157"/>
      <c r="D55" s="320" t="s">
        <v>382</v>
      </c>
      <c r="E55" s="208">
        <f>'[4]G-WA-ADJ'!N12</f>
        <v>18204</v>
      </c>
      <c r="F55" s="208">
        <f>'[4]G-WA-ADJ'!R12</f>
        <v>-13881</v>
      </c>
      <c r="G55" s="294"/>
      <c r="H55" s="208">
        <f>'[4]G-WA-ADJ'!S12</f>
        <v>21558</v>
      </c>
      <c r="I55" s="208">
        <f>'[4]G-WA-ADJ'!T12</f>
        <v>22534</v>
      </c>
      <c r="J55" s="190">
        <f>I55+H55</f>
        <v>44092</v>
      </c>
    </row>
    <row r="56" spans="1:10">
      <c r="A56" s="287"/>
      <c r="B56" s="292"/>
      <c r="C56" s="157"/>
      <c r="D56" s="320"/>
      <c r="E56" s="208"/>
      <c r="F56" s="208"/>
      <c r="G56" s="294"/>
      <c r="H56" s="208"/>
      <c r="I56" s="208"/>
      <c r="J56" s="332">
        <f>I56+H56</f>
        <v>0</v>
      </c>
    </row>
    <row r="57" spans="1:10">
      <c r="A57" s="282" t="s">
        <v>78</v>
      </c>
      <c r="B57" s="292"/>
      <c r="C57" s="157"/>
      <c r="D57" s="320" t="s">
        <v>382</v>
      </c>
      <c r="E57" s="208">
        <f>'[4]G-WA-ADJ'!N17</f>
        <v>185</v>
      </c>
      <c r="F57" s="208">
        <f>'[4]G-WA-ADJ'!R17</f>
        <v>0</v>
      </c>
      <c r="G57" s="294"/>
      <c r="H57" s="208">
        <f>'[4]G-WA-ADJ'!S17</f>
        <v>204</v>
      </c>
      <c r="I57" s="208">
        <f>'[4]G-WA-ADJ'!T17</f>
        <v>213</v>
      </c>
      <c r="J57" s="190">
        <f>I57+H57</f>
        <v>417</v>
      </c>
    </row>
    <row r="58" spans="1:10">
      <c r="A58" s="157"/>
      <c r="B58" s="292"/>
      <c r="C58" s="157"/>
      <c r="D58" s="320"/>
      <c r="E58" s="157"/>
      <c r="F58" s="157"/>
      <c r="G58" s="291"/>
      <c r="H58" s="157"/>
      <c r="I58" s="157"/>
      <c r="J58" s="190"/>
    </row>
    <row r="59" spans="1:10">
      <c r="A59" s="157" t="s">
        <v>80</v>
      </c>
      <c r="B59" s="292"/>
      <c r="C59" s="157"/>
      <c r="D59" s="320" t="s">
        <v>382</v>
      </c>
      <c r="E59" s="208">
        <f>'[4]G-WA-ADJ'!N39</f>
        <v>184504</v>
      </c>
      <c r="F59" s="208">
        <f>'[4]G-WA-ADJ'!R39</f>
        <v>0</v>
      </c>
      <c r="G59" s="294"/>
      <c r="H59" s="208">
        <f>'[4]G-WA-ADJ'!S39</f>
        <v>180026</v>
      </c>
      <c r="I59" s="208">
        <f>'[4]G-WA-ADJ'!T39</f>
        <v>188175</v>
      </c>
      <c r="J59" s="190">
        <f>I59+H59</f>
        <v>368201</v>
      </c>
    </row>
    <row r="60" spans="1:10">
      <c r="A60" s="157"/>
      <c r="B60" s="292"/>
      <c r="C60" s="157"/>
      <c r="D60" s="320"/>
      <c r="E60" s="157"/>
      <c r="F60" s="157"/>
      <c r="G60" s="291"/>
      <c r="H60" s="157"/>
      <c r="I60" s="157"/>
      <c r="J60" s="190"/>
    </row>
    <row r="61" spans="1:10">
      <c r="A61" s="157" t="s">
        <v>372</v>
      </c>
      <c r="B61" s="292"/>
      <c r="C61" s="157"/>
      <c r="D61" s="320" t="s">
        <v>382</v>
      </c>
      <c r="E61" s="208">
        <f>'[4]G-WA-ADJ'!N46</f>
        <v>105472</v>
      </c>
      <c r="F61" s="208">
        <f>'[4]G-WA-ADJ'!R46</f>
        <v>0</v>
      </c>
      <c r="G61" s="294"/>
      <c r="H61" s="208">
        <f>'[4]G-WA-ADJ'!S46</f>
        <v>111157</v>
      </c>
      <c r="I61" s="208">
        <f>'[4]G-WA-ADJ'!T46</f>
        <v>116190</v>
      </c>
      <c r="J61" s="190">
        <f t="shared" ref="J61:J67" si="0">I61+H61</f>
        <v>227347</v>
      </c>
    </row>
    <row r="62" spans="1:10">
      <c r="A62" s="157" t="s">
        <v>187</v>
      </c>
      <c r="B62" s="292"/>
      <c r="C62" s="157"/>
      <c r="D62" s="320" t="s">
        <v>382</v>
      </c>
      <c r="E62" s="208">
        <f>'[4]G-WA-ADJ'!N52</f>
        <v>8940</v>
      </c>
      <c r="F62" s="208">
        <f>'[4]G-WA-ADJ'!R52</f>
        <v>0</v>
      </c>
      <c r="G62" s="294"/>
      <c r="H62" s="208">
        <f>'[4]G-WA-ADJ'!S52</f>
        <v>9856</v>
      </c>
      <c r="I62" s="208">
        <f>'[4]G-WA-ADJ'!T52</f>
        <v>10303</v>
      </c>
      <c r="J62" s="190">
        <f t="shared" si="0"/>
        <v>20159</v>
      </c>
    </row>
    <row r="63" spans="1:10">
      <c r="A63" s="157" t="s">
        <v>371</v>
      </c>
      <c r="B63" s="292"/>
      <c r="C63" s="157"/>
      <c r="D63" s="320" t="s">
        <v>382</v>
      </c>
      <c r="E63" s="208">
        <f>'[4]G-WA-ADJ'!N59</f>
        <v>15</v>
      </c>
      <c r="F63" s="208">
        <f>'[4]G-WA-ADJ'!R59</f>
        <v>0</v>
      </c>
      <c r="G63" s="294"/>
      <c r="H63" s="208">
        <f>'[4]G-WA-ADJ'!S59</f>
        <v>18</v>
      </c>
      <c r="I63" s="208">
        <f>'[4]G-WA-ADJ'!T59</f>
        <v>18</v>
      </c>
      <c r="J63" s="190">
        <f t="shared" si="0"/>
        <v>36</v>
      </c>
    </row>
    <row r="64" spans="1:10">
      <c r="A64" s="157"/>
      <c r="B64" s="292"/>
      <c r="C64" s="157"/>
      <c r="D64" s="320"/>
      <c r="E64" s="157"/>
      <c r="F64" s="157"/>
      <c r="G64" s="291"/>
      <c r="H64" s="157"/>
      <c r="I64" s="157"/>
      <c r="J64" s="190">
        <f t="shared" si="0"/>
        <v>0</v>
      </c>
    </row>
    <row r="65" spans="1:10">
      <c r="A65" s="157" t="s">
        <v>370</v>
      </c>
      <c r="B65" s="292"/>
      <c r="C65" s="157"/>
      <c r="D65" s="320"/>
      <c r="E65" s="208">
        <f>'[4]G-WA-ADJ'!N71</f>
        <v>99892</v>
      </c>
      <c r="F65" s="208">
        <f>'[4]G-WA-ADJ'!R71</f>
        <v>-180987</v>
      </c>
      <c r="G65" s="294"/>
      <c r="H65" s="208">
        <f>'[4]G-WA-ADJ'!S71</f>
        <v>125962</v>
      </c>
      <c r="I65" s="208">
        <f>'[4]G-WA-ADJ'!T71</f>
        <v>131663</v>
      </c>
      <c r="J65" s="194">
        <f t="shared" si="0"/>
        <v>257625</v>
      </c>
    </row>
    <row r="66" spans="1:10" ht="13.5" thickBot="1">
      <c r="A66" s="157"/>
      <c r="B66" s="292"/>
      <c r="C66" s="157"/>
      <c r="D66" s="320"/>
      <c r="E66" s="237"/>
      <c r="F66" s="237"/>
      <c r="G66" s="291"/>
      <c r="H66" s="237"/>
      <c r="I66" s="237"/>
      <c r="J66" s="190">
        <f t="shared" si="0"/>
        <v>0</v>
      </c>
    </row>
    <row r="67" spans="1:10" ht="14.25" thickTop="1" thickBot="1">
      <c r="A67" s="157" t="s">
        <v>381</v>
      </c>
      <c r="B67" s="292"/>
      <c r="C67" s="157"/>
      <c r="D67" s="320"/>
      <c r="E67" s="208">
        <f>SUM(E55:E65)</f>
        <v>417212</v>
      </c>
      <c r="F67" s="333">
        <f>SUM(F55:F65)</f>
        <v>-194868</v>
      </c>
      <c r="G67" s="294"/>
      <c r="H67" s="315">
        <f>SUM(H55:H65)</f>
        <v>448781</v>
      </c>
      <c r="I67" s="315">
        <f>SUM(I55:I65)</f>
        <v>469096</v>
      </c>
      <c r="J67" s="330">
        <f t="shared" si="0"/>
        <v>917877</v>
      </c>
    </row>
    <row r="68" spans="1:10" ht="13.5" thickTop="1">
      <c r="A68" s="45"/>
      <c r="B68" s="54"/>
      <c r="C68" s="48"/>
      <c r="D68" s="130"/>
      <c r="E68" s="148"/>
      <c r="F68" s="47"/>
      <c r="H68" s="148"/>
      <c r="I68" s="148"/>
      <c r="J68" s="146"/>
    </row>
    <row r="69" spans="1:10">
      <c r="A69" s="147" t="s">
        <v>214</v>
      </c>
      <c r="B69" s="54"/>
      <c r="C69" s="48"/>
      <c r="D69" s="130"/>
      <c r="E69" s="48"/>
      <c r="F69" s="48"/>
      <c r="G69" s="136"/>
      <c r="H69" s="48"/>
      <c r="I69" s="48"/>
      <c r="J69" s="146"/>
    </row>
    <row r="70" spans="1:10">
      <c r="A70" s="147" t="s">
        <v>378</v>
      </c>
      <c r="B70" s="54"/>
      <c r="C70" s="48"/>
      <c r="D70" s="130"/>
      <c r="E70" s="48"/>
      <c r="F70" s="48"/>
      <c r="G70" s="136"/>
      <c r="H70" s="48"/>
      <c r="I70" s="48"/>
      <c r="J70" s="146"/>
    </row>
    <row r="71" spans="1:10">
      <c r="A71" s="54" t="str">
        <f>A3</f>
        <v>Twelve Months Ended December 31, 2011</v>
      </c>
      <c r="B71" s="54"/>
      <c r="C71" s="48"/>
      <c r="D71" s="130"/>
      <c r="E71" s="48"/>
      <c r="F71" s="48"/>
      <c r="G71" s="136"/>
      <c r="H71" s="48"/>
      <c r="I71" s="48"/>
      <c r="J71" s="146"/>
    </row>
    <row r="72" spans="1:10">
      <c r="A72" s="54"/>
      <c r="B72" s="54"/>
      <c r="C72" s="48"/>
      <c r="D72" s="130"/>
      <c r="E72" s="48"/>
      <c r="F72" s="48"/>
      <c r="G72" s="136"/>
      <c r="H72" s="48"/>
      <c r="I72" s="48"/>
      <c r="J72" s="146"/>
    </row>
    <row r="73" spans="1:10">
      <c r="A73" s="54"/>
      <c r="B73" s="54"/>
      <c r="C73" s="48"/>
      <c r="D73" s="130"/>
      <c r="E73" s="118" t="s">
        <v>377</v>
      </c>
      <c r="F73" s="145" t="str">
        <f>F51</f>
        <v>Net 2013</v>
      </c>
      <c r="G73" s="144"/>
      <c r="H73" s="141" t="s">
        <v>112</v>
      </c>
      <c r="I73" s="141" t="s">
        <v>112</v>
      </c>
    </row>
    <row r="74" spans="1:10">
      <c r="A74" s="54"/>
      <c r="B74" s="54"/>
      <c r="C74" s="48"/>
      <c r="D74" s="130"/>
      <c r="E74" s="143" t="str">
        <f>E52</f>
        <v>2011 to 2013</v>
      </c>
      <c r="F74" s="118" t="s">
        <v>122</v>
      </c>
      <c r="G74" s="142"/>
      <c r="H74" s="141" t="s">
        <v>116</v>
      </c>
      <c r="I74" s="141" t="s">
        <v>117</v>
      </c>
      <c r="J74" s="141" t="s">
        <v>112</v>
      </c>
    </row>
    <row r="75" spans="1:10">
      <c r="A75" s="140" t="s">
        <v>380</v>
      </c>
      <c r="B75" s="54"/>
      <c r="C75" s="48"/>
      <c r="D75" s="130"/>
      <c r="E75" s="139" t="s">
        <v>374</v>
      </c>
      <c r="F75" s="137" t="s">
        <v>129</v>
      </c>
      <c r="G75" s="138"/>
      <c r="H75" s="137" t="s">
        <v>59</v>
      </c>
      <c r="I75" s="137" t="s">
        <v>59</v>
      </c>
      <c r="J75" s="137" t="s">
        <v>373</v>
      </c>
    </row>
    <row r="76" spans="1:10">
      <c r="A76" s="45"/>
      <c r="B76" s="54"/>
      <c r="C76" s="48"/>
      <c r="D76" s="130"/>
      <c r="E76" s="48"/>
      <c r="F76" s="48"/>
      <c r="G76" s="136"/>
      <c r="H76" s="48"/>
      <c r="I76" s="48"/>
      <c r="J76" s="135"/>
    </row>
    <row r="77" spans="1:10">
      <c r="A77" s="62" t="s">
        <v>73</v>
      </c>
      <c r="B77" s="54"/>
      <c r="C77" s="48"/>
      <c r="D77" s="130"/>
      <c r="E77" s="51">
        <f>'[4]G-ID-ADJ'!N12</f>
        <v>9833</v>
      </c>
      <c r="F77" s="51">
        <f>'[4]G-ID-ADJ'!R12</f>
        <v>-7231</v>
      </c>
      <c r="G77" s="52"/>
      <c r="H77" s="51">
        <f>'[4]G-ID-ADJ'!S12</f>
        <v>10485</v>
      </c>
      <c r="I77" s="51">
        <f>'[4]G-ID-ADJ'!T12</f>
        <v>19403</v>
      </c>
      <c r="J77" s="131">
        <f>I77+H77</f>
        <v>29888</v>
      </c>
    </row>
    <row r="78" spans="1:10">
      <c r="A78" s="62"/>
      <c r="B78" s="54"/>
      <c r="C78" s="48"/>
      <c r="D78" s="130"/>
      <c r="E78" s="51"/>
      <c r="F78" s="51"/>
      <c r="G78" s="52"/>
      <c r="H78" s="51"/>
      <c r="I78" s="51"/>
      <c r="J78" s="134">
        <f>I78+H78</f>
        <v>0</v>
      </c>
    </row>
    <row r="79" spans="1:10">
      <c r="A79" s="61" t="s">
        <v>78</v>
      </c>
      <c r="B79" s="54"/>
      <c r="C79" s="48"/>
      <c r="D79" s="130"/>
      <c r="E79" s="51">
        <f>'[4]G-ID-ADJ'!N17</f>
        <v>90</v>
      </c>
      <c r="F79" s="51">
        <f>'[4]G-ID-ADJ'!R17</f>
        <v>0</v>
      </c>
      <c r="G79" s="52"/>
      <c r="H79" s="51">
        <f>'[4]G-ID-ADJ'!S17</f>
        <v>89</v>
      </c>
      <c r="I79" s="51">
        <f>'[4]G-ID-ADJ'!T17</f>
        <v>0</v>
      </c>
      <c r="J79" s="131">
        <f>I79+H79</f>
        <v>89</v>
      </c>
    </row>
    <row r="80" spans="1:10">
      <c r="A80" s="45"/>
      <c r="B80" s="54"/>
      <c r="C80" s="48"/>
      <c r="D80" s="130"/>
      <c r="J80" s="131"/>
    </row>
    <row r="81" spans="1:10">
      <c r="A81" s="45" t="s">
        <v>80</v>
      </c>
      <c r="B81" s="54"/>
      <c r="C81" s="48"/>
      <c r="D81" s="130"/>
      <c r="E81" s="51">
        <f>'[4]G-ID-ADJ'!N39</f>
        <v>101580</v>
      </c>
      <c r="F81" s="51">
        <f>'[4]G-ID-ADJ'!R39</f>
        <v>0</v>
      </c>
      <c r="G81" s="52"/>
      <c r="H81" s="51">
        <f>'[4]G-ID-ADJ'!S39</f>
        <v>96591</v>
      </c>
      <c r="I81" s="51">
        <f>'[4]G-ID-ADJ'!T39</f>
        <v>0</v>
      </c>
      <c r="J81" s="131">
        <f>I81+H81</f>
        <v>96591</v>
      </c>
    </row>
    <row r="82" spans="1:10">
      <c r="A82" s="45"/>
      <c r="B82" s="54"/>
      <c r="C82" s="48"/>
      <c r="D82" s="130"/>
      <c r="J82" s="131"/>
    </row>
    <row r="83" spans="1:10">
      <c r="A83" s="45" t="s">
        <v>372</v>
      </c>
      <c r="B83" s="54"/>
      <c r="C83" s="48"/>
      <c r="D83" s="130"/>
      <c r="E83" s="51">
        <f>'[4]G-ID-ADJ'!N46</f>
        <v>43468</v>
      </c>
      <c r="F83" s="51">
        <f>'[4]G-ID-ADJ'!R46</f>
        <v>0</v>
      </c>
      <c r="G83" s="52"/>
      <c r="H83" s="51">
        <f>'[4]G-ID-ADJ'!S46</f>
        <v>42805</v>
      </c>
      <c r="I83" s="51">
        <f>'[4]G-ID-ADJ'!T46</f>
        <v>0</v>
      </c>
      <c r="J83" s="131">
        <f t="shared" ref="J83:J89" si="1">I83+H83</f>
        <v>42805</v>
      </c>
    </row>
    <row r="84" spans="1:10">
      <c r="A84" s="45" t="s">
        <v>187</v>
      </c>
      <c r="B84" s="54"/>
      <c r="C84" s="48"/>
      <c r="D84" s="130"/>
      <c r="E84" s="51">
        <f>'[4]G-ID-ADJ'!N52</f>
        <v>5912</v>
      </c>
      <c r="F84" s="51">
        <f>'[4]G-ID-ADJ'!R52</f>
        <v>0</v>
      </c>
      <c r="G84" s="52"/>
      <c r="H84" s="51">
        <f>'[4]G-ID-ADJ'!S52</f>
        <v>5858</v>
      </c>
      <c r="I84" s="51">
        <f>'[4]G-ID-ADJ'!T52</f>
        <v>0</v>
      </c>
      <c r="J84" s="131">
        <f t="shared" si="1"/>
        <v>5858</v>
      </c>
    </row>
    <row r="85" spans="1:10">
      <c r="A85" s="45" t="s">
        <v>371</v>
      </c>
      <c r="B85" s="54"/>
      <c r="C85" s="48"/>
      <c r="D85" s="130"/>
      <c r="E85" s="51">
        <f>'[4]G-ID-ADJ'!N59</f>
        <v>47</v>
      </c>
      <c r="F85" s="51">
        <f>'[4]G-ID-ADJ'!R59</f>
        <v>0</v>
      </c>
      <c r="G85" s="52"/>
      <c r="H85" s="51">
        <f>'[4]G-ID-ADJ'!S59</f>
        <v>47</v>
      </c>
      <c r="I85" s="51">
        <f>'[4]G-ID-ADJ'!T59</f>
        <v>0</v>
      </c>
      <c r="J85" s="131">
        <f t="shared" si="1"/>
        <v>47</v>
      </c>
    </row>
    <row r="86" spans="1:10">
      <c r="A86" s="45"/>
      <c r="B86" s="54"/>
      <c r="C86" s="48"/>
      <c r="D86" s="130"/>
      <c r="J86" s="131">
        <f t="shared" si="1"/>
        <v>0</v>
      </c>
    </row>
    <row r="87" spans="1:10">
      <c r="A87" s="45" t="s">
        <v>370</v>
      </c>
      <c r="B87" s="54"/>
      <c r="C87" s="48"/>
      <c r="D87" s="130"/>
      <c r="E87" s="51">
        <f>'[4]G-ID-ADJ'!N71</f>
        <v>53325</v>
      </c>
      <c r="F87" s="51">
        <f>'[4]G-ID-ADJ'!R71</f>
        <v>-78700</v>
      </c>
      <c r="G87" s="52"/>
      <c r="H87" s="51">
        <f>'[4]G-ID-ADJ'!S71</f>
        <v>60549</v>
      </c>
      <c r="I87" s="51">
        <f>'[4]G-ID-ADJ'!T71</f>
        <v>206817</v>
      </c>
      <c r="J87" s="133">
        <f t="shared" si="1"/>
        <v>267366</v>
      </c>
    </row>
    <row r="88" spans="1:10">
      <c r="A88" s="45"/>
      <c r="B88" s="54"/>
      <c r="C88" s="48"/>
      <c r="D88" s="130"/>
      <c r="E88" s="132"/>
      <c r="F88" s="132"/>
      <c r="H88" s="132"/>
      <c r="I88" s="132"/>
      <c r="J88" s="131">
        <f t="shared" si="1"/>
        <v>0</v>
      </c>
    </row>
    <row r="89" spans="1:10" ht="13.5" thickBot="1">
      <c r="A89" s="45" t="s">
        <v>379</v>
      </c>
      <c r="B89" s="54"/>
      <c r="C89" s="48"/>
      <c r="D89" s="130"/>
      <c r="E89" s="51">
        <f>SUM(E77:E87)</f>
        <v>214255</v>
      </c>
      <c r="F89" s="51">
        <f>SUM(F77:F87)</f>
        <v>-85931</v>
      </c>
      <c r="G89" s="52"/>
      <c r="H89" s="51">
        <f>SUM(H77:H87)</f>
        <v>216424</v>
      </c>
      <c r="I89" s="51">
        <f>SUM(I77:I87)</f>
        <v>226220</v>
      </c>
      <c r="J89" s="128">
        <f t="shared" si="1"/>
        <v>442644</v>
      </c>
    </row>
    <row r="90" spans="1:10" ht="13.5" thickTop="1">
      <c r="A90" s="45"/>
      <c r="B90" s="54"/>
      <c r="C90" s="48"/>
      <c r="D90" s="130"/>
      <c r="E90" s="148"/>
      <c r="F90" s="148"/>
      <c r="H90" s="148"/>
      <c r="I90" s="148"/>
      <c r="J90" s="146"/>
    </row>
    <row r="91" spans="1:10">
      <c r="A91" s="147" t="s">
        <v>214</v>
      </c>
      <c r="B91" s="54"/>
      <c r="C91" s="48"/>
      <c r="D91" s="130"/>
      <c r="E91" s="48"/>
      <c r="F91" s="48"/>
      <c r="G91" s="136"/>
      <c r="H91" s="48"/>
      <c r="I91" s="48"/>
      <c r="J91" s="146"/>
    </row>
    <row r="92" spans="1:10">
      <c r="A92" s="147" t="s">
        <v>378</v>
      </c>
      <c r="B92" s="54"/>
      <c r="C92" s="48"/>
      <c r="D92" s="130"/>
      <c r="E92" s="48"/>
      <c r="F92" s="48"/>
      <c r="G92" s="136"/>
      <c r="H92" s="48"/>
      <c r="I92" s="48"/>
      <c r="J92" s="146"/>
    </row>
    <row r="93" spans="1:10">
      <c r="A93" s="54" t="str">
        <f>A25</f>
        <v>Twelve Months Ended December 31, 2011</v>
      </c>
      <c r="B93" s="54"/>
      <c r="C93" s="48"/>
      <c r="D93" s="130"/>
      <c r="E93" s="48"/>
      <c r="F93" s="48"/>
      <c r="G93" s="136"/>
      <c r="H93" s="48"/>
      <c r="I93" s="48"/>
      <c r="J93" s="146"/>
    </row>
    <row r="94" spans="1:10">
      <c r="A94" s="54"/>
      <c r="B94" s="54"/>
      <c r="C94" s="48"/>
      <c r="D94" s="130"/>
      <c r="E94" s="48"/>
      <c r="F94" s="48"/>
      <c r="G94" s="136"/>
      <c r="H94" s="48"/>
      <c r="I94" s="48"/>
    </row>
    <row r="95" spans="1:10">
      <c r="A95" s="54"/>
      <c r="B95" s="54"/>
      <c r="C95" s="48"/>
      <c r="D95" s="130"/>
      <c r="E95" s="118" t="s">
        <v>377</v>
      </c>
      <c r="F95" s="145" t="str">
        <f>F73</f>
        <v>Net 2013</v>
      </c>
      <c r="G95" s="144"/>
      <c r="H95" s="141" t="s">
        <v>112</v>
      </c>
      <c r="I95" s="141" t="s">
        <v>112</v>
      </c>
    </row>
    <row r="96" spans="1:10">
      <c r="A96" s="54"/>
      <c r="B96" s="54"/>
      <c r="C96" s="48"/>
      <c r="D96" s="130"/>
      <c r="E96" s="143" t="s">
        <v>376</v>
      </c>
      <c r="F96" s="118" t="s">
        <v>122</v>
      </c>
      <c r="G96" s="142"/>
      <c r="H96" s="141" t="s">
        <v>116</v>
      </c>
      <c r="I96" s="141" t="s">
        <v>117</v>
      </c>
      <c r="J96" s="141" t="s">
        <v>112</v>
      </c>
    </row>
    <row r="97" spans="1:10">
      <c r="A97" s="140" t="s">
        <v>375</v>
      </c>
      <c r="B97" s="54"/>
      <c r="C97" s="48"/>
      <c r="D97" s="130"/>
      <c r="E97" s="139" t="s">
        <v>374</v>
      </c>
      <c r="F97" s="137" t="s">
        <v>129</v>
      </c>
      <c r="G97" s="138"/>
      <c r="H97" s="137" t="s">
        <v>59</v>
      </c>
      <c r="I97" s="137" t="s">
        <v>59</v>
      </c>
      <c r="J97" s="137" t="s">
        <v>373</v>
      </c>
    </row>
    <row r="98" spans="1:10">
      <c r="A98" s="45"/>
      <c r="B98" s="54"/>
      <c r="C98" s="48"/>
      <c r="D98" s="130"/>
      <c r="E98" s="48"/>
      <c r="F98" s="48"/>
      <c r="G98" s="136"/>
      <c r="H98" s="48"/>
      <c r="I98" s="48"/>
      <c r="J98" s="135"/>
    </row>
    <row r="99" spans="1:10">
      <c r="A99" s="62" t="s">
        <v>73</v>
      </c>
      <c r="B99" s="54"/>
      <c r="C99" s="48"/>
      <c r="D99" s="130"/>
      <c r="E99" s="51">
        <f>'[4]G-OR-ADJ'!N12</f>
        <v>16257</v>
      </c>
      <c r="F99" s="51">
        <f>'[4]G-OR-ADJ'!Q12</f>
        <v>-9534</v>
      </c>
      <c r="G99" s="52"/>
      <c r="H99" s="51">
        <f>'[4]G-OR-ADJ'!R12</f>
        <v>13353</v>
      </c>
      <c r="I99" s="51">
        <f>'[4]G-OR-ADJ'!S12</f>
        <v>10927</v>
      </c>
      <c r="J99" s="131">
        <f>I99+H99</f>
        <v>24280</v>
      </c>
    </row>
    <row r="100" spans="1:10">
      <c r="A100" s="62"/>
      <c r="B100" s="54"/>
      <c r="C100" s="48"/>
      <c r="D100" s="130"/>
      <c r="E100" s="52"/>
      <c r="F100" s="52"/>
      <c r="G100" s="52"/>
      <c r="H100" s="52"/>
      <c r="I100" s="52"/>
      <c r="J100" s="134"/>
    </row>
    <row r="101" spans="1:10">
      <c r="A101" s="61" t="s">
        <v>78</v>
      </c>
      <c r="B101" s="54"/>
      <c r="C101" s="48"/>
      <c r="D101" s="130"/>
      <c r="E101" s="51">
        <f>'[4]G-OR-ADJ'!N17</f>
        <v>0</v>
      </c>
      <c r="F101" s="51">
        <f>'[4]G-OR-ADJ'!Q17</f>
        <v>0</v>
      </c>
      <c r="G101" s="52"/>
      <c r="H101" s="51">
        <f>'[4]G-OR-ADJ'!R17</f>
        <v>0</v>
      </c>
      <c r="I101" s="51">
        <f>'[4]G-OR-ADJ'!S17</f>
        <v>0</v>
      </c>
      <c r="J101" s="131">
        <f>I101+H101</f>
        <v>0</v>
      </c>
    </row>
    <row r="102" spans="1:10">
      <c r="A102" s="45"/>
      <c r="B102" s="54"/>
      <c r="C102" s="48"/>
      <c r="D102" s="130"/>
      <c r="J102" s="131"/>
    </row>
    <row r="103" spans="1:10">
      <c r="A103" s="45" t="s">
        <v>80</v>
      </c>
      <c r="B103" s="54"/>
      <c r="C103" s="48"/>
      <c r="D103" s="130"/>
      <c r="E103" s="53">
        <f>'[4]G-OR-ADJ'!N41</f>
        <v>188926</v>
      </c>
      <c r="F103" s="51">
        <f>'[4]G-OR-ADJ'!Q41</f>
        <v>0</v>
      </c>
      <c r="G103" s="52"/>
      <c r="H103" s="51">
        <f>'[4]G-OR-ADJ'!R41</f>
        <v>121059</v>
      </c>
      <c r="I103" s="51">
        <f>'[4]G-OR-ADJ'!S41</f>
        <v>157907</v>
      </c>
      <c r="J103" s="131">
        <f>I103+H103</f>
        <v>278966</v>
      </c>
    </row>
    <row r="104" spans="1:10">
      <c r="A104" s="45"/>
      <c r="B104" s="54"/>
      <c r="C104" s="48"/>
      <c r="D104" s="130"/>
      <c r="J104" s="131"/>
    </row>
    <row r="105" spans="1:10">
      <c r="A105" s="45" t="s">
        <v>372</v>
      </c>
      <c r="B105" s="54"/>
      <c r="C105" s="48"/>
      <c r="D105" s="130"/>
      <c r="E105" s="51">
        <f>'[4]G-OR-ADJ'!N48</f>
        <v>77221</v>
      </c>
      <c r="F105" s="51">
        <f>'[4]G-OR-ADJ'!Q48</f>
        <v>0</v>
      </c>
      <c r="G105" s="52"/>
      <c r="H105" s="51">
        <f>'[4]G-OR-ADJ'!R48</f>
        <v>57770</v>
      </c>
      <c r="I105" s="51">
        <f>'[4]G-OR-ADJ'!S48</f>
        <v>53366</v>
      </c>
      <c r="J105" s="131">
        <f t="shared" ref="J105:J111" si="2">I105+H105</f>
        <v>111136</v>
      </c>
    </row>
    <row r="106" spans="1:10">
      <c r="A106" s="45" t="s">
        <v>187</v>
      </c>
      <c r="B106" s="54"/>
      <c r="C106" s="48"/>
      <c r="D106" s="130"/>
      <c r="E106" s="53">
        <f>'[4]G-OR-ADJ'!N55</f>
        <v>8132</v>
      </c>
      <c r="F106" s="53">
        <f>'[4]G-OR-ADJ'!Q55</f>
        <v>0</v>
      </c>
      <c r="G106" s="52"/>
      <c r="H106" s="51">
        <f>'[4]G-OR-ADJ'!R55</f>
        <v>6199</v>
      </c>
      <c r="I106" s="51">
        <f>'[4]G-OR-ADJ'!S55</f>
        <v>5459</v>
      </c>
      <c r="J106" s="131">
        <f t="shared" si="2"/>
        <v>11658</v>
      </c>
    </row>
    <row r="107" spans="1:10">
      <c r="A107" s="45" t="s">
        <v>371</v>
      </c>
      <c r="B107" s="54"/>
      <c r="C107" s="48"/>
      <c r="D107" s="130"/>
      <c r="E107" s="51">
        <f>'[4]G-OR-ADJ'!N62</f>
        <v>0</v>
      </c>
      <c r="F107" s="51">
        <f>'[4]G-OR-ADJ'!Q62</f>
        <v>0</v>
      </c>
      <c r="G107" s="52"/>
      <c r="H107" s="51">
        <f>'[4]G-OR-ADJ'!R62</f>
        <v>0</v>
      </c>
      <c r="I107" s="51">
        <f>'[4]G-OR-ADJ'!S62</f>
        <v>0</v>
      </c>
      <c r="J107" s="131">
        <f t="shared" si="2"/>
        <v>0</v>
      </c>
    </row>
    <row r="108" spans="1:10">
      <c r="A108" s="45"/>
      <c r="B108" s="54"/>
      <c r="C108" s="48"/>
      <c r="D108" s="130"/>
      <c r="J108" s="131">
        <f t="shared" si="2"/>
        <v>0</v>
      </c>
    </row>
    <row r="109" spans="1:10">
      <c r="A109" s="45" t="s">
        <v>370</v>
      </c>
      <c r="B109" s="54"/>
      <c r="C109" s="48"/>
      <c r="D109" s="130"/>
      <c r="E109" s="51">
        <f>'[4]G-OR-ADJ'!N76</f>
        <v>82628</v>
      </c>
      <c r="F109" s="51">
        <f>'[4]G-OR-ADJ'!Q76</f>
        <v>-115443</v>
      </c>
      <c r="G109" s="52"/>
      <c r="H109" s="51">
        <f>'[4]G-OR-ADJ'!R76</f>
        <v>73261</v>
      </c>
      <c r="I109" s="51">
        <f>'[4]G-OR-ADJ'!S76</f>
        <v>56283</v>
      </c>
      <c r="J109" s="133">
        <f t="shared" si="2"/>
        <v>129544</v>
      </c>
    </row>
    <row r="110" spans="1:10">
      <c r="A110" s="45"/>
      <c r="B110" s="54"/>
      <c r="C110" s="48"/>
      <c r="D110" s="130"/>
      <c r="E110" s="132"/>
      <c r="F110" s="132"/>
      <c r="H110" s="132"/>
      <c r="I110" s="132"/>
      <c r="J110" s="131">
        <f t="shared" si="2"/>
        <v>0</v>
      </c>
    </row>
    <row r="111" spans="1:10" ht="13.5" thickBot="1">
      <c r="A111" s="45" t="s">
        <v>369</v>
      </c>
      <c r="B111" s="54"/>
      <c r="C111" s="48"/>
      <c r="D111" s="130"/>
      <c r="E111" s="129">
        <f>SUM(E99:E109)</f>
        <v>373164</v>
      </c>
      <c r="F111" s="129">
        <f>SUM(F99:F109)</f>
        <v>-124977</v>
      </c>
      <c r="G111" s="52"/>
      <c r="H111" s="129">
        <f>SUM(H99:H109)</f>
        <v>271642</v>
      </c>
      <c r="I111" s="129">
        <f>SUM(I99:I109)</f>
        <v>283942</v>
      </c>
      <c r="J111" s="128">
        <f t="shared" si="2"/>
        <v>555584</v>
      </c>
    </row>
    <row r="112" spans="1:10" ht="13.5" thickTop="1"/>
    <row r="113" spans="5:9">
      <c r="E113" s="51">
        <f>E111+E89+E67+E43+E21</f>
        <v>3283749</v>
      </c>
      <c r="F113" s="51">
        <f>F111+F89+F67+F43+F21</f>
        <v>-1442682</v>
      </c>
      <c r="H113" s="51">
        <f>H21+H43+H67+H89+H111</f>
        <v>3341280</v>
      </c>
      <c r="I113" s="51">
        <f>I21+I43+I67+I89+I111</f>
        <v>3492555</v>
      </c>
    </row>
    <row r="114" spans="5:9">
      <c r="H114" s="105">
        <f>'[4]PEB-1'!G33</f>
        <v>3341271</v>
      </c>
      <c r="I114" s="105">
        <f>'[4]PEB-1'!H33</f>
        <v>3492557</v>
      </c>
    </row>
  </sheetData>
  <pageMargins left="0.7" right="0.7" top="0.75" bottom="0.75" header="0.3" footer="0.3"/>
  <pageSetup fitToWidth="0" orientation="portrait" r:id="rId1"/>
  <headerFooter>
    <oddHeader>&amp;RExhibit No. ___ (JH-6)
Dockets UE-120436 &amp;&amp; UG-120437
Page &amp;P of &amp;N</oddHeader>
  </headerFooter>
  <rowBreaks count="5" manualBreakCount="5">
    <brk id="22" max="16383" man="1"/>
    <brk id="46" max="16383" man="1"/>
    <brk id="68" max="16383" man="1"/>
    <brk id="89" max="8" man="1"/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T131"/>
  <sheetViews>
    <sheetView zoomScaleNormal="100" workbookViewId="0">
      <pane xSplit="3" ySplit="6" topLeftCell="D7" activePane="bottomRight" state="frozen"/>
      <selection activeCell="L46" sqref="L46"/>
      <selection pane="topRight" activeCell="L46" sqref="L46"/>
      <selection pane="bottomLeft" activeCell="L46" sqref="L46"/>
      <selection pane="bottomRight" activeCell="L46" sqref="L46"/>
    </sheetView>
  </sheetViews>
  <sheetFormatPr defaultColWidth="9.33203125" defaultRowHeight="12.75"/>
  <cols>
    <col min="1" max="2" width="3.83203125" style="45" customWidth="1"/>
    <col min="3" max="3" width="5.83203125" style="45" customWidth="1"/>
    <col min="4" max="4" width="23.1640625" style="45" customWidth="1"/>
    <col min="5" max="5" width="13.33203125" style="45" customWidth="1"/>
    <col min="6" max="6" width="13.1640625" style="45" bestFit="1" customWidth="1"/>
    <col min="7" max="7" width="14.5" style="45" bestFit="1" customWidth="1"/>
    <col min="8" max="8" width="20.1640625" style="45" bestFit="1" customWidth="1"/>
    <col min="9" max="9" width="15.1640625" style="45" bestFit="1" customWidth="1"/>
    <col min="10" max="10" width="20.6640625" style="45" bestFit="1" customWidth="1"/>
    <col min="11" max="11" width="15" style="45" bestFit="1" customWidth="1"/>
    <col min="12" max="12" width="17.5" style="45" customWidth="1"/>
    <col min="13" max="13" width="15" style="45" bestFit="1" customWidth="1"/>
    <col min="14" max="14" width="15.83203125" style="45" customWidth="1"/>
    <col min="15" max="15" width="13" style="45" bestFit="1" customWidth="1"/>
    <col min="16" max="16" width="14.83203125" style="45" bestFit="1" customWidth="1"/>
    <col min="17" max="17" width="3.1640625" style="47" customWidth="1"/>
    <col min="18" max="18" width="15.33203125" style="45" bestFit="1" customWidth="1"/>
    <col min="19" max="19" width="14" style="45" customWidth="1"/>
    <col min="20" max="20" width="14" style="48" customWidth="1"/>
    <col min="21" max="16384" width="9.33203125" style="45"/>
  </cols>
  <sheetData>
    <row r="1" spans="2:20">
      <c r="C1" s="310" t="str">
        <f>'[4]E-PLN-1'!A1</f>
        <v>AVISTA UTILITIES</v>
      </c>
      <c r="D1" s="292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291"/>
      <c r="R1" s="157"/>
      <c r="S1" s="157"/>
      <c r="T1" s="157"/>
    </row>
    <row r="2" spans="2:20">
      <c r="C2" s="292" t="s">
        <v>107</v>
      </c>
      <c r="D2" s="292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291"/>
      <c r="R2" s="157"/>
      <c r="S2" s="157"/>
      <c r="T2" s="157"/>
    </row>
    <row r="3" spans="2:20">
      <c r="C3" s="292" t="str">
        <f>Summary!A3</f>
        <v>Twelve Months Ended December 31, 2011</v>
      </c>
      <c r="D3" s="292"/>
      <c r="E3" s="157"/>
      <c r="F3" s="157"/>
      <c r="G3" s="157"/>
      <c r="H3" s="284" t="s">
        <v>108</v>
      </c>
      <c r="I3" s="157"/>
      <c r="J3" s="284" t="s">
        <v>108</v>
      </c>
      <c r="K3" s="157"/>
      <c r="L3" s="284" t="s">
        <v>108</v>
      </c>
      <c r="M3" s="157"/>
      <c r="N3" s="157"/>
      <c r="O3" s="157"/>
      <c r="P3" s="157"/>
      <c r="Q3" s="291"/>
      <c r="R3" s="157"/>
      <c r="S3" s="157"/>
      <c r="T3" s="157"/>
    </row>
    <row r="4" spans="2:20" s="49" customFormat="1">
      <c r="C4" s="284"/>
      <c r="D4" s="284"/>
      <c r="E4" s="284"/>
      <c r="F4" s="284"/>
      <c r="G4" s="284"/>
      <c r="H4" s="284" t="s">
        <v>109</v>
      </c>
      <c r="I4" s="284"/>
      <c r="J4" s="284" t="s">
        <v>110</v>
      </c>
      <c r="K4" s="284"/>
      <c r="L4" s="284" t="s">
        <v>111</v>
      </c>
      <c r="M4" s="284"/>
      <c r="N4" s="284" t="s">
        <v>112</v>
      </c>
      <c r="O4" s="284" t="s">
        <v>113</v>
      </c>
      <c r="P4" s="284" t="s">
        <v>114</v>
      </c>
      <c r="Q4" s="285"/>
      <c r="R4" s="284" t="s">
        <v>115</v>
      </c>
      <c r="S4" s="284" t="s">
        <v>116</v>
      </c>
      <c r="T4" s="284" t="s">
        <v>117</v>
      </c>
    </row>
    <row r="5" spans="2:20" s="49" customFormat="1">
      <c r="C5" s="284"/>
      <c r="D5" s="284"/>
      <c r="E5" s="284"/>
      <c r="F5" s="284" t="s">
        <v>118</v>
      </c>
      <c r="G5" s="284" t="s">
        <v>119</v>
      </c>
      <c r="H5" s="302">
        <f>'[4]E-PLN-6'!D32</f>
        <v>4.5399999999999998E-3</v>
      </c>
      <c r="I5" s="284" t="s">
        <v>120</v>
      </c>
      <c r="J5" s="302">
        <f>'[4]E-PLN-6'!D34</f>
        <v>0.03</v>
      </c>
      <c r="K5" s="284" t="s">
        <v>120</v>
      </c>
      <c r="L5" s="302">
        <f>+'[4]E-PLN-6'!E41</f>
        <v>4.1000000000000003E-3</v>
      </c>
      <c r="M5" s="284" t="s">
        <v>120</v>
      </c>
      <c r="N5" s="286" t="s">
        <v>121</v>
      </c>
      <c r="O5" s="284" t="s">
        <v>59</v>
      </c>
      <c r="P5" s="284" t="s">
        <v>59</v>
      </c>
      <c r="Q5" s="285"/>
      <c r="R5" s="284" t="s">
        <v>122</v>
      </c>
      <c r="S5" s="284" t="s">
        <v>59</v>
      </c>
      <c r="T5" s="284" t="s">
        <v>59</v>
      </c>
    </row>
    <row r="6" spans="2:20" s="50" customFormat="1">
      <c r="C6" s="290"/>
      <c r="D6" s="290" t="s">
        <v>123</v>
      </c>
      <c r="E6" s="288" t="s">
        <v>124</v>
      </c>
      <c r="F6" s="288" t="s">
        <v>125</v>
      </c>
      <c r="G6" s="288" t="s">
        <v>124</v>
      </c>
      <c r="H6" s="311">
        <f>'[4]E-PLN-6'!D11</f>
        <v>6.9899999999999997E-3</v>
      </c>
      <c r="I6" s="290" t="s">
        <v>126</v>
      </c>
      <c r="J6" s="311">
        <f>'[4]E-PLN-6'!D13</f>
        <v>0.03</v>
      </c>
      <c r="K6" s="290" t="s">
        <v>110</v>
      </c>
      <c r="L6" s="311">
        <f>+'[4]E-PLN-6'!E20</f>
        <v>7.0800000000000004E-3</v>
      </c>
      <c r="M6" s="290" t="s">
        <v>111</v>
      </c>
      <c r="N6" s="290" t="s">
        <v>127</v>
      </c>
      <c r="O6" s="290" t="s">
        <v>128</v>
      </c>
      <c r="P6" s="290" t="s">
        <v>6</v>
      </c>
      <c r="Q6" s="288"/>
      <c r="R6" s="290" t="s">
        <v>129</v>
      </c>
      <c r="S6" s="290" t="s">
        <v>129</v>
      </c>
      <c r="T6" s="290" t="s">
        <v>129</v>
      </c>
    </row>
    <row r="7" spans="2:20">
      <c r="C7" s="157" t="s">
        <v>130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291"/>
      <c r="R7" s="157"/>
      <c r="S7" s="157"/>
      <c r="T7" s="157"/>
    </row>
    <row r="8" spans="2:20">
      <c r="C8" s="157" t="s">
        <v>131</v>
      </c>
      <c r="D8" s="157"/>
      <c r="E8" s="317"/>
      <c r="F8" s="317"/>
      <c r="G8" s="317"/>
      <c r="H8" s="157"/>
      <c r="I8" s="157"/>
      <c r="J8" s="157"/>
      <c r="K8" s="157"/>
      <c r="L8" s="157"/>
      <c r="M8" s="157"/>
      <c r="N8" s="157"/>
      <c r="O8" s="157"/>
      <c r="P8" s="157"/>
      <c r="Q8" s="291"/>
      <c r="R8" s="157"/>
      <c r="S8" s="157"/>
      <c r="T8" s="157"/>
    </row>
    <row r="9" spans="2:20">
      <c r="B9" s="45" t="s">
        <v>61</v>
      </c>
      <c r="C9" s="292">
        <v>500</v>
      </c>
      <c r="D9" s="292" t="s">
        <v>132</v>
      </c>
      <c r="E9" s="208">
        <f>'[4]E-PLN-1'!N11</f>
        <v>145499.84</v>
      </c>
      <c r="F9" s="208"/>
      <c r="G9" s="208">
        <f t="shared" ref="G9:G18" si="0">F9+E9</f>
        <v>145499.84</v>
      </c>
      <c r="H9" s="293">
        <f t="shared" ref="H9:H18" si="1">ROUND(IF($B9="a",G9*H$5,G9*H$6),0)</f>
        <v>661</v>
      </c>
      <c r="I9" s="208">
        <f t="shared" ref="I9:I18" si="2">G9+H9</f>
        <v>146160.84</v>
      </c>
      <c r="J9" s="293">
        <f t="shared" ref="J9:J18" si="3">ROUND(IF($B9="a",I9*J$5,I9*J$6),0)</f>
        <v>4385</v>
      </c>
      <c r="K9" s="208">
        <f>I9+J9</f>
        <v>150545.84</v>
      </c>
      <c r="L9" s="293">
        <f>ROUND(IF($B9="a",K9*L$5,K9*L$6),0)</f>
        <v>617</v>
      </c>
      <c r="M9" s="208">
        <f t="shared" ref="M9:M18" si="4">K9+L9</f>
        <v>151162.84</v>
      </c>
      <c r="N9" s="208">
        <f t="shared" ref="N9:N18" si="5">H9+J9+L9</f>
        <v>5663</v>
      </c>
      <c r="O9" s="208"/>
      <c r="P9" s="208">
        <f>M9+O9</f>
        <v>151162.84</v>
      </c>
      <c r="Q9" s="294"/>
      <c r="R9" s="208">
        <f t="shared" ref="R9:R18" si="6">O9+F9</f>
        <v>0</v>
      </c>
      <c r="S9" s="208">
        <f t="shared" ref="S9:S18" si="7">ROUND($S$130*E9/E$127,0)</f>
        <v>6243</v>
      </c>
      <c r="T9" s="208">
        <f t="shared" ref="T9:T18" si="8">ROUND($T$130*E9/E$127,0)</f>
        <v>6526</v>
      </c>
    </row>
    <row r="10" spans="2:20">
      <c r="C10" s="292">
        <v>501</v>
      </c>
      <c r="D10" s="292" t="s">
        <v>133</v>
      </c>
      <c r="E10" s="208">
        <f>'[4]E-PLN-1'!N12</f>
        <v>519037.2</v>
      </c>
      <c r="F10" s="208"/>
      <c r="G10" s="208">
        <f t="shared" si="0"/>
        <v>519037.2</v>
      </c>
      <c r="H10" s="301">
        <f t="shared" si="1"/>
        <v>3628</v>
      </c>
      <c r="I10" s="208">
        <f t="shared" si="2"/>
        <v>522665.2</v>
      </c>
      <c r="J10" s="301">
        <f t="shared" si="3"/>
        <v>15680</v>
      </c>
      <c r="K10" s="208">
        <f t="shared" ref="K10:K18" si="9">I10+J10</f>
        <v>538345.19999999995</v>
      </c>
      <c r="L10" s="301">
        <f t="shared" ref="L10:L18" si="10">ROUND(IF($B10="a",K10*L$5,K10*L$6),0)</f>
        <v>3811</v>
      </c>
      <c r="M10" s="208">
        <f t="shared" si="4"/>
        <v>542156.19999999995</v>
      </c>
      <c r="N10" s="208">
        <f t="shared" si="5"/>
        <v>23119</v>
      </c>
      <c r="O10" s="208"/>
      <c r="P10" s="208">
        <f t="shared" ref="P10:P18" si="11">M10+O10</f>
        <v>542156.19999999995</v>
      </c>
      <c r="Q10" s="294"/>
      <c r="R10" s="208">
        <f t="shared" si="6"/>
        <v>0</v>
      </c>
      <c r="S10" s="208">
        <f t="shared" si="7"/>
        <v>22272</v>
      </c>
      <c r="T10" s="208">
        <f t="shared" si="8"/>
        <v>23280</v>
      </c>
    </row>
    <row r="11" spans="2:20">
      <c r="C11" s="292">
        <v>502</v>
      </c>
      <c r="D11" s="292" t="s">
        <v>134</v>
      </c>
      <c r="E11" s="208">
        <f>'[4]E-PLN-1'!N13</f>
        <v>280757.90999999997</v>
      </c>
      <c r="F11" s="208"/>
      <c r="G11" s="208">
        <f t="shared" si="0"/>
        <v>280757.90999999997</v>
      </c>
      <c r="H11" s="301">
        <f t="shared" si="1"/>
        <v>1962</v>
      </c>
      <c r="I11" s="208">
        <f t="shared" si="2"/>
        <v>282719.90999999997</v>
      </c>
      <c r="J11" s="301">
        <f t="shared" si="3"/>
        <v>8482</v>
      </c>
      <c r="K11" s="208">
        <f t="shared" si="9"/>
        <v>291201.90999999997</v>
      </c>
      <c r="L11" s="301">
        <f t="shared" si="10"/>
        <v>2062</v>
      </c>
      <c r="M11" s="208">
        <f t="shared" si="4"/>
        <v>293263.90999999997</v>
      </c>
      <c r="N11" s="208">
        <f t="shared" si="5"/>
        <v>12506</v>
      </c>
      <c r="O11" s="208"/>
      <c r="P11" s="208">
        <f t="shared" si="11"/>
        <v>293263.90999999997</v>
      </c>
      <c r="Q11" s="294"/>
      <c r="R11" s="208">
        <f t="shared" si="6"/>
        <v>0</v>
      </c>
      <c r="S11" s="208">
        <f t="shared" si="7"/>
        <v>12047</v>
      </c>
      <c r="T11" s="208">
        <f t="shared" si="8"/>
        <v>12593</v>
      </c>
    </row>
    <row r="12" spans="2:20">
      <c r="C12" s="292">
        <v>505</v>
      </c>
      <c r="D12" s="292" t="s">
        <v>135</v>
      </c>
      <c r="E12" s="208">
        <f>'[4]E-PLN-1'!N14</f>
        <v>282035.03999999998</v>
      </c>
      <c r="F12" s="208"/>
      <c r="G12" s="208">
        <f t="shared" si="0"/>
        <v>282035.03999999998</v>
      </c>
      <c r="H12" s="301">
        <f t="shared" si="1"/>
        <v>1971</v>
      </c>
      <c r="I12" s="208">
        <f t="shared" si="2"/>
        <v>284006.03999999998</v>
      </c>
      <c r="J12" s="301">
        <f t="shared" si="3"/>
        <v>8520</v>
      </c>
      <c r="K12" s="208">
        <f t="shared" si="9"/>
        <v>292526.03999999998</v>
      </c>
      <c r="L12" s="301">
        <f t="shared" si="10"/>
        <v>2071</v>
      </c>
      <c r="M12" s="208">
        <f t="shared" si="4"/>
        <v>294597.03999999998</v>
      </c>
      <c r="N12" s="208">
        <f t="shared" si="5"/>
        <v>12562</v>
      </c>
      <c r="O12" s="208"/>
      <c r="P12" s="208">
        <f t="shared" si="11"/>
        <v>294597.03999999998</v>
      </c>
      <c r="Q12" s="294"/>
      <c r="R12" s="208">
        <f t="shared" si="6"/>
        <v>0</v>
      </c>
      <c r="S12" s="208">
        <f t="shared" si="7"/>
        <v>12102</v>
      </c>
      <c r="T12" s="208">
        <f t="shared" si="8"/>
        <v>12650</v>
      </c>
    </row>
    <row r="13" spans="2:20">
      <c r="C13" s="292">
        <v>506</v>
      </c>
      <c r="D13" s="292" t="s">
        <v>136</v>
      </c>
      <c r="E13" s="208">
        <f>'[4]E-PLN-1'!N15</f>
        <v>108179.88</v>
      </c>
      <c r="F13" s="208"/>
      <c r="G13" s="208">
        <f t="shared" si="0"/>
        <v>108179.88</v>
      </c>
      <c r="H13" s="301">
        <f t="shared" si="1"/>
        <v>756</v>
      </c>
      <c r="I13" s="208">
        <f t="shared" si="2"/>
        <v>108935.88</v>
      </c>
      <c r="J13" s="301">
        <f t="shared" si="3"/>
        <v>3268</v>
      </c>
      <c r="K13" s="208">
        <f t="shared" si="9"/>
        <v>112203.88</v>
      </c>
      <c r="L13" s="301">
        <f t="shared" si="10"/>
        <v>794</v>
      </c>
      <c r="M13" s="208">
        <f t="shared" si="4"/>
        <v>112997.88</v>
      </c>
      <c r="N13" s="208">
        <f t="shared" si="5"/>
        <v>4818</v>
      </c>
      <c r="O13" s="208"/>
      <c r="P13" s="208">
        <f t="shared" si="11"/>
        <v>112997.88</v>
      </c>
      <c r="Q13" s="294"/>
      <c r="R13" s="208">
        <f t="shared" si="6"/>
        <v>0</v>
      </c>
      <c r="S13" s="208">
        <f t="shared" si="7"/>
        <v>4642</v>
      </c>
      <c r="T13" s="208">
        <f t="shared" si="8"/>
        <v>4852</v>
      </c>
    </row>
    <row r="14" spans="2:20">
      <c r="B14" s="45" t="s">
        <v>61</v>
      </c>
      <c r="C14" s="292">
        <v>510</v>
      </c>
      <c r="D14" s="292" t="s">
        <v>132</v>
      </c>
      <c r="E14" s="208">
        <f>'[4]E-PLN-1'!N16</f>
        <v>77849.37</v>
      </c>
      <c r="F14" s="208"/>
      <c r="G14" s="208">
        <f t="shared" si="0"/>
        <v>77849.37</v>
      </c>
      <c r="H14" s="293">
        <f t="shared" si="1"/>
        <v>353</v>
      </c>
      <c r="I14" s="208">
        <f t="shared" si="2"/>
        <v>78202.37</v>
      </c>
      <c r="J14" s="293">
        <f t="shared" si="3"/>
        <v>2346</v>
      </c>
      <c r="K14" s="208">
        <f t="shared" si="9"/>
        <v>80548.37</v>
      </c>
      <c r="L14" s="293">
        <f t="shared" si="10"/>
        <v>330</v>
      </c>
      <c r="M14" s="208">
        <f t="shared" si="4"/>
        <v>80878.37</v>
      </c>
      <c r="N14" s="208">
        <f t="shared" si="5"/>
        <v>3029</v>
      </c>
      <c r="O14" s="208"/>
      <c r="P14" s="208">
        <f t="shared" si="11"/>
        <v>80878.37</v>
      </c>
      <c r="Q14" s="294"/>
      <c r="R14" s="208">
        <f t="shared" si="6"/>
        <v>0</v>
      </c>
      <c r="S14" s="208">
        <f t="shared" si="7"/>
        <v>3340</v>
      </c>
      <c r="T14" s="208">
        <f t="shared" si="8"/>
        <v>3492</v>
      </c>
    </row>
    <row r="15" spans="2:20">
      <c r="C15" s="292">
        <v>511</v>
      </c>
      <c r="D15" s="292" t="s">
        <v>137</v>
      </c>
      <c r="E15" s="208">
        <f>'[4]E-PLN-1'!N17</f>
        <v>2081.1999999999998</v>
      </c>
      <c r="F15" s="208"/>
      <c r="G15" s="208">
        <f t="shared" si="0"/>
        <v>2081.1999999999998</v>
      </c>
      <c r="H15" s="301">
        <f t="shared" si="1"/>
        <v>15</v>
      </c>
      <c r="I15" s="208">
        <f t="shared" si="2"/>
        <v>2096.1999999999998</v>
      </c>
      <c r="J15" s="301">
        <f t="shared" si="3"/>
        <v>63</v>
      </c>
      <c r="K15" s="208">
        <f t="shared" si="9"/>
        <v>2159.1999999999998</v>
      </c>
      <c r="L15" s="301">
        <f t="shared" si="10"/>
        <v>15</v>
      </c>
      <c r="M15" s="208">
        <f t="shared" si="4"/>
        <v>2174.1999999999998</v>
      </c>
      <c r="N15" s="208">
        <f t="shared" si="5"/>
        <v>93</v>
      </c>
      <c r="O15" s="208"/>
      <c r="P15" s="208">
        <f t="shared" si="11"/>
        <v>2174.1999999999998</v>
      </c>
      <c r="Q15" s="294"/>
      <c r="R15" s="208">
        <f t="shared" si="6"/>
        <v>0</v>
      </c>
      <c r="S15" s="208">
        <f t="shared" si="7"/>
        <v>89</v>
      </c>
      <c r="T15" s="208">
        <f t="shared" si="8"/>
        <v>93</v>
      </c>
    </row>
    <row r="16" spans="2:20">
      <c r="C16" s="292">
        <v>512</v>
      </c>
      <c r="D16" s="292" t="s">
        <v>138</v>
      </c>
      <c r="E16" s="208">
        <f>'[4]E-PLN-1'!N18</f>
        <v>307689.11</v>
      </c>
      <c r="F16" s="208"/>
      <c r="G16" s="208">
        <f t="shared" si="0"/>
        <v>307689.11</v>
      </c>
      <c r="H16" s="301">
        <f t="shared" si="1"/>
        <v>2151</v>
      </c>
      <c r="I16" s="208">
        <f t="shared" si="2"/>
        <v>309840.11</v>
      </c>
      <c r="J16" s="301">
        <f t="shared" si="3"/>
        <v>9295</v>
      </c>
      <c r="K16" s="208">
        <f t="shared" si="9"/>
        <v>319135.11</v>
      </c>
      <c r="L16" s="301">
        <f t="shared" si="10"/>
        <v>2259</v>
      </c>
      <c r="M16" s="208">
        <f t="shared" si="4"/>
        <v>321394.11</v>
      </c>
      <c r="N16" s="208">
        <f t="shared" si="5"/>
        <v>13705</v>
      </c>
      <c r="O16" s="208"/>
      <c r="P16" s="208">
        <f t="shared" si="11"/>
        <v>321394.11</v>
      </c>
      <c r="Q16" s="294"/>
      <c r="R16" s="208">
        <f t="shared" si="6"/>
        <v>0</v>
      </c>
      <c r="S16" s="208">
        <f t="shared" si="7"/>
        <v>13203</v>
      </c>
      <c r="T16" s="208">
        <f t="shared" si="8"/>
        <v>13801</v>
      </c>
    </row>
    <row r="17" spans="2:20">
      <c r="C17" s="292">
        <v>513</v>
      </c>
      <c r="D17" s="292" t="s">
        <v>139</v>
      </c>
      <c r="E17" s="208">
        <f>'[4]E-PLN-1'!N19</f>
        <v>119367.6</v>
      </c>
      <c r="F17" s="208"/>
      <c r="G17" s="208">
        <f t="shared" si="0"/>
        <v>119367.6</v>
      </c>
      <c r="H17" s="301">
        <f t="shared" si="1"/>
        <v>834</v>
      </c>
      <c r="I17" s="208">
        <f t="shared" si="2"/>
        <v>120201.60000000001</v>
      </c>
      <c r="J17" s="301">
        <f t="shared" si="3"/>
        <v>3606</v>
      </c>
      <c r="K17" s="208">
        <f t="shared" si="9"/>
        <v>123807.6</v>
      </c>
      <c r="L17" s="301">
        <f t="shared" si="10"/>
        <v>877</v>
      </c>
      <c r="M17" s="208">
        <f t="shared" si="4"/>
        <v>124684.6</v>
      </c>
      <c r="N17" s="208">
        <f t="shared" si="5"/>
        <v>5317</v>
      </c>
      <c r="O17" s="208"/>
      <c r="P17" s="208">
        <f t="shared" si="11"/>
        <v>124684.6</v>
      </c>
      <c r="Q17" s="294"/>
      <c r="R17" s="208">
        <f t="shared" si="6"/>
        <v>0</v>
      </c>
      <c r="S17" s="208">
        <f t="shared" si="7"/>
        <v>5122</v>
      </c>
      <c r="T17" s="208">
        <f t="shared" si="8"/>
        <v>5354</v>
      </c>
    </row>
    <row r="18" spans="2:20">
      <c r="C18" s="292">
        <v>514</v>
      </c>
      <c r="D18" s="292" t="s">
        <v>140</v>
      </c>
      <c r="E18" s="208">
        <f>'[4]E-PLN-1'!N20</f>
        <v>50090.94</v>
      </c>
      <c r="F18" s="208"/>
      <c r="G18" s="208">
        <f t="shared" si="0"/>
        <v>50090.94</v>
      </c>
      <c r="H18" s="301">
        <f t="shared" si="1"/>
        <v>350</v>
      </c>
      <c r="I18" s="208">
        <f t="shared" si="2"/>
        <v>50440.94</v>
      </c>
      <c r="J18" s="301">
        <f t="shared" si="3"/>
        <v>1513</v>
      </c>
      <c r="K18" s="208">
        <f t="shared" si="9"/>
        <v>51953.94</v>
      </c>
      <c r="L18" s="301">
        <f t="shared" si="10"/>
        <v>368</v>
      </c>
      <c r="M18" s="208">
        <f t="shared" si="4"/>
        <v>52321.94</v>
      </c>
      <c r="N18" s="208">
        <f t="shared" si="5"/>
        <v>2231</v>
      </c>
      <c r="O18" s="208"/>
      <c r="P18" s="208">
        <f t="shared" si="11"/>
        <v>52321.94</v>
      </c>
      <c r="Q18" s="294"/>
      <c r="R18" s="208">
        <f t="shared" si="6"/>
        <v>0</v>
      </c>
      <c r="S18" s="208">
        <f t="shared" si="7"/>
        <v>2149</v>
      </c>
      <c r="T18" s="208">
        <f t="shared" si="8"/>
        <v>2247</v>
      </c>
    </row>
    <row r="19" spans="2:20">
      <c r="C19" s="157" t="s">
        <v>141</v>
      </c>
      <c r="D19" s="157"/>
      <c r="E19" s="312">
        <f>SUM(E9:E18)</f>
        <v>1892588.0900000003</v>
      </c>
      <c r="F19" s="312">
        <f t="shared" ref="F19:S19" si="12">SUM(F9:F18)</f>
        <v>0</v>
      </c>
      <c r="G19" s="312">
        <f t="shared" si="12"/>
        <v>1892588.0900000003</v>
      </c>
      <c r="H19" s="312">
        <f t="shared" si="12"/>
        <v>12681</v>
      </c>
      <c r="I19" s="312">
        <f>SUM(I9:I18)</f>
        <v>1905269.0900000003</v>
      </c>
      <c r="J19" s="312">
        <f t="shared" si="12"/>
        <v>57158</v>
      </c>
      <c r="K19" s="312">
        <f>SUM(K9:K18)</f>
        <v>1962427.0900000003</v>
      </c>
      <c r="L19" s="312">
        <f>SUM(L9:L18)</f>
        <v>13204</v>
      </c>
      <c r="M19" s="312">
        <f>SUM(M9:M18)</f>
        <v>1975631.0900000003</v>
      </c>
      <c r="N19" s="312">
        <f t="shared" si="12"/>
        <v>83043</v>
      </c>
      <c r="O19" s="312">
        <f t="shared" si="12"/>
        <v>0</v>
      </c>
      <c r="P19" s="312">
        <f>SUM(P9:P18)</f>
        <v>1975631.0900000003</v>
      </c>
      <c r="Q19" s="294"/>
      <c r="R19" s="312">
        <f t="shared" si="12"/>
        <v>0</v>
      </c>
      <c r="S19" s="312">
        <f t="shared" si="12"/>
        <v>81209</v>
      </c>
      <c r="T19" s="312">
        <f>SUM(T9:T18)</f>
        <v>84888</v>
      </c>
    </row>
    <row r="20" spans="2:20">
      <c r="C20" s="157"/>
      <c r="D20" s="157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94"/>
      <c r="R20" s="208"/>
      <c r="S20" s="208"/>
      <c r="T20" s="208"/>
    </row>
    <row r="21" spans="2:20">
      <c r="C21" s="157" t="s">
        <v>142</v>
      </c>
      <c r="D21" s="157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94"/>
      <c r="R21" s="208"/>
      <c r="S21" s="208"/>
      <c r="T21" s="208"/>
    </row>
    <row r="22" spans="2:20">
      <c r="B22" s="45" t="s">
        <v>61</v>
      </c>
      <c r="C22" s="292">
        <v>535</v>
      </c>
      <c r="D22" s="292" t="s">
        <v>132</v>
      </c>
      <c r="E22" s="208">
        <f>'[4]E-PLN-1'!N24</f>
        <v>940523.89</v>
      </c>
      <c r="F22" s="208"/>
      <c r="G22" s="208">
        <f t="shared" ref="G22:G31" si="13">F22+E22</f>
        <v>940523.89</v>
      </c>
      <c r="H22" s="293">
        <f t="shared" ref="H22:H31" si="14">ROUND(IF($B22="a",G22*H$5,G22*H$6),0)</f>
        <v>4270</v>
      </c>
      <c r="I22" s="208">
        <f t="shared" ref="I22:I31" si="15">G22+H22</f>
        <v>944793.89</v>
      </c>
      <c r="J22" s="293">
        <f t="shared" ref="J22:J31" si="16">ROUND(IF($B22="a",I22*J$5,I22*J$6),0)</f>
        <v>28344</v>
      </c>
      <c r="K22" s="208">
        <f t="shared" ref="K22:K31" si="17">I22+J22</f>
        <v>973137.89</v>
      </c>
      <c r="L22" s="293">
        <f t="shared" ref="L22:L31" si="18">ROUND(IF($B22="a",K22*L$5,K22*L$6),0)</f>
        <v>3990</v>
      </c>
      <c r="M22" s="208">
        <f t="shared" ref="M22:M31" si="19">K22+L22</f>
        <v>977127.89</v>
      </c>
      <c r="N22" s="208">
        <f t="shared" ref="N22:N31" si="20">H22+J22+L22</f>
        <v>36604</v>
      </c>
      <c r="O22" s="208"/>
      <c r="P22" s="208">
        <f t="shared" ref="P22:P31" si="21">M22+O22</f>
        <v>977127.89</v>
      </c>
      <c r="Q22" s="294"/>
      <c r="R22" s="208">
        <f t="shared" ref="R22:R31" si="22">O22+F22</f>
        <v>0</v>
      </c>
      <c r="S22" s="208">
        <f t="shared" ref="S22:S31" si="23">ROUND($S$130*E22/E$127,0)</f>
        <v>40358</v>
      </c>
      <c r="T22" s="208">
        <f t="shared" ref="T22:T31" si="24">ROUND($T$130*E22/E$127,0)</f>
        <v>42185</v>
      </c>
    </row>
    <row r="23" spans="2:20">
      <c r="C23" s="292">
        <v>536</v>
      </c>
      <c r="D23" s="292" t="s">
        <v>143</v>
      </c>
      <c r="E23" s="208">
        <f>'[4]E-PLN-1'!N25</f>
        <v>2046.59</v>
      </c>
      <c r="F23" s="208"/>
      <c r="G23" s="208">
        <f t="shared" si="13"/>
        <v>2046.59</v>
      </c>
      <c r="H23" s="301">
        <f t="shared" si="14"/>
        <v>14</v>
      </c>
      <c r="I23" s="208">
        <f t="shared" si="15"/>
        <v>2060.59</v>
      </c>
      <c r="J23" s="301">
        <f t="shared" si="16"/>
        <v>62</v>
      </c>
      <c r="K23" s="208">
        <f t="shared" si="17"/>
        <v>2122.59</v>
      </c>
      <c r="L23" s="301">
        <f t="shared" si="18"/>
        <v>15</v>
      </c>
      <c r="M23" s="208">
        <f t="shared" si="19"/>
        <v>2137.59</v>
      </c>
      <c r="N23" s="208">
        <f t="shared" si="20"/>
        <v>91</v>
      </c>
      <c r="O23" s="208"/>
      <c r="P23" s="208">
        <f t="shared" si="21"/>
        <v>2137.59</v>
      </c>
      <c r="Q23" s="294"/>
      <c r="R23" s="208">
        <f t="shared" si="22"/>
        <v>0</v>
      </c>
      <c r="S23" s="208">
        <f t="shared" si="23"/>
        <v>88</v>
      </c>
      <c r="T23" s="208">
        <f t="shared" si="24"/>
        <v>92</v>
      </c>
    </row>
    <row r="24" spans="2:20">
      <c r="C24" s="292">
        <v>537</v>
      </c>
      <c r="D24" s="292" t="s">
        <v>144</v>
      </c>
      <c r="E24" s="208">
        <f>'[4]E-PLN-1'!N26</f>
        <v>255933.66</v>
      </c>
      <c r="F24" s="208"/>
      <c r="G24" s="208">
        <f t="shared" si="13"/>
        <v>255933.66</v>
      </c>
      <c r="H24" s="301">
        <f t="shared" si="14"/>
        <v>1789</v>
      </c>
      <c r="I24" s="208">
        <f t="shared" si="15"/>
        <v>257722.66</v>
      </c>
      <c r="J24" s="301">
        <f t="shared" si="16"/>
        <v>7732</v>
      </c>
      <c r="K24" s="208">
        <f t="shared" si="17"/>
        <v>265454.66000000003</v>
      </c>
      <c r="L24" s="301">
        <f t="shared" si="18"/>
        <v>1879</v>
      </c>
      <c r="M24" s="208">
        <f t="shared" si="19"/>
        <v>267333.66000000003</v>
      </c>
      <c r="N24" s="208">
        <f t="shared" si="20"/>
        <v>11400</v>
      </c>
      <c r="O24" s="208"/>
      <c r="P24" s="208">
        <f t="shared" si="21"/>
        <v>267333.66000000003</v>
      </c>
      <c r="Q24" s="294"/>
      <c r="R24" s="208">
        <f t="shared" si="22"/>
        <v>0</v>
      </c>
      <c r="S24" s="208">
        <f t="shared" si="23"/>
        <v>10982</v>
      </c>
      <c r="T24" s="208">
        <f t="shared" si="24"/>
        <v>11479</v>
      </c>
    </row>
    <row r="25" spans="2:20">
      <c r="C25" s="292">
        <v>538</v>
      </c>
      <c r="D25" s="292" t="s">
        <v>135</v>
      </c>
      <c r="E25" s="208">
        <f>'[4]E-PLN-1'!N27</f>
        <v>2354640.75</v>
      </c>
      <c r="F25" s="208"/>
      <c r="G25" s="208">
        <f t="shared" si="13"/>
        <v>2354640.75</v>
      </c>
      <c r="H25" s="301">
        <f t="shared" si="14"/>
        <v>16459</v>
      </c>
      <c r="I25" s="208">
        <f t="shared" si="15"/>
        <v>2371099.75</v>
      </c>
      <c r="J25" s="301">
        <f t="shared" si="16"/>
        <v>71133</v>
      </c>
      <c r="K25" s="208">
        <f t="shared" si="17"/>
        <v>2442232.75</v>
      </c>
      <c r="L25" s="301">
        <f t="shared" si="18"/>
        <v>17291</v>
      </c>
      <c r="M25" s="208">
        <f t="shared" si="19"/>
        <v>2459523.75</v>
      </c>
      <c r="N25" s="208">
        <f t="shared" si="20"/>
        <v>104883</v>
      </c>
      <c r="O25" s="208"/>
      <c r="P25" s="208">
        <f t="shared" si="21"/>
        <v>2459523.75</v>
      </c>
      <c r="Q25" s="294"/>
      <c r="R25" s="208">
        <f t="shared" si="22"/>
        <v>0</v>
      </c>
      <c r="S25" s="208">
        <f t="shared" si="23"/>
        <v>101037</v>
      </c>
      <c r="T25" s="208">
        <f t="shared" si="24"/>
        <v>105612</v>
      </c>
    </row>
    <row r="26" spans="2:20">
      <c r="C26" s="292">
        <v>539</v>
      </c>
      <c r="D26" s="292" t="s">
        <v>145</v>
      </c>
      <c r="E26" s="208">
        <f>'[4]E-PLN-1'!N28</f>
        <v>76469.320000000007</v>
      </c>
      <c r="F26" s="208"/>
      <c r="G26" s="208">
        <f t="shared" si="13"/>
        <v>76469.320000000007</v>
      </c>
      <c r="H26" s="301">
        <f t="shared" si="14"/>
        <v>535</v>
      </c>
      <c r="I26" s="208">
        <f t="shared" si="15"/>
        <v>77004.320000000007</v>
      </c>
      <c r="J26" s="301">
        <f t="shared" si="16"/>
        <v>2310</v>
      </c>
      <c r="K26" s="208">
        <f t="shared" si="17"/>
        <v>79314.320000000007</v>
      </c>
      <c r="L26" s="301">
        <f t="shared" si="18"/>
        <v>562</v>
      </c>
      <c r="M26" s="208">
        <f t="shared" si="19"/>
        <v>79876.320000000007</v>
      </c>
      <c r="N26" s="208">
        <f t="shared" si="20"/>
        <v>3407</v>
      </c>
      <c r="O26" s="208"/>
      <c r="P26" s="208">
        <f t="shared" si="21"/>
        <v>79876.320000000007</v>
      </c>
      <c r="Q26" s="294"/>
      <c r="R26" s="208">
        <f t="shared" si="22"/>
        <v>0</v>
      </c>
      <c r="S26" s="208">
        <f t="shared" si="23"/>
        <v>3281</v>
      </c>
      <c r="T26" s="208">
        <f t="shared" si="24"/>
        <v>3430</v>
      </c>
    </row>
    <row r="27" spans="2:20">
      <c r="B27" s="45" t="s">
        <v>61</v>
      </c>
      <c r="C27" s="292">
        <v>541</v>
      </c>
      <c r="D27" s="292" t="s">
        <v>132</v>
      </c>
      <c r="E27" s="208">
        <f>'[4]E-PLN-1'!N29</f>
        <v>211616.86</v>
      </c>
      <c r="F27" s="208"/>
      <c r="G27" s="208">
        <f>F27+E27</f>
        <v>211616.86</v>
      </c>
      <c r="H27" s="301">
        <f>ROUND(IF($B27="a",G27*H$5,G27*H$6),0)</f>
        <v>961</v>
      </c>
      <c r="I27" s="208">
        <f>G27+H27</f>
        <v>212577.86</v>
      </c>
      <c r="J27" s="301">
        <f>ROUND(IF($B27="a",I27*J$5,I27*J$6),0)</f>
        <v>6377</v>
      </c>
      <c r="K27" s="208">
        <f>I27+J27</f>
        <v>218954.86</v>
      </c>
      <c r="L27" s="301">
        <f>ROUND(IF($B27="a",K27*L$5,K27*L$6),0)</f>
        <v>898</v>
      </c>
      <c r="M27" s="208">
        <f t="shared" si="19"/>
        <v>219852.86</v>
      </c>
      <c r="N27" s="208">
        <f t="shared" si="20"/>
        <v>8236</v>
      </c>
      <c r="O27" s="208"/>
      <c r="P27" s="208">
        <f>M27+O27</f>
        <v>219852.86</v>
      </c>
      <c r="Q27" s="294"/>
      <c r="R27" s="208">
        <f t="shared" si="22"/>
        <v>0</v>
      </c>
      <c r="S27" s="208">
        <f t="shared" si="23"/>
        <v>9080</v>
      </c>
      <c r="T27" s="208">
        <f t="shared" si="24"/>
        <v>9492</v>
      </c>
    </row>
    <row r="28" spans="2:20">
      <c r="C28" s="292">
        <v>542</v>
      </c>
      <c r="D28" s="292" t="str">
        <f>D6</f>
        <v>2011 to 2013</v>
      </c>
      <c r="E28" s="208">
        <f>'[4]E-PLN-1'!N30</f>
        <v>114182.11</v>
      </c>
      <c r="F28" s="208"/>
      <c r="G28" s="208">
        <f t="shared" si="13"/>
        <v>114182.11</v>
      </c>
      <c r="H28" s="301">
        <f t="shared" si="14"/>
        <v>798</v>
      </c>
      <c r="I28" s="208">
        <f t="shared" si="15"/>
        <v>114980.11</v>
      </c>
      <c r="J28" s="301">
        <f t="shared" si="16"/>
        <v>3449</v>
      </c>
      <c r="K28" s="208">
        <f t="shared" si="17"/>
        <v>118429.11</v>
      </c>
      <c r="L28" s="301">
        <f t="shared" si="18"/>
        <v>838</v>
      </c>
      <c r="M28" s="208">
        <f t="shared" si="19"/>
        <v>119267.11</v>
      </c>
      <c r="N28" s="208">
        <f t="shared" si="20"/>
        <v>5085</v>
      </c>
      <c r="O28" s="208"/>
      <c r="P28" s="208">
        <f t="shared" si="21"/>
        <v>119267.11</v>
      </c>
      <c r="Q28" s="294"/>
      <c r="R28" s="208">
        <f t="shared" si="22"/>
        <v>0</v>
      </c>
      <c r="S28" s="208">
        <f t="shared" si="23"/>
        <v>4900</v>
      </c>
      <c r="T28" s="208">
        <f t="shared" si="24"/>
        <v>5121</v>
      </c>
    </row>
    <row r="29" spans="2:20">
      <c r="C29" s="292">
        <v>543</v>
      </c>
      <c r="D29" s="292" t="s">
        <v>146</v>
      </c>
      <c r="E29" s="208">
        <f>'[4]E-PLN-1'!N31</f>
        <v>263639.15000000002</v>
      </c>
      <c r="F29" s="208"/>
      <c r="G29" s="208">
        <f t="shared" si="13"/>
        <v>263639.15000000002</v>
      </c>
      <c r="H29" s="301">
        <f t="shared" si="14"/>
        <v>1843</v>
      </c>
      <c r="I29" s="208">
        <f t="shared" si="15"/>
        <v>265482.15000000002</v>
      </c>
      <c r="J29" s="301">
        <f t="shared" si="16"/>
        <v>7964</v>
      </c>
      <c r="K29" s="208">
        <f t="shared" si="17"/>
        <v>273446.15000000002</v>
      </c>
      <c r="L29" s="301">
        <f t="shared" si="18"/>
        <v>1936</v>
      </c>
      <c r="M29" s="208">
        <f t="shared" si="19"/>
        <v>275382.15000000002</v>
      </c>
      <c r="N29" s="208">
        <f t="shared" si="20"/>
        <v>11743</v>
      </c>
      <c r="O29" s="208"/>
      <c r="P29" s="208">
        <f t="shared" si="21"/>
        <v>275382.15000000002</v>
      </c>
      <c r="Q29" s="294"/>
      <c r="R29" s="208">
        <f t="shared" si="22"/>
        <v>0</v>
      </c>
      <c r="S29" s="208">
        <f t="shared" si="23"/>
        <v>11313</v>
      </c>
      <c r="T29" s="208">
        <f t="shared" si="24"/>
        <v>11825</v>
      </c>
    </row>
    <row r="30" spans="2:20">
      <c r="C30" s="292">
        <v>544</v>
      </c>
      <c r="D30" s="292" t="s">
        <v>139</v>
      </c>
      <c r="E30" s="208">
        <f>'[4]E-PLN-1'!N32</f>
        <v>780259.34</v>
      </c>
      <c r="F30" s="208"/>
      <c r="G30" s="208">
        <f t="shared" si="13"/>
        <v>780259.34</v>
      </c>
      <c r="H30" s="301">
        <f t="shared" si="14"/>
        <v>5454</v>
      </c>
      <c r="I30" s="208">
        <f t="shared" si="15"/>
        <v>785713.34</v>
      </c>
      <c r="J30" s="301">
        <f t="shared" si="16"/>
        <v>23571</v>
      </c>
      <c r="K30" s="208">
        <f t="shared" si="17"/>
        <v>809284.34</v>
      </c>
      <c r="L30" s="301">
        <f t="shared" si="18"/>
        <v>5730</v>
      </c>
      <c r="M30" s="208">
        <f t="shared" si="19"/>
        <v>815014.34</v>
      </c>
      <c r="N30" s="208">
        <f t="shared" si="20"/>
        <v>34755</v>
      </c>
      <c r="O30" s="208"/>
      <c r="P30" s="208">
        <f t="shared" si="21"/>
        <v>815014.34</v>
      </c>
      <c r="Q30" s="294"/>
      <c r="R30" s="208">
        <f t="shared" si="22"/>
        <v>0</v>
      </c>
      <c r="S30" s="208">
        <f t="shared" si="23"/>
        <v>33481</v>
      </c>
      <c r="T30" s="208">
        <f t="shared" si="24"/>
        <v>34997</v>
      </c>
    </row>
    <row r="31" spans="2:20">
      <c r="C31" s="292">
        <v>545</v>
      </c>
      <c r="D31" s="292" t="s">
        <v>147</v>
      </c>
      <c r="E31" s="208">
        <f>'[4]E-PLN-1'!N33</f>
        <v>142029.66</v>
      </c>
      <c r="F31" s="208"/>
      <c r="G31" s="208">
        <f t="shared" si="13"/>
        <v>142029.66</v>
      </c>
      <c r="H31" s="301">
        <f t="shared" si="14"/>
        <v>993</v>
      </c>
      <c r="I31" s="208">
        <f t="shared" si="15"/>
        <v>143022.66</v>
      </c>
      <c r="J31" s="301">
        <f t="shared" si="16"/>
        <v>4291</v>
      </c>
      <c r="K31" s="208">
        <f t="shared" si="17"/>
        <v>147313.66</v>
      </c>
      <c r="L31" s="301">
        <f t="shared" si="18"/>
        <v>1043</v>
      </c>
      <c r="M31" s="208">
        <f t="shared" si="19"/>
        <v>148356.66</v>
      </c>
      <c r="N31" s="208">
        <f t="shared" si="20"/>
        <v>6327</v>
      </c>
      <c r="O31" s="208"/>
      <c r="P31" s="208">
        <f t="shared" si="21"/>
        <v>148356.66</v>
      </c>
      <c r="Q31" s="294"/>
      <c r="R31" s="208">
        <f t="shared" si="22"/>
        <v>0</v>
      </c>
      <c r="S31" s="208">
        <f t="shared" si="23"/>
        <v>6094</v>
      </c>
      <c r="T31" s="208">
        <f t="shared" si="24"/>
        <v>6370</v>
      </c>
    </row>
    <row r="32" spans="2:20">
      <c r="C32" s="157" t="s">
        <v>148</v>
      </c>
      <c r="D32" s="157"/>
      <c r="E32" s="312">
        <f>SUM(E22:E31)</f>
        <v>5141341.3299999991</v>
      </c>
      <c r="F32" s="312">
        <f t="shared" ref="F32:S32" si="25">SUM(F22:F31)</f>
        <v>0</v>
      </c>
      <c r="G32" s="312">
        <f t="shared" si="25"/>
        <v>5141341.3299999991</v>
      </c>
      <c r="H32" s="312">
        <f t="shared" si="25"/>
        <v>33116</v>
      </c>
      <c r="I32" s="312">
        <f t="shared" si="25"/>
        <v>5174457.3299999991</v>
      </c>
      <c r="J32" s="312">
        <f t="shared" si="25"/>
        <v>155233</v>
      </c>
      <c r="K32" s="312">
        <f t="shared" si="25"/>
        <v>5329690.33</v>
      </c>
      <c r="L32" s="312">
        <f>SUM(L22:L31)</f>
        <v>34182</v>
      </c>
      <c r="M32" s="312">
        <f>SUM(M22:M31)</f>
        <v>5363872.33</v>
      </c>
      <c r="N32" s="312">
        <f t="shared" si="25"/>
        <v>222531</v>
      </c>
      <c r="O32" s="312">
        <f t="shared" si="25"/>
        <v>0</v>
      </c>
      <c r="P32" s="312">
        <f>SUM(P22:P31)</f>
        <v>5363872.33</v>
      </c>
      <c r="Q32" s="294"/>
      <c r="R32" s="312">
        <f t="shared" si="25"/>
        <v>0</v>
      </c>
      <c r="S32" s="312">
        <f t="shared" si="25"/>
        <v>220614</v>
      </c>
      <c r="T32" s="312">
        <f>SUM(T22:T31)</f>
        <v>230603</v>
      </c>
    </row>
    <row r="33" spans="2:20">
      <c r="C33" s="157"/>
      <c r="D33" s="157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94"/>
      <c r="R33" s="208"/>
      <c r="S33" s="208"/>
      <c r="T33" s="208"/>
    </row>
    <row r="34" spans="2:20">
      <c r="C34" s="157" t="s">
        <v>149</v>
      </c>
      <c r="D34" s="157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94"/>
      <c r="R34" s="208"/>
      <c r="S34" s="208"/>
      <c r="T34" s="208"/>
    </row>
    <row r="35" spans="2:20">
      <c r="B35" s="45" t="s">
        <v>61</v>
      </c>
      <c r="C35" s="292">
        <v>546</v>
      </c>
      <c r="D35" s="292" t="s">
        <v>132</v>
      </c>
      <c r="E35" s="208">
        <f>'[4]E-PLN-1'!N37</f>
        <v>98878.21</v>
      </c>
      <c r="F35" s="208"/>
      <c r="G35" s="208">
        <f t="shared" ref="G35:G43" si="26">F35+E35</f>
        <v>98878.21</v>
      </c>
      <c r="H35" s="293">
        <f t="shared" ref="H35:H43" si="27">ROUND(IF($B35="a",G35*H$5,G35*H$6),0)</f>
        <v>449</v>
      </c>
      <c r="I35" s="208">
        <f t="shared" ref="I35:I43" si="28">G35+H35</f>
        <v>99327.21</v>
      </c>
      <c r="J35" s="293">
        <f t="shared" ref="J35:J43" si="29">ROUND(IF($B35="a",I35*J$5,I35*J$6),0)</f>
        <v>2980</v>
      </c>
      <c r="K35" s="208">
        <f t="shared" ref="K35:K43" si="30">I35+J35</f>
        <v>102307.21</v>
      </c>
      <c r="L35" s="293">
        <f t="shared" ref="L35:L43" si="31">ROUND(IF($B35="a",K35*L$5,K35*L$6),0)</f>
        <v>419</v>
      </c>
      <c r="M35" s="208">
        <f t="shared" ref="M35:M43" si="32">K35+L35</f>
        <v>102726.21</v>
      </c>
      <c r="N35" s="208">
        <f t="shared" ref="N35:N43" si="33">H35+J35+L35</f>
        <v>3848</v>
      </c>
      <c r="O35" s="208"/>
      <c r="P35" s="208">
        <f t="shared" ref="P35:P43" si="34">M35+O35</f>
        <v>102726.21</v>
      </c>
      <c r="Q35" s="294"/>
      <c r="R35" s="208">
        <f t="shared" ref="R35:R43" si="35">O35+F35</f>
        <v>0</v>
      </c>
      <c r="S35" s="208">
        <f t="shared" ref="S35:S43" si="36">ROUND($S$130*E35/E$127,0)</f>
        <v>4243</v>
      </c>
      <c r="T35" s="208">
        <f t="shared" ref="T35:T43" si="37">ROUND($T$130*E35/E$127,0)</f>
        <v>4435</v>
      </c>
    </row>
    <row r="36" spans="2:20">
      <c r="C36" s="292">
        <v>547</v>
      </c>
      <c r="D36" s="292" t="s">
        <v>133</v>
      </c>
      <c r="E36" s="208">
        <f>'[4]E-PLN-1'!N38</f>
        <v>0</v>
      </c>
      <c r="F36" s="208"/>
      <c r="G36" s="208">
        <f t="shared" si="26"/>
        <v>0</v>
      </c>
      <c r="H36" s="301">
        <f t="shared" si="27"/>
        <v>0</v>
      </c>
      <c r="I36" s="208">
        <f t="shared" si="28"/>
        <v>0</v>
      </c>
      <c r="J36" s="301">
        <f t="shared" si="29"/>
        <v>0</v>
      </c>
      <c r="K36" s="208">
        <f t="shared" si="30"/>
        <v>0</v>
      </c>
      <c r="L36" s="301">
        <f t="shared" si="31"/>
        <v>0</v>
      </c>
      <c r="M36" s="208">
        <f t="shared" si="32"/>
        <v>0</v>
      </c>
      <c r="N36" s="208">
        <f t="shared" si="33"/>
        <v>0</v>
      </c>
      <c r="O36" s="208"/>
      <c r="P36" s="208">
        <f t="shared" si="34"/>
        <v>0</v>
      </c>
      <c r="Q36" s="294"/>
      <c r="R36" s="208">
        <f t="shared" si="35"/>
        <v>0</v>
      </c>
      <c r="S36" s="208">
        <f t="shared" si="36"/>
        <v>0</v>
      </c>
      <c r="T36" s="208">
        <f t="shared" si="37"/>
        <v>0</v>
      </c>
    </row>
    <row r="37" spans="2:20">
      <c r="C37" s="292">
        <v>548</v>
      </c>
      <c r="D37" s="292" t="s">
        <v>150</v>
      </c>
      <c r="E37" s="208">
        <f>'[4]E-PLN-1'!N39</f>
        <v>117348.07</v>
      </c>
      <c r="F37" s="208"/>
      <c r="G37" s="208">
        <f t="shared" si="26"/>
        <v>117348.07</v>
      </c>
      <c r="H37" s="301">
        <f t="shared" si="27"/>
        <v>820</v>
      </c>
      <c r="I37" s="208">
        <f t="shared" si="28"/>
        <v>118168.07</v>
      </c>
      <c r="J37" s="301">
        <f t="shared" si="29"/>
        <v>3545</v>
      </c>
      <c r="K37" s="208">
        <f t="shared" si="30"/>
        <v>121713.07</v>
      </c>
      <c r="L37" s="301">
        <f t="shared" si="31"/>
        <v>862</v>
      </c>
      <c r="M37" s="208">
        <f t="shared" si="32"/>
        <v>122575.07</v>
      </c>
      <c r="N37" s="208">
        <f t="shared" si="33"/>
        <v>5227</v>
      </c>
      <c r="O37" s="208"/>
      <c r="P37" s="208">
        <f t="shared" si="34"/>
        <v>122575.07</v>
      </c>
      <c r="Q37" s="294"/>
      <c r="R37" s="208">
        <f t="shared" si="35"/>
        <v>0</v>
      </c>
      <c r="S37" s="208">
        <f t="shared" si="36"/>
        <v>5035</v>
      </c>
      <c r="T37" s="208">
        <f t="shared" si="37"/>
        <v>5263</v>
      </c>
    </row>
    <row r="38" spans="2:20">
      <c r="C38" s="292">
        <v>549</v>
      </c>
      <c r="D38" s="292" t="s">
        <v>151</v>
      </c>
      <c r="E38" s="208">
        <f>'[4]E-PLN-1'!N40</f>
        <v>95591.78</v>
      </c>
      <c r="F38" s="208"/>
      <c r="G38" s="208">
        <f t="shared" si="26"/>
        <v>95591.78</v>
      </c>
      <c r="H38" s="301">
        <f t="shared" si="27"/>
        <v>668</v>
      </c>
      <c r="I38" s="208">
        <f t="shared" si="28"/>
        <v>96259.78</v>
      </c>
      <c r="J38" s="301">
        <f t="shared" si="29"/>
        <v>2888</v>
      </c>
      <c r="K38" s="208">
        <f t="shared" si="30"/>
        <v>99147.78</v>
      </c>
      <c r="L38" s="301">
        <f t="shared" si="31"/>
        <v>702</v>
      </c>
      <c r="M38" s="208">
        <f t="shared" si="32"/>
        <v>99849.78</v>
      </c>
      <c r="N38" s="208">
        <f t="shared" si="33"/>
        <v>4258</v>
      </c>
      <c r="O38" s="208"/>
      <c r="P38" s="208">
        <f t="shared" si="34"/>
        <v>99849.78</v>
      </c>
      <c r="Q38" s="294"/>
      <c r="R38" s="208">
        <f t="shared" si="35"/>
        <v>0</v>
      </c>
      <c r="S38" s="208">
        <f t="shared" si="36"/>
        <v>4102</v>
      </c>
      <c r="T38" s="208">
        <f t="shared" si="37"/>
        <v>4288</v>
      </c>
    </row>
    <row r="39" spans="2:20">
      <c r="C39" s="292">
        <v>550</v>
      </c>
      <c r="D39" s="292" t="s">
        <v>152</v>
      </c>
      <c r="E39" s="208">
        <f>'[4]E-PLN-1'!N41</f>
        <v>0</v>
      </c>
      <c r="F39" s="208"/>
      <c r="G39" s="208">
        <f>F39+E39</f>
        <v>0</v>
      </c>
      <c r="H39" s="301">
        <f>ROUND(IF($B39="a",G39*H$5,G39*H$6),0)</f>
        <v>0</v>
      </c>
      <c r="I39" s="208">
        <f>G39+H39</f>
        <v>0</v>
      </c>
      <c r="J39" s="301">
        <f>ROUND(IF($B39="a",I39*J$5,I39*J$6),0)</f>
        <v>0</v>
      </c>
      <c r="K39" s="208">
        <f>I39+J39</f>
        <v>0</v>
      </c>
      <c r="L39" s="301">
        <f>ROUND(IF($B39="a",K39*L$5,K39*L$6),0)</f>
        <v>0</v>
      </c>
      <c r="M39" s="208">
        <f t="shared" si="32"/>
        <v>0</v>
      </c>
      <c r="N39" s="208">
        <f t="shared" si="33"/>
        <v>0</v>
      </c>
      <c r="O39" s="208"/>
      <c r="P39" s="208">
        <f>M39+O39</f>
        <v>0</v>
      </c>
      <c r="Q39" s="294"/>
      <c r="R39" s="208">
        <f t="shared" si="35"/>
        <v>0</v>
      </c>
      <c r="S39" s="208">
        <f t="shared" si="36"/>
        <v>0</v>
      </c>
      <c r="T39" s="208">
        <f t="shared" si="37"/>
        <v>0</v>
      </c>
    </row>
    <row r="40" spans="2:20">
      <c r="B40" s="45" t="s">
        <v>61</v>
      </c>
      <c r="C40" s="292">
        <v>551</v>
      </c>
      <c r="D40" s="292" t="s">
        <v>132</v>
      </c>
      <c r="E40" s="208">
        <f>'[4]E-PLN-1'!N42</f>
        <v>114204.29</v>
      </c>
      <c r="F40" s="208"/>
      <c r="G40" s="208">
        <f t="shared" si="26"/>
        <v>114204.29</v>
      </c>
      <c r="H40" s="293">
        <f t="shared" si="27"/>
        <v>518</v>
      </c>
      <c r="I40" s="208">
        <f t="shared" si="28"/>
        <v>114722.29</v>
      </c>
      <c r="J40" s="293">
        <f t="shared" si="29"/>
        <v>3442</v>
      </c>
      <c r="K40" s="208">
        <f t="shared" si="30"/>
        <v>118164.29</v>
      </c>
      <c r="L40" s="293">
        <f t="shared" si="31"/>
        <v>484</v>
      </c>
      <c r="M40" s="208">
        <f t="shared" si="32"/>
        <v>118648.29</v>
      </c>
      <c r="N40" s="208">
        <f t="shared" si="33"/>
        <v>4444</v>
      </c>
      <c r="O40" s="208"/>
      <c r="P40" s="208">
        <f t="shared" si="34"/>
        <v>118648.29</v>
      </c>
      <c r="Q40" s="294"/>
      <c r="R40" s="208">
        <f t="shared" si="35"/>
        <v>0</v>
      </c>
      <c r="S40" s="208">
        <f t="shared" si="36"/>
        <v>4900</v>
      </c>
      <c r="T40" s="208">
        <f t="shared" si="37"/>
        <v>5122</v>
      </c>
    </row>
    <row r="41" spans="2:20">
      <c r="C41" s="292">
        <v>552</v>
      </c>
      <c r="D41" s="292" t="s">
        <v>137</v>
      </c>
      <c r="E41" s="208">
        <f>'[4]E-PLN-1'!N43</f>
        <v>2861.66</v>
      </c>
      <c r="F41" s="208"/>
      <c r="G41" s="208">
        <f t="shared" si="26"/>
        <v>2861.66</v>
      </c>
      <c r="H41" s="301">
        <f t="shared" si="27"/>
        <v>20</v>
      </c>
      <c r="I41" s="208">
        <f t="shared" si="28"/>
        <v>2881.66</v>
      </c>
      <c r="J41" s="301">
        <f t="shared" si="29"/>
        <v>86</v>
      </c>
      <c r="K41" s="208">
        <f t="shared" si="30"/>
        <v>2967.66</v>
      </c>
      <c r="L41" s="301">
        <f t="shared" si="31"/>
        <v>21</v>
      </c>
      <c r="M41" s="208">
        <f t="shared" si="32"/>
        <v>2988.66</v>
      </c>
      <c r="N41" s="208">
        <f t="shared" si="33"/>
        <v>127</v>
      </c>
      <c r="O41" s="208"/>
      <c r="P41" s="208">
        <f t="shared" si="34"/>
        <v>2988.66</v>
      </c>
      <c r="Q41" s="294"/>
      <c r="R41" s="208">
        <f t="shared" si="35"/>
        <v>0</v>
      </c>
      <c r="S41" s="208">
        <f t="shared" si="36"/>
        <v>123</v>
      </c>
      <c r="T41" s="208">
        <f t="shared" si="37"/>
        <v>128</v>
      </c>
    </row>
    <row r="42" spans="2:20">
      <c r="C42" s="292">
        <v>553</v>
      </c>
      <c r="D42" s="292" t="s">
        <v>153</v>
      </c>
      <c r="E42" s="208">
        <f>'[4]E-PLN-1'!N44</f>
        <v>160670.28</v>
      </c>
      <c r="F42" s="208"/>
      <c r="G42" s="208">
        <f t="shared" si="26"/>
        <v>160670.28</v>
      </c>
      <c r="H42" s="301">
        <f t="shared" si="27"/>
        <v>1123</v>
      </c>
      <c r="I42" s="208">
        <f t="shared" si="28"/>
        <v>161793.28</v>
      </c>
      <c r="J42" s="301">
        <f t="shared" si="29"/>
        <v>4854</v>
      </c>
      <c r="K42" s="208">
        <f t="shared" si="30"/>
        <v>166647.28</v>
      </c>
      <c r="L42" s="301">
        <f t="shared" si="31"/>
        <v>1180</v>
      </c>
      <c r="M42" s="208">
        <f t="shared" si="32"/>
        <v>167827.28</v>
      </c>
      <c r="N42" s="208">
        <f t="shared" si="33"/>
        <v>7157</v>
      </c>
      <c r="O42" s="208"/>
      <c r="P42" s="208">
        <f t="shared" si="34"/>
        <v>167827.28</v>
      </c>
      <c r="Q42" s="294"/>
      <c r="R42" s="208">
        <f t="shared" si="35"/>
        <v>0</v>
      </c>
      <c r="S42" s="208">
        <f t="shared" si="36"/>
        <v>6894</v>
      </c>
      <c r="T42" s="208">
        <f t="shared" si="37"/>
        <v>7206</v>
      </c>
    </row>
    <row r="43" spans="2:20">
      <c r="C43" s="292">
        <v>554</v>
      </c>
      <c r="D43" s="292" t="s">
        <v>154</v>
      </c>
      <c r="E43" s="208">
        <f>'[4]E-PLN-1'!N45</f>
        <v>21159.63</v>
      </c>
      <c r="F43" s="208"/>
      <c r="G43" s="208">
        <f t="shared" si="26"/>
        <v>21159.63</v>
      </c>
      <c r="H43" s="301">
        <f t="shared" si="27"/>
        <v>148</v>
      </c>
      <c r="I43" s="208">
        <f t="shared" si="28"/>
        <v>21307.63</v>
      </c>
      <c r="J43" s="301">
        <f t="shared" si="29"/>
        <v>639</v>
      </c>
      <c r="K43" s="208">
        <f t="shared" si="30"/>
        <v>21946.63</v>
      </c>
      <c r="L43" s="301">
        <f t="shared" si="31"/>
        <v>155</v>
      </c>
      <c r="M43" s="208">
        <f t="shared" si="32"/>
        <v>22101.63</v>
      </c>
      <c r="N43" s="208">
        <f t="shared" si="33"/>
        <v>942</v>
      </c>
      <c r="O43" s="208"/>
      <c r="P43" s="208">
        <f t="shared" si="34"/>
        <v>22101.63</v>
      </c>
      <c r="Q43" s="294"/>
      <c r="R43" s="208">
        <f t="shared" si="35"/>
        <v>0</v>
      </c>
      <c r="S43" s="208">
        <f t="shared" si="36"/>
        <v>908</v>
      </c>
      <c r="T43" s="208">
        <f t="shared" si="37"/>
        <v>949</v>
      </c>
    </row>
    <row r="44" spans="2:20">
      <c r="C44" s="157" t="s">
        <v>155</v>
      </c>
      <c r="D44" s="157"/>
      <c r="E44" s="312">
        <f>SUM(E35:E43)</f>
        <v>610713.92000000004</v>
      </c>
      <c r="F44" s="312">
        <f t="shared" ref="F44:S44" si="38">SUM(F35:F43)</f>
        <v>0</v>
      </c>
      <c r="G44" s="312">
        <f t="shared" si="38"/>
        <v>610713.92000000004</v>
      </c>
      <c r="H44" s="312">
        <f t="shared" si="38"/>
        <v>3746</v>
      </c>
      <c r="I44" s="312">
        <f t="shared" si="38"/>
        <v>614459.92000000004</v>
      </c>
      <c r="J44" s="312">
        <f t="shared" si="38"/>
        <v>18434</v>
      </c>
      <c r="K44" s="312">
        <f t="shared" si="38"/>
        <v>632893.92000000004</v>
      </c>
      <c r="L44" s="312">
        <f>SUM(L35:L43)</f>
        <v>3823</v>
      </c>
      <c r="M44" s="312">
        <f>SUM(M35:M43)</f>
        <v>636716.92000000004</v>
      </c>
      <c r="N44" s="312">
        <f t="shared" si="38"/>
        <v>26003</v>
      </c>
      <c r="O44" s="312">
        <f t="shared" si="38"/>
        <v>0</v>
      </c>
      <c r="P44" s="312">
        <f>SUM(P35:P43)</f>
        <v>636716.92000000004</v>
      </c>
      <c r="Q44" s="294"/>
      <c r="R44" s="312">
        <f t="shared" si="38"/>
        <v>0</v>
      </c>
      <c r="S44" s="312">
        <f t="shared" si="38"/>
        <v>26205</v>
      </c>
      <c r="T44" s="312">
        <f>SUM(T35:T43)</f>
        <v>27391</v>
      </c>
    </row>
    <row r="45" spans="2:20">
      <c r="C45" s="157"/>
      <c r="D45" s="157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94"/>
      <c r="R45" s="208"/>
      <c r="S45" s="208"/>
      <c r="T45" s="208"/>
    </row>
    <row r="46" spans="2:20">
      <c r="C46" s="157" t="s">
        <v>156</v>
      </c>
      <c r="D46" s="157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94"/>
      <c r="R46" s="208"/>
      <c r="S46" s="208"/>
      <c r="T46" s="208"/>
    </row>
    <row r="47" spans="2:20" ht="13.5" thickBot="1">
      <c r="B47" s="45" t="s">
        <v>61</v>
      </c>
      <c r="C47" s="292">
        <v>556</v>
      </c>
      <c r="D47" s="292" t="s">
        <v>157</v>
      </c>
      <c r="E47" s="208">
        <f>'[4]E-PLN-1'!N49</f>
        <v>178309.47</v>
      </c>
      <c r="F47" s="208"/>
      <c r="G47" s="208">
        <f>F47+E47</f>
        <v>178309.47</v>
      </c>
      <c r="H47" s="293">
        <f>ROUND(IF($B47="a",G47*H$5,G47*H$6),0)</f>
        <v>810</v>
      </c>
      <c r="I47" s="208">
        <f>G47+H47</f>
        <v>179119.47</v>
      </c>
      <c r="J47" s="293">
        <f>ROUND(IF($B47="a",I47*J$5,I47*J$6),0)</f>
        <v>5374</v>
      </c>
      <c r="K47" s="208">
        <f>I47+J47</f>
        <v>184493.47</v>
      </c>
      <c r="L47" s="293">
        <f>ROUND(IF($B47="a",K47*L$5,K47*L$6),0)</f>
        <v>756</v>
      </c>
      <c r="M47" s="208">
        <f>K47+L47</f>
        <v>185249.47</v>
      </c>
      <c r="N47" s="208">
        <f>H47+J47+L47</f>
        <v>6940</v>
      </c>
      <c r="O47" s="208"/>
      <c r="P47" s="208">
        <f>M47+O47</f>
        <v>185249.47</v>
      </c>
      <c r="Q47" s="294"/>
      <c r="R47" s="208">
        <f>O47+F47</f>
        <v>0</v>
      </c>
      <c r="S47" s="208">
        <f>ROUND($S$130*E47/E$127,0)</f>
        <v>7651</v>
      </c>
      <c r="T47" s="208">
        <f>ROUND($T$130*E47/E$127,0)</f>
        <v>7998</v>
      </c>
    </row>
    <row r="48" spans="2:20" ht="13.5" thickBot="1">
      <c r="B48" s="45" t="s">
        <v>61</v>
      </c>
      <c r="C48" s="292">
        <v>557</v>
      </c>
      <c r="D48" s="292" t="s">
        <v>158</v>
      </c>
      <c r="E48" s="208">
        <f>'[4]E-PLN-1'!N50</f>
        <v>2160303.8199999998</v>
      </c>
      <c r="F48" s="208">
        <f>-'[4]PLE-2'!F16</f>
        <v>-111600</v>
      </c>
      <c r="G48" s="208">
        <f>F48+E48</f>
        <v>2048703.8199999998</v>
      </c>
      <c r="H48" s="293">
        <f>ROUND(IF($B48="a",G48*H$5,G48*H$6),0)</f>
        <v>9301</v>
      </c>
      <c r="I48" s="208">
        <f>G48+H48</f>
        <v>2058004.8199999998</v>
      </c>
      <c r="J48" s="293">
        <f>ROUND(IF($B48="a",I48*J$5,I48*J$6),0)</f>
        <v>61740</v>
      </c>
      <c r="K48" s="208">
        <f>I48+J48</f>
        <v>2119744.8199999998</v>
      </c>
      <c r="L48" s="293">
        <f>ROUND(IF($B48="a",K48*L$5,K48*L$6),0)</f>
        <v>8691</v>
      </c>
      <c r="M48" s="208">
        <f>K48+L48</f>
        <v>2128435.8199999998</v>
      </c>
      <c r="N48" s="208">
        <f>H48+J48+L48</f>
        <v>79732</v>
      </c>
      <c r="O48" s="208">
        <f>'PLE-4'!G36</f>
        <v>64155</v>
      </c>
      <c r="P48" s="208">
        <f>M48+O48</f>
        <v>2192590.8199999998</v>
      </c>
      <c r="Q48" s="294"/>
      <c r="R48" s="303">
        <f>O48+F48</f>
        <v>-47445</v>
      </c>
      <c r="S48" s="208">
        <f>ROUND($S$130*E48/E$127,0)</f>
        <v>92698</v>
      </c>
      <c r="T48" s="208">
        <f>ROUND($T$130*E48/E$127,0)</f>
        <v>96895</v>
      </c>
    </row>
    <row r="49" spans="2:20">
      <c r="C49" s="157" t="s">
        <v>159</v>
      </c>
      <c r="D49" s="157"/>
      <c r="E49" s="312">
        <f>SUM(E47:E48)</f>
        <v>2338613.29</v>
      </c>
      <c r="F49" s="312">
        <f t="shared" ref="F49:S49" si="39">SUM(F47:F48)</f>
        <v>-111600</v>
      </c>
      <c r="G49" s="312">
        <f t="shared" si="39"/>
        <v>2227013.29</v>
      </c>
      <c r="H49" s="312">
        <f t="shared" si="39"/>
        <v>10111</v>
      </c>
      <c r="I49" s="312">
        <f t="shared" si="39"/>
        <v>2237124.29</v>
      </c>
      <c r="J49" s="312">
        <f t="shared" si="39"/>
        <v>67114</v>
      </c>
      <c r="K49" s="312">
        <f t="shared" si="39"/>
        <v>2304238.29</v>
      </c>
      <c r="L49" s="312">
        <f>SUM(L47:L48)</f>
        <v>9447</v>
      </c>
      <c r="M49" s="312">
        <f>SUM(M47:M48)</f>
        <v>2313685.29</v>
      </c>
      <c r="N49" s="312">
        <f t="shared" si="39"/>
        <v>86672</v>
      </c>
      <c r="O49" s="312">
        <f t="shared" si="39"/>
        <v>64155</v>
      </c>
      <c r="P49" s="312">
        <f>SUM(P47:P48)</f>
        <v>2377840.29</v>
      </c>
      <c r="Q49" s="294"/>
      <c r="R49" s="313">
        <f t="shared" si="39"/>
        <v>-47445</v>
      </c>
      <c r="S49" s="312">
        <f t="shared" si="39"/>
        <v>100349</v>
      </c>
      <c r="T49" s="312">
        <f>SUM(T47:T48)</f>
        <v>104893</v>
      </c>
    </row>
    <row r="50" spans="2:20">
      <c r="C50" s="157"/>
      <c r="D50" s="157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94"/>
      <c r="R50" s="208"/>
      <c r="S50" s="208"/>
      <c r="T50" s="208"/>
    </row>
    <row r="51" spans="2:20">
      <c r="C51" s="157" t="s">
        <v>73</v>
      </c>
      <c r="D51" s="157"/>
      <c r="E51" s="312">
        <f>E19+E32+E44+E49</f>
        <v>9983256.629999999</v>
      </c>
      <c r="F51" s="312">
        <f t="shared" ref="F51:T51" si="40">F19+F32+F44+F49</f>
        <v>-111600</v>
      </c>
      <c r="G51" s="312">
        <f t="shared" si="40"/>
        <v>9871656.629999999</v>
      </c>
      <c r="H51" s="312">
        <f t="shared" si="40"/>
        <v>59654</v>
      </c>
      <c r="I51" s="312">
        <f t="shared" si="40"/>
        <v>9931310.629999999</v>
      </c>
      <c r="J51" s="312">
        <f t="shared" si="40"/>
        <v>297939</v>
      </c>
      <c r="K51" s="312">
        <f t="shared" si="40"/>
        <v>10229249.629999999</v>
      </c>
      <c r="L51" s="312">
        <f t="shared" si="40"/>
        <v>60656</v>
      </c>
      <c r="M51" s="312">
        <f t="shared" si="40"/>
        <v>10289905.629999999</v>
      </c>
      <c r="N51" s="312">
        <f t="shared" si="40"/>
        <v>418249</v>
      </c>
      <c r="O51" s="312">
        <f t="shared" si="40"/>
        <v>64155</v>
      </c>
      <c r="P51" s="312">
        <f t="shared" si="40"/>
        <v>10354060.629999999</v>
      </c>
      <c r="Q51" s="312">
        <f t="shared" si="40"/>
        <v>0</v>
      </c>
      <c r="R51" s="312">
        <f t="shared" si="40"/>
        <v>-47445</v>
      </c>
      <c r="S51" s="312">
        <f t="shared" si="40"/>
        <v>428377</v>
      </c>
      <c r="T51" s="312">
        <f t="shared" si="40"/>
        <v>447775</v>
      </c>
    </row>
    <row r="52" spans="2:20">
      <c r="C52" s="157"/>
      <c r="D52" s="157" t="str">
        <f>D28</f>
        <v>2011 to 2013</v>
      </c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94"/>
      <c r="R52" s="208"/>
      <c r="S52" s="208"/>
      <c r="T52" s="208"/>
    </row>
    <row r="53" spans="2:20">
      <c r="C53" s="157" t="s">
        <v>160</v>
      </c>
      <c r="D53" s="157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94"/>
      <c r="R53" s="208"/>
      <c r="S53" s="208"/>
      <c r="T53" s="208"/>
    </row>
    <row r="54" spans="2:20">
      <c r="B54" s="45" t="s">
        <v>61</v>
      </c>
      <c r="C54" s="292">
        <v>560</v>
      </c>
      <c r="D54" s="292" t="s">
        <v>132</v>
      </c>
      <c r="E54" s="208">
        <f>'[4]E-PLN-1'!N56</f>
        <v>613931.81999999995</v>
      </c>
      <c r="F54" s="208"/>
      <c r="G54" s="208">
        <f t="shared" ref="G54:G66" si="41">F54+E54</f>
        <v>613931.81999999995</v>
      </c>
      <c r="H54" s="293">
        <f t="shared" ref="H54:H66" si="42">ROUND(IF($B54="a",G54*H$5,G54*H$6),0)</f>
        <v>2787</v>
      </c>
      <c r="I54" s="208">
        <f t="shared" ref="I54:I66" si="43">G54+H54</f>
        <v>616718.81999999995</v>
      </c>
      <c r="J54" s="293">
        <f t="shared" ref="J54:J66" si="44">ROUND(IF($B54="a",I54*J$5,I54*J$6),0)</f>
        <v>18502</v>
      </c>
      <c r="K54" s="208">
        <f t="shared" ref="K54:K66" si="45">I54+J54</f>
        <v>635220.81999999995</v>
      </c>
      <c r="L54" s="293">
        <f t="shared" ref="L54:L66" si="46">ROUND(IF($B54="a",K54*L$5,K54*L$6),0)</f>
        <v>2604</v>
      </c>
      <c r="M54" s="208">
        <f t="shared" ref="M54:M66" si="47">K54+L54</f>
        <v>637824.81999999995</v>
      </c>
      <c r="N54" s="208">
        <f t="shared" ref="N54:N66" si="48">H54+J54+L54</f>
        <v>23893</v>
      </c>
      <c r="O54" s="208"/>
      <c r="P54" s="208">
        <f t="shared" ref="P54:P66" si="49">M54+O54</f>
        <v>637824.81999999995</v>
      </c>
      <c r="Q54" s="294"/>
      <c r="R54" s="208">
        <f t="shared" ref="R54:R66" si="50">O54+F54</f>
        <v>0</v>
      </c>
      <c r="S54" s="208">
        <f t="shared" ref="S54:S66" si="51">ROUND($S$130*E54/E$127,0)</f>
        <v>26344</v>
      </c>
      <c r="T54" s="208">
        <f t="shared" ref="T54:T66" si="52">ROUND($T$130*E54/E$127,0)</f>
        <v>27536</v>
      </c>
    </row>
    <row r="55" spans="2:20">
      <c r="B55" s="45" t="s">
        <v>61</v>
      </c>
      <c r="C55" s="292">
        <v>561</v>
      </c>
      <c r="D55" s="292" t="s">
        <v>161</v>
      </c>
      <c r="E55" s="208">
        <f>'[4]E-PLN-1'!N57</f>
        <v>877639.49</v>
      </c>
      <c r="F55" s="208"/>
      <c r="G55" s="208">
        <f t="shared" si="41"/>
        <v>877639.49</v>
      </c>
      <c r="H55" s="293">
        <f t="shared" si="42"/>
        <v>3984</v>
      </c>
      <c r="I55" s="208">
        <f t="shared" si="43"/>
        <v>881623.49</v>
      </c>
      <c r="J55" s="293">
        <f t="shared" si="44"/>
        <v>26449</v>
      </c>
      <c r="K55" s="208">
        <f t="shared" si="45"/>
        <v>908072.49</v>
      </c>
      <c r="L55" s="293">
        <f t="shared" si="46"/>
        <v>3723</v>
      </c>
      <c r="M55" s="208">
        <f t="shared" si="47"/>
        <v>911795.49</v>
      </c>
      <c r="N55" s="208">
        <f t="shared" si="48"/>
        <v>34156</v>
      </c>
      <c r="O55" s="208"/>
      <c r="P55" s="208">
        <f t="shared" si="49"/>
        <v>911795.49</v>
      </c>
      <c r="Q55" s="294"/>
      <c r="R55" s="208">
        <f t="shared" si="50"/>
        <v>0</v>
      </c>
      <c r="S55" s="208">
        <f t="shared" si="51"/>
        <v>37659</v>
      </c>
      <c r="T55" s="208">
        <f t="shared" si="52"/>
        <v>39364</v>
      </c>
    </row>
    <row r="56" spans="2:20">
      <c r="C56" s="292">
        <v>562</v>
      </c>
      <c r="D56" s="292" t="s">
        <v>162</v>
      </c>
      <c r="E56" s="208">
        <f>'[4]E-PLN-1'!N58</f>
        <v>83527.98</v>
      </c>
      <c r="F56" s="208"/>
      <c r="G56" s="208">
        <f t="shared" si="41"/>
        <v>83527.98</v>
      </c>
      <c r="H56" s="301">
        <f t="shared" si="42"/>
        <v>584</v>
      </c>
      <c r="I56" s="208">
        <f t="shared" si="43"/>
        <v>84111.98</v>
      </c>
      <c r="J56" s="301">
        <f t="shared" si="44"/>
        <v>2523</v>
      </c>
      <c r="K56" s="208">
        <f t="shared" si="45"/>
        <v>86634.98</v>
      </c>
      <c r="L56" s="301">
        <f t="shared" si="46"/>
        <v>613</v>
      </c>
      <c r="M56" s="208">
        <f t="shared" si="47"/>
        <v>87247.98</v>
      </c>
      <c r="N56" s="208">
        <f t="shared" si="48"/>
        <v>3720</v>
      </c>
      <c r="O56" s="208"/>
      <c r="P56" s="208">
        <f t="shared" si="49"/>
        <v>87247.98</v>
      </c>
      <c r="Q56" s="294"/>
      <c r="R56" s="208">
        <f t="shared" si="50"/>
        <v>0</v>
      </c>
      <c r="S56" s="208">
        <f t="shared" si="51"/>
        <v>3584</v>
      </c>
      <c r="T56" s="208">
        <f t="shared" si="52"/>
        <v>3746</v>
      </c>
    </row>
    <row r="57" spans="2:20">
      <c r="C57" s="292">
        <v>563</v>
      </c>
      <c r="D57" s="292" t="s">
        <v>163</v>
      </c>
      <c r="E57" s="208">
        <f>'[4]E-PLN-1'!N59</f>
        <v>31648.59</v>
      </c>
      <c r="F57" s="208"/>
      <c r="G57" s="208">
        <f t="shared" si="41"/>
        <v>31648.59</v>
      </c>
      <c r="H57" s="301">
        <f t="shared" si="42"/>
        <v>221</v>
      </c>
      <c r="I57" s="208">
        <f t="shared" si="43"/>
        <v>31869.59</v>
      </c>
      <c r="J57" s="301">
        <f t="shared" si="44"/>
        <v>956</v>
      </c>
      <c r="K57" s="208">
        <f t="shared" si="45"/>
        <v>32825.589999999997</v>
      </c>
      <c r="L57" s="301">
        <f t="shared" si="46"/>
        <v>232</v>
      </c>
      <c r="M57" s="208">
        <f t="shared" si="47"/>
        <v>33057.589999999997</v>
      </c>
      <c r="N57" s="208">
        <f t="shared" si="48"/>
        <v>1409</v>
      </c>
      <c r="O57" s="208"/>
      <c r="P57" s="208">
        <f t="shared" si="49"/>
        <v>33057.589999999997</v>
      </c>
      <c r="Q57" s="294"/>
      <c r="R57" s="208">
        <f t="shared" si="50"/>
        <v>0</v>
      </c>
      <c r="S57" s="208">
        <f t="shared" si="51"/>
        <v>1358</v>
      </c>
      <c r="T57" s="208">
        <f t="shared" si="52"/>
        <v>1420</v>
      </c>
    </row>
    <row r="58" spans="2:20">
      <c r="C58" s="292">
        <v>564</v>
      </c>
      <c r="D58" s="292" t="s">
        <v>164</v>
      </c>
      <c r="E58" s="208">
        <f>'[4]E-PLN-1'!N60</f>
        <v>0</v>
      </c>
      <c r="F58" s="208"/>
      <c r="G58" s="208">
        <f t="shared" si="41"/>
        <v>0</v>
      </c>
      <c r="H58" s="301">
        <f t="shared" si="42"/>
        <v>0</v>
      </c>
      <c r="I58" s="208">
        <f t="shared" si="43"/>
        <v>0</v>
      </c>
      <c r="J58" s="301">
        <f t="shared" si="44"/>
        <v>0</v>
      </c>
      <c r="K58" s="208">
        <f t="shared" si="45"/>
        <v>0</v>
      </c>
      <c r="L58" s="301">
        <f t="shared" si="46"/>
        <v>0</v>
      </c>
      <c r="M58" s="208">
        <f t="shared" si="47"/>
        <v>0</v>
      </c>
      <c r="N58" s="208">
        <f t="shared" si="48"/>
        <v>0</v>
      </c>
      <c r="O58" s="208"/>
      <c r="P58" s="208">
        <f t="shared" si="49"/>
        <v>0</v>
      </c>
      <c r="Q58" s="294"/>
      <c r="R58" s="208">
        <f t="shared" si="50"/>
        <v>0</v>
      </c>
      <c r="S58" s="208">
        <f t="shared" si="51"/>
        <v>0</v>
      </c>
      <c r="T58" s="208">
        <f t="shared" si="52"/>
        <v>0</v>
      </c>
    </row>
    <row r="59" spans="2:20">
      <c r="C59" s="292">
        <v>566</v>
      </c>
      <c r="D59" s="292" t="s">
        <v>165</v>
      </c>
      <c r="E59" s="208">
        <f>'[4]E-PLN-1'!N61</f>
        <v>303994.55</v>
      </c>
      <c r="F59" s="208"/>
      <c r="G59" s="208">
        <f t="shared" si="41"/>
        <v>303994.55</v>
      </c>
      <c r="H59" s="301">
        <f t="shared" si="42"/>
        <v>2125</v>
      </c>
      <c r="I59" s="208">
        <f t="shared" si="43"/>
        <v>306119.55</v>
      </c>
      <c r="J59" s="301">
        <f t="shared" si="44"/>
        <v>9184</v>
      </c>
      <c r="K59" s="208">
        <f t="shared" si="45"/>
        <v>315303.55</v>
      </c>
      <c r="L59" s="301">
        <f t="shared" si="46"/>
        <v>2232</v>
      </c>
      <c r="M59" s="208">
        <f t="shared" si="47"/>
        <v>317535.55</v>
      </c>
      <c r="N59" s="208">
        <f t="shared" si="48"/>
        <v>13541</v>
      </c>
      <c r="O59" s="208"/>
      <c r="P59" s="208">
        <f t="shared" si="49"/>
        <v>317535.55</v>
      </c>
      <c r="Q59" s="294"/>
      <c r="R59" s="208">
        <f t="shared" si="50"/>
        <v>0</v>
      </c>
      <c r="S59" s="208">
        <f t="shared" si="51"/>
        <v>13044</v>
      </c>
      <c r="T59" s="208">
        <f t="shared" si="52"/>
        <v>13635</v>
      </c>
    </row>
    <row r="60" spans="2:20">
      <c r="B60" s="48"/>
      <c r="C60" s="292">
        <v>567</v>
      </c>
      <c r="D60" s="292"/>
      <c r="E60" s="208">
        <f>'[4]E-PLN-1'!N62</f>
        <v>400.52</v>
      </c>
      <c r="F60" s="208"/>
      <c r="G60" s="208">
        <f t="shared" si="41"/>
        <v>400.52</v>
      </c>
      <c r="H60" s="301">
        <f t="shared" si="42"/>
        <v>3</v>
      </c>
      <c r="I60" s="208">
        <f t="shared" si="43"/>
        <v>403.52</v>
      </c>
      <c r="J60" s="301">
        <f t="shared" si="44"/>
        <v>12</v>
      </c>
      <c r="K60" s="208">
        <f t="shared" si="45"/>
        <v>415.52</v>
      </c>
      <c r="L60" s="301">
        <f t="shared" si="46"/>
        <v>3</v>
      </c>
      <c r="M60" s="208">
        <f t="shared" si="47"/>
        <v>418.52</v>
      </c>
      <c r="N60" s="208">
        <f t="shared" si="48"/>
        <v>18</v>
      </c>
      <c r="O60" s="208"/>
      <c r="P60" s="208">
        <f t="shared" si="49"/>
        <v>418.52</v>
      </c>
      <c r="Q60" s="294"/>
      <c r="R60" s="208">
        <f t="shared" si="50"/>
        <v>0</v>
      </c>
      <c r="S60" s="208">
        <f t="shared" si="51"/>
        <v>17</v>
      </c>
      <c r="T60" s="208">
        <f t="shared" si="52"/>
        <v>18</v>
      </c>
    </row>
    <row r="61" spans="2:20">
      <c r="B61" s="45" t="s">
        <v>61</v>
      </c>
      <c r="C61" s="292">
        <v>568</v>
      </c>
      <c r="D61" s="292" t="s">
        <v>132</v>
      </c>
      <c r="E61" s="208">
        <f>'[4]E-PLN-1'!N63</f>
        <v>297533.64</v>
      </c>
      <c r="F61" s="208"/>
      <c r="G61" s="208">
        <f t="shared" si="41"/>
        <v>297533.64</v>
      </c>
      <c r="H61" s="293">
        <f t="shared" si="42"/>
        <v>1351</v>
      </c>
      <c r="I61" s="208">
        <f t="shared" si="43"/>
        <v>298884.64</v>
      </c>
      <c r="J61" s="293">
        <f t="shared" si="44"/>
        <v>8967</v>
      </c>
      <c r="K61" s="208">
        <f t="shared" si="45"/>
        <v>307851.64</v>
      </c>
      <c r="L61" s="293">
        <f t="shared" si="46"/>
        <v>1262</v>
      </c>
      <c r="M61" s="208">
        <f t="shared" si="47"/>
        <v>309113.64</v>
      </c>
      <c r="N61" s="208">
        <f t="shared" si="48"/>
        <v>11580</v>
      </c>
      <c r="O61" s="208"/>
      <c r="P61" s="208">
        <f t="shared" si="49"/>
        <v>309113.64</v>
      </c>
      <c r="Q61" s="294"/>
      <c r="R61" s="208">
        <f t="shared" si="50"/>
        <v>0</v>
      </c>
      <c r="S61" s="208">
        <f t="shared" si="51"/>
        <v>12767</v>
      </c>
      <c r="T61" s="208">
        <f t="shared" si="52"/>
        <v>13345</v>
      </c>
    </row>
    <row r="62" spans="2:20">
      <c r="C62" s="292">
        <v>569</v>
      </c>
      <c r="D62" s="292" t="s">
        <v>137</v>
      </c>
      <c r="E62" s="208">
        <f>'[4]E-PLN-1'!N64</f>
        <v>125225.07</v>
      </c>
      <c r="F62" s="208"/>
      <c r="G62" s="208">
        <f t="shared" si="41"/>
        <v>125225.07</v>
      </c>
      <c r="H62" s="301">
        <f t="shared" si="42"/>
        <v>875</v>
      </c>
      <c r="I62" s="208">
        <f t="shared" si="43"/>
        <v>126100.07</v>
      </c>
      <c r="J62" s="301">
        <f t="shared" si="44"/>
        <v>3783</v>
      </c>
      <c r="K62" s="208">
        <f t="shared" si="45"/>
        <v>129883.07</v>
      </c>
      <c r="L62" s="301">
        <f t="shared" si="46"/>
        <v>920</v>
      </c>
      <c r="M62" s="208">
        <f t="shared" si="47"/>
        <v>130803.07</v>
      </c>
      <c r="N62" s="208">
        <f t="shared" si="48"/>
        <v>5578</v>
      </c>
      <c r="O62" s="208"/>
      <c r="P62" s="208">
        <f t="shared" si="49"/>
        <v>130803.07</v>
      </c>
      <c r="Q62" s="294"/>
      <c r="R62" s="208">
        <f t="shared" si="50"/>
        <v>0</v>
      </c>
      <c r="S62" s="208">
        <f t="shared" si="51"/>
        <v>5373</v>
      </c>
      <c r="T62" s="208">
        <f t="shared" si="52"/>
        <v>5617</v>
      </c>
    </row>
    <row r="63" spans="2:20">
      <c r="C63" s="292">
        <v>570</v>
      </c>
      <c r="D63" s="292" t="s">
        <v>166</v>
      </c>
      <c r="E63" s="208">
        <f>'[4]E-PLN-1'!N65</f>
        <v>284683.03000000003</v>
      </c>
      <c r="F63" s="208"/>
      <c r="G63" s="208">
        <f t="shared" si="41"/>
        <v>284683.03000000003</v>
      </c>
      <c r="H63" s="301">
        <f t="shared" si="42"/>
        <v>1990</v>
      </c>
      <c r="I63" s="208">
        <f t="shared" si="43"/>
        <v>286673.03000000003</v>
      </c>
      <c r="J63" s="301">
        <f t="shared" si="44"/>
        <v>8600</v>
      </c>
      <c r="K63" s="208">
        <f t="shared" si="45"/>
        <v>295273.03000000003</v>
      </c>
      <c r="L63" s="301">
        <f t="shared" si="46"/>
        <v>2091</v>
      </c>
      <c r="M63" s="208">
        <f t="shared" si="47"/>
        <v>297364.03000000003</v>
      </c>
      <c r="N63" s="208">
        <f t="shared" si="48"/>
        <v>12681</v>
      </c>
      <c r="O63" s="208"/>
      <c r="P63" s="208">
        <f t="shared" si="49"/>
        <v>297364.03000000003</v>
      </c>
      <c r="Q63" s="294"/>
      <c r="R63" s="208">
        <f t="shared" si="50"/>
        <v>0</v>
      </c>
      <c r="S63" s="208">
        <f t="shared" si="51"/>
        <v>12216</v>
      </c>
      <c r="T63" s="208">
        <f t="shared" si="52"/>
        <v>12769</v>
      </c>
    </row>
    <row r="64" spans="2:20">
      <c r="C64" s="292">
        <v>571</v>
      </c>
      <c r="D64" s="292" t="s">
        <v>167</v>
      </c>
      <c r="E64" s="208">
        <f>'[4]E-PLN-1'!N66</f>
        <v>43204.04</v>
      </c>
      <c r="F64" s="208"/>
      <c r="G64" s="208">
        <f t="shared" si="41"/>
        <v>43204.04</v>
      </c>
      <c r="H64" s="301">
        <f t="shared" si="42"/>
        <v>302</v>
      </c>
      <c r="I64" s="208">
        <f t="shared" si="43"/>
        <v>43506.04</v>
      </c>
      <c r="J64" s="301">
        <f t="shared" si="44"/>
        <v>1305</v>
      </c>
      <c r="K64" s="208">
        <f t="shared" si="45"/>
        <v>44811.040000000001</v>
      </c>
      <c r="L64" s="301">
        <f t="shared" si="46"/>
        <v>317</v>
      </c>
      <c r="M64" s="208">
        <f t="shared" si="47"/>
        <v>45128.04</v>
      </c>
      <c r="N64" s="208">
        <f t="shared" si="48"/>
        <v>1924</v>
      </c>
      <c r="O64" s="208"/>
      <c r="P64" s="208">
        <f t="shared" si="49"/>
        <v>45128.04</v>
      </c>
      <c r="Q64" s="294"/>
      <c r="R64" s="208">
        <f t="shared" si="50"/>
        <v>0</v>
      </c>
      <c r="S64" s="208">
        <f t="shared" si="51"/>
        <v>1854</v>
      </c>
      <c r="T64" s="208">
        <f t="shared" si="52"/>
        <v>1938</v>
      </c>
    </row>
    <row r="65" spans="2:20">
      <c r="C65" s="292">
        <v>572</v>
      </c>
      <c r="D65" s="292" t="s">
        <v>168</v>
      </c>
      <c r="E65" s="208">
        <f>'[4]E-PLN-1'!N67</f>
        <v>589.79999999999995</v>
      </c>
      <c r="F65" s="208"/>
      <c r="G65" s="208">
        <f t="shared" si="41"/>
        <v>589.79999999999995</v>
      </c>
      <c r="H65" s="301">
        <f t="shared" si="42"/>
        <v>4</v>
      </c>
      <c r="I65" s="208">
        <f t="shared" si="43"/>
        <v>593.79999999999995</v>
      </c>
      <c r="J65" s="301">
        <f t="shared" si="44"/>
        <v>18</v>
      </c>
      <c r="K65" s="208">
        <f t="shared" si="45"/>
        <v>611.79999999999995</v>
      </c>
      <c r="L65" s="301">
        <f t="shared" si="46"/>
        <v>4</v>
      </c>
      <c r="M65" s="208">
        <f t="shared" si="47"/>
        <v>615.79999999999995</v>
      </c>
      <c r="N65" s="208">
        <f t="shared" si="48"/>
        <v>26</v>
      </c>
      <c r="O65" s="208"/>
      <c r="P65" s="208">
        <f t="shared" si="49"/>
        <v>615.79999999999995</v>
      </c>
      <c r="Q65" s="294"/>
      <c r="R65" s="208">
        <f t="shared" si="50"/>
        <v>0</v>
      </c>
      <c r="S65" s="208">
        <f t="shared" si="51"/>
        <v>25</v>
      </c>
      <c r="T65" s="208">
        <f t="shared" si="52"/>
        <v>26</v>
      </c>
    </row>
    <row r="66" spans="2:20">
      <c r="C66" s="292">
        <v>573</v>
      </c>
      <c r="D66" s="292" t="s">
        <v>169</v>
      </c>
      <c r="E66" s="208">
        <f>'[4]E-PLN-1'!N68</f>
        <v>4354.2700000000004</v>
      </c>
      <c r="F66" s="208"/>
      <c r="G66" s="208">
        <f t="shared" si="41"/>
        <v>4354.2700000000004</v>
      </c>
      <c r="H66" s="301">
        <f t="shared" si="42"/>
        <v>30</v>
      </c>
      <c r="I66" s="208">
        <f t="shared" si="43"/>
        <v>4384.2700000000004</v>
      </c>
      <c r="J66" s="301">
        <f t="shared" si="44"/>
        <v>132</v>
      </c>
      <c r="K66" s="208">
        <f t="shared" si="45"/>
        <v>4516.2700000000004</v>
      </c>
      <c r="L66" s="301">
        <f t="shared" si="46"/>
        <v>32</v>
      </c>
      <c r="M66" s="208">
        <f t="shared" si="47"/>
        <v>4548.2700000000004</v>
      </c>
      <c r="N66" s="208">
        <f t="shared" si="48"/>
        <v>194</v>
      </c>
      <c r="O66" s="208"/>
      <c r="P66" s="208">
        <f t="shared" si="49"/>
        <v>4548.2700000000004</v>
      </c>
      <c r="Q66" s="294"/>
      <c r="R66" s="208">
        <f t="shared" si="50"/>
        <v>0</v>
      </c>
      <c r="S66" s="208">
        <f t="shared" si="51"/>
        <v>187</v>
      </c>
      <c r="T66" s="208">
        <f t="shared" si="52"/>
        <v>195</v>
      </c>
    </row>
    <row r="67" spans="2:20">
      <c r="C67" s="157" t="s">
        <v>170</v>
      </c>
      <c r="D67" s="157"/>
      <c r="E67" s="312">
        <f t="shared" ref="E67:S67" si="53">SUM(E54:E66)</f>
        <v>2666732.8000000003</v>
      </c>
      <c r="F67" s="312">
        <f t="shared" si="53"/>
        <v>0</v>
      </c>
      <c r="G67" s="312">
        <f t="shared" si="53"/>
        <v>2666732.8000000003</v>
      </c>
      <c r="H67" s="312">
        <f t="shared" si="53"/>
        <v>14256</v>
      </c>
      <c r="I67" s="312">
        <f t="shared" si="53"/>
        <v>2680988.8000000003</v>
      </c>
      <c r="J67" s="312">
        <f t="shared" si="53"/>
        <v>80431</v>
      </c>
      <c r="K67" s="312">
        <f t="shared" si="53"/>
        <v>2761419.8000000003</v>
      </c>
      <c r="L67" s="312">
        <f>SUM(L54:L66)</f>
        <v>14033</v>
      </c>
      <c r="M67" s="312">
        <f>SUM(M54:M66)</f>
        <v>2775452.8000000003</v>
      </c>
      <c r="N67" s="312">
        <f t="shared" si="53"/>
        <v>108720</v>
      </c>
      <c r="O67" s="312">
        <f t="shared" si="53"/>
        <v>0</v>
      </c>
      <c r="P67" s="312">
        <f t="shared" si="53"/>
        <v>2775452.8000000003</v>
      </c>
      <c r="Q67" s="294"/>
      <c r="R67" s="312">
        <f t="shared" si="53"/>
        <v>0</v>
      </c>
      <c r="S67" s="312">
        <f t="shared" si="53"/>
        <v>114428</v>
      </c>
      <c r="T67" s="312">
        <f>SUM(T54:T66)</f>
        <v>119609</v>
      </c>
    </row>
    <row r="68" spans="2:20">
      <c r="C68" s="157"/>
      <c r="D68" s="157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94"/>
      <c r="R68" s="208"/>
      <c r="S68" s="208"/>
      <c r="T68" s="208"/>
    </row>
    <row r="69" spans="2:20">
      <c r="C69" s="157" t="s">
        <v>79</v>
      </c>
      <c r="D69" s="157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94"/>
      <c r="R69" s="208"/>
      <c r="S69" s="208"/>
      <c r="T69" s="208"/>
    </row>
    <row r="70" spans="2:20">
      <c r="B70" s="45" t="s">
        <v>61</v>
      </c>
      <c r="C70" s="292">
        <v>580</v>
      </c>
      <c r="D70" s="292" t="s">
        <v>132</v>
      </c>
      <c r="E70" s="208">
        <f>'[4]E-PLN-1'!N72</f>
        <v>779515.58</v>
      </c>
      <c r="F70" s="208"/>
      <c r="G70" s="208">
        <f t="shared" ref="G70:G88" si="54">F70+E70</f>
        <v>779515.58</v>
      </c>
      <c r="H70" s="293">
        <f t="shared" ref="H70:H88" si="55">ROUND(IF($B70="a",G70*H$5,G70*H$6),0)</f>
        <v>3539</v>
      </c>
      <c r="I70" s="208">
        <f t="shared" ref="I70:I88" si="56">G70+H70</f>
        <v>783054.58</v>
      </c>
      <c r="J70" s="293">
        <f t="shared" ref="J70:J88" si="57">ROUND(IF($B70="a",I70*J$5,I70*J$6),0)</f>
        <v>23492</v>
      </c>
      <c r="K70" s="208">
        <f t="shared" ref="K70:K88" si="58">I70+J70</f>
        <v>806546.58</v>
      </c>
      <c r="L70" s="293">
        <f t="shared" ref="L70:L88" si="59">ROUND(IF($B70="a",K70*L$5,K70*L$6),0)</f>
        <v>3307</v>
      </c>
      <c r="M70" s="208">
        <f t="shared" ref="M70:M88" si="60">K70+L70</f>
        <v>809853.58</v>
      </c>
      <c r="N70" s="208">
        <f t="shared" ref="N70:N88" si="61">H70+J70+L70</f>
        <v>30338</v>
      </c>
      <c r="O70" s="208"/>
      <c r="P70" s="208">
        <f t="shared" ref="P70:P88" si="62">M70+O70</f>
        <v>809853.58</v>
      </c>
      <c r="Q70" s="294"/>
      <c r="R70" s="208">
        <f t="shared" ref="R70:R88" si="63">O70+F70</f>
        <v>0</v>
      </c>
      <c r="S70" s="208">
        <f t="shared" ref="S70:S88" si="64">ROUND($S$130*E70/E$127,0)</f>
        <v>33449</v>
      </c>
      <c r="T70" s="208">
        <f t="shared" ref="T70:T88" si="65">ROUND($T$130*E70/E$127,0)</f>
        <v>34963</v>
      </c>
    </row>
    <row r="71" spans="2:20">
      <c r="B71" s="45" t="s">
        <v>61</v>
      </c>
      <c r="C71" s="292">
        <v>581</v>
      </c>
      <c r="D71" s="292" t="s">
        <v>161</v>
      </c>
      <c r="E71" s="208">
        <f>'[4]E-PLN-1'!N73</f>
        <v>0</v>
      </c>
      <c r="F71" s="208"/>
      <c r="G71" s="208">
        <f t="shared" si="54"/>
        <v>0</v>
      </c>
      <c r="H71" s="293">
        <f t="shared" si="55"/>
        <v>0</v>
      </c>
      <c r="I71" s="208">
        <f t="shared" si="56"/>
        <v>0</v>
      </c>
      <c r="J71" s="293">
        <f t="shared" si="57"/>
        <v>0</v>
      </c>
      <c r="K71" s="208">
        <f t="shared" si="58"/>
        <v>0</v>
      </c>
      <c r="L71" s="293">
        <f t="shared" si="59"/>
        <v>0</v>
      </c>
      <c r="M71" s="208">
        <f t="shared" si="60"/>
        <v>0</v>
      </c>
      <c r="N71" s="208">
        <f t="shared" si="61"/>
        <v>0</v>
      </c>
      <c r="O71" s="208"/>
      <c r="P71" s="208">
        <f t="shared" si="62"/>
        <v>0</v>
      </c>
      <c r="Q71" s="294"/>
      <c r="R71" s="208">
        <f t="shared" si="63"/>
        <v>0</v>
      </c>
      <c r="S71" s="208">
        <f t="shared" si="64"/>
        <v>0</v>
      </c>
      <c r="T71" s="208">
        <f t="shared" si="65"/>
        <v>0</v>
      </c>
    </row>
    <row r="72" spans="2:20">
      <c r="C72" s="292">
        <v>582</v>
      </c>
      <c r="D72" s="292" t="s">
        <v>162</v>
      </c>
      <c r="E72" s="208">
        <f>'[4]E-PLN-1'!N74</f>
        <v>185121.7</v>
      </c>
      <c r="F72" s="208"/>
      <c r="G72" s="208">
        <f t="shared" si="54"/>
        <v>185121.7</v>
      </c>
      <c r="H72" s="301">
        <f t="shared" si="55"/>
        <v>1294</v>
      </c>
      <c r="I72" s="208">
        <f t="shared" si="56"/>
        <v>186415.7</v>
      </c>
      <c r="J72" s="301">
        <f t="shared" si="57"/>
        <v>5592</v>
      </c>
      <c r="K72" s="208">
        <f t="shared" si="58"/>
        <v>192007.7</v>
      </c>
      <c r="L72" s="301">
        <f t="shared" si="59"/>
        <v>1359</v>
      </c>
      <c r="M72" s="208">
        <f t="shared" si="60"/>
        <v>193366.7</v>
      </c>
      <c r="N72" s="208">
        <f t="shared" si="61"/>
        <v>8245</v>
      </c>
      <c r="O72" s="208"/>
      <c r="P72" s="208">
        <f t="shared" si="62"/>
        <v>193366.7</v>
      </c>
      <c r="Q72" s="294"/>
      <c r="R72" s="208">
        <f t="shared" si="63"/>
        <v>0</v>
      </c>
      <c r="S72" s="208">
        <f t="shared" si="64"/>
        <v>7944</v>
      </c>
      <c r="T72" s="208">
        <f t="shared" si="65"/>
        <v>8303</v>
      </c>
    </row>
    <row r="73" spans="2:20">
      <c r="C73" s="292">
        <v>583</v>
      </c>
      <c r="D73" s="292" t="s">
        <v>163</v>
      </c>
      <c r="E73" s="208">
        <f>'[4]E-PLN-1'!N75</f>
        <v>1028259.91</v>
      </c>
      <c r="F73" s="208"/>
      <c r="G73" s="208">
        <f t="shared" si="54"/>
        <v>1028259.91</v>
      </c>
      <c r="H73" s="301">
        <f t="shared" si="55"/>
        <v>7188</v>
      </c>
      <c r="I73" s="208">
        <f t="shared" si="56"/>
        <v>1035447.91</v>
      </c>
      <c r="J73" s="301">
        <f t="shared" si="57"/>
        <v>31063</v>
      </c>
      <c r="K73" s="208">
        <f t="shared" si="58"/>
        <v>1066510.9100000001</v>
      </c>
      <c r="L73" s="301">
        <f t="shared" si="59"/>
        <v>7551</v>
      </c>
      <c r="M73" s="208">
        <f t="shared" si="60"/>
        <v>1074061.9100000001</v>
      </c>
      <c r="N73" s="208">
        <f t="shared" si="61"/>
        <v>45802</v>
      </c>
      <c r="O73" s="208"/>
      <c r="P73" s="208">
        <f t="shared" si="62"/>
        <v>1074061.9100000001</v>
      </c>
      <c r="Q73" s="294"/>
      <c r="R73" s="208">
        <f t="shared" si="63"/>
        <v>0</v>
      </c>
      <c r="S73" s="208">
        <f t="shared" si="64"/>
        <v>44122</v>
      </c>
      <c r="T73" s="208">
        <f t="shared" si="65"/>
        <v>46120</v>
      </c>
    </row>
    <row r="74" spans="2:20">
      <c r="C74" s="292">
        <v>584</v>
      </c>
      <c r="D74" s="292" t="str">
        <f>D52</f>
        <v>2011 to 2013</v>
      </c>
      <c r="E74" s="208">
        <f>'[4]E-PLN-1'!N76</f>
        <v>328814.59000000003</v>
      </c>
      <c r="F74" s="208"/>
      <c r="G74" s="208">
        <f t="shared" si="54"/>
        <v>328814.59000000003</v>
      </c>
      <c r="H74" s="301">
        <f t="shared" si="55"/>
        <v>2298</v>
      </c>
      <c r="I74" s="208">
        <f t="shared" si="56"/>
        <v>331112.59000000003</v>
      </c>
      <c r="J74" s="301">
        <f t="shared" si="57"/>
        <v>9933</v>
      </c>
      <c r="K74" s="208">
        <f t="shared" si="58"/>
        <v>341045.59</v>
      </c>
      <c r="L74" s="301">
        <f t="shared" si="59"/>
        <v>2415</v>
      </c>
      <c r="M74" s="208">
        <f t="shared" si="60"/>
        <v>343460.59</v>
      </c>
      <c r="N74" s="208">
        <f t="shared" si="61"/>
        <v>14646</v>
      </c>
      <c r="O74" s="208"/>
      <c r="P74" s="208">
        <f t="shared" si="62"/>
        <v>343460.59</v>
      </c>
      <c r="Q74" s="294"/>
      <c r="R74" s="208">
        <f t="shared" si="63"/>
        <v>0</v>
      </c>
      <c r="S74" s="208">
        <f t="shared" si="64"/>
        <v>14109</v>
      </c>
      <c r="T74" s="208">
        <f t="shared" si="65"/>
        <v>14748</v>
      </c>
    </row>
    <row r="75" spans="2:20">
      <c r="C75" s="292">
        <v>585</v>
      </c>
      <c r="D75" s="292" t="s">
        <v>171</v>
      </c>
      <c r="E75" s="208">
        <f>'[4]E-PLN-1'!N77</f>
        <v>36098.03</v>
      </c>
      <c r="F75" s="208"/>
      <c r="G75" s="208">
        <f t="shared" si="54"/>
        <v>36098.03</v>
      </c>
      <c r="H75" s="301">
        <f t="shared" si="55"/>
        <v>252</v>
      </c>
      <c r="I75" s="208">
        <f t="shared" si="56"/>
        <v>36350.03</v>
      </c>
      <c r="J75" s="301">
        <f t="shared" si="57"/>
        <v>1091</v>
      </c>
      <c r="K75" s="208">
        <f t="shared" si="58"/>
        <v>37441.03</v>
      </c>
      <c r="L75" s="301">
        <f t="shared" si="59"/>
        <v>265</v>
      </c>
      <c r="M75" s="208">
        <f t="shared" si="60"/>
        <v>37706.03</v>
      </c>
      <c r="N75" s="208">
        <f t="shared" si="61"/>
        <v>1608</v>
      </c>
      <c r="O75" s="208"/>
      <c r="P75" s="208">
        <f t="shared" si="62"/>
        <v>37706.03</v>
      </c>
      <c r="Q75" s="294"/>
      <c r="R75" s="208">
        <f t="shared" si="63"/>
        <v>0</v>
      </c>
      <c r="S75" s="208">
        <f t="shared" si="64"/>
        <v>1549</v>
      </c>
      <c r="T75" s="208">
        <f t="shared" si="65"/>
        <v>1619</v>
      </c>
    </row>
    <row r="76" spans="2:20">
      <c r="C76" s="292">
        <v>586</v>
      </c>
      <c r="D76" s="292" t="s">
        <v>172</v>
      </c>
      <c r="E76" s="208">
        <f>'[4]E-PLN-1'!N78</f>
        <v>1009017.15</v>
      </c>
      <c r="F76" s="208"/>
      <c r="G76" s="208">
        <f t="shared" si="54"/>
        <v>1009017.15</v>
      </c>
      <c r="H76" s="301">
        <f t="shared" si="55"/>
        <v>7053</v>
      </c>
      <c r="I76" s="208">
        <f t="shared" si="56"/>
        <v>1016070.15</v>
      </c>
      <c r="J76" s="301">
        <f t="shared" si="57"/>
        <v>30482</v>
      </c>
      <c r="K76" s="208">
        <f t="shared" si="58"/>
        <v>1046552.15</v>
      </c>
      <c r="L76" s="301">
        <f t="shared" si="59"/>
        <v>7410</v>
      </c>
      <c r="M76" s="208">
        <f t="shared" si="60"/>
        <v>1053962.1499999999</v>
      </c>
      <c r="N76" s="208">
        <f t="shared" si="61"/>
        <v>44945</v>
      </c>
      <c r="O76" s="208"/>
      <c r="P76" s="208">
        <f t="shared" si="62"/>
        <v>1053962.1499999999</v>
      </c>
      <c r="Q76" s="294"/>
      <c r="R76" s="208">
        <f t="shared" si="63"/>
        <v>0</v>
      </c>
      <c r="S76" s="208">
        <f t="shared" si="64"/>
        <v>43297</v>
      </c>
      <c r="T76" s="208">
        <f t="shared" si="65"/>
        <v>45257</v>
      </c>
    </row>
    <row r="77" spans="2:20">
      <c r="C77" s="292">
        <v>587</v>
      </c>
      <c r="D77" s="292" t="s">
        <v>173</v>
      </c>
      <c r="E77" s="208">
        <f>'[4]E-PLN-1'!N79</f>
        <v>250183.56</v>
      </c>
      <c r="F77" s="208"/>
      <c r="G77" s="208">
        <f t="shared" si="54"/>
        <v>250183.56</v>
      </c>
      <c r="H77" s="301">
        <f t="shared" si="55"/>
        <v>1749</v>
      </c>
      <c r="I77" s="208">
        <f t="shared" si="56"/>
        <v>251932.56</v>
      </c>
      <c r="J77" s="301">
        <f t="shared" si="57"/>
        <v>7558</v>
      </c>
      <c r="K77" s="208">
        <f t="shared" si="58"/>
        <v>259490.56</v>
      </c>
      <c r="L77" s="301">
        <f t="shared" si="59"/>
        <v>1837</v>
      </c>
      <c r="M77" s="208">
        <f t="shared" si="60"/>
        <v>261327.56</v>
      </c>
      <c r="N77" s="208">
        <f t="shared" si="61"/>
        <v>11144</v>
      </c>
      <c r="O77" s="208"/>
      <c r="P77" s="208">
        <f t="shared" si="62"/>
        <v>261327.56</v>
      </c>
      <c r="Q77" s="294"/>
      <c r="R77" s="208">
        <f t="shared" si="63"/>
        <v>0</v>
      </c>
      <c r="S77" s="208">
        <f t="shared" si="64"/>
        <v>10735</v>
      </c>
      <c r="T77" s="208">
        <f t="shared" si="65"/>
        <v>11221</v>
      </c>
    </row>
    <row r="78" spans="2:20">
      <c r="C78" s="292">
        <v>588</v>
      </c>
      <c r="D78" s="292" t="s">
        <v>174</v>
      </c>
      <c r="E78" s="208">
        <f>'[4]E-PLN-1'!N80</f>
        <v>2471330.33</v>
      </c>
      <c r="F78" s="208"/>
      <c r="G78" s="208">
        <f t="shared" si="54"/>
        <v>2471330.33</v>
      </c>
      <c r="H78" s="301">
        <f t="shared" si="55"/>
        <v>17275</v>
      </c>
      <c r="I78" s="208">
        <f t="shared" si="56"/>
        <v>2488605.33</v>
      </c>
      <c r="J78" s="301">
        <f t="shared" si="57"/>
        <v>74658</v>
      </c>
      <c r="K78" s="208">
        <f t="shared" si="58"/>
        <v>2563263.33</v>
      </c>
      <c r="L78" s="301">
        <f>ROUND(IF($B78="a",K78*L$5,K78*L$6),0)</f>
        <v>18148</v>
      </c>
      <c r="M78" s="208">
        <f t="shared" si="60"/>
        <v>2581411.33</v>
      </c>
      <c r="N78" s="208">
        <f t="shared" si="61"/>
        <v>110081</v>
      </c>
      <c r="O78" s="208"/>
      <c r="P78" s="208">
        <f t="shared" si="62"/>
        <v>2581411.33</v>
      </c>
      <c r="Q78" s="294"/>
      <c r="R78" s="208">
        <f t="shared" si="63"/>
        <v>0</v>
      </c>
      <c r="S78" s="208">
        <f t="shared" si="64"/>
        <v>106044</v>
      </c>
      <c r="T78" s="208">
        <f t="shared" si="65"/>
        <v>110845</v>
      </c>
    </row>
    <row r="79" spans="2:20">
      <c r="C79" s="292">
        <v>589</v>
      </c>
      <c r="D79" s="292" t="s">
        <v>175</v>
      </c>
      <c r="E79" s="208">
        <f>'[4]E-PLN-1'!N81</f>
        <v>750.28</v>
      </c>
      <c r="F79" s="208"/>
      <c r="G79" s="208">
        <f t="shared" si="54"/>
        <v>750.28</v>
      </c>
      <c r="H79" s="301">
        <f t="shared" si="55"/>
        <v>5</v>
      </c>
      <c r="I79" s="208">
        <f t="shared" si="56"/>
        <v>755.28</v>
      </c>
      <c r="J79" s="301">
        <f t="shared" si="57"/>
        <v>23</v>
      </c>
      <c r="K79" s="208">
        <f t="shared" si="58"/>
        <v>778.28</v>
      </c>
      <c r="L79" s="301">
        <f t="shared" si="59"/>
        <v>6</v>
      </c>
      <c r="M79" s="208">
        <f t="shared" si="60"/>
        <v>784.28</v>
      </c>
      <c r="N79" s="208">
        <f t="shared" si="61"/>
        <v>34</v>
      </c>
      <c r="O79" s="208"/>
      <c r="P79" s="208">
        <f t="shared" si="62"/>
        <v>784.28</v>
      </c>
      <c r="Q79" s="294"/>
      <c r="R79" s="208">
        <f t="shared" si="63"/>
        <v>0</v>
      </c>
      <c r="S79" s="208">
        <f t="shared" si="64"/>
        <v>32</v>
      </c>
      <c r="T79" s="208">
        <f t="shared" si="65"/>
        <v>34</v>
      </c>
    </row>
    <row r="80" spans="2:20">
      <c r="B80" s="45" t="s">
        <v>61</v>
      </c>
      <c r="C80" s="292">
        <v>590</v>
      </c>
      <c r="D80" s="292" t="s">
        <v>132</v>
      </c>
      <c r="E80" s="208">
        <f>'[4]E-PLN-1'!N82</f>
        <v>262364.81</v>
      </c>
      <c r="F80" s="208"/>
      <c r="G80" s="208">
        <f t="shared" si="54"/>
        <v>262364.81</v>
      </c>
      <c r="H80" s="293">
        <f t="shared" si="55"/>
        <v>1191</v>
      </c>
      <c r="I80" s="208">
        <f t="shared" si="56"/>
        <v>263555.81</v>
      </c>
      <c r="J80" s="293">
        <f t="shared" si="57"/>
        <v>7907</v>
      </c>
      <c r="K80" s="208">
        <f t="shared" si="58"/>
        <v>271462.81</v>
      </c>
      <c r="L80" s="293">
        <f t="shared" si="59"/>
        <v>1113</v>
      </c>
      <c r="M80" s="208">
        <f t="shared" si="60"/>
        <v>272575.81</v>
      </c>
      <c r="N80" s="208">
        <f t="shared" si="61"/>
        <v>10211</v>
      </c>
      <c r="O80" s="208"/>
      <c r="P80" s="208">
        <f t="shared" si="62"/>
        <v>272575.81</v>
      </c>
      <c r="Q80" s="294"/>
      <c r="R80" s="208">
        <f t="shared" si="63"/>
        <v>0</v>
      </c>
      <c r="S80" s="208">
        <f t="shared" si="64"/>
        <v>11258</v>
      </c>
      <c r="T80" s="208">
        <f t="shared" si="65"/>
        <v>11768</v>
      </c>
    </row>
    <row r="81" spans="2:20">
      <c r="C81" s="292">
        <v>591</v>
      </c>
      <c r="D81" s="292" t="s">
        <v>137</v>
      </c>
      <c r="E81" s="208">
        <f>'[4]E-PLN-1'!N83</f>
        <v>91622.18</v>
      </c>
      <c r="F81" s="208"/>
      <c r="G81" s="208">
        <f t="shared" si="54"/>
        <v>91622.18</v>
      </c>
      <c r="H81" s="301">
        <f t="shared" si="55"/>
        <v>640</v>
      </c>
      <c r="I81" s="208">
        <f t="shared" si="56"/>
        <v>92262.18</v>
      </c>
      <c r="J81" s="301">
        <f t="shared" si="57"/>
        <v>2768</v>
      </c>
      <c r="K81" s="208">
        <f t="shared" si="58"/>
        <v>95030.18</v>
      </c>
      <c r="L81" s="301">
        <f t="shared" si="59"/>
        <v>673</v>
      </c>
      <c r="M81" s="208">
        <f t="shared" si="60"/>
        <v>95703.18</v>
      </c>
      <c r="N81" s="208">
        <f t="shared" si="61"/>
        <v>4081</v>
      </c>
      <c r="O81" s="208"/>
      <c r="P81" s="208">
        <f t="shared" si="62"/>
        <v>95703.18</v>
      </c>
      <c r="Q81" s="294"/>
      <c r="R81" s="208">
        <f t="shared" si="63"/>
        <v>0</v>
      </c>
      <c r="S81" s="208">
        <f t="shared" si="64"/>
        <v>3931</v>
      </c>
      <c r="T81" s="208">
        <f t="shared" si="65"/>
        <v>4109</v>
      </c>
    </row>
    <row r="82" spans="2:20">
      <c r="C82" s="292">
        <v>592</v>
      </c>
      <c r="D82" s="292" t="s">
        <v>176</v>
      </c>
      <c r="E82" s="208">
        <f>'[4]E-PLN-1'!N84</f>
        <v>248549.53</v>
      </c>
      <c r="F82" s="208"/>
      <c r="G82" s="208">
        <f t="shared" si="54"/>
        <v>248549.53</v>
      </c>
      <c r="H82" s="301">
        <f t="shared" si="55"/>
        <v>1737</v>
      </c>
      <c r="I82" s="208">
        <f t="shared" si="56"/>
        <v>250286.53</v>
      </c>
      <c r="J82" s="301">
        <f t="shared" si="57"/>
        <v>7509</v>
      </c>
      <c r="K82" s="208">
        <f t="shared" si="58"/>
        <v>257795.53</v>
      </c>
      <c r="L82" s="301">
        <f t="shared" si="59"/>
        <v>1825</v>
      </c>
      <c r="M82" s="208">
        <f t="shared" si="60"/>
        <v>259620.53</v>
      </c>
      <c r="N82" s="208">
        <f t="shared" si="61"/>
        <v>11071</v>
      </c>
      <c r="O82" s="208"/>
      <c r="P82" s="208">
        <f t="shared" si="62"/>
        <v>259620.53</v>
      </c>
      <c r="Q82" s="294"/>
      <c r="R82" s="208">
        <f t="shared" si="63"/>
        <v>0</v>
      </c>
      <c r="S82" s="208">
        <f t="shared" si="64"/>
        <v>10665</v>
      </c>
      <c r="T82" s="208">
        <f t="shared" si="65"/>
        <v>11148</v>
      </c>
    </row>
    <row r="83" spans="2:20">
      <c r="C83" s="292">
        <v>593</v>
      </c>
      <c r="D83" s="292" t="s">
        <v>167</v>
      </c>
      <c r="E83" s="208">
        <f>'[4]E-PLN-1'!N85</f>
        <v>980760.64</v>
      </c>
      <c r="F83" s="208"/>
      <c r="G83" s="208">
        <f t="shared" si="54"/>
        <v>980760.64</v>
      </c>
      <c r="H83" s="301">
        <f t="shared" si="55"/>
        <v>6856</v>
      </c>
      <c r="I83" s="208">
        <f t="shared" si="56"/>
        <v>987616.64</v>
      </c>
      <c r="J83" s="301">
        <f t="shared" si="57"/>
        <v>29628</v>
      </c>
      <c r="K83" s="208">
        <f t="shared" si="58"/>
        <v>1017244.64</v>
      </c>
      <c r="L83" s="301">
        <f t="shared" si="59"/>
        <v>7202</v>
      </c>
      <c r="M83" s="208">
        <f t="shared" si="60"/>
        <v>1024446.64</v>
      </c>
      <c r="N83" s="208">
        <f t="shared" si="61"/>
        <v>43686</v>
      </c>
      <c r="O83" s="208"/>
      <c r="P83" s="208">
        <f t="shared" si="62"/>
        <v>1024446.64</v>
      </c>
      <c r="Q83" s="294"/>
      <c r="R83" s="208">
        <f t="shared" si="63"/>
        <v>0</v>
      </c>
      <c r="S83" s="208">
        <f t="shared" si="64"/>
        <v>42084</v>
      </c>
      <c r="T83" s="208">
        <f t="shared" si="65"/>
        <v>43990</v>
      </c>
    </row>
    <row r="84" spans="2:20">
      <c r="C84" s="292">
        <v>594</v>
      </c>
      <c r="D84" s="292" t="s">
        <v>177</v>
      </c>
      <c r="E84" s="208">
        <f>'[4]E-PLN-1'!N86</f>
        <v>421438.24</v>
      </c>
      <c r="F84" s="208"/>
      <c r="G84" s="208">
        <f t="shared" si="54"/>
        <v>421438.24</v>
      </c>
      <c r="H84" s="301">
        <f t="shared" si="55"/>
        <v>2946</v>
      </c>
      <c r="I84" s="208">
        <f t="shared" si="56"/>
        <v>424384.24</v>
      </c>
      <c r="J84" s="301">
        <f t="shared" si="57"/>
        <v>12732</v>
      </c>
      <c r="K84" s="208">
        <f t="shared" si="58"/>
        <v>437116.24</v>
      </c>
      <c r="L84" s="301">
        <f t="shared" si="59"/>
        <v>3095</v>
      </c>
      <c r="M84" s="208">
        <f t="shared" si="60"/>
        <v>440211.24</v>
      </c>
      <c r="N84" s="208">
        <f t="shared" si="61"/>
        <v>18773</v>
      </c>
      <c r="O84" s="208"/>
      <c r="P84" s="208">
        <f t="shared" si="62"/>
        <v>440211.24</v>
      </c>
      <c r="Q84" s="294"/>
      <c r="R84" s="208">
        <f t="shared" si="63"/>
        <v>0</v>
      </c>
      <c r="S84" s="208">
        <f t="shared" si="64"/>
        <v>18084</v>
      </c>
      <c r="T84" s="208">
        <f t="shared" si="65"/>
        <v>18903</v>
      </c>
    </row>
    <row r="85" spans="2:20">
      <c r="C85" s="292">
        <v>595</v>
      </c>
      <c r="D85" s="292" t="s">
        <v>178</v>
      </c>
      <c r="E85" s="208">
        <f>'[4]E-PLN-1'!N87</f>
        <v>412667.24</v>
      </c>
      <c r="F85" s="208"/>
      <c r="G85" s="208">
        <f t="shared" si="54"/>
        <v>412667.24</v>
      </c>
      <c r="H85" s="301">
        <f t="shared" si="55"/>
        <v>2885</v>
      </c>
      <c r="I85" s="208">
        <f t="shared" si="56"/>
        <v>415552.24</v>
      </c>
      <c r="J85" s="301">
        <f t="shared" si="57"/>
        <v>12467</v>
      </c>
      <c r="K85" s="208">
        <f t="shared" si="58"/>
        <v>428019.24</v>
      </c>
      <c r="L85" s="301">
        <f t="shared" si="59"/>
        <v>3030</v>
      </c>
      <c r="M85" s="208">
        <f t="shared" si="60"/>
        <v>431049.24</v>
      </c>
      <c r="N85" s="208">
        <f t="shared" si="61"/>
        <v>18382</v>
      </c>
      <c r="O85" s="208"/>
      <c r="P85" s="208">
        <f t="shared" si="62"/>
        <v>431049.24</v>
      </c>
      <c r="Q85" s="294"/>
      <c r="R85" s="208">
        <f t="shared" si="63"/>
        <v>0</v>
      </c>
      <c r="S85" s="208">
        <f t="shared" si="64"/>
        <v>17707</v>
      </c>
      <c r="T85" s="208">
        <f t="shared" si="65"/>
        <v>18509</v>
      </c>
    </row>
    <row r="86" spans="2:20">
      <c r="C86" s="292">
        <v>596</v>
      </c>
      <c r="D86" s="292" t="s">
        <v>179</v>
      </c>
      <c r="E86" s="208">
        <f>'[4]E-PLN-1'!N88</f>
        <v>178309.9</v>
      </c>
      <c r="F86" s="208"/>
      <c r="G86" s="208">
        <f t="shared" si="54"/>
        <v>178309.9</v>
      </c>
      <c r="H86" s="301">
        <f t="shared" si="55"/>
        <v>1246</v>
      </c>
      <c r="I86" s="208">
        <f t="shared" si="56"/>
        <v>179555.9</v>
      </c>
      <c r="J86" s="301">
        <f t="shared" si="57"/>
        <v>5387</v>
      </c>
      <c r="K86" s="208">
        <f t="shared" si="58"/>
        <v>184942.9</v>
      </c>
      <c r="L86" s="301">
        <f t="shared" si="59"/>
        <v>1309</v>
      </c>
      <c r="M86" s="208">
        <f t="shared" si="60"/>
        <v>186251.9</v>
      </c>
      <c r="N86" s="208">
        <f t="shared" si="61"/>
        <v>7942</v>
      </c>
      <c r="O86" s="208"/>
      <c r="P86" s="208">
        <f t="shared" si="62"/>
        <v>186251.9</v>
      </c>
      <c r="Q86" s="294"/>
      <c r="R86" s="208">
        <f t="shared" si="63"/>
        <v>0</v>
      </c>
      <c r="S86" s="208">
        <f t="shared" si="64"/>
        <v>7651</v>
      </c>
      <c r="T86" s="208">
        <f t="shared" si="65"/>
        <v>7998</v>
      </c>
    </row>
    <row r="87" spans="2:20">
      <c r="C87" s="292">
        <v>597</v>
      </c>
      <c r="D87" s="292" t="s">
        <v>180</v>
      </c>
      <c r="E87" s="208">
        <f>'[4]E-PLN-1'!N89</f>
        <v>48458.239999999998</v>
      </c>
      <c r="F87" s="208"/>
      <c r="G87" s="208">
        <f t="shared" si="54"/>
        <v>48458.239999999998</v>
      </c>
      <c r="H87" s="301">
        <f t="shared" si="55"/>
        <v>339</v>
      </c>
      <c r="I87" s="208">
        <f t="shared" si="56"/>
        <v>48797.24</v>
      </c>
      <c r="J87" s="301">
        <f t="shared" si="57"/>
        <v>1464</v>
      </c>
      <c r="K87" s="208">
        <f t="shared" si="58"/>
        <v>50261.24</v>
      </c>
      <c r="L87" s="301">
        <f t="shared" si="59"/>
        <v>356</v>
      </c>
      <c r="M87" s="208">
        <f t="shared" si="60"/>
        <v>50617.24</v>
      </c>
      <c r="N87" s="208">
        <f t="shared" si="61"/>
        <v>2159</v>
      </c>
      <c r="O87" s="208"/>
      <c r="P87" s="208">
        <f t="shared" si="62"/>
        <v>50617.24</v>
      </c>
      <c r="Q87" s="294"/>
      <c r="R87" s="208">
        <f t="shared" si="63"/>
        <v>0</v>
      </c>
      <c r="S87" s="208">
        <f t="shared" si="64"/>
        <v>2079</v>
      </c>
      <c r="T87" s="208">
        <f t="shared" si="65"/>
        <v>2173</v>
      </c>
    </row>
    <row r="88" spans="2:20">
      <c r="C88" s="292">
        <v>598</v>
      </c>
      <c r="D88" s="292" t="s">
        <v>174</v>
      </c>
      <c r="E88" s="208">
        <f>'[4]E-PLN-1'!N90</f>
        <v>205311.46</v>
      </c>
      <c r="F88" s="208"/>
      <c r="G88" s="208">
        <f t="shared" si="54"/>
        <v>205311.46</v>
      </c>
      <c r="H88" s="301">
        <f t="shared" si="55"/>
        <v>1435</v>
      </c>
      <c r="I88" s="208">
        <f t="shared" si="56"/>
        <v>206746.46</v>
      </c>
      <c r="J88" s="301">
        <f t="shared" si="57"/>
        <v>6202</v>
      </c>
      <c r="K88" s="208">
        <f t="shared" si="58"/>
        <v>212948.46</v>
      </c>
      <c r="L88" s="301">
        <f t="shared" si="59"/>
        <v>1508</v>
      </c>
      <c r="M88" s="208">
        <f t="shared" si="60"/>
        <v>214456.46</v>
      </c>
      <c r="N88" s="208">
        <f t="shared" si="61"/>
        <v>9145</v>
      </c>
      <c r="O88" s="208"/>
      <c r="P88" s="208">
        <f t="shared" si="62"/>
        <v>214456.46</v>
      </c>
      <c r="Q88" s="294"/>
      <c r="R88" s="208">
        <f t="shared" si="63"/>
        <v>0</v>
      </c>
      <c r="S88" s="208">
        <f t="shared" si="64"/>
        <v>8810</v>
      </c>
      <c r="T88" s="208">
        <f t="shared" si="65"/>
        <v>9209</v>
      </c>
    </row>
    <row r="89" spans="2:20">
      <c r="C89" s="157" t="s">
        <v>80</v>
      </c>
      <c r="D89" s="157"/>
      <c r="E89" s="312">
        <f t="shared" ref="E89:S89" si="66">SUM(E70:E88)</f>
        <v>8938573.370000001</v>
      </c>
      <c r="F89" s="312">
        <f t="shared" si="66"/>
        <v>0</v>
      </c>
      <c r="G89" s="312">
        <f t="shared" si="66"/>
        <v>8938573.370000001</v>
      </c>
      <c r="H89" s="312">
        <f t="shared" si="66"/>
        <v>59928</v>
      </c>
      <c r="I89" s="312">
        <f t="shared" si="66"/>
        <v>8998501.370000001</v>
      </c>
      <c r="J89" s="312">
        <f t="shared" si="66"/>
        <v>269956</v>
      </c>
      <c r="K89" s="312">
        <f t="shared" si="66"/>
        <v>9268457.370000001</v>
      </c>
      <c r="L89" s="312">
        <f>SUM(L70:L88)</f>
        <v>62409</v>
      </c>
      <c r="M89" s="312">
        <f>SUM(M70:M88)</f>
        <v>9330866.370000001</v>
      </c>
      <c r="N89" s="312">
        <f t="shared" si="66"/>
        <v>392293</v>
      </c>
      <c r="O89" s="312">
        <f t="shared" si="66"/>
        <v>0</v>
      </c>
      <c r="P89" s="312">
        <f t="shared" si="66"/>
        <v>9330866.370000001</v>
      </c>
      <c r="Q89" s="294"/>
      <c r="R89" s="312">
        <f t="shared" si="66"/>
        <v>0</v>
      </c>
      <c r="S89" s="312">
        <f t="shared" si="66"/>
        <v>383550</v>
      </c>
      <c r="T89" s="312">
        <f>SUM(T70:T88)</f>
        <v>400917</v>
      </c>
    </row>
    <row r="90" spans="2:20">
      <c r="C90" s="157"/>
      <c r="D90" s="157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94"/>
      <c r="R90" s="208"/>
      <c r="S90" s="208"/>
      <c r="T90" s="208"/>
    </row>
    <row r="91" spans="2:20">
      <c r="C91" s="157" t="s">
        <v>181</v>
      </c>
      <c r="D91" s="157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94"/>
      <c r="R91" s="208"/>
      <c r="S91" s="208"/>
      <c r="T91" s="208"/>
    </row>
    <row r="92" spans="2:20">
      <c r="B92" s="45" t="s">
        <v>61</v>
      </c>
      <c r="C92" s="292">
        <v>901</v>
      </c>
      <c r="D92" s="292" t="s">
        <v>182</v>
      </c>
      <c r="E92" s="208">
        <f>'[4]E-PLN-1'!N94</f>
        <v>258677.69</v>
      </c>
      <c r="F92" s="208"/>
      <c r="G92" s="208">
        <f>F92+E92</f>
        <v>258677.69</v>
      </c>
      <c r="H92" s="293">
        <f>ROUND(IF($B92="a",G92*H$5,G92*H$6),0)</f>
        <v>1174</v>
      </c>
      <c r="I92" s="208">
        <f>G92+H92</f>
        <v>259851.69</v>
      </c>
      <c r="J92" s="293">
        <f>ROUND(IF($B92="a",I92*J$5,I92*J$6),0)</f>
        <v>7796</v>
      </c>
      <c r="K92" s="208">
        <f>I92+J92</f>
        <v>267647.69</v>
      </c>
      <c r="L92" s="293">
        <f>ROUND(IF($B92="a",K92*L$5,K92*L$6),0)</f>
        <v>1097</v>
      </c>
      <c r="M92" s="208">
        <f>K92+L92</f>
        <v>268744.69</v>
      </c>
      <c r="N92" s="208">
        <f>H92+J92+L92</f>
        <v>10067</v>
      </c>
      <c r="O92" s="208"/>
      <c r="P92" s="208">
        <f>M92+O92</f>
        <v>268744.69</v>
      </c>
      <c r="Q92" s="294"/>
      <c r="R92" s="208">
        <f>O92+F92</f>
        <v>0</v>
      </c>
      <c r="S92" s="208">
        <f>ROUND($S$130*E92/E$127,0)</f>
        <v>11100</v>
      </c>
      <c r="T92" s="208">
        <f>ROUND($T$130*E92/E$127,0)</f>
        <v>11602</v>
      </c>
    </row>
    <row r="93" spans="2:20">
      <c r="C93" s="292">
        <v>902</v>
      </c>
      <c r="D93" s="292" t="s">
        <v>183</v>
      </c>
      <c r="E93" s="208">
        <f>'[4]E-PLN-1'!N95</f>
        <v>1371063.68</v>
      </c>
      <c r="F93" s="208"/>
      <c r="G93" s="208">
        <f>F93+E93</f>
        <v>1371063.68</v>
      </c>
      <c r="H93" s="301">
        <f>ROUND(IF($B93="a",G93*H$5,G93*H$6),0)</f>
        <v>9584</v>
      </c>
      <c r="I93" s="208">
        <f>G93+H93</f>
        <v>1380647.68</v>
      </c>
      <c r="J93" s="301">
        <f>ROUND(IF($B93="a",I93*J$5,I93*J$6),0)</f>
        <v>41419</v>
      </c>
      <c r="K93" s="208">
        <f>I93+J93</f>
        <v>1422066.68</v>
      </c>
      <c r="L93" s="301">
        <f>ROUND(IF($B93="a",K93*L$5,K93*L$6),0)</f>
        <v>10068</v>
      </c>
      <c r="M93" s="208">
        <f>K93+L93</f>
        <v>1432134.68</v>
      </c>
      <c r="N93" s="208">
        <f>H93+J93+L93</f>
        <v>61071</v>
      </c>
      <c r="O93" s="208"/>
      <c r="P93" s="208">
        <f>M93+O93</f>
        <v>1432134.68</v>
      </c>
      <c r="Q93" s="294"/>
      <c r="R93" s="208">
        <f>O93+F93</f>
        <v>0</v>
      </c>
      <c r="S93" s="208">
        <f>ROUND($S$130*E93/E$127,0)</f>
        <v>58832</v>
      </c>
      <c r="T93" s="208">
        <f>ROUND($T$130*E93/E$127,0)</f>
        <v>61496</v>
      </c>
    </row>
    <row r="94" spans="2:20">
      <c r="B94" s="45" t="s">
        <v>61</v>
      </c>
      <c r="C94" s="292">
        <v>903</v>
      </c>
      <c r="D94" s="292" t="s">
        <v>184</v>
      </c>
      <c r="E94" s="208">
        <f>'[4]E-PLN-1'!N96</f>
        <v>2578188.2000000002</v>
      </c>
      <c r="F94" s="208"/>
      <c r="G94" s="208">
        <f>F94+E94</f>
        <v>2578188.2000000002</v>
      </c>
      <c r="H94" s="293">
        <f>ROUND(IF($B94="a",G94*H$5,G94*H$6),0)</f>
        <v>11705</v>
      </c>
      <c r="I94" s="208">
        <f>G94+H94</f>
        <v>2589893.2000000002</v>
      </c>
      <c r="J94" s="293">
        <f>ROUND(IF($B94="a",I94*J$5,I94*J$6),0)</f>
        <v>77697</v>
      </c>
      <c r="K94" s="208">
        <f>I94+J94</f>
        <v>2667590.2000000002</v>
      </c>
      <c r="L94" s="293">
        <f>ROUND(IF($B94="a",K94*L$5,K94*L$6),0)</f>
        <v>10937</v>
      </c>
      <c r="M94" s="208">
        <f>K94+L94</f>
        <v>2678527.2000000002</v>
      </c>
      <c r="N94" s="208">
        <f>H94+J94+L94</f>
        <v>100339</v>
      </c>
      <c r="O94" s="208"/>
      <c r="P94" s="208">
        <f>M94+O94</f>
        <v>2678527.2000000002</v>
      </c>
      <c r="Q94" s="294"/>
      <c r="R94" s="208">
        <f>O94+F94</f>
        <v>0</v>
      </c>
      <c r="S94" s="208">
        <f>ROUND($S$130*E94/E$127,0)</f>
        <v>110629</v>
      </c>
      <c r="T94" s="208">
        <f>ROUND($T$130*E94/E$127,0)</f>
        <v>115638</v>
      </c>
    </row>
    <row r="95" spans="2:20">
      <c r="B95" s="45" t="s">
        <v>61</v>
      </c>
      <c r="C95" s="292">
        <v>905</v>
      </c>
      <c r="D95" s="292" t="s">
        <v>185</v>
      </c>
      <c r="E95" s="208">
        <f>'[4]E-PLN-1'!N97</f>
        <v>43853.54</v>
      </c>
      <c r="F95" s="208"/>
      <c r="G95" s="208">
        <f>F95+E95</f>
        <v>43853.54</v>
      </c>
      <c r="H95" s="293">
        <f>ROUND(IF($B95="a",G95*H$5,G95*H$6),0)</f>
        <v>199</v>
      </c>
      <c r="I95" s="208">
        <f>G95+H95</f>
        <v>44052.54</v>
      </c>
      <c r="J95" s="293">
        <f>ROUND(IF($B95="a",I95*J$5,I95*J$6),0)</f>
        <v>1322</v>
      </c>
      <c r="K95" s="208">
        <f>I95+J95</f>
        <v>45374.54</v>
      </c>
      <c r="L95" s="293">
        <f>ROUND(IF($B95="a",K95*L$5,K95*L$6),0)</f>
        <v>186</v>
      </c>
      <c r="M95" s="208">
        <f>K95+L95</f>
        <v>45560.54</v>
      </c>
      <c r="N95" s="208">
        <f>H95+J95+L95</f>
        <v>1707</v>
      </c>
      <c r="O95" s="208"/>
      <c r="P95" s="208">
        <f>M95+O95</f>
        <v>45560.54</v>
      </c>
      <c r="Q95" s="294"/>
      <c r="R95" s="208">
        <f>O95+F95</f>
        <v>0</v>
      </c>
      <c r="S95" s="208">
        <f>ROUND($S$130*E95/E$127,0)</f>
        <v>1882</v>
      </c>
      <c r="T95" s="208">
        <f>ROUND($T$130*E95/E$127,0)</f>
        <v>1967</v>
      </c>
    </row>
    <row r="96" spans="2:20">
      <c r="C96" s="157" t="s">
        <v>186</v>
      </c>
      <c r="D96" s="157"/>
      <c r="E96" s="312">
        <f t="shared" ref="E96:S96" si="67">SUM(E92:E95)</f>
        <v>4251783.1100000003</v>
      </c>
      <c r="F96" s="312">
        <f t="shared" si="67"/>
        <v>0</v>
      </c>
      <c r="G96" s="312">
        <f t="shared" si="67"/>
        <v>4251783.1100000003</v>
      </c>
      <c r="H96" s="312">
        <f t="shared" si="67"/>
        <v>22662</v>
      </c>
      <c r="I96" s="312">
        <f t="shared" si="67"/>
        <v>4274445.1100000003</v>
      </c>
      <c r="J96" s="312">
        <f t="shared" si="67"/>
        <v>128234</v>
      </c>
      <c r="K96" s="312">
        <f t="shared" si="67"/>
        <v>4402679.1100000003</v>
      </c>
      <c r="L96" s="312">
        <f>SUM(L92:L95)</f>
        <v>22288</v>
      </c>
      <c r="M96" s="312">
        <f>SUM(M92:M95)</f>
        <v>4424967.1100000003</v>
      </c>
      <c r="N96" s="312">
        <f t="shared" si="67"/>
        <v>173184</v>
      </c>
      <c r="O96" s="312">
        <f t="shared" si="67"/>
        <v>0</v>
      </c>
      <c r="P96" s="312">
        <f t="shared" si="67"/>
        <v>4424967.1100000003</v>
      </c>
      <c r="Q96" s="294"/>
      <c r="R96" s="312">
        <f t="shared" si="67"/>
        <v>0</v>
      </c>
      <c r="S96" s="312">
        <f t="shared" si="67"/>
        <v>182443</v>
      </c>
      <c r="T96" s="312">
        <f>SUM(T92:T95)</f>
        <v>190703</v>
      </c>
    </row>
    <row r="97" spans="2:20">
      <c r="C97" s="157"/>
      <c r="D97" s="157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94"/>
      <c r="R97" s="208"/>
      <c r="S97" s="208"/>
      <c r="T97" s="208"/>
    </row>
    <row r="98" spans="2:20">
      <c r="C98" s="157" t="s">
        <v>187</v>
      </c>
      <c r="D98" s="157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94"/>
      <c r="R98" s="208"/>
      <c r="S98" s="208"/>
      <c r="T98" s="208"/>
    </row>
    <row r="99" spans="2:20">
      <c r="B99" s="45" t="s">
        <v>61</v>
      </c>
      <c r="C99" s="292">
        <v>907</v>
      </c>
      <c r="D99" s="292" t="s">
        <v>182</v>
      </c>
      <c r="E99" s="208">
        <f>'[4]E-PLN-1'!N101</f>
        <v>0</v>
      </c>
      <c r="F99" s="208"/>
      <c r="G99" s="208">
        <f>F99+E99</f>
        <v>0</v>
      </c>
      <c r="H99" s="293">
        <f>ROUND(IF($B99="a",G99*H$5,G99*H$6),0)</f>
        <v>0</v>
      </c>
      <c r="I99" s="208">
        <f>G99+H99</f>
        <v>0</v>
      </c>
      <c r="J99" s="293">
        <f>ROUND(IF($B99="a",I99*J$5,I99*J$6),0)</f>
        <v>0</v>
      </c>
      <c r="K99" s="208">
        <f>I99+J99</f>
        <v>0</v>
      </c>
      <c r="L99" s="293">
        <f>ROUND(IF($B99="a",K99*L$5,K99*L$6),0)</f>
        <v>0</v>
      </c>
      <c r="M99" s="208">
        <f>K99+L99</f>
        <v>0</v>
      </c>
      <c r="N99" s="208">
        <f>H99+J99+L99</f>
        <v>0</v>
      </c>
      <c r="O99" s="208"/>
      <c r="P99" s="208">
        <f>M99+O99</f>
        <v>0</v>
      </c>
      <c r="Q99" s="294"/>
      <c r="R99" s="208">
        <f>O99+F99</f>
        <v>0</v>
      </c>
      <c r="S99" s="208">
        <f>ROUND($S$130*E99/E$127,0)</f>
        <v>0</v>
      </c>
      <c r="T99" s="208">
        <f>ROUND($T$130*E99/E$127,0)</f>
        <v>0</v>
      </c>
    </row>
    <row r="100" spans="2:20">
      <c r="B100" s="45" t="s">
        <v>61</v>
      </c>
      <c r="C100" s="292">
        <v>908</v>
      </c>
      <c r="D100" s="292" t="s">
        <v>188</v>
      </c>
      <c r="E100" s="208">
        <f>'[4]E-PLN-1'!N102</f>
        <v>220879.83</v>
      </c>
      <c r="F100" s="208"/>
      <c r="G100" s="208">
        <f>F100+E100</f>
        <v>220879.83</v>
      </c>
      <c r="H100" s="293">
        <f>ROUND(IF($B100="a",G100*H$5,G100*H$6),0)</f>
        <v>1003</v>
      </c>
      <c r="I100" s="208">
        <f>G100+H100</f>
        <v>221882.83</v>
      </c>
      <c r="J100" s="293">
        <f>ROUND(IF($B100="a",I100*J$5,I100*J$6),0)</f>
        <v>6656</v>
      </c>
      <c r="K100" s="208">
        <f>I100+J100</f>
        <v>228538.83</v>
      </c>
      <c r="L100" s="293">
        <f>ROUND(IF($B100="a",K100*L$5,K100*L$6),0)</f>
        <v>937</v>
      </c>
      <c r="M100" s="208">
        <f>K100+L100</f>
        <v>229475.83</v>
      </c>
      <c r="N100" s="208">
        <f>H100+J100+L100</f>
        <v>8596</v>
      </c>
      <c r="O100" s="208"/>
      <c r="P100" s="208">
        <f>M100+O100</f>
        <v>229475.83</v>
      </c>
      <c r="Q100" s="294"/>
      <c r="R100" s="208">
        <f>O100+F100</f>
        <v>0</v>
      </c>
      <c r="S100" s="208">
        <f>ROUND($S$130*E100/E$127,0)</f>
        <v>9478</v>
      </c>
      <c r="T100" s="208">
        <f>ROUND($T$130*E100/E$127,0)</f>
        <v>9907</v>
      </c>
    </row>
    <row r="101" spans="2:20">
      <c r="B101" s="45" t="s">
        <v>61</v>
      </c>
      <c r="C101" s="292">
        <v>909</v>
      </c>
      <c r="D101" s="292" t="s">
        <v>189</v>
      </c>
      <c r="E101" s="208">
        <f>'[4]E-PLN-1'!N103</f>
        <v>121158.11</v>
      </c>
      <c r="F101" s="208"/>
      <c r="G101" s="208">
        <f>F101+E101</f>
        <v>121158.11</v>
      </c>
      <c r="H101" s="293">
        <f>ROUND(IF($B101="a",G101*H$5,G101*H$6),0)</f>
        <v>550</v>
      </c>
      <c r="I101" s="208">
        <f>G101+H101</f>
        <v>121708.11</v>
      </c>
      <c r="J101" s="293">
        <f>ROUND(IF($B101="a",I101*J$5,I101*J$6),0)</f>
        <v>3651</v>
      </c>
      <c r="K101" s="208">
        <f>I101+J101</f>
        <v>125359.11</v>
      </c>
      <c r="L101" s="293">
        <f>ROUND(IF($B101="a",K101*L$5,K101*L$6),0)</f>
        <v>514</v>
      </c>
      <c r="M101" s="208">
        <f>K101+L101</f>
        <v>125873.11</v>
      </c>
      <c r="N101" s="208">
        <f>H101+J101+L101</f>
        <v>4715</v>
      </c>
      <c r="O101" s="208"/>
      <c r="P101" s="208">
        <f>M101+O101</f>
        <v>125873.11</v>
      </c>
      <c r="Q101" s="294"/>
      <c r="R101" s="208">
        <f>O101+F101</f>
        <v>0</v>
      </c>
      <c r="S101" s="208">
        <f>ROUND($S$130*E101/E$127,0)</f>
        <v>5199</v>
      </c>
      <c r="T101" s="208">
        <f>ROUND($T$130*E101/E$127,0)</f>
        <v>5434</v>
      </c>
    </row>
    <row r="102" spans="2:20">
      <c r="B102" s="45" t="s">
        <v>61</v>
      </c>
      <c r="C102" s="292">
        <v>910</v>
      </c>
      <c r="D102" s="292" t="s">
        <v>190</v>
      </c>
      <c r="E102" s="208">
        <f>'[4]E-PLN-1'!N104</f>
        <v>24485.48</v>
      </c>
      <c r="F102" s="208"/>
      <c r="G102" s="208">
        <f>F102+E102</f>
        <v>24485.48</v>
      </c>
      <c r="H102" s="293">
        <f>ROUND(IF($B102="a",G102*H$5,G102*H$6),0)</f>
        <v>111</v>
      </c>
      <c r="I102" s="208">
        <f>G102+H102</f>
        <v>24596.48</v>
      </c>
      <c r="J102" s="293">
        <f>ROUND(IF($B102="a",I102*J$5,I102*J$6),0)</f>
        <v>738</v>
      </c>
      <c r="K102" s="208">
        <f>I102+J102</f>
        <v>25334.48</v>
      </c>
      <c r="L102" s="293">
        <f>ROUND(IF($B102="a",K102*L$5,K102*L$6),0)</f>
        <v>104</v>
      </c>
      <c r="M102" s="208">
        <f>K102+L102</f>
        <v>25438.48</v>
      </c>
      <c r="N102" s="208">
        <f>H102+J102+L102</f>
        <v>953</v>
      </c>
      <c r="O102" s="208"/>
      <c r="P102" s="208">
        <f>M102+O102</f>
        <v>25438.48</v>
      </c>
      <c r="Q102" s="294"/>
      <c r="R102" s="208">
        <f>O102+F102</f>
        <v>0</v>
      </c>
      <c r="S102" s="208">
        <f>ROUND($S$130*E102/E$127,0)</f>
        <v>1051</v>
      </c>
      <c r="T102" s="208">
        <f>ROUND($T$130*E102/E$127,0)</f>
        <v>1098</v>
      </c>
    </row>
    <row r="103" spans="2:20">
      <c r="C103" s="157" t="s">
        <v>191</v>
      </c>
      <c r="D103" s="157"/>
      <c r="E103" s="312">
        <f t="shared" ref="E103:S103" si="68">SUM(E99:E102)</f>
        <v>366523.42</v>
      </c>
      <c r="F103" s="312">
        <f t="shared" si="68"/>
        <v>0</v>
      </c>
      <c r="G103" s="312">
        <f t="shared" si="68"/>
        <v>366523.42</v>
      </c>
      <c r="H103" s="312">
        <f t="shared" si="68"/>
        <v>1664</v>
      </c>
      <c r="I103" s="312">
        <f t="shared" si="68"/>
        <v>368187.42</v>
      </c>
      <c r="J103" s="312">
        <f t="shared" si="68"/>
        <v>11045</v>
      </c>
      <c r="K103" s="312">
        <f t="shared" si="68"/>
        <v>379232.42</v>
      </c>
      <c r="L103" s="312">
        <f>SUM(L99:L102)</f>
        <v>1555</v>
      </c>
      <c r="M103" s="312">
        <f>SUM(M99:M102)</f>
        <v>380787.42</v>
      </c>
      <c r="N103" s="312">
        <f t="shared" si="68"/>
        <v>14264</v>
      </c>
      <c r="O103" s="312">
        <f t="shared" si="68"/>
        <v>0</v>
      </c>
      <c r="P103" s="312">
        <f t="shared" si="68"/>
        <v>380787.42</v>
      </c>
      <c r="Q103" s="294"/>
      <c r="R103" s="312">
        <f t="shared" si="68"/>
        <v>0</v>
      </c>
      <c r="S103" s="312">
        <f t="shared" si="68"/>
        <v>15728</v>
      </c>
      <c r="T103" s="312">
        <f>SUM(T99:T102)</f>
        <v>16439</v>
      </c>
    </row>
    <row r="104" spans="2:20">
      <c r="C104" s="157"/>
      <c r="D104" s="157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94"/>
      <c r="R104" s="208"/>
      <c r="S104" s="208"/>
      <c r="T104" s="208"/>
    </row>
    <row r="105" spans="2:20">
      <c r="C105" s="157" t="s">
        <v>192</v>
      </c>
      <c r="D105" s="157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94"/>
      <c r="R105" s="208"/>
      <c r="S105" s="208"/>
      <c r="T105" s="208"/>
    </row>
    <row r="106" spans="2:20">
      <c r="B106" s="45" t="s">
        <v>61</v>
      </c>
      <c r="C106" s="157">
        <v>911</v>
      </c>
      <c r="D106" s="157" t="s">
        <v>182</v>
      </c>
      <c r="E106" s="208">
        <f>'[4]E-PLN-1'!N108</f>
        <v>0</v>
      </c>
      <c r="F106" s="208"/>
      <c r="G106" s="208">
        <f>F106+E106</f>
        <v>0</v>
      </c>
      <c r="H106" s="293">
        <f>ROUND(IF($B106="a",G106*H$5,G106*H$6),0)</f>
        <v>0</v>
      </c>
      <c r="I106" s="208">
        <f>G106+H106</f>
        <v>0</v>
      </c>
      <c r="J106" s="293">
        <f>ROUND(IF($B106="a",I106*J$5,I106*J$6),0)</f>
        <v>0</v>
      </c>
      <c r="K106" s="208">
        <f>I106+J106</f>
        <v>0</v>
      </c>
      <c r="L106" s="293">
        <f>ROUND(IF($B106="a",K106*L$5,K106*L$6),0)</f>
        <v>0</v>
      </c>
      <c r="M106" s="208">
        <f>K106+L106</f>
        <v>0</v>
      </c>
      <c r="N106" s="208">
        <f>H106+J106+L106</f>
        <v>0</v>
      </c>
      <c r="O106" s="208"/>
      <c r="P106" s="208">
        <f>M106+O106</f>
        <v>0</v>
      </c>
      <c r="Q106" s="294"/>
      <c r="R106" s="208">
        <f>O106+F106</f>
        <v>0</v>
      </c>
      <c r="S106" s="208">
        <f>ROUND($S$130*E106/E$127,0)</f>
        <v>0</v>
      </c>
      <c r="T106" s="208">
        <f>ROUND($T$130*E106/E$127,0)</f>
        <v>0</v>
      </c>
    </row>
    <row r="107" spans="2:20">
      <c r="B107" s="45" t="s">
        <v>61</v>
      </c>
      <c r="C107" s="292">
        <v>912</v>
      </c>
      <c r="D107" s="292" t="s">
        <v>193</v>
      </c>
      <c r="E107" s="208">
        <f>'[4]E-PLN-1'!N109</f>
        <v>3657.04</v>
      </c>
      <c r="F107" s="208"/>
      <c r="G107" s="208">
        <f>F107+E107</f>
        <v>3657.04</v>
      </c>
      <c r="H107" s="293">
        <f>ROUND(IF($B107="a",G107*H$5,G107*H$6),0)</f>
        <v>17</v>
      </c>
      <c r="I107" s="208">
        <f>G107+H107</f>
        <v>3674.04</v>
      </c>
      <c r="J107" s="293">
        <f>ROUND(IF($B107="a",I107*J$5,I107*J$6),0)</f>
        <v>110</v>
      </c>
      <c r="K107" s="208">
        <f>I107+J107</f>
        <v>3784.04</v>
      </c>
      <c r="L107" s="293">
        <f>ROUND(IF($B107="a",K107*L$5,K107*L$6),0)</f>
        <v>16</v>
      </c>
      <c r="M107" s="208">
        <f>K107+L107</f>
        <v>3800.04</v>
      </c>
      <c r="N107" s="208">
        <f>H107+J107+L107</f>
        <v>143</v>
      </c>
      <c r="O107" s="208"/>
      <c r="P107" s="208">
        <f>M107+O107</f>
        <v>3800.04</v>
      </c>
      <c r="Q107" s="294"/>
      <c r="R107" s="208">
        <f>O107+F107</f>
        <v>0</v>
      </c>
      <c r="S107" s="208">
        <f>ROUND($S$130*E107/E$127,0)</f>
        <v>157</v>
      </c>
      <c r="T107" s="208">
        <f>ROUND($T$130*E107/E$127,0)</f>
        <v>164</v>
      </c>
    </row>
    <row r="108" spans="2:20">
      <c r="B108" s="45" t="s">
        <v>61</v>
      </c>
      <c r="C108" s="292">
        <v>913</v>
      </c>
      <c r="D108" s="292" t="s">
        <v>189</v>
      </c>
      <c r="E108" s="208">
        <f>'[4]E-PLN-1'!N110</f>
        <v>0</v>
      </c>
      <c r="F108" s="208"/>
      <c r="G108" s="208">
        <f>F108+E108</f>
        <v>0</v>
      </c>
      <c r="H108" s="293">
        <f>ROUND(IF($B108="a",G108*H$5,G108*H$6),0)</f>
        <v>0</v>
      </c>
      <c r="I108" s="208">
        <f>G108+H108</f>
        <v>0</v>
      </c>
      <c r="J108" s="293">
        <f>ROUND(IF($B108="a",I108*J$5,I108*J$6),0)</f>
        <v>0</v>
      </c>
      <c r="K108" s="208">
        <f>I108+J108</f>
        <v>0</v>
      </c>
      <c r="L108" s="293">
        <f>ROUND(IF($B108="a",K108*L$5,K108*L$6),0)</f>
        <v>0</v>
      </c>
      <c r="M108" s="208">
        <f>K108+L108</f>
        <v>0</v>
      </c>
      <c r="N108" s="208">
        <f>H108+J108+L108</f>
        <v>0</v>
      </c>
      <c r="O108" s="208"/>
      <c r="P108" s="208">
        <f>M108+O108</f>
        <v>0</v>
      </c>
      <c r="Q108" s="294"/>
      <c r="R108" s="208">
        <f>O108+F108</f>
        <v>0</v>
      </c>
      <c r="S108" s="208">
        <f>ROUND($S$130*E108/E$127,0)</f>
        <v>0</v>
      </c>
      <c r="T108" s="208">
        <f>ROUND($T$130*E108/E$127,0)</f>
        <v>0</v>
      </c>
    </row>
    <row r="109" spans="2:20">
      <c r="B109" s="45" t="s">
        <v>61</v>
      </c>
      <c r="C109" s="292">
        <v>916</v>
      </c>
      <c r="D109" s="292" t="s">
        <v>194</v>
      </c>
      <c r="E109" s="208">
        <f>'[4]E-PLN-1'!N111</f>
        <v>-3056.03</v>
      </c>
      <c r="F109" s="208"/>
      <c r="G109" s="208">
        <f>F109+E109</f>
        <v>-3056.03</v>
      </c>
      <c r="H109" s="293">
        <f>ROUND(IF($B109="a",G109*H$5,G109*H$6),0)</f>
        <v>-14</v>
      </c>
      <c r="I109" s="208">
        <f>G109+H109</f>
        <v>-3070.03</v>
      </c>
      <c r="J109" s="293">
        <f>ROUND(IF($B109="a",I109*J$5,I109*J$6),0)</f>
        <v>-92</v>
      </c>
      <c r="K109" s="208">
        <f>I109+J109</f>
        <v>-3162.03</v>
      </c>
      <c r="L109" s="293">
        <f>ROUND(IF($B109="a",K109*L$5,K109*L$6),0)</f>
        <v>-13</v>
      </c>
      <c r="M109" s="208">
        <f>K109+L109</f>
        <v>-3175.03</v>
      </c>
      <c r="N109" s="208">
        <f>H109+J109+L109</f>
        <v>-119</v>
      </c>
      <c r="O109" s="208"/>
      <c r="P109" s="208">
        <f>M109+O109</f>
        <v>-3175.03</v>
      </c>
      <c r="Q109" s="294"/>
      <c r="R109" s="208">
        <f>O109+F109</f>
        <v>0</v>
      </c>
      <c r="S109" s="208">
        <f>ROUND($S$130*E109/E$127,0)</f>
        <v>-131</v>
      </c>
      <c r="T109" s="208">
        <f>ROUND($T$130*E109/E$127,0)</f>
        <v>-137</v>
      </c>
    </row>
    <row r="110" spans="2:20">
      <c r="C110" s="157" t="s">
        <v>195</v>
      </c>
      <c r="D110" s="157"/>
      <c r="E110" s="312">
        <f t="shared" ref="E110:S110" si="69">SUM(E106:E109)</f>
        <v>601.00999999999976</v>
      </c>
      <c r="F110" s="312">
        <f t="shared" si="69"/>
        <v>0</v>
      </c>
      <c r="G110" s="312">
        <f t="shared" si="69"/>
        <v>601.00999999999976</v>
      </c>
      <c r="H110" s="312">
        <f t="shared" si="69"/>
        <v>3</v>
      </c>
      <c r="I110" s="312">
        <f t="shared" si="69"/>
        <v>604.00999999999976</v>
      </c>
      <c r="J110" s="312">
        <f t="shared" si="69"/>
        <v>18</v>
      </c>
      <c r="K110" s="312">
        <f t="shared" si="69"/>
        <v>622.00999999999976</v>
      </c>
      <c r="L110" s="312">
        <f>SUM(L106:L109)</f>
        <v>3</v>
      </c>
      <c r="M110" s="312">
        <f>SUM(M106:M109)</f>
        <v>625.00999999999976</v>
      </c>
      <c r="N110" s="312">
        <f t="shared" si="69"/>
        <v>24</v>
      </c>
      <c r="O110" s="312">
        <f t="shared" si="69"/>
        <v>0</v>
      </c>
      <c r="P110" s="312">
        <f t="shared" si="69"/>
        <v>625.00999999999976</v>
      </c>
      <c r="Q110" s="294"/>
      <c r="R110" s="312">
        <f t="shared" si="69"/>
        <v>0</v>
      </c>
      <c r="S110" s="312">
        <f t="shared" si="69"/>
        <v>26</v>
      </c>
      <c r="T110" s="312">
        <f>SUM(T106:T109)</f>
        <v>27</v>
      </c>
    </row>
    <row r="111" spans="2:20">
      <c r="C111" s="157"/>
      <c r="D111" s="157"/>
      <c r="E111" s="208"/>
      <c r="F111" s="208"/>
      <c r="G111" s="208"/>
      <c r="H111" s="208"/>
      <c r="I111" s="208"/>
      <c r="J111" s="208"/>
      <c r="K111" s="208"/>
      <c r="L111" s="208"/>
      <c r="M111" s="208"/>
      <c r="N111" s="208"/>
      <c r="O111" s="208"/>
      <c r="P111" s="208"/>
      <c r="Q111" s="294"/>
      <c r="R111" s="208"/>
      <c r="S111" s="208"/>
      <c r="T111" s="208"/>
    </row>
    <row r="112" spans="2:20" ht="13.5" thickBot="1">
      <c r="C112" s="157" t="s">
        <v>196</v>
      </c>
      <c r="D112" s="157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94"/>
      <c r="R112" s="208"/>
      <c r="S112" s="208"/>
      <c r="T112" s="208"/>
    </row>
    <row r="113" spans="2:20" ht="13.5" thickBot="1">
      <c r="B113" s="45" t="s">
        <v>61</v>
      </c>
      <c r="C113" s="292">
        <v>920</v>
      </c>
      <c r="D113" s="292" t="s">
        <v>197</v>
      </c>
      <c r="E113" s="208">
        <f>'[4]E-PLN-1'!N115-2</f>
        <v>9429210.0199999996</v>
      </c>
      <c r="F113" s="208">
        <f>-'[4]PLE-2'!F17</f>
        <v>-1445402</v>
      </c>
      <c r="G113" s="208">
        <f t="shared" ref="G113:G124" si="70">F113+E113</f>
        <v>7983808.0199999996</v>
      </c>
      <c r="H113" s="293">
        <f t="shared" ref="H113:H124" si="71">ROUND(IF($B113="a",G113*H$5,G113*H$6),0)</f>
        <v>36246</v>
      </c>
      <c r="I113" s="208">
        <f t="shared" ref="I113:I124" si="72">G113+H113</f>
        <v>8020054.0199999996</v>
      </c>
      <c r="J113" s="293">
        <f t="shared" ref="J113:J124" si="73">ROUND(IF($B113="a",I113*J$5,I113*J$6),0)</f>
        <v>240602</v>
      </c>
      <c r="K113" s="208">
        <f t="shared" ref="K113:K124" si="74">I113+J113</f>
        <v>8260656.0199999996</v>
      </c>
      <c r="L113" s="293">
        <f t="shared" ref="L113:L124" si="75">ROUND(IF($B113="a",K113*L$5,K113*L$6),0)</f>
        <v>33869</v>
      </c>
      <c r="M113" s="208">
        <f t="shared" ref="M113:M124" si="76">K113+L113</f>
        <v>8294525.0199999996</v>
      </c>
      <c r="N113" s="208">
        <f t="shared" ref="N113:N124" si="77">H113+J113+L113</f>
        <v>310717</v>
      </c>
      <c r="O113" s="208">
        <f>'PLE-4'!G35</f>
        <v>816522</v>
      </c>
      <c r="P113" s="208">
        <f t="shared" ref="P113:P124" si="78">M113+O113</f>
        <v>9111047.0199999996</v>
      </c>
      <c r="Q113" s="294"/>
      <c r="R113" s="303">
        <f t="shared" ref="R113:R124" si="79">O113+F113</f>
        <v>-628880</v>
      </c>
      <c r="S113" s="208">
        <f t="shared" ref="S113:S124" si="80">ROUND($S$130*E113/E$127,0)</f>
        <v>404604</v>
      </c>
      <c r="T113" s="208">
        <f t="shared" ref="T113:T124" si="81">ROUND($T$130*E113/E$127,0)</f>
        <v>422924</v>
      </c>
    </row>
    <row r="114" spans="2:20">
      <c r="B114" s="45" t="s">
        <v>61</v>
      </c>
      <c r="C114" s="292">
        <v>921</v>
      </c>
      <c r="D114" s="292" t="s">
        <v>198</v>
      </c>
      <c r="E114" s="208">
        <f>'[4]E-PLN-1'!N116</f>
        <v>33229.980000000003</v>
      </c>
      <c r="F114" s="208"/>
      <c r="G114" s="208">
        <f t="shared" si="70"/>
        <v>33229.980000000003</v>
      </c>
      <c r="H114" s="293">
        <f t="shared" si="71"/>
        <v>151</v>
      </c>
      <c r="I114" s="208">
        <f t="shared" si="72"/>
        <v>33380.980000000003</v>
      </c>
      <c r="J114" s="293">
        <f t="shared" si="73"/>
        <v>1001</v>
      </c>
      <c r="K114" s="208">
        <f t="shared" si="74"/>
        <v>34381.980000000003</v>
      </c>
      <c r="L114" s="293">
        <f t="shared" si="75"/>
        <v>141</v>
      </c>
      <c r="M114" s="208">
        <f t="shared" si="76"/>
        <v>34522.980000000003</v>
      </c>
      <c r="N114" s="208">
        <f t="shared" si="77"/>
        <v>1293</v>
      </c>
      <c r="O114" s="208"/>
      <c r="P114" s="208">
        <f t="shared" si="78"/>
        <v>34522.980000000003</v>
      </c>
      <c r="Q114" s="294"/>
      <c r="R114" s="208">
        <f t="shared" si="79"/>
        <v>0</v>
      </c>
      <c r="S114" s="208">
        <f t="shared" si="80"/>
        <v>1426</v>
      </c>
      <c r="T114" s="208">
        <f t="shared" si="81"/>
        <v>1490</v>
      </c>
    </row>
    <row r="115" spans="2:20">
      <c r="C115" s="292">
        <v>922</v>
      </c>
      <c r="D115" s="292"/>
      <c r="E115" s="208">
        <f>'[4]E-PLN-1'!N117</f>
        <v>3143.73</v>
      </c>
      <c r="F115" s="208"/>
      <c r="G115" s="208">
        <f>F115+E115</f>
        <v>3143.73</v>
      </c>
      <c r="H115" s="293">
        <f>ROUND(IF($B115="a",G115*H$5,G115*H$6),0)</f>
        <v>22</v>
      </c>
      <c r="I115" s="208">
        <f>G115+H115</f>
        <v>3165.73</v>
      </c>
      <c r="J115" s="293">
        <f>ROUND(IF($B115="a",I115*J$5,I115*J$6),0)</f>
        <v>95</v>
      </c>
      <c r="K115" s="208">
        <f>I115+J115</f>
        <v>3260.73</v>
      </c>
      <c r="L115" s="293">
        <f>ROUND(IF($B115="a",K115*L$5,K115*L$6),0)</f>
        <v>23</v>
      </c>
      <c r="M115" s="208">
        <f t="shared" si="76"/>
        <v>3283.73</v>
      </c>
      <c r="N115" s="208">
        <f t="shared" si="77"/>
        <v>140</v>
      </c>
      <c r="O115" s="208"/>
      <c r="P115" s="208">
        <f>M115+O115</f>
        <v>3283.73</v>
      </c>
      <c r="Q115" s="294"/>
      <c r="R115" s="208">
        <f t="shared" si="79"/>
        <v>0</v>
      </c>
      <c r="S115" s="208">
        <f t="shared" si="80"/>
        <v>135</v>
      </c>
      <c r="T115" s="208">
        <f t="shared" si="81"/>
        <v>141</v>
      </c>
    </row>
    <row r="116" spans="2:20">
      <c r="B116" s="45" t="s">
        <v>61</v>
      </c>
      <c r="C116" s="292">
        <v>923</v>
      </c>
      <c r="D116" s="292" t="s">
        <v>199</v>
      </c>
      <c r="E116" s="208">
        <f>'[4]E-PLN-1'!N118</f>
        <v>1848.48</v>
      </c>
      <c r="F116" s="208"/>
      <c r="G116" s="208">
        <f t="shared" si="70"/>
        <v>1848.48</v>
      </c>
      <c r="H116" s="293">
        <f t="shared" si="71"/>
        <v>8</v>
      </c>
      <c r="I116" s="208">
        <f t="shared" si="72"/>
        <v>1856.48</v>
      </c>
      <c r="J116" s="293">
        <f t="shared" si="73"/>
        <v>56</v>
      </c>
      <c r="K116" s="208">
        <f t="shared" si="74"/>
        <v>1912.48</v>
      </c>
      <c r="L116" s="293">
        <f t="shared" si="75"/>
        <v>8</v>
      </c>
      <c r="M116" s="208">
        <f t="shared" si="76"/>
        <v>1920.48</v>
      </c>
      <c r="N116" s="208">
        <f t="shared" si="77"/>
        <v>72</v>
      </c>
      <c r="O116" s="208"/>
      <c r="P116" s="208">
        <f t="shared" si="78"/>
        <v>1920.48</v>
      </c>
      <c r="Q116" s="294"/>
      <c r="R116" s="208">
        <f t="shared" si="79"/>
        <v>0</v>
      </c>
      <c r="S116" s="208">
        <f t="shared" si="80"/>
        <v>79</v>
      </c>
      <c r="T116" s="208">
        <f t="shared" si="81"/>
        <v>83</v>
      </c>
    </row>
    <row r="117" spans="2:20">
      <c r="B117" s="45" t="s">
        <v>61</v>
      </c>
      <c r="C117" s="292">
        <v>924</v>
      </c>
      <c r="D117" s="292" t="s">
        <v>200</v>
      </c>
      <c r="E117" s="208">
        <f>'[4]E-PLN-1'!N119</f>
        <v>0</v>
      </c>
      <c r="F117" s="208"/>
      <c r="G117" s="208">
        <f t="shared" si="70"/>
        <v>0</v>
      </c>
      <c r="H117" s="293">
        <f t="shared" si="71"/>
        <v>0</v>
      </c>
      <c r="I117" s="208">
        <f t="shared" si="72"/>
        <v>0</v>
      </c>
      <c r="J117" s="293">
        <f t="shared" si="73"/>
        <v>0</v>
      </c>
      <c r="K117" s="208">
        <f t="shared" si="74"/>
        <v>0</v>
      </c>
      <c r="L117" s="293">
        <f t="shared" si="75"/>
        <v>0</v>
      </c>
      <c r="M117" s="208">
        <f t="shared" si="76"/>
        <v>0</v>
      </c>
      <c r="N117" s="208">
        <f t="shared" si="77"/>
        <v>0</v>
      </c>
      <c r="O117" s="208"/>
      <c r="P117" s="208">
        <f t="shared" si="78"/>
        <v>0</v>
      </c>
      <c r="Q117" s="294"/>
      <c r="R117" s="208">
        <f t="shared" si="79"/>
        <v>0</v>
      </c>
      <c r="S117" s="208">
        <f t="shared" si="80"/>
        <v>0</v>
      </c>
      <c r="T117" s="208">
        <f t="shared" si="81"/>
        <v>0</v>
      </c>
    </row>
    <row r="118" spans="2:20">
      <c r="B118" s="45" t="s">
        <v>61</v>
      </c>
      <c r="C118" s="292">
        <v>925</v>
      </c>
      <c r="D118" s="292" t="s">
        <v>201</v>
      </c>
      <c r="E118" s="208">
        <f>'[4]E-PLN-1'!N120</f>
        <v>215921.03</v>
      </c>
      <c r="F118" s="208"/>
      <c r="G118" s="208">
        <f t="shared" si="70"/>
        <v>215921.03</v>
      </c>
      <c r="H118" s="293">
        <f t="shared" si="71"/>
        <v>980</v>
      </c>
      <c r="I118" s="208">
        <f t="shared" si="72"/>
        <v>216901.03</v>
      </c>
      <c r="J118" s="293">
        <f t="shared" si="73"/>
        <v>6507</v>
      </c>
      <c r="K118" s="208">
        <f t="shared" si="74"/>
        <v>223408.03</v>
      </c>
      <c r="L118" s="293">
        <f t="shared" si="75"/>
        <v>916</v>
      </c>
      <c r="M118" s="208">
        <f t="shared" si="76"/>
        <v>224324.03</v>
      </c>
      <c r="N118" s="208">
        <f t="shared" si="77"/>
        <v>8403</v>
      </c>
      <c r="O118" s="208"/>
      <c r="P118" s="208">
        <f t="shared" si="78"/>
        <v>224324.03</v>
      </c>
      <c r="Q118" s="294"/>
      <c r="R118" s="208">
        <f t="shared" si="79"/>
        <v>0</v>
      </c>
      <c r="S118" s="208">
        <f t="shared" si="80"/>
        <v>9265</v>
      </c>
      <c r="T118" s="208">
        <f t="shared" si="81"/>
        <v>9685</v>
      </c>
    </row>
    <row r="119" spans="2:20">
      <c r="B119" s="45" t="s">
        <v>61</v>
      </c>
      <c r="C119" s="292">
        <v>926</v>
      </c>
      <c r="D119" s="292" t="s">
        <v>202</v>
      </c>
      <c r="E119" s="208">
        <f>'[4]E-PLN-1'!N121</f>
        <v>0</v>
      </c>
      <c r="F119" s="208"/>
      <c r="G119" s="208">
        <f>F119+E119</f>
        <v>0</v>
      </c>
      <c r="H119" s="293">
        <f>ROUND(IF($B119="a",G119*H$5,G119*H$6),0)</f>
        <v>0</v>
      </c>
      <c r="I119" s="208">
        <f>G119+H119</f>
        <v>0</v>
      </c>
      <c r="J119" s="293">
        <f>ROUND(IF($B119="a",I119*J$5,I119*J$6),0)</f>
        <v>0</v>
      </c>
      <c r="K119" s="208">
        <f>I119+J119</f>
        <v>0</v>
      </c>
      <c r="L119" s="293">
        <f>ROUND(IF($B119="a",K119*L$5,K119*L$6),0)</f>
        <v>0</v>
      </c>
      <c r="M119" s="208">
        <f t="shared" si="76"/>
        <v>0</v>
      </c>
      <c r="N119" s="208">
        <f t="shared" si="77"/>
        <v>0</v>
      </c>
      <c r="O119" s="208"/>
      <c r="P119" s="208">
        <f t="shared" si="78"/>
        <v>0</v>
      </c>
      <c r="Q119" s="294"/>
      <c r="R119" s="208">
        <f t="shared" si="79"/>
        <v>0</v>
      </c>
      <c r="S119" s="208">
        <f t="shared" si="80"/>
        <v>0</v>
      </c>
      <c r="T119" s="208">
        <f t="shared" si="81"/>
        <v>0</v>
      </c>
    </row>
    <row r="120" spans="2:20">
      <c r="B120" s="45" t="s">
        <v>61</v>
      </c>
      <c r="C120" s="292">
        <v>927</v>
      </c>
      <c r="D120" s="292" t="s">
        <v>203</v>
      </c>
      <c r="E120" s="208">
        <f>'[4]E-PLN-1'!N122</f>
        <v>0</v>
      </c>
      <c r="F120" s="208"/>
      <c r="G120" s="208">
        <f>F120+E120</f>
        <v>0</v>
      </c>
      <c r="H120" s="293">
        <f>ROUND(IF($B120="a",G120*H$5,G120*H$6),0)</f>
        <v>0</v>
      </c>
      <c r="I120" s="208">
        <f>G120+H120</f>
        <v>0</v>
      </c>
      <c r="J120" s="293">
        <f>ROUND(IF($B120="a",I120*J$5,I120*J$6),0)</f>
        <v>0</v>
      </c>
      <c r="K120" s="208">
        <f>I120+J120</f>
        <v>0</v>
      </c>
      <c r="L120" s="293">
        <f>ROUND(IF($B120="a",K120*L$5,K120*L$6),0)</f>
        <v>0</v>
      </c>
      <c r="M120" s="208">
        <f t="shared" si="76"/>
        <v>0</v>
      </c>
      <c r="N120" s="208">
        <f t="shared" si="77"/>
        <v>0</v>
      </c>
      <c r="O120" s="208"/>
      <c r="P120" s="208">
        <f t="shared" si="78"/>
        <v>0</v>
      </c>
      <c r="Q120" s="294"/>
      <c r="R120" s="208">
        <f t="shared" si="79"/>
        <v>0</v>
      </c>
      <c r="S120" s="208">
        <f t="shared" si="80"/>
        <v>0</v>
      </c>
      <c r="T120" s="208">
        <f t="shared" si="81"/>
        <v>0</v>
      </c>
    </row>
    <row r="121" spans="2:20">
      <c r="B121" s="45" t="s">
        <v>61</v>
      </c>
      <c r="C121" s="292">
        <v>928</v>
      </c>
      <c r="D121" s="292" t="s">
        <v>204</v>
      </c>
      <c r="E121" s="208">
        <f>'[4]E-PLN-1'!N123</f>
        <v>652108.87</v>
      </c>
      <c r="F121" s="208"/>
      <c r="G121" s="208">
        <f t="shared" si="70"/>
        <v>652108.87</v>
      </c>
      <c r="H121" s="293">
        <f t="shared" si="71"/>
        <v>2961</v>
      </c>
      <c r="I121" s="208">
        <f t="shared" si="72"/>
        <v>655069.87</v>
      </c>
      <c r="J121" s="293">
        <f t="shared" si="73"/>
        <v>19652</v>
      </c>
      <c r="K121" s="208">
        <f t="shared" si="74"/>
        <v>674721.87</v>
      </c>
      <c r="L121" s="293">
        <f t="shared" si="75"/>
        <v>2766</v>
      </c>
      <c r="M121" s="208">
        <f t="shared" si="76"/>
        <v>677487.87</v>
      </c>
      <c r="N121" s="208">
        <f t="shared" si="77"/>
        <v>25379</v>
      </c>
      <c r="O121" s="208"/>
      <c r="P121" s="208">
        <f>M121+O121</f>
        <v>677487.87</v>
      </c>
      <c r="Q121" s="294"/>
      <c r="R121" s="208">
        <f t="shared" si="79"/>
        <v>0</v>
      </c>
      <c r="S121" s="208">
        <f t="shared" si="80"/>
        <v>27982</v>
      </c>
      <c r="T121" s="208">
        <f t="shared" si="81"/>
        <v>29249</v>
      </c>
    </row>
    <row r="122" spans="2:20">
      <c r="B122" s="45" t="s">
        <v>61</v>
      </c>
      <c r="C122" s="292">
        <v>930</v>
      </c>
      <c r="D122" s="292" t="s">
        <v>205</v>
      </c>
      <c r="E122" s="208">
        <f>'[4]E-PLN-1'!N124</f>
        <v>115086.76</v>
      </c>
      <c r="F122" s="208">
        <f>-'[4]PLE-2'!F18</f>
        <v>-3145</v>
      </c>
      <c r="G122" s="208">
        <f t="shared" si="70"/>
        <v>111941.75999999999</v>
      </c>
      <c r="H122" s="293">
        <f t="shared" si="71"/>
        <v>508</v>
      </c>
      <c r="I122" s="208">
        <f t="shared" si="72"/>
        <v>112449.76</v>
      </c>
      <c r="J122" s="293">
        <f t="shared" si="73"/>
        <v>3373</v>
      </c>
      <c r="K122" s="208">
        <f t="shared" si="74"/>
        <v>115822.76</v>
      </c>
      <c r="L122" s="293">
        <f t="shared" si="75"/>
        <v>475</v>
      </c>
      <c r="M122" s="208">
        <f t="shared" si="76"/>
        <v>116297.76</v>
      </c>
      <c r="N122" s="208">
        <f t="shared" si="77"/>
        <v>4356</v>
      </c>
      <c r="O122" s="208"/>
      <c r="P122" s="208">
        <f t="shared" si="78"/>
        <v>116297.76</v>
      </c>
      <c r="Q122" s="294"/>
      <c r="R122" s="208">
        <f t="shared" si="79"/>
        <v>-3145</v>
      </c>
      <c r="S122" s="208">
        <f t="shared" si="80"/>
        <v>4938</v>
      </c>
      <c r="T122" s="208">
        <f t="shared" si="81"/>
        <v>5162</v>
      </c>
    </row>
    <row r="123" spans="2:20">
      <c r="B123" s="45" t="s">
        <v>61</v>
      </c>
      <c r="C123" s="292">
        <v>931</v>
      </c>
      <c r="D123" s="292" t="s">
        <v>206</v>
      </c>
      <c r="E123" s="208">
        <f>'[4]E-PLN-1'!N125</f>
        <v>0</v>
      </c>
      <c r="F123" s="208"/>
      <c r="G123" s="208">
        <f t="shared" si="70"/>
        <v>0</v>
      </c>
      <c r="H123" s="293">
        <f t="shared" si="71"/>
        <v>0</v>
      </c>
      <c r="I123" s="208">
        <f t="shared" si="72"/>
        <v>0</v>
      </c>
      <c r="J123" s="293">
        <f t="shared" si="73"/>
        <v>0</v>
      </c>
      <c r="K123" s="208">
        <f t="shared" si="74"/>
        <v>0</v>
      </c>
      <c r="L123" s="293">
        <f t="shared" si="75"/>
        <v>0</v>
      </c>
      <c r="M123" s="208">
        <f t="shared" si="76"/>
        <v>0</v>
      </c>
      <c r="N123" s="208">
        <f t="shared" si="77"/>
        <v>0</v>
      </c>
      <c r="O123" s="208"/>
      <c r="P123" s="208">
        <f t="shared" si="78"/>
        <v>0</v>
      </c>
      <c r="Q123" s="294"/>
      <c r="R123" s="208">
        <f t="shared" si="79"/>
        <v>0</v>
      </c>
      <c r="S123" s="208">
        <f t="shared" si="80"/>
        <v>0</v>
      </c>
      <c r="T123" s="208">
        <f t="shared" si="81"/>
        <v>0</v>
      </c>
    </row>
    <row r="124" spans="2:20">
      <c r="C124" s="292">
        <v>935</v>
      </c>
      <c r="D124" s="292" t="s">
        <v>207</v>
      </c>
      <c r="E124" s="208">
        <f>'[4]E-PLN-1'!N126</f>
        <v>930293.9</v>
      </c>
      <c r="F124" s="208"/>
      <c r="G124" s="208">
        <f t="shared" si="70"/>
        <v>930293.9</v>
      </c>
      <c r="H124" s="301">
        <f t="shared" si="71"/>
        <v>6503</v>
      </c>
      <c r="I124" s="208">
        <f t="shared" si="72"/>
        <v>936796.9</v>
      </c>
      <c r="J124" s="301">
        <f t="shared" si="73"/>
        <v>28104</v>
      </c>
      <c r="K124" s="208">
        <f t="shared" si="74"/>
        <v>964900.9</v>
      </c>
      <c r="L124" s="301">
        <f t="shared" si="75"/>
        <v>6831</v>
      </c>
      <c r="M124" s="208">
        <f t="shared" si="76"/>
        <v>971731.9</v>
      </c>
      <c r="N124" s="208">
        <f t="shared" si="77"/>
        <v>41438</v>
      </c>
      <c r="O124" s="208"/>
      <c r="P124" s="208">
        <f t="shared" si="78"/>
        <v>971731.9</v>
      </c>
      <c r="Q124" s="294"/>
      <c r="R124" s="208">
        <f t="shared" si="79"/>
        <v>0</v>
      </c>
      <c r="S124" s="208">
        <f t="shared" si="80"/>
        <v>39919</v>
      </c>
      <c r="T124" s="208">
        <f t="shared" si="81"/>
        <v>41726</v>
      </c>
    </row>
    <row r="125" spans="2:20">
      <c r="C125" s="157" t="s">
        <v>208</v>
      </c>
      <c r="D125" s="157"/>
      <c r="E125" s="312">
        <f t="shared" ref="E125:S125" si="82">SUM(E113:E124)</f>
        <v>11380842.77</v>
      </c>
      <c r="F125" s="312">
        <f t="shared" si="82"/>
        <v>-1448547</v>
      </c>
      <c r="G125" s="312">
        <f t="shared" si="82"/>
        <v>9932295.7700000014</v>
      </c>
      <c r="H125" s="312">
        <f t="shared" si="82"/>
        <v>47379</v>
      </c>
      <c r="I125" s="312">
        <f t="shared" si="82"/>
        <v>9979674.7700000014</v>
      </c>
      <c r="J125" s="312">
        <f t="shared" si="82"/>
        <v>299390</v>
      </c>
      <c r="K125" s="312">
        <f t="shared" si="82"/>
        <v>10279064.77</v>
      </c>
      <c r="L125" s="312">
        <f>SUM(L113:L124)</f>
        <v>45029</v>
      </c>
      <c r="M125" s="312">
        <f>SUM(M113:M124)</f>
        <v>10324093.77</v>
      </c>
      <c r="N125" s="312">
        <f t="shared" si="82"/>
        <v>391798</v>
      </c>
      <c r="O125" s="312">
        <f t="shared" si="82"/>
        <v>816522</v>
      </c>
      <c r="P125" s="312">
        <f t="shared" si="82"/>
        <v>11140615.77</v>
      </c>
      <c r="Q125" s="294"/>
      <c r="R125" s="312">
        <f t="shared" si="82"/>
        <v>-632025</v>
      </c>
      <c r="S125" s="312">
        <f t="shared" si="82"/>
        <v>488348</v>
      </c>
      <c r="T125" s="312">
        <f>SUM(T113:T124)</f>
        <v>510460</v>
      </c>
    </row>
    <row r="126" spans="2:20" ht="13.5" thickBot="1">
      <c r="C126" s="157"/>
      <c r="D126" s="157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94"/>
      <c r="R126" s="208"/>
      <c r="S126" s="208"/>
      <c r="T126" s="208"/>
    </row>
    <row r="127" spans="2:20" ht="14.25" thickTop="1" thickBot="1">
      <c r="C127" s="157" t="s">
        <v>209</v>
      </c>
      <c r="D127" s="157"/>
      <c r="E127" s="312">
        <f t="shared" ref="E127:O127" si="83">E125+E110+E103+E96+E89+E67+E51</f>
        <v>37588313.109999999</v>
      </c>
      <c r="F127" s="312">
        <f t="shared" si="83"/>
        <v>-1560147</v>
      </c>
      <c r="G127" s="312">
        <f t="shared" si="83"/>
        <v>36028166.109999999</v>
      </c>
      <c r="H127" s="312">
        <f t="shared" si="83"/>
        <v>205546</v>
      </c>
      <c r="I127" s="312">
        <f t="shared" si="83"/>
        <v>36233712.109999999</v>
      </c>
      <c r="J127" s="312">
        <f t="shared" si="83"/>
        <v>1087013</v>
      </c>
      <c r="K127" s="312">
        <f t="shared" si="83"/>
        <v>37320725.109999999</v>
      </c>
      <c r="L127" s="312">
        <f>L125+L110+L103+L96+L89+L67+L51</f>
        <v>205973</v>
      </c>
      <c r="M127" s="312">
        <f>M125+M110+M103+M96+M89+M67+M51</f>
        <v>37526698.109999999</v>
      </c>
      <c r="N127" s="314">
        <f t="shared" si="83"/>
        <v>1498532</v>
      </c>
      <c r="O127" s="312">
        <f t="shared" si="83"/>
        <v>880677</v>
      </c>
      <c r="P127" s="312">
        <f>P125+P110+P103+P96+P89+P67+P51</f>
        <v>38407375.109999999</v>
      </c>
      <c r="Q127" s="294"/>
      <c r="R127" s="315">
        <f>R125+R110+R103+R96+R89+R67+R51</f>
        <v>-679470</v>
      </c>
      <c r="S127" s="315">
        <f>S125+S110+S103+S96+S89+S67+S51</f>
        <v>1612900</v>
      </c>
      <c r="T127" s="315">
        <f>T125+T110+T103+T96+T89+T67+T51</f>
        <v>1685930</v>
      </c>
    </row>
    <row r="128" spans="2:20" s="55" customFormat="1" ht="13.5" thickTop="1">
      <c r="C128" s="171"/>
      <c r="D128" s="171"/>
      <c r="E128" s="306" t="s">
        <v>210</v>
      </c>
      <c r="F128" s="306" t="s">
        <v>211</v>
      </c>
      <c r="G128" s="171"/>
      <c r="H128" s="171"/>
      <c r="I128" s="171"/>
      <c r="J128" s="171"/>
      <c r="K128" s="171"/>
      <c r="L128" s="171"/>
      <c r="M128" s="171"/>
      <c r="N128" s="309"/>
      <c r="O128" s="309" t="s">
        <v>212</v>
      </c>
      <c r="P128" s="171"/>
      <c r="Q128" s="166"/>
      <c r="R128" s="309"/>
      <c r="S128" s="309" t="s">
        <v>213</v>
      </c>
      <c r="T128" s="309" t="s">
        <v>213</v>
      </c>
    </row>
    <row r="129" spans="3:20">
      <c r="C129" s="157"/>
      <c r="D129" s="157"/>
      <c r="E129" s="157"/>
      <c r="F129" s="157"/>
      <c r="G129" s="316"/>
      <c r="H129" s="157"/>
      <c r="I129" s="157"/>
      <c r="J129" s="157"/>
      <c r="K129" s="157"/>
      <c r="L129" s="157"/>
      <c r="M129" s="157"/>
      <c r="N129" s="157"/>
      <c r="O129" s="318"/>
      <c r="P129" s="318"/>
      <c r="Q129" s="319"/>
      <c r="R129" s="318"/>
      <c r="S129" s="309"/>
      <c r="T129" s="309"/>
    </row>
    <row r="130" spans="3:20">
      <c r="D130" s="56"/>
      <c r="E130" s="51">
        <f>'[4]E-PLN-1'!N129</f>
        <v>37588315.109999999</v>
      </c>
      <c r="F130" s="51">
        <f>'[4]PLE-2'!F22</f>
        <v>1560147</v>
      </c>
      <c r="N130" s="57">
        <f>L127+J127+H127</f>
        <v>1498532</v>
      </c>
      <c r="O130" s="57">
        <f>'PLE-4'!G38</f>
        <v>880677</v>
      </c>
      <c r="P130" s="57">
        <f>M127+O127</f>
        <v>38407375.109999999</v>
      </c>
      <c r="Q130" s="58"/>
      <c r="R130" s="57">
        <f>O130-F130</f>
        <v>-679470</v>
      </c>
      <c r="S130" s="59">
        <f>'[4]PEB-1'!G15</f>
        <v>1612901</v>
      </c>
      <c r="T130" s="60">
        <f>'[4]PEB-1'!H15</f>
        <v>1685930</v>
      </c>
    </row>
    <row r="131" spans="3:20">
      <c r="P131" s="51">
        <f>P130-P127</f>
        <v>0</v>
      </c>
    </row>
  </sheetData>
  <pageMargins left="0.7" right="0.7" top="0.75" bottom="0.75" header="0.3" footer="0.3"/>
  <pageSetup scale="50" fitToHeight="0" orientation="landscape" r:id="rId1"/>
  <headerFooter>
    <oddHeader>&amp;RExhibit No. ___ (JH-6)
Dockets UE-120436 &amp;&amp; UG-120437
Page &amp;P of &amp;N</oddHeader>
  </headerFooter>
  <rowBreaks count="1" manualBreakCount="1">
    <brk id="67" min="2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39"/>
  <sheetViews>
    <sheetView view="pageBreakPreview" topLeftCell="H1" zoomScaleNormal="100" zoomScaleSheetLayoutView="100" workbookViewId="0">
      <selection activeCell="L46" sqref="L46"/>
    </sheetView>
  </sheetViews>
  <sheetFormatPr defaultColWidth="9.33203125" defaultRowHeight="12.75"/>
  <cols>
    <col min="1" max="1" width="2.33203125" style="45" customWidth="1"/>
    <col min="2" max="2" width="3" style="45" customWidth="1"/>
    <col min="3" max="3" width="5.5" style="62" customWidth="1"/>
    <col min="4" max="4" width="33.5" style="62" customWidth="1"/>
    <col min="5" max="5" width="13.5" style="45" bestFit="1" customWidth="1"/>
    <col min="6" max="6" width="12.1640625" style="45" bestFit="1" customWidth="1"/>
    <col min="7" max="7" width="14.33203125" style="45" bestFit="1" customWidth="1"/>
    <col min="8" max="8" width="17.5" style="45" bestFit="1" customWidth="1"/>
    <col min="9" max="9" width="14" style="45" customWidth="1"/>
    <col min="10" max="10" width="17.5" style="45" bestFit="1" customWidth="1"/>
    <col min="11" max="11" width="14" style="45" customWidth="1"/>
    <col min="12" max="12" width="17.5" style="45" bestFit="1" customWidth="1"/>
    <col min="13" max="13" width="14" style="45" customWidth="1"/>
    <col min="14" max="14" width="17" style="45" customWidth="1"/>
    <col min="15" max="15" width="12.33203125" style="45" customWidth="1"/>
    <col min="16" max="16" width="13.83203125" style="45" customWidth="1"/>
    <col min="17" max="17" width="0.83203125" style="45" customWidth="1"/>
    <col min="18" max="20" width="13.83203125" style="45" customWidth="1"/>
    <col min="21" max="16384" width="9.33203125" style="45"/>
  </cols>
  <sheetData>
    <row r="1" spans="2:20" ht="15.75">
      <c r="C1" s="280" t="s">
        <v>214</v>
      </c>
      <c r="D1" s="281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2:20">
      <c r="C2" s="282" t="s">
        <v>215</v>
      </c>
      <c r="D2" s="282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20">
      <c r="C3" s="282" t="str">
        <f>'PLN-E '!C3</f>
        <v>Twelve Months Ended December 31, 2011</v>
      </c>
      <c r="D3" s="282"/>
      <c r="E3" s="157"/>
      <c r="F3" s="157"/>
      <c r="G3" s="157"/>
      <c r="H3" s="284" t="s">
        <v>108</v>
      </c>
      <c r="I3" s="157"/>
      <c r="J3" s="157" t="s">
        <v>108</v>
      </c>
      <c r="K3" s="157"/>
      <c r="L3" s="284" t="s">
        <v>108</v>
      </c>
      <c r="M3" s="157"/>
      <c r="N3" s="157"/>
      <c r="O3" s="157"/>
      <c r="P3" s="157"/>
      <c r="Q3" s="157"/>
      <c r="R3" s="157"/>
      <c r="S3" s="157"/>
      <c r="T3" s="157"/>
    </row>
    <row r="4" spans="2:20">
      <c r="C4" s="283"/>
      <c r="D4" s="283"/>
      <c r="E4" s="284"/>
      <c r="F4" s="284"/>
      <c r="G4" s="284"/>
      <c r="H4" s="284" t="str">
        <f>'PLN-E '!H4</f>
        <v>2011 Increase</v>
      </c>
      <c r="I4" s="284"/>
      <c r="J4" s="284" t="str">
        <f>'PLN-E '!J4</f>
        <v>2012 Increase</v>
      </c>
      <c r="K4" s="284"/>
      <c r="L4" s="284" t="str">
        <f>'PLN-E '!L4</f>
        <v>2013 Increase</v>
      </c>
      <c r="M4" s="284"/>
      <c r="N4" s="284" t="s">
        <v>112</v>
      </c>
      <c r="O4" s="284" t="s">
        <v>113</v>
      </c>
      <c r="P4" s="284" t="str">
        <f>'PLN-E '!P4</f>
        <v>Total 2013</v>
      </c>
      <c r="Q4" s="285"/>
      <c r="R4" s="284" t="str">
        <f>'PLN-E '!R4</f>
        <v>Net 2012</v>
      </c>
      <c r="S4" s="284" t="s">
        <v>116</v>
      </c>
      <c r="T4" s="284" t="s">
        <v>117</v>
      </c>
    </row>
    <row r="5" spans="2:20">
      <c r="C5" s="283"/>
      <c r="D5" s="283"/>
      <c r="E5" s="284"/>
      <c r="F5" s="284" t="s">
        <v>118</v>
      </c>
      <c r="G5" s="284" t="s">
        <v>119</v>
      </c>
      <c r="H5" s="302">
        <f>'[4]E-PLN-6'!D32</f>
        <v>4.5399999999999998E-3</v>
      </c>
      <c r="I5" s="284" t="s">
        <v>120</v>
      </c>
      <c r="J5" s="302">
        <f>'[4]E-PLN-6'!D34</f>
        <v>0.03</v>
      </c>
      <c r="K5" s="284" t="s">
        <v>120</v>
      </c>
      <c r="L5" s="302">
        <f>+'[4]E-PLN-6'!E41</f>
        <v>4.1000000000000003E-3</v>
      </c>
      <c r="M5" s="284" t="s">
        <v>120</v>
      </c>
      <c r="N5" s="286" t="str">
        <f>'PLN-E '!N5</f>
        <v>2011,2012,2013</v>
      </c>
      <c r="O5" s="284" t="s">
        <v>59</v>
      </c>
      <c r="P5" s="284" t="s">
        <v>59</v>
      </c>
      <c r="Q5" s="285"/>
      <c r="R5" s="284" t="s">
        <v>122</v>
      </c>
      <c r="S5" s="284" t="s">
        <v>59</v>
      </c>
      <c r="T5" s="284" t="s">
        <v>59</v>
      </c>
    </row>
    <row r="6" spans="2:20">
      <c r="C6" s="287"/>
      <c r="D6" s="287" t="s">
        <v>123</v>
      </c>
      <c r="E6" s="288" t="s">
        <v>124</v>
      </c>
      <c r="F6" s="288" t="s">
        <v>125</v>
      </c>
      <c r="G6" s="288" t="s">
        <v>124</v>
      </c>
      <c r="H6" s="289">
        <f>'[4]E-PLN-6'!D11</f>
        <v>6.9899999999999997E-3</v>
      </c>
      <c r="I6" s="290" t="str">
        <f>'PLN-E '!I6</f>
        <v>2011Increase</v>
      </c>
      <c r="J6" s="289">
        <f>'[4]E-PLN-6'!D13</f>
        <v>0.03</v>
      </c>
      <c r="K6" s="290" t="str">
        <f>'PLN-E '!K6</f>
        <v>2012 Increase</v>
      </c>
      <c r="L6" s="289">
        <f>+'[4]E-PLN-6'!E20</f>
        <v>7.0800000000000004E-3</v>
      </c>
      <c r="M6" s="290" t="str">
        <f>'PLN-E '!M6</f>
        <v>2013 Increase</v>
      </c>
      <c r="N6" s="290" t="s">
        <v>127</v>
      </c>
      <c r="O6" s="290" t="str">
        <f>'PLN-E '!O6</f>
        <v>2013 Exec</v>
      </c>
      <c r="P6" s="290" t="s">
        <v>6</v>
      </c>
      <c r="Q6" s="288"/>
      <c r="R6" s="290" t="s">
        <v>129</v>
      </c>
      <c r="S6" s="290" t="s">
        <v>129</v>
      </c>
      <c r="T6" s="290" t="s">
        <v>129</v>
      </c>
    </row>
    <row r="7" spans="2:20">
      <c r="C7" s="287"/>
      <c r="D7" s="287"/>
      <c r="E7" s="288"/>
      <c r="F7" s="288"/>
      <c r="G7" s="288"/>
      <c r="H7" s="289"/>
      <c r="I7" s="290"/>
      <c r="J7" s="289"/>
      <c r="K7" s="290"/>
      <c r="L7" s="289"/>
      <c r="M7" s="290"/>
      <c r="N7" s="290"/>
      <c r="O7" s="157"/>
      <c r="P7" s="157"/>
      <c r="Q7" s="291"/>
      <c r="R7" s="157"/>
      <c r="S7" s="157"/>
      <c r="T7" s="157"/>
    </row>
    <row r="8" spans="2:20">
      <c r="C8" s="287" t="s">
        <v>130</v>
      </c>
      <c r="D8" s="287"/>
      <c r="E8" s="288"/>
      <c r="F8" s="288"/>
      <c r="G8" s="288"/>
      <c r="H8" s="289"/>
      <c r="I8" s="290"/>
      <c r="J8" s="289"/>
      <c r="K8" s="290"/>
      <c r="L8" s="289"/>
      <c r="M8" s="290"/>
      <c r="N8" s="290"/>
      <c r="O8" s="157"/>
      <c r="P8" s="157"/>
      <c r="Q8" s="291"/>
      <c r="R8" s="157"/>
      <c r="S8" s="157"/>
      <c r="T8" s="157"/>
    </row>
    <row r="9" spans="2:20">
      <c r="B9" s="45" t="s">
        <v>61</v>
      </c>
      <c r="C9" s="292" t="s">
        <v>216</v>
      </c>
      <c r="D9" s="282"/>
      <c r="E9" s="208">
        <f>ROUND('[4]G-PLN-1'!L10,0)</f>
        <v>0</v>
      </c>
      <c r="F9" s="208"/>
      <c r="G9" s="208">
        <f>F9+E9</f>
        <v>0</v>
      </c>
      <c r="H9" s="293">
        <f>ROUND(IF($B9="a",G9*H$5,G9*H$6),0)</f>
        <v>0</v>
      </c>
      <c r="I9" s="208">
        <f>H9+G9</f>
        <v>0</v>
      </c>
      <c r="J9" s="293">
        <f>ROUND(IF($B9="a",I9*J$5,I9*J$6),0)</f>
        <v>0</v>
      </c>
      <c r="K9" s="208">
        <f>J9+I9</f>
        <v>0</v>
      </c>
      <c r="L9" s="293">
        <f>ROUND(IF($B9="a",K9*L$5,K9*L$6),0)</f>
        <v>0</v>
      </c>
      <c r="M9" s="208">
        <f>L9+K9</f>
        <v>0</v>
      </c>
      <c r="N9" s="208">
        <f>+H9+J9+L9</f>
        <v>0</v>
      </c>
      <c r="O9" s="208"/>
      <c r="P9" s="208">
        <f>M9+O9</f>
        <v>0</v>
      </c>
      <c r="Q9" s="294"/>
      <c r="R9" s="208"/>
      <c r="S9" s="208">
        <f>ROUND($S$76*E9/E$73,0)</f>
        <v>0</v>
      </c>
      <c r="T9" s="208">
        <f>ROUND($T$76*E9/E$73,0)</f>
        <v>0</v>
      </c>
    </row>
    <row r="10" spans="2:20" ht="13.5" thickBot="1">
      <c r="B10" s="45" t="s">
        <v>61</v>
      </c>
      <c r="C10" s="292" t="s">
        <v>217</v>
      </c>
      <c r="D10" s="282"/>
      <c r="E10" s="208">
        <f>ROUND('[4]G-PLN-1'!L11,0)</f>
        <v>0</v>
      </c>
      <c r="F10" s="208"/>
      <c r="G10" s="208">
        <f>F10+E10</f>
        <v>0</v>
      </c>
      <c r="H10" s="293">
        <f>ROUND(IF($B10="a",G10*H$5,G10*H$6),0)</f>
        <v>0</v>
      </c>
      <c r="I10" s="208">
        <f>H10+G10</f>
        <v>0</v>
      </c>
      <c r="J10" s="293">
        <f>ROUND(IF($B10="a",I10*J$5,I10*J$6),0)</f>
        <v>0</v>
      </c>
      <c r="K10" s="208">
        <f>J10+I10</f>
        <v>0</v>
      </c>
      <c r="L10" s="293">
        <f>ROUND(IF($B10="a",K10*L$5,K10*L$6),0)</f>
        <v>0</v>
      </c>
      <c r="M10" s="208">
        <f>L10+K10</f>
        <v>0</v>
      </c>
      <c r="N10" s="208">
        <f>+H10+J10+L10</f>
        <v>0</v>
      </c>
      <c r="O10" s="208"/>
      <c r="P10" s="208">
        <f>M10+O10</f>
        <v>0</v>
      </c>
      <c r="Q10" s="294"/>
      <c r="R10" s="208"/>
      <c r="S10" s="208">
        <f>ROUND($S$76*E10/E$73,0)</f>
        <v>0</v>
      </c>
      <c r="T10" s="208">
        <f>ROUND($T$76*E10/E$73,0)</f>
        <v>0</v>
      </c>
    </row>
    <row r="11" spans="2:20" ht="13.5" thickBot="1">
      <c r="B11" s="45" t="s">
        <v>61</v>
      </c>
      <c r="C11" s="292" t="s">
        <v>218</v>
      </c>
      <c r="D11" s="282"/>
      <c r="E11" s="208">
        <f>ROUND('[4]G-PLN-1'!L12,0)</f>
        <v>502423</v>
      </c>
      <c r="F11" s="208">
        <f>-'[4]PLE-2'!H19</f>
        <v>-34686</v>
      </c>
      <c r="G11" s="208">
        <f>F11+E11</f>
        <v>467737</v>
      </c>
      <c r="H11" s="293">
        <f>ROUND(IF($B11="a",G11*H$5,G11*H$6),0)</f>
        <v>2124</v>
      </c>
      <c r="I11" s="208">
        <f>H11+G11</f>
        <v>469861</v>
      </c>
      <c r="J11" s="293">
        <f>ROUND(IF($B11="a",I11*J$5,I11*J$6),0)</f>
        <v>14096</v>
      </c>
      <c r="K11" s="208">
        <f>J11+I11</f>
        <v>483957</v>
      </c>
      <c r="L11" s="293">
        <f>ROUND(IF($B11="a",K11*L$5,K11*L$6),0)</f>
        <v>1984</v>
      </c>
      <c r="M11" s="208">
        <f>L11+K11</f>
        <v>485941</v>
      </c>
      <c r="N11" s="208">
        <f>+H11+J11+L11</f>
        <v>18204</v>
      </c>
      <c r="O11" s="208">
        <f>'PLE-4'!I37</f>
        <v>20788</v>
      </c>
      <c r="P11" s="208">
        <f>M11+O11</f>
        <v>506729</v>
      </c>
      <c r="Q11" s="294"/>
      <c r="R11" s="303">
        <f>O11+F11</f>
        <v>-13898</v>
      </c>
      <c r="S11" s="208">
        <f>ROUND($S$76*E11/E$73,0)</f>
        <v>21558</v>
      </c>
      <c r="T11" s="208">
        <f>ROUND($T$76*E11/E$73,0)</f>
        <v>22534</v>
      </c>
    </row>
    <row r="12" spans="2:20">
      <c r="C12" s="287" t="s">
        <v>73</v>
      </c>
      <c r="D12" s="287"/>
      <c r="E12" s="295">
        <f>SUM(E9:E11)</f>
        <v>502423</v>
      </c>
      <c r="F12" s="295">
        <f t="shared" ref="F12:N12" si="0">SUM(F9:F11)</f>
        <v>-34686</v>
      </c>
      <c r="G12" s="295">
        <f t="shared" si="0"/>
        <v>467737</v>
      </c>
      <c r="H12" s="295">
        <f t="shared" si="0"/>
        <v>2124</v>
      </c>
      <c r="I12" s="295">
        <f t="shared" si="0"/>
        <v>469861</v>
      </c>
      <c r="J12" s="295">
        <f t="shared" si="0"/>
        <v>14096</v>
      </c>
      <c r="K12" s="295">
        <f t="shared" si="0"/>
        <v>483957</v>
      </c>
      <c r="L12" s="295">
        <f>SUM(L9:L11)</f>
        <v>1984</v>
      </c>
      <c r="M12" s="295">
        <f>SUM(M9:M11)</f>
        <v>485941</v>
      </c>
      <c r="N12" s="295">
        <f t="shared" si="0"/>
        <v>18204</v>
      </c>
      <c r="O12" s="295">
        <f>SUM(O6:O11)</f>
        <v>20788</v>
      </c>
      <c r="P12" s="295">
        <f>SUM(P6:P11)</f>
        <v>506729</v>
      </c>
      <c r="Q12" s="296"/>
      <c r="R12" s="297">
        <f>SUM(R6:R11)</f>
        <v>-13898</v>
      </c>
      <c r="S12" s="295">
        <f>SUM(S6:S11)</f>
        <v>21558</v>
      </c>
      <c r="T12" s="295">
        <f>SUM(T6:T11)</f>
        <v>22534</v>
      </c>
    </row>
    <row r="13" spans="2:20">
      <c r="C13" s="287"/>
      <c r="D13" s="287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6"/>
      <c r="R13" s="298"/>
      <c r="S13" s="298"/>
      <c r="T13" s="298"/>
    </row>
    <row r="14" spans="2:20">
      <c r="C14" s="287" t="s">
        <v>74</v>
      </c>
      <c r="D14" s="287"/>
      <c r="E14" s="298"/>
      <c r="F14" s="298"/>
      <c r="G14" s="298"/>
      <c r="H14" s="299"/>
      <c r="I14" s="294"/>
      <c r="J14" s="299"/>
      <c r="K14" s="294"/>
      <c r="L14" s="299"/>
      <c r="M14" s="294"/>
      <c r="N14" s="294"/>
      <c r="O14" s="294"/>
      <c r="P14" s="294"/>
      <c r="Q14" s="294"/>
      <c r="R14" s="294"/>
      <c r="S14" s="294"/>
      <c r="T14" s="294"/>
    </row>
    <row r="15" spans="2:20">
      <c r="B15" s="45" t="s">
        <v>61</v>
      </c>
      <c r="C15" s="292" t="s">
        <v>219</v>
      </c>
      <c r="D15" s="282"/>
      <c r="E15" s="208">
        <f>ROUND('[4]G-PLN-1'!L16,0)</f>
        <v>4757</v>
      </c>
      <c r="F15" s="208"/>
      <c r="G15" s="208">
        <f>F15+E15</f>
        <v>4757</v>
      </c>
      <c r="H15" s="293">
        <f>ROUND(IF($B15="a",G15*H$5,G15*H$6),0)</f>
        <v>22</v>
      </c>
      <c r="I15" s="208">
        <f>H15+G15</f>
        <v>4779</v>
      </c>
      <c r="J15" s="293">
        <f>ROUND(IF($B15="a",I15*J$5,I15*J$6),0)</f>
        <v>143</v>
      </c>
      <c r="K15" s="208">
        <f>J15+I15</f>
        <v>4922</v>
      </c>
      <c r="L15" s="293">
        <f>ROUND(IF($B15="a",K15*L$5,K15*L$6),0)</f>
        <v>20</v>
      </c>
      <c r="M15" s="208">
        <f>L15+K15</f>
        <v>4942</v>
      </c>
      <c r="N15" s="208">
        <f>+H15+J15+L15</f>
        <v>185</v>
      </c>
      <c r="O15" s="294"/>
      <c r="P15" s="208">
        <f>M15+O15</f>
        <v>4942</v>
      </c>
      <c r="Q15" s="294"/>
      <c r="R15" s="294">
        <f>O15+F15</f>
        <v>0</v>
      </c>
      <c r="S15" s="208">
        <f>ROUND($S$76*E15/E$73,0)</f>
        <v>204</v>
      </c>
      <c r="T15" s="208">
        <f>ROUND($T$76*E15/E$73,0)</f>
        <v>213</v>
      </c>
    </row>
    <row r="16" spans="2:20">
      <c r="C16" s="292" t="s">
        <v>220</v>
      </c>
      <c r="D16" s="282"/>
      <c r="E16" s="208">
        <f>ROUND('[4]G-PLN-1'!L17,0)</f>
        <v>0</v>
      </c>
      <c r="F16" s="208"/>
      <c r="G16" s="208">
        <f>F16+E16</f>
        <v>0</v>
      </c>
      <c r="H16" s="208">
        <f>ROUND(IF($B16="a",G16*H$5,G16*H$6),0)</f>
        <v>0</v>
      </c>
      <c r="I16" s="208">
        <f>H16+G16</f>
        <v>0</v>
      </c>
      <c r="J16" s="208">
        <f>ROUND(IF($B16="a",I16*J$5,I16*J$6),0)</f>
        <v>0</v>
      </c>
      <c r="K16" s="208">
        <f>J16+I16</f>
        <v>0</v>
      </c>
      <c r="L16" s="208">
        <f>ROUND(IF($B16="a",K16*L$5,K16*L$6),0)</f>
        <v>0</v>
      </c>
      <c r="M16" s="208">
        <f>L16+K16</f>
        <v>0</v>
      </c>
      <c r="N16" s="208">
        <f>+H16+J16+L16</f>
        <v>0</v>
      </c>
      <c r="O16" s="208"/>
      <c r="P16" s="208">
        <f>M16+O16</f>
        <v>0</v>
      </c>
      <c r="Q16" s="294"/>
      <c r="R16" s="208">
        <f>O16+F16</f>
        <v>0</v>
      </c>
      <c r="S16" s="208">
        <f>ROUND($S$76*E16/E$73,0)</f>
        <v>0</v>
      </c>
      <c r="T16" s="208">
        <f>ROUND($T$76*E16/E$73,0)</f>
        <v>0</v>
      </c>
    </row>
    <row r="17" spans="2:20">
      <c r="C17" s="282" t="s">
        <v>78</v>
      </c>
      <c r="D17" s="282"/>
      <c r="E17" s="295">
        <f t="shared" ref="E17:P17" si="1">SUM(E14:E16)</f>
        <v>4757</v>
      </c>
      <c r="F17" s="295">
        <f t="shared" si="1"/>
        <v>0</v>
      </c>
      <c r="G17" s="295">
        <f t="shared" si="1"/>
        <v>4757</v>
      </c>
      <c r="H17" s="295">
        <f t="shared" si="1"/>
        <v>22</v>
      </c>
      <c r="I17" s="295">
        <f t="shared" si="1"/>
        <v>4779</v>
      </c>
      <c r="J17" s="295">
        <f t="shared" si="1"/>
        <v>143</v>
      </c>
      <c r="K17" s="295">
        <f t="shared" si="1"/>
        <v>4922</v>
      </c>
      <c r="L17" s="295">
        <f t="shared" si="1"/>
        <v>20</v>
      </c>
      <c r="M17" s="295">
        <f t="shared" si="1"/>
        <v>4942</v>
      </c>
      <c r="N17" s="295">
        <f t="shared" si="1"/>
        <v>185</v>
      </c>
      <c r="O17" s="295">
        <f t="shared" si="1"/>
        <v>0</v>
      </c>
      <c r="P17" s="295">
        <f t="shared" si="1"/>
        <v>4942</v>
      </c>
      <c r="Q17" s="296"/>
      <c r="R17" s="295">
        <f>SUM(R14:R16)</f>
        <v>0</v>
      </c>
      <c r="S17" s="295">
        <f>SUM(S14:S16)</f>
        <v>204</v>
      </c>
      <c r="T17" s="295">
        <f>SUM(T14:T16)</f>
        <v>213</v>
      </c>
    </row>
    <row r="18" spans="2:20">
      <c r="C18" s="287"/>
      <c r="D18" s="287"/>
      <c r="E18" s="298"/>
      <c r="F18" s="298"/>
      <c r="G18" s="298"/>
      <c r="H18" s="300"/>
      <c r="I18" s="294"/>
      <c r="J18" s="300"/>
      <c r="K18" s="294"/>
      <c r="L18" s="300"/>
      <c r="M18" s="294"/>
      <c r="N18" s="294"/>
      <c r="O18" s="294"/>
      <c r="P18" s="294"/>
      <c r="Q18" s="294"/>
      <c r="R18" s="294"/>
      <c r="S18" s="294"/>
      <c r="T18" s="294"/>
    </row>
    <row r="19" spans="2:20">
      <c r="C19" s="287" t="s">
        <v>79</v>
      </c>
      <c r="D19" s="287"/>
      <c r="E19" s="298"/>
      <c r="F19" s="298"/>
      <c r="G19" s="298"/>
      <c r="H19" s="299"/>
      <c r="I19" s="294"/>
      <c r="J19" s="299"/>
      <c r="K19" s="294"/>
      <c r="L19" s="299"/>
      <c r="M19" s="294"/>
      <c r="N19" s="294"/>
      <c r="O19" s="294"/>
      <c r="P19" s="294"/>
      <c r="Q19" s="294"/>
      <c r="R19" s="294"/>
      <c r="S19" s="294"/>
      <c r="T19" s="294"/>
    </row>
    <row r="20" spans="2:20">
      <c r="B20" s="45" t="s">
        <v>61</v>
      </c>
      <c r="C20" s="292" t="s">
        <v>221</v>
      </c>
      <c r="D20" s="282"/>
      <c r="E20" s="208">
        <f>ROUND('[4]G-PLN-1'!L21,0)</f>
        <v>424081</v>
      </c>
      <c r="F20" s="208"/>
      <c r="G20" s="208">
        <f t="shared" ref="G20:G38" si="2">F20+E20</f>
        <v>424081</v>
      </c>
      <c r="H20" s="293">
        <f t="shared" ref="H20:H38" si="3">ROUND(IF($B20="a",G20*H$5,G20*H$6),0)</f>
        <v>1925</v>
      </c>
      <c r="I20" s="208">
        <f t="shared" ref="I20:I38" si="4">H20+G20</f>
        <v>426006</v>
      </c>
      <c r="J20" s="293">
        <f t="shared" ref="J20:J38" si="5">ROUND(IF($B20="a",I20*J$5,I20*J$6),0)</f>
        <v>12780</v>
      </c>
      <c r="K20" s="208">
        <f t="shared" ref="K20:K38" si="6">J20+I20</f>
        <v>438786</v>
      </c>
      <c r="L20" s="293">
        <f t="shared" ref="L20:L38" si="7">ROUND(IF($B20="a",K20*L$5,K20*L$6),0)</f>
        <v>1799</v>
      </c>
      <c r="M20" s="208">
        <f t="shared" ref="M20:M38" si="8">L20+K20</f>
        <v>440585</v>
      </c>
      <c r="N20" s="208">
        <f t="shared" ref="N20:N38" si="9">+H20+J20+L20</f>
        <v>16504</v>
      </c>
      <c r="O20" s="294"/>
      <c r="P20" s="208">
        <f t="shared" ref="P20:P38" si="10">M20+O20</f>
        <v>440585</v>
      </c>
      <c r="Q20" s="294"/>
      <c r="R20" s="294">
        <f t="shared" ref="R20:R38" si="11">O20+F20</f>
        <v>0</v>
      </c>
      <c r="S20" s="208">
        <f t="shared" ref="S20:S38" si="12">ROUND($S$76*E20/E$73,0)</f>
        <v>18196</v>
      </c>
      <c r="T20" s="208">
        <f t="shared" ref="T20:T38" si="13">ROUND($T$76*E20/E$73,0)</f>
        <v>19020</v>
      </c>
    </row>
    <row r="21" spans="2:20">
      <c r="C21" s="282" t="s">
        <v>222</v>
      </c>
      <c r="D21" s="282"/>
      <c r="E21" s="208">
        <f>ROUND('[4]G-PLN-1'!L22,0)</f>
        <v>0</v>
      </c>
      <c r="F21" s="208"/>
      <c r="G21" s="208">
        <f t="shared" si="2"/>
        <v>0</v>
      </c>
      <c r="H21" s="299">
        <f t="shared" si="3"/>
        <v>0</v>
      </c>
      <c r="I21" s="294">
        <f t="shared" si="4"/>
        <v>0</v>
      </c>
      <c r="J21" s="299">
        <f t="shared" si="5"/>
        <v>0</v>
      </c>
      <c r="K21" s="294">
        <f t="shared" si="6"/>
        <v>0</v>
      </c>
      <c r="L21" s="299">
        <f t="shared" si="7"/>
        <v>0</v>
      </c>
      <c r="M21" s="294">
        <f t="shared" si="8"/>
        <v>0</v>
      </c>
      <c r="N21" s="208">
        <f t="shared" si="9"/>
        <v>0</v>
      </c>
      <c r="O21" s="294"/>
      <c r="P21" s="208">
        <f t="shared" si="10"/>
        <v>0</v>
      </c>
      <c r="Q21" s="294"/>
      <c r="R21" s="294">
        <f t="shared" si="11"/>
        <v>0</v>
      </c>
      <c r="S21" s="208">
        <f t="shared" si="12"/>
        <v>0</v>
      </c>
      <c r="T21" s="208">
        <f t="shared" si="13"/>
        <v>0</v>
      </c>
    </row>
    <row r="22" spans="2:20">
      <c r="C22" s="292" t="s">
        <v>223</v>
      </c>
      <c r="D22" s="282"/>
      <c r="E22" s="208">
        <f>ROUND('[4]G-PLN-1'!L24,0)</f>
        <v>890798</v>
      </c>
      <c r="F22" s="208"/>
      <c r="G22" s="208">
        <f t="shared" si="2"/>
        <v>890798</v>
      </c>
      <c r="H22" s="294">
        <f t="shared" si="3"/>
        <v>6227</v>
      </c>
      <c r="I22" s="294">
        <f t="shared" si="4"/>
        <v>897025</v>
      </c>
      <c r="J22" s="294">
        <f t="shared" si="5"/>
        <v>26911</v>
      </c>
      <c r="K22" s="294">
        <f t="shared" si="6"/>
        <v>923936</v>
      </c>
      <c r="L22" s="294">
        <f t="shared" si="7"/>
        <v>6541</v>
      </c>
      <c r="M22" s="294">
        <f t="shared" si="8"/>
        <v>930477</v>
      </c>
      <c r="N22" s="208">
        <f t="shared" si="9"/>
        <v>39679</v>
      </c>
      <c r="O22" s="294"/>
      <c r="P22" s="208">
        <f t="shared" si="10"/>
        <v>930477</v>
      </c>
      <c r="Q22" s="294"/>
      <c r="R22" s="294">
        <f t="shared" si="11"/>
        <v>0</v>
      </c>
      <c r="S22" s="208">
        <f t="shared" si="12"/>
        <v>38222</v>
      </c>
      <c r="T22" s="208">
        <f t="shared" si="13"/>
        <v>39952</v>
      </c>
    </row>
    <row r="23" spans="2:20">
      <c r="C23" s="292" t="s">
        <v>224</v>
      </c>
      <c r="D23" s="282"/>
      <c r="E23" s="208">
        <f>ROUND('[4]G-PLN-1'!L25,0)</f>
        <v>35145</v>
      </c>
      <c r="F23" s="208"/>
      <c r="G23" s="208">
        <f t="shared" si="2"/>
        <v>35145</v>
      </c>
      <c r="H23" s="294">
        <f t="shared" si="3"/>
        <v>246</v>
      </c>
      <c r="I23" s="294">
        <f t="shared" si="4"/>
        <v>35391</v>
      </c>
      <c r="J23" s="294">
        <f t="shared" si="5"/>
        <v>1062</v>
      </c>
      <c r="K23" s="294">
        <f t="shared" si="6"/>
        <v>36453</v>
      </c>
      <c r="L23" s="294">
        <f t="shared" si="7"/>
        <v>258</v>
      </c>
      <c r="M23" s="294">
        <f t="shared" si="8"/>
        <v>36711</v>
      </c>
      <c r="N23" s="208">
        <f t="shared" si="9"/>
        <v>1566</v>
      </c>
      <c r="O23" s="294"/>
      <c r="P23" s="208">
        <f t="shared" si="10"/>
        <v>36711</v>
      </c>
      <c r="Q23" s="294"/>
      <c r="R23" s="294">
        <f t="shared" si="11"/>
        <v>0</v>
      </c>
      <c r="S23" s="208">
        <f t="shared" si="12"/>
        <v>1508</v>
      </c>
      <c r="T23" s="208">
        <f t="shared" si="13"/>
        <v>1576</v>
      </c>
    </row>
    <row r="24" spans="2:20">
      <c r="C24" s="292" t="s">
        <v>225</v>
      </c>
      <c r="D24" s="282"/>
      <c r="E24" s="208">
        <f>ROUND('[4]G-PLN-1'!L26,0)</f>
        <v>4145</v>
      </c>
      <c r="F24" s="208"/>
      <c r="G24" s="208">
        <f t="shared" si="2"/>
        <v>4145</v>
      </c>
      <c r="H24" s="294">
        <f t="shared" si="3"/>
        <v>29</v>
      </c>
      <c r="I24" s="294">
        <f t="shared" si="4"/>
        <v>4174</v>
      </c>
      <c r="J24" s="294">
        <f t="shared" si="5"/>
        <v>125</v>
      </c>
      <c r="K24" s="294">
        <f t="shared" si="6"/>
        <v>4299</v>
      </c>
      <c r="L24" s="294">
        <f t="shared" si="7"/>
        <v>30</v>
      </c>
      <c r="M24" s="294">
        <f t="shared" si="8"/>
        <v>4329</v>
      </c>
      <c r="N24" s="208">
        <f t="shared" si="9"/>
        <v>184</v>
      </c>
      <c r="O24" s="294"/>
      <c r="P24" s="208">
        <f t="shared" si="10"/>
        <v>4329</v>
      </c>
      <c r="Q24" s="294"/>
      <c r="R24" s="294">
        <f t="shared" si="11"/>
        <v>0</v>
      </c>
      <c r="S24" s="208">
        <f t="shared" si="12"/>
        <v>178</v>
      </c>
      <c r="T24" s="208">
        <f t="shared" si="13"/>
        <v>186</v>
      </c>
    </row>
    <row r="25" spans="2:20">
      <c r="C25" s="292" t="s">
        <v>226</v>
      </c>
      <c r="D25" s="282"/>
      <c r="E25" s="208">
        <f>ROUND('[4]G-PLN-1'!L27,0)</f>
        <v>38799</v>
      </c>
      <c r="F25" s="208"/>
      <c r="G25" s="208">
        <f t="shared" si="2"/>
        <v>38799</v>
      </c>
      <c r="H25" s="299">
        <f t="shared" si="3"/>
        <v>271</v>
      </c>
      <c r="I25" s="294">
        <f t="shared" si="4"/>
        <v>39070</v>
      </c>
      <c r="J25" s="299">
        <f t="shared" si="5"/>
        <v>1172</v>
      </c>
      <c r="K25" s="294">
        <f t="shared" si="6"/>
        <v>40242</v>
      </c>
      <c r="L25" s="299">
        <f t="shared" si="7"/>
        <v>285</v>
      </c>
      <c r="M25" s="294">
        <f t="shared" si="8"/>
        <v>40527</v>
      </c>
      <c r="N25" s="208">
        <f t="shared" si="9"/>
        <v>1728</v>
      </c>
      <c r="O25" s="294"/>
      <c r="P25" s="208">
        <f t="shared" si="10"/>
        <v>40527</v>
      </c>
      <c r="Q25" s="294"/>
      <c r="R25" s="294">
        <f t="shared" si="11"/>
        <v>0</v>
      </c>
      <c r="S25" s="208">
        <f t="shared" si="12"/>
        <v>1665</v>
      </c>
      <c r="T25" s="208">
        <f t="shared" si="13"/>
        <v>1740</v>
      </c>
    </row>
    <row r="26" spans="2:20">
      <c r="C26" s="292" t="s">
        <v>227</v>
      </c>
      <c r="D26" s="282"/>
      <c r="E26" s="208">
        <f>ROUND('[4]G-PLN-1'!L28,0)</f>
        <v>337018</v>
      </c>
      <c r="F26" s="208"/>
      <c r="G26" s="208">
        <f>F26+E26</f>
        <v>337018</v>
      </c>
      <c r="H26" s="299">
        <f>ROUND(IF($B26="a",G26*H$5,G26*H$6),0)</f>
        <v>2356</v>
      </c>
      <c r="I26" s="294">
        <f>H26+G26</f>
        <v>339374</v>
      </c>
      <c r="J26" s="299">
        <f>ROUND(IF($B26="a",I26*J$5,I26*J$6),0)</f>
        <v>10181</v>
      </c>
      <c r="K26" s="294">
        <f>J26+I26</f>
        <v>349555</v>
      </c>
      <c r="L26" s="299">
        <f>ROUND(IF($B26="a",K26*L$5,K26*L$6),0)</f>
        <v>2475</v>
      </c>
      <c r="M26" s="294">
        <f>L26+K26</f>
        <v>352030</v>
      </c>
      <c r="N26" s="208">
        <f>+H26+J26+L26</f>
        <v>15012</v>
      </c>
      <c r="O26" s="294"/>
      <c r="P26" s="208">
        <f>M26+O26</f>
        <v>352030</v>
      </c>
      <c r="Q26" s="294"/>
      <c r="R26" s="294">
        <f>O26+F26</f>
        <v>0</v>
      </c>
      <c r="S26" s="208">
        <f t="shared" si="12"/>
        <v>14461</v>
      </c>
      <c r="T26" s="208">
        <f t="shared" si="13"/>
        <v>15115</v>
      </c>
    </row>
    <row r="27" spans="2:20">
      <c r="C27" s="292" t="s">
        <v>228</v>
      </c>
      <c r="D27" s="282"/>
      <c r="E27" s="208">
        <f>ROUND('[4]G-PLN-1'!L29,0)</f>
        <v>524407</v>
      </c>
      <c r="F27" s="208"/>
      <c r="G27" s="208">
        <f>F27+E27</f>
        <v>524407</v>
      </c>
      <c r="H27" s="299">
        <f>ROUND(IF($B27="a",G27*H$5,G27*H$6),0)</f>
        <v>3666</v>
      </c>
      <c r="I27" s="294">
        <f>H27+G27</f>
        <v>528073</v>
      </c>
      <c r="J27" s="299">
        <f>ROUND(IF($B27="a",I27*J$5,I27*J$6),0)</f>
        <v>15842</v>
      </c>
      <c r="K27" s="294">
        <f>J27+I27</f>
        <v>543915</v>
      </c>
      <c r="L27" s="299">
        <f>ROUND(IF($B27="a",K27*L$5,K27*L$6),0)</f>
        <v>3851</v>
      </c>
      <c r="M27" s="294">
        <f>L27+K27</f>
        <v>547766</v>
      </c>
      <c r="N27" s="208">
        <f>+H27+J27+L27</f>
        <v>23359</v>
      </c>
      <c r="O27" s="294"/>
      <c r="P27" s="208">
        <f>M27+O27</f>
        <v>547766</v>
      </c>
      <c r="Q27" s="294"/>
      <c r="R27" s="294">
        <f>O27+F27</f>
        <v>0</v>
      </c>
      <c r="S27" s="208">
        <f t="shared" si="12"/>
        <v>22501</v>
      </c>
      <c r="T27" s="208">
        <f t="shared" si="13"/>
        <v>23520</v>
      </c>
    </row>
    <row r="28" spans="2:20">
      <c r="C28" s="292" t="s">
        <v>229</v>
      </c>
      <c r="D28" s="282" t="str">
        <f>D6</f>
        <v>2011 to 2013</v>
      </c>
      <c r="E28" s="208">
        <f>ROUND('[4]G-PLN-1'!L30,0)</f>
        <v>684928</v>
      </c>
      <c r="F28" s="208"/>
      <c r="G28" s="208">
        <f t="shared" si="2"/>
        <v>684928</v>
      </c>
      <c r="H28" s="299">
        <f t="shared" si="3"/>
        <v>4788</v>
      </c>
      <c r="I28" s="294">
        <f t="shared" si="4"/>
        <v>689716</v>
      </c>
      <c r="J28" s="299">
        <f t="shared" si="5"/>
        <v>20691</v>
      </c>
      <c r="K28" s="294">
        <f t="shared" si="6"/>
        <v>710407</v>
      </c>
      <c r="L28" s="299">
        <f t="shared" si="7"/>
        <v>5030</v>
      </c>
      <c r="M28" s="294">
        <f t="shared" si="8"/>
        <v>715437</v>
      </c>
      <c r="N28" s="208">
        <f t="shared" si="9"/>
        <v>30509</v>
      </c>
      <c r="O28" s="294"/>
      <c r="P28" s="208">
        <f t="shared" si="10"/>
        <v>715437</v>
      </c>
      <c r="Q28" s="294"/>
      <c r="R28" s="294">
        <f t="shared" si="11"/>
        <v>0</v>
      </c>
      <c r="S28" s="208">
        <f t="shared" si="12"/>
        <v>29388</v>
      </c>
      <c r="T28" s="208">
        <f t="shared" si="13"/>
        <v>30719</v>
      </c>
    </row>
    <row r="29" spans="2:20">
      <c r="C29" s="292" t="s">
        <v>230</v>
      </c>
      <c r="D29" s="282"/>
      <c r="E29" s="208">
        <f>ROUND('[4]G-PLN-1'!L31,0)</f>
        <v>73</v>
      </c>
      <c r="F29" s="208"/>
      <c r="G29" s="208">
        <f t="shared" si="2"/>
        <v>73</v>
      </c>
      <c r="H29" s="299">
        <f t="shared" si="3"/>
        <v>1</v>
      </c>
      <c r="I29" s="294">
        <f t="shared" si="4"/>
        <v>74</v>
      </c>
      <c r="J29" s="299">
        <f t="shared" si="5"/>
        <v>2</v>
      </c>
      <c r="K29" s="294">
        <f t="shared" si="6"/>
        <v>76</v>
      </c>
      <c r="L29" s="299">
        <f t="shared" si="7"/>
        <v>1</v>
      </c>
      <c r="M29" s="294">
        <f t="shared" si="8"/>
        <v>77</v>
      </c>
      <c r="N29" s="208">
        <f t="shared" si="9"/>
        <v>4</v>
      </c>
      <c r="O29" s="294"/>
      <c r="P29" s="208">
        <f t="shared" si="10"/>
        <v>77</v>
      </c>
      <c r="Q29" s="294"/>
      <c r="R29" s="294">
        <f t="shared" si="11"/>
        <v>0</v>
      </c>
      <c r="S29" s="208">
        <f t="shared" si="12"/>
        <v>3</v>
      </c>
      <c r="T29" s="208">
        <f t="shared" si="13"/>
        <v>3</v>
      </c>
    </row>
    <row r="30" spans="2:20">
      <c r="C30" s="292" t="s">
        <v>231</v>
      </c>
      <c r="D30" s="292"/>
      <c r="E30" s="208">
        <f>ROUND('[4]G-PLN-1'!L32,0)</f>
        <v>37387</v>
      </c>
      <c r="F30" s="208"/>
      <c r="G30" s="208">
        <f t="shared" si="2"/>
        <v>37387</v>
      </c>
      <c r="H30" s="299">
        <f t="shared" si="3"/>
        <v>261</v>
      </c>
      <c r="I30" s="294">
        <f t="shared" si="4"/>
        <v>37648</v>
      </c>
      <c r="J30" s="299">
        <f t="shared" si="5"/>
        <v>1129</v>
      </c>
      <c r="K30" s="294">
        <f t="shared" si="6"/>
        <v>38777</v>
      </c>
      <c r="L30" s="299">
        <f t="shared" si="7"/>
        <v>275</v>
      </c>
      <c r="M30" s="294">
        <f t="shared" si="8"/>
        <v>39052</v>
      </c>
      <c r="N30" s="208">
        <f t="shared" si="9"/>
        <v>1665</v>
      </c>
      <c r="O30" s="294"/>
      <c r="P30" s="208">
        <f t="shared" si="10"/>
        <v>39052</v>
      </c>
      <c r="Q30" s="294"/>
      <c r="R30" s="294">
        <f t="shared" si="11"/>
        <v>0</v>
      </c>
      <c r="S30" s="208">
        <f t="shared" si="12"/>
        <v>1604</v>
      </c>
      <c r="T30" s="208">
        <f t="shared" si="13"/>
        <v>1677</v>
      </c>
    </row>
    <row r="31" spans="2:20">
      <c r="C31" s="292" t="s">
        <v>232</v>
      </c>
      <c r="D31" s="292"/>
      <c r="E31" s="208">
        <f>ROUND('[4]G-PLN-1'!L33,0)</f>
        <v>0</v>
      </c>
      <c r="F31" s="208"/>
      <c r="G31" s="208">
        <f>F31+E31</f>
        <v>0</v>
      </c>
      <c r="H31" s="299">
        <f t="shared" si="3"/>
        <v>0</v>
      </c>
      <c r="I31" s="294">
        <f>H31+G31</f>
        <v>0</v>
      </c>
      <c r="J31" s="299">
        <f t="shared" si="5"/>
        <v>0</v>
      </c>
      <c r="K31" s="294">
        <f t="shared" si="6"/>
        <v>0</v>
      </c>
      <c r="L31" s="299">
        <f t="shared" si="7"/>
        <v>0</v>
      </c>
      <c r="M31" s="294">
        <f t="shared" si="8"/>
        <v>0</v>
      </c>
      <c r="N31" s="208">
        <f t="shared" si="9"/>
        <v>0</v>
      </c>
      <c r="O31" s="294"/>
      <c r="P31" s="208">
        <f t="shared" si="10"/>
        <v>0</v>
      </c>
      <c r="Q31" s="294"/>
      <c r="R31" s="294">
        <f t="shared" si="11"/>
        <v>0</v>
      </c>
      <c r="S31" s="208">
        <f t="shared" si="12"/>
        <v>0</v>
      </c>
      <c r="T31" s="208">
        <f t="shared" si="13"/>
        <v>0</v>
      </c>
    </row>
    <row r="32" spans="2:20">
      <c r="C32" s="292" t="s">
        <v>233</v>
      </c>
      <c r="D32" s="282"/>
      <c r="E32" s="208">
        <f>ROUND('[4]G-PLN-1'!L34,0)</f>
        <v>564494</v>
      </c>
      <c r="F32" s="208"/>
      <c r="G32" s="208">
        <f t="shared" si="2"/>
        <v>564494</v>
      </c>
      <c r="H32" s="299">
        <f t="shared" si="3"/>
        <v>3946</v>
      </c>
      <c r="I32" s="294">
        <f t="shared" si="4"/>
        <v>568440</v>
      </c>
      <c r="J32" s="299">
        <f t="shared" si="5"/>
        <v>17053</v>
      </c>
      <c r="K32" s="294">
        <f t="shared" si="6"/>
        <v>585493</v>
      </c>
      <c r="L32" s="299">
        <f t="shared" si="7"/>
        <v>4145</v>
      </c>
      <c r="M32" s="294">
        <f t="shared" si="8"/>
        <v>589638</v>
      </c>
      <c r="N32" s="208">
        <f t="shared" si="9"/>
        <v>25144</v>
      </c>
      <c r="O32" s="294"/>
      <c r="P32" s="208">
        <f t="shared" si="10"/>
        <v>589638</v>
      </c>
      <c r="Q32" s="294"/>
      <c r="R32" s="294">
        <f t="shared" si="11"/>
        <v>0</v>
      </c>
      <c r="S32" s="208">
        <f t="shared" si="12"/>
        <v>24221</v>
      </c>
      <c r="T32" s="208">
        <f t="shared" si="13"/>
        <v>25318</v>
      </c>
    </row>
    <row r="33" spans="2:20">
      <c r="C33" s="292" t="s">
        <v>234</v>
      </c>
      <c r="D33" s="282"/>
      <c r="E33" s="208">
        <f>ROUND('[4]G-PLN-1'!L36,0)</f>
        <v>43529</v>
      </c>
      <c r="F33" s="208"/>
      <c r="G33" s="208">
        <f t="shared" si="2"/>
        <v>43529</v>
      </c>
      <c r="H33" s="294">
        <f t="shared" si="3"/>
        <v>304</v>
      </c>
      <c r="I33" s="294">
        <f t="shared" si="4"/>
        <v>43833</v>
      </c>
      <c r="J33" s="294">
        <f t="shared" si="5"/>
        <v>1315</v>
      </c>
      <c r="K33" s="294">
        <f t="shared" si="6"/>
        <v>45148</v>
      </c>
      <c r="L33" s="294">
        <f t="shared" si="7"/>
        <v>320</v>
      </c>
      <c r="M33" s="294">
        <f t="shared" si="8"/>
        <v>45468</v>
      </c>
      <c r="N33" s="208">
        <f t="shared" si="9"/>
        <v>1939</v>
      </c>
      <c r="O33" s="294"/>
      <c r="P33" s="208">
        <f t="shared" si="10"/>
        <v>45468</v>
      </c>
      <c r="Q33" s="294"/>
      <c r="R33" s="294">
        <f t="shared" si="11"/>
        <v>0</v>
      </c>
      <c r="S33" s="208">
        <f t="shared" si="12"/>
        <v>1868</v>
      </c>
      <c r="T33" s="208">
        <f t="shared" si="13"/>
        <v>1952</v>
      </c>
    </row>
    <row r="34" spans="2:20">
      <c r="C34" s="292" t="s">
        <v>235</v>
      </c>
      <c r="D34" s="282"/>
      <c r="E34" s="208">
        <f>ROUND('[4]G-PLN-1'!L37,0)</f>
        <v>24197</v>
      </c>
      <c r="F34" s="208"/>
      <c r="G34" s="208">
        <f t="shared" si="2"/>
        <v>24197</v>
      </c>
      <c r="H34" s="294">
        <f t="shared" si="3"/>
        <v>169</v>
      </c>
      <c r="I34" s="294">
        <f t="shared" si="4"/>
        <v>24366</v>
      </c>
      <c r="J34" s="294">
        <f t="shared" si="5"/>
        <v>731</v>
      </c>
      <c r="K34" s="294">
        <f t="shared" si="6"/>
        <v>25097</v>
      </c>
      <c r="L34" s="294">
        <f t="shared" si="7"/>
        <v>178</v>
      </c>
      <c r="M34" s="294">
        <f t="shared" si="8"/>
        <v>25275</v>
      </c>
      <c r="N34" s="208">
        <f t="shared" si="9"/>
        <v>1078</v>
      </c>
      <c r="O34" s="294"/>
      <c r="P34" s="208">
        <f t="shared" si="10"/>
        <v>25275</v>
      </c>
      <c r="Q34" s="294"/>
      <c r="R34" s="294">
        <f t="shared" si="11"/>
        <v>0</v>
      </c>
      <c r="S34" s="208">
        <f t="shared" si="12"/>
        <v>1038</v>
      </c>
      <c r="T34" s="208">
        <f t="shared" si="13"/>
        <v>1085</v>
      </c>
    </row>
    <row r="35" spans="2:20">
      <c r="C35" s="292" t="s">
        <v>236</v>
      </c>
      <c r="D35" s="282"/>
      <c r="E35" s="208">
        <f>ROUND('[4]G-PLN-1'!L38,0)</f>
        <v>24452</v>
      </c>
      <c r="F35" s="208"/>
      <c r="G35" s="208">
        <f t="shared" si="2"/>
        <v>24452</v>
      </c>
      <c r="H35" s="294">
        <f t="shared" si="3"/>
        <v>171</v>
      </c>
      <c r="I35" s="294">
        <f t="shared" si="4"/>
        <v>24623</v>
      </c>
      <c r="J35" s="294">
        <f t="shared" si="5"/>
        <v>739</v>
      </c>
      <c r="K35" s="294">
        <f t="shared" si="6"/>
        <v>25362</v>
      </c>
      <c r="L35" s="294">
        <f t="shared" si="7"/>
        <v>180</v>
      </c>
      <c r="M35" s="294">
        <f t="shared" si="8"/>
        <v>25542</v>
      </c>
      <c r="N35" s="208">
        <f t="shared" si="9"/>
        <v>1090</v>
      </c>
      <c r="O35" s="294"/>
      <c r="P35" s="208">
        <f t="shared" si="10"/>
        <v>25542</v>
      </c>
      <c r="Q35" s="294"/>
      <c r="R35" s="294">
        <f t="shared" si="11"/>
        <v>0</v>
      </c>
      <c r="S35" s="208">
        <f t="shared" si="12"/>
        <v>1049</v>
      </c>
      <c r="T35" s="208">
        <f t="shared" si="13"/>
        <v>1097</v>
      </c>
    </row>
    <row r="36" spans="2:20">
      <c r="C36" s="292" t="s">
        <v>237</v>
      </c>
      <c r="D36" s="282"/>
      <c r="E36" s="208">
        <f>ROUND('[4]G-PLN-1'!L39,0)</f>
        <v>289036</v>
      </c>
      <c r="F36" s="208"/>
      <c r="G36" s="208">
        <f t="shared" si="2"/>
        <v>289036</v>
      </c>
      <c r="H36" s="299">
        <f t="shared" si="3"/>
        <v>2020</v>
      </c>
      <c r="I36" s="294">
        <f t="shared" si="4"/>
        <v>291056</v>
      </c>
      <c r="J36" s="299">
        <f t="shared" si="5"/>
        <v>8732</v>
      </c>
      <c r="K36" s="294">
        <f t="shared" si="6"/>
        <v>299788</v>
      </c>
      <c r="L36" s="299">
        <f t="shared" si="7"/>
        <v>2122</v>
      </c>
      <c r="M36" s="294">
        <f t="shared" si="8"/>
        <v>301910</v>
      </c>
      <c r="N36" s="208">
        <f t="shared" si="9"/>
        <v>12874</v>
      </c>
      <c r="O36" s="294"/>
      <c r="P36" s="208">
        <f t="shared" si="10"/>
        <v>301910</v>
      </c>
      <c r="Q36" s="294"/>
      <c r="R36" s="294">
        <f t="shared" si="11"/>
        <v>0</v>
      </c>
      <c r="S36" s="208">
        <f t="shared" si="12"/>
        <v>12402</v>
      </c>
      <c r="T36" s="208">
        <f t="shared" si="13"/>
        <v>12963</v>
      </c>
    </row>
    <row r="37" spans="2:20">
      <c r="C37" s="292" t="s">
        <v>238</v>
      </c>
      <c r="D37" s="282"/>
      <c r="E37" s="208">
        <f>ROUND('[4]G-PLN-1'!L40,0)</f>
        <v>218112</v>
      </c>
      <c r="F37" s="208"/>
      <c r="G37" s="208">
        <f t="shared" si="2"/>
        <v>218112</v>
      </c>
      <c r="H37" s="299">
        <f t="shared" si="3"/>
        <v>1525</v>
      </c>
      <c r="I37" s="294">
        <f t="shared" si="4"/>
        <v>219637</v>
      </c>
      <c r="J37" s="299">
        <f t="shared" si="5"/>
        <v>6589</v>
      </c>
      <c r="K37" s="294">
        <f t="shared" si="6"/>
        <v>226226</v>
      </c>
      <c r="L37" s="299">
        <f t="shared" si="7"/>
        <v>1602</v>
      </c>
      <c r="M37" s="294">
        <f t="shared" si="8"/>
        <v>227828</v>
      </c>
      <c r="N37" s="208">
        <f t="shared" si="9"/>
        <v>9716</v>
      </c>
      <c r="O37" s="294"/>
      <c r="P37" s="208">
        <f t="shared" si="10"/>
        <v>227828</v>
      </c>
      <c r="Q37" s="294"/>
      <c r="R37" s="294">
        <f t="shared" si="11"/>
        <v>0</v>
      </c>
      <c r="S37" s="208">
        <f t="shared" si="12"/>
        <v>9359</v>
      </c>
      <c r="T37" s="208">
        <f t="shared" si="13"/>
        <v>9782</v>
      </c>
    </row>
    <row r="38" spans="2:20">
      <c r="C38" s="292">
        <v>894</v>
      </c>
      <c r="D38" s="282"/>
      <c r="E38" s="208">
        <f>ROUND('[4]G-PLN-1'!L41,0)</f>
        <v>55071</v>
      </c>
      <c r="F38" s="208"/>
      <c r="G38" s="208">
        <f t="shared" si="2"/>
        <v>55071</v>
      </c>
      <c r="H38" s="299">
        <f t="shared" si="3"/>
        <v>385</v>
      </c>
      <c r="I38" s="294">
        <f t="shared" si="4"/>
        <v>55456</v>
      </c>
      <c r="J38" s="299">
        <f t="shared" si="5"/>
        <v>1664</v>
      </c>
      <c r="K38" s="294">
        <f t="shared" si="6"/>
        <v>57120</v>
      </c>
      <c r="L38" s="299">
        <f t="shared" si="7"/>
        <v>404</v>
      </c>
      <c r="M38" s="294">
        <f t="shared" si="8"/>
        <v>57524</v>
      </c>
      <c r="N38" s="208">
        <f t="shared" si="9"/>
        <v>2453</v>
      </c>
      <c r="O38" s="294"/>
      <c r="P38" s="208">
        <f t="shared" si="10"/>
        <v>57524</v>
      </c>
      <c r="Q38" s="294"/>
      <c r="R38" s="294">
        <f t="shared" si="11"/>
        <v>0</v>
      </c>
      <c r="S38" s="208">
        <f t="shared" si="12"/>
        <v>2363</v>
      </c>
      <c r="T38" s="208">
        <f t="shared" si="13"/>
        <v>2470</v>
      </c>
    </row>
    <row r="39" spans="2:20">
      <c r="C39" s="287" t="s">
        <v>80</v>
      </c>
      <c r="D39" s="287"/>
      <c r="E39" s="295">
        <f t="shared" ref="E39:M39" si="14">SUM(E20:E38)</f>
        <v>4195672</v>
      </c>
      <c r="F39" s="295">
        <f t="shared" si="14"/>
        <v>0</v>
      </c>
      <c r="G39" s="295">
        <f t="shared" si="14"/>
        <v>4195672</v>
      </c>
      <c r="H39" s="295">
        <f t="shared" si="14"/>
        <v>28290</v>
      </c>
      <c r="I39" s="295">
        <f t="shared" si="14"/>
        <v>4223962</v>
      </c>
      <c r="J39" s="295">
        <f t="shared" si="14"/>
        <v>126718</v>
      </c>
      <c r="K39" s="295">
        <f t="shared" si="14"/>
        <v>4350680</v>
      </c>
      <c r="L39" s="295">
        <f t="shared" si="14"/>
        <v>29496</v>
      </c>
      <c r="M39" s="295">
        <f t="shared" si="14"/>
        <v>4380176</v>
      </c>
      <c r="N39" s="295">
        <f>SUM(N20:N38)</f>
        <v>184504</v>
      </c>
      <c r="O39" s="295">
        <f>SUM(O20:O38)</f>
        <v>0</v>
      </c>
      <c r="P39" s="295">
        <f>SUM(P20:P38)</f>
        <v>4380176</v>
      </c>
      <c r="Q39" s="296"/>
      <c r="R39" s="295">
        <f>SUM(R20:R38)</f>
        <v>0</v>
      </c>
      <c r="S39" s="295">
        <f>SUM(S20:S38)</f>
        <v>180026</v>
      </c>
      <c r="T39" s="295">
        <f>SUM(T20:T38)</f>
        <v>188175</v>
      </c>
    </row>
    <row r="40" spans="2:20">
      <c r="C40" s="287"/>
      <c r="D40" s="287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6"/>
      <c r="R40" s="298"/>
      <c r="S40" s="298"/>
      <c r="T40" s="298"/>
    </row>
    <row r="41" spans="2:20">
      <c r="C41" s="287" t="s">
        <v>181</v>
      </c>
      <c r="D41" s="287"/>
      <c r="E41" s="298"/>
      <c r="F41" s="298"/>
      <c r="G41" s="298"/>
      <c r="H41" s="299"/>
      <c r="I41" s="294"/>
      <c r="J41" s="299"/>
      <c r="K41" s="294"/>
      <c r="L41" s="299"/>
      <c r="M41" s="294"/>
      <c r="N41" s="294"/>
      <c r="O41" s="294"/>
      <c r="P41" s="294"/>
      <c r="Q41" s="294"/>
      <c r="R41" s="294"/>
      <c r="S41" s="294"/>
      <c r="T41" s="294"/>
    </row>
    <row r="42" spans="2:20">
      <c r="B42" s="45" t="s">
        <v>61</v>
      </c>
      <c r="C42" s="292" t="s">
        <v>239</v>
      </c>
      <c r="D42" s="282"/>
      <c r="E42" s="208">
        <f>ROUND('[4]G-PLN-1'!L45,0)</f>
        <v>162584</v>
      </c>
      <c r="F42" s="208"/>
      <c r="G42" s="208">
        <f>F42+E42</f>
        <v>162584</v>
      </c>
      <c r="H42" s="293">
        <f>ROUND(IF($B42="a",G42*H$5,G42*H$6),0)</f>
        <v>738</v>
      </c>
      <c r="I42" s="208">
        <f>H42+G42</f>
        <v>163322</v>
      </c>
      <c r="J42" s="293">
        <f>ROUND(IF($B42="a",I42*J$5,I42*J$6),0)</f>
        <v>4900</v>
      </c>
      <c r="K42" s="208">
        <f>J42+I42</f>
        <v>168222</v>
      </c>
      <c r="L42" s="293">
        <f>ROUND(IF($B42="a",K42*L$5,K42*L$6),0)</f>
        <v>690</v>
      </c>
      <c r="M42" s="208">
        <f>L42+K42</f>
        <v>168912</v>
      </c>
      <c r="N42" s="208">
        <f>+H42+J42+L42</f>
        <v>6328</v>
      </c>
      <c r="O42" s="208"/>
      <c r="P42" s="208">
        <f>M42+O42</f>
        <v>168912</v>
      </c>
      <c r="Q42" s="294"/>
      <c r="R42" s="208">
        <f>O42+F42</f>
        <v>0</v>
      </c>
      <c r="S42" s="208">
        <f>ROUND($S$76*E42/E$73,0)</f>
        <v>6976</v>
      </c>
      <c r="T42" s="208">
        <f>ROUND($T$76*E42/E$73,0)</f>
        <v>7292</v>
      </c>
    </row>
    <row r="43" spans="2:20">
      <c r="C43" s="292" t="s">
        <v>240</v>
      </c>
      <c r="D43" s="282"/>
      <c r="E43" s="208">
        <f>ROUND('[4]G-PLN-1'!L46,0)</f>
        <v>826452</v>
      </c>
      <c r="F43" s="208"/>
      <c r="G43" s="208">
        <f>F43+E43</f>
        <v>826452</v>
      </c>
      <c r="H43" s="301">
        <f>ROUND(IF($B43="a",G43*H$5,G43*H$6),0)</f>
        <v>5777</v>
      </c>
      <c r="I43" s="208">
        <f>H43+G43</f>
        <v>832229</v>
      </c>
      <c r="J43" s="301">
        <f>ROUND(IF($B43="a",I43*J$5,I43*J$6),0)</f>
        <v>24967</v>
      </c>
      <c r="K43" s="208">
        <f>J43+I43</f>
        <v>857196</v>
      </c>
      <c r="L43" s="301">
        <f>ROUND(IF($B43="a",K43*L$5,K43*L$6),0)</f>
        <v>6069</v>
      </c>
      <c r="M43" s="208">
        <f>L43+K43</f>
        <v>863265</v>
      </c>
      <c r="N43" s="208">
        <f>+H43+J43+L43</f>
        <v>36813</v>
      </c>
      <c r="O43" s="208"/>
      <c r="P43" s="208">
        <f>M43+O43</f>
        <v>863265</v>
      </c>
      <c r="Q43" s="294"/>
      <c r="R43" s="208">
        <f>O43+F43</f>
        <v>0</v>
      </c>
      <c r="S43" s="208">
        <f>ROUND($S$76*E43/E$73,0)</f>
        <v>35461</v>
      </c>
      <c r="T43" s="208">
        <f>ROUND($T$76*E43/E$73,0)</f>
        <v>37067</v>
      </c>
    </row>
    <row r="44" spans="2:20">
      <c r="B44" s="45" t="s">
        <v>61</v>
      </c>
      <c r="C44" s="292" t="s">
        <v>241</v>
      </c>
      <c r="D44" s="282"/>
      <c r="E44" s="208">
        <f>ROUND('[4]G-PLN-1'!L47,0)</f>
        <v>1574022</v>
      </c>
      <c r="F44" s="208"/>
      <c r="G44" s="208">
        <f>F44+E44</f>
        <v>1574022</v>
      </c>
      <c r="H44" s="293">
        <f>ROUND(IF($B44="a",G44*H$5,G44*H$6),0)</f>
        <v>7146</v>
      </c>
      <c r="I44" s="208">
        <f>H44+G44</f>
        <v>1581168</v>
      </c>
      <c r="J44" s="293">
        <f>ROUND(IF($B44="a",I44*J$5,I44*J$6),0)</f>
        <v>47435</v>
      </c>
      <c r="K44" s="208">
        <f>J44+I44</f>
        <v>1628603</v>
      </c>
      <c r="L44" s="293">
        <f>ROUND(IF($B44="a",K44*L$5,K44*L$6),0)</f>
        <v>6677</v>
      </c>
      <c r="M44" s="208">
        <f>L44+K44</f>
        <v>1635280</v>
      </c>
      <c r="N44" s="208">
        <f>+H44+J44+L44</f>
        <v>61258</v>
      </c>
      <c r="O44" s="208"/>
      <c r="P44" s="208">
        <f>M44+O44</f>
        <v>1635280</v>
      </c>
      <c r="Q44" s="294"/>
      <c r="R44" s="208">
        <f>O44+F44</f>
        <v>0</v>
      </c>
      <c r="S44" s="208">
        <f>ROUND($S$76*E44/E$73,0)</f>
        <v>67537</v>
      </c>
      <c r="T44" s="208">
        <f>ROUND($T$76*E44/E$73,0)</f>
        <v>70595</v>
      </c>
    </row>
    <row r="45" spans="2:20">
      <c r="B45" s="45" t="s">
        <v>61</v>
      </c>
      <c r="C45" s="292" t="s">
        <v>242</v>
      </c>
      <c r="D45" s="282"/>
      <c r="E45" s="208">
        <f>ROUND('[4]G-PLN-1'!L48,0)</f>
        <v>27562</v>
      </c>
      <c r="F45" s="208"/>
      <c r="G45" s="208">
        <f>F45+E45</f>
        <v>27562</v>
      </c>
      <c r="H45" s="293">
        <f>ROUND(IF($B45="a",G45*H$5,G45*H$6),0)</f>
        <v>125</v>
      </c>
      <c r="I45" s="208">
        <f>H45+G45</f>
        <v>27687</v>
      </c>
      <c r="J45" s="293">
        <f>ROUND(IF($B45="a",I45*J$5,I45*J$6),0)</f>
        <v>831</v>
      </c>
      <c r="K45" s="208">
        <f>J45+I45</f>
        <v>28518</v>
      </c>
      <c r="L45" s="293">
        <f>ROUND(IF($B45="a",K45*L$5,K45*L$6),0)</f>
        <v>117</v>
      </c>
      <c r="M45" s="208">
        <f>L45+K45</f>
        <v>28635</v>
      </c>
      <c r="N45" s="208">
        <f>+H45+J45+L45</f>
        <v>1073</v>
      </c>
      <c r="O45" s="208"/>
      <c r="P45" s="208">
        <f>M45+O45</f>
        <v>28635</v>
      </c>
      <c r="Q45" s="294"/>
      <c r="R45" s="208">
        <f>O45+F45</f>
        <v>0</v>
      </c>
      <c r="S45" s="208">
        <f>ROUND($S$76*E45/E$73,0)</f>
        <v>1183</v>
      </c>
      <c r="T45" s="208">
        <f>ROUND($T$76*E45/E$73,0)</f>
        <v>1236</v>
      </c>
    </row>
    <row r="46" spans="2:20">
      <c r="C46" s="287" t="s">
        <v>186</v>
      </c>
      <c r="D46" s="287"/>
      <c r="E46" s="295">
        <f t="shared" ref="E46:P46" si="15">SUM(E42:E45)</f>
        <v>2590620</v>
      </c>
      <c r="F46" s="295">
        <f t="shared" si="15"/>
        <v>0</v>
      </c>
      <c r="G46" s="295">
        <f t="shared" si="15"/>
        <v>2590620</v>
      </c>
      <c r="H46" s="295">
        <f t="shared" si="15"/>
        <v>13786</v>
      </c>
      <c r="I46" s="295">
        <f t="shared" si="15"/>
        <v>2604406</v>
      </c>
      <c r="J46" s="295">
        <f>SUM(J42:J45)</f>
        <v>78133</v>
      </c>
      <c r="K46" s="295">
        <f>SUM(K42:K45)</f>
        <v>2682539</v>
      </c>
      <c r="L46" s="295">
        <f>SUM(L42:L45)</f>
        <v>13553</v>
      </c>
      <c r="M46" s="295">
        <f>SUM(M42:M45)</f>
        <v>2696092</v>
      </c>
      <c r="N46" s="295">
        <f t="shared" si="15"/>
        <v>105472</v>
      </c>
      <c r="O46" s="295">
        <f t="shared" si="15"/>
        <v>0</v>
      </c>
      <c r="P46" s="295">
        <f t="shared" si="15"/>
        <v>2696092</v>
      </c>
      <c r="Q46" s="296"/>
      <c r="R46" s="295">
        <f>SUM(R42:R45)</f>
        <v>0</v>
      </c>
      <c r="S46" s="295">
        <f>SUM(S42:S45)</f>
        <v>111157</v>
      </c>
      <c r="T46" s="295">
        <f>SUM(T42:T45)</f>
        <v>116190</v>
      </c>
    </row>
    <row r="47" spans="2:20">
      <c r="C47" s="287"/>
      <c r="D47" s="287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6"/>
      <c r="R47" s="298"/>
      <c r="S47" s="298"/>
      <c r="T47" s="298"/>
    </row>
    <row r="48" spans="2:20">
      <c r="C48" s="287" t="s">
        <v>187</v>
      </c>
      <c r="D48" s="287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6"/>
      <c r="R48" s="298"/>
      <c r="S48" s="298"/>
      <c r="T48" s="298"/>
    </row>
    <row r="49" spans="2:20">
      <c r="B49" s="45" t="s">
        <v>61</v>
      </c>
      <c r="C49" s="292" t="s">
        <v>243</v>
      </c>
      <c r="D49" s="282"/>
      <c r="E49" s="208">
        <f>ROUND('[4]G-PLN-1'!L53,0)</f>
        <v>138229</v>
      </c>
      <c r="F49" s="208"/>
      <c r="G49" s="208">
        <f>F49+E49</f>
        <v>138229</v>
      </c>
      <c r="H49" s="293">
        <f>ROUND(IF($B49="a",G49*H$5,G49*H$6),0)</f>
        <v>628</v>
      </c>
      <c r="I49" s="208">
        <f>H49+G49</f>
        <v>138857</v>
      </c>
      <c r="J49" s="293">
        <f>ROUND(IF($B49="a",I49*J$5,I49*J$6),0)</f>
        <v>4166</v>
      </c>
      <c r="K49" s="208">
        <f>J49+I49</f>
        <v>143023</v>
      </c>
      <c r="L49" s="293">
        <f>ROUND(IF($B49="a",K49*L$5,K49*L$6),0)</f>
        <v>586</v>
      </c>
      <c r="M49" s="208">
        <f>L49+K49</f>
        <v>143609</v>
      </c>
      <c r="N49" s="208">
        <f>+H49+J49+L49</f>
        <v>5380</v>
      </c>
      <c r="O49" s="208"/>
      <c r="P49" s="208">
        <f>M49+O49</f>
        <v>143609</v>
      </c>
      <c r="Q49" s="294"/>
      <c r="R49" s="208">
        <f>O49+F49</f>
        <v>0</v>
      </c>
      <c r="S49" s="208">
        <f>ROUND($S$76*E49/E$73,0)</f>
        <v>5931</v>
      </c>
      <c r="T49" s="208">
        <f>ROUND($T$76*E49/E$73,0)</f>
        <v>6200</v>
      </c>
    </row>
    <row r="50" spans="2:20">
      <c r="B50" s="45" t="s">
        <v>61</v>
      </c>
      <c r="C50" s="292" t="s">
        <v>244</v>
      </c>
      <c r="D50" s="282"/>
      <c r="E50" s="208">
        <f>ROUND('[4]G-PLN-1'!L54,0)</f>
        <v>76092</v>
      </c>
      <c r="F50" s="208"/>
      <c r="G50" s="208">
        <f>F50+E50</f>
        <v>76092</v>
      </c>
      <c r="H50" s="293">
        <f>ROUND(IF($B50="a",G50*H$5,G50*H$6),0)</f>
        <v>345</v>
      </c>
      <c r="I50" s="208">
        <f>H50+G50</f>
        <v>76437</v>
      </c>
      <c r="J50" s="293">
        <f>ROUND(IF($B50="a",I50*J$5,I50*J$6),0)</f>
        <v>2293</v>
      </c>
      <c r="K50" s="208">
        <f>J50+I50</f>
        <v>78730</v>
      </c>
      <c r="L50" s="293">
        <f>ROUND(IF($B50="a",K50*L$5,K50*L$6),0)</f>
        <v>323</v>
      </c>
      <c r="M50" s="208">
        <f>L50+K50</f>
        <v>79053</v>
      </c>
      <c r="N50" s="208">
        <f>+H50+J50+L50</f>
        <v>2961</v>
      </c>
      <c r="O50" s="208"/>
      <c r="P50" s="208">
        <f>M50+O50</f>
        <v>79053</v>
      </c>
      <c r="Q50" s="294"/>
      <c r="R50" s="208">
        <f>O50+F50</f>
        <v>0</v>
      </c>
      <c r="S50" s="208">
        <f>ROUND($S$76*E50/E$73,0)</f>
        <v>3265</v>
      </c>
      <c r="T50" s="208">
        <f>ROUND($T$76*E50/E$73,0)</f>
        <v>3413</v>
      </c>
    </row>
    <row r="51" spans="2:20">
      <c r="B51" s="45" t="s">
        <v>61</v>
      </c>
      <c r="C51" s="292" t="s">
        <v>245</v>
      </c>
      <c r="D51" s="282"/>
      <c r="E51" s="208">
        <f>ROUND('[4]G-PLN-1'!L55,0)</f>
        <v>15390</v>
      </c>
      <c r="F51" s="208"/>
      <c r="G51" s="208">
        <f>F51+E51</f>
        <v>15390</v>
      </c>
      <c r="H51" s="293">
        <f>ROUND(IF($B51="a",G51*H$5,G51*H$6),0)</f>
        <v>70</v>
      </c>
      <c r="I51" s="208">
        <f>H51+G51</f>
        <v>15460</v>
      </c>
      <c r="J51" s="293">
        <f>ROUND(IF($B51="a",I51*J$5,I51*J$6),0)</f>
        <v>464</v>
      </c>
      <c r="K51" s="208">
        <f>J51+I51</f>
        <v>15924</v>
      </c>
      <c r="L51" s="293">
        <f>ROUND(IF($B51="a",K51*L$5,K51*L$6),0)</f>
        <v>65</v>
      </c>
      <c r="M51" s="208">
        <f>L51+K51</f>
        <v>15989</v>
      </c>
      <c r="N51" s="208">
        <f>+H51+J51+L51</f>
        <v>599</v>
      </c>
      <c r="O51" s="208"/>
      <c r="P51" s="208">
        <f>M51+O51</f>
        <v>15989</v>
      </c>
      <c r="Q51" s="294"/>
      <c r="R51" s="208">
        <f>O51+F51</f>
        <v>0</v>
      </c>
      <c r="S51" s="208">
        <f>ROUND($S$76*E51/E$73,0)</f>
        <v>660</v>
      </c>
      <c r="T51" s="208">
        <f>ROUND($T$76*E51/E$73,0)</f>
        <v>690</v>
      </c>
    </row>
    <row r="52" spans="2:20">
      <c r="C52" s="287" t="s">
        <v>191</v>
      </c>
      <c r="D52" s="287" t="str">
        <f>D28</f>
        <v>2011 to 2013</v>
      </c>
      <c r="E52" s="295">
        <f t="shared" ref="E52:P52" si="16">SUM(E49:E51)</f>
        <v>229711</v>
      </c>
      <c r="F52" s="295">
        <f t="shared" si="16"/>
        <v>0</v>
      </c>
      <c r="G52" s="295">
        <f t="shared" si="16"/>
        <v>229711</v>
      </c>
      <c r="H52" s="295">
        <f t="shared" si="16"/>
        <v>1043</v>
      </c>
      <c r="I52" s="295">
        <f t="shared" si="16"/>
        <v>230754</v>
      </c>
      <c r="J52" s="295">
        <f>SUM(J49:J51)</f>
        <v>6923</v>
      </c>
      <c r="K52" s="295">
        <f>SUM(K49:K51)</f>
        <v>237677</v>
      </c>
      <c r="L52" s="295">
        <f>SUM(L49:L51)</f>
        <v>974</v>
      </c>
      <c r="M52" s="295">
        <f>SUM(M49:M51)</f>
        <v>238651</v>
      </c>
      <c r="N52" s="295">
        <f t="shared" si="16"/>
        <v>8940</v>
      </c>
      <c r="O52" s="295">
        <f t="shared" si="16"/>
        <v>0</v>
      </c>
      <c r="P52" s="295">
        <f t="shared" si="16"/>
        <v>238651</v>
      </c>
      <c r="Q52" s="296"/>
      <c r="R52" s="295">
        <f>SUM(R49:R51)</f>
        <v>0</v>
      </c>
      <c r="S52" s="295">
        <f>SUM(S49:S51)</f>
        <v>9856</v>
      </c>
      <c r="T52" s="295">
        <f>SUM(T49:T51)</f>
        <v>10303</v>
      </c>
    </row>
    <row r="53" spans="2:20">
      <c r="C53" s="287"/>
      <c r="D53" s="287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6"/>
      <c r="R53" s="298"/>
      <c r="S53" s="298"/>
      <c r="T53" s="298"/>
    </row>
    <row r="54" spans="2:20">
      <c r="C54" s="287" t="s">
        <v>192</v>
      </c>
      <c r="D54" s="287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6"/>
      <c r="R54" s="298"/>
      <c r="S54" s="298"/>
      <c r="T54" s="298"/>
    </row>
    <row r="55" spans="2:20">
      <c r="B55" s="45" t="s">
        <v>61</v>
      </c>
      <c r="C55" s="292" t="s">
        <v>246</v>
      </c>
      <c r="D55" s="282"/>
      <c r="E55" s="208">
        <f>ROUND('[4]G-PLN-1'!L59,0)</f>
        <v>0</v>
      </c>
      <c r="F55" s="208"/>
      <c r="G55" s="208">
        <f>F55+E55</f>
        <v>0</v>
      </c>
      <c r="H55" s="293">
        <f>ROUND(IF($B55="a",G55*H$5,G55*H$6),0)</f>
        <v>0</v>
      </c>
      <c r="I55" s="208">
        <f>H55+G55</f>
        <v>0</v>
      </c>
      <c r="J55" s="293">
        <f>ROUND(IF($B55="a",I55*J$5,I55*J$6),0)</f>
        <v>0</v>
      </c>
      <c r="K55" s="208">
        <f>J55+I55</f>
        <v>0</v>
      </c>
      <c r="L55" s="293">
        <f>ROUND(IF($B55="a",K55*L$5,K55*L$6),0)</f>
        <v>0</v>
      </c>
      <c r="M55" s="208">
        <f>L55+K55</f>
        <v>0</v>
      </c>
      <c r="N55" s="208">
        <f>+H55+J55+L55</f>
        <v>0</v>
      </c>
      <c r="O55" s="208"/>
      <c r="P55" s="208">
        <f>M55+O55</f>
        <v>0</v>
      </c>
      <c r="Q55" s="294"/>
      <c r="R55" s="208">
        <f>O55+F55</f>
        <v>0</v>
      </c>
      <c r="S55" s="208">
        <f>ROUND($S$76*E55/E$73,0)</f>
        <v>0</v>
      </c>
      <c r="T55" s="208">
        <f>ROUND($T$76*E55/E$73,0)</f>
        <v>0</v>
      </c>
    </row>
    <row r="56" spans="2:20">
      <c r="B56" s="45" t="s">
        <v>61</v>
      </c>
      <c r="C56" s="292" t="s">
        <v>247</v>
      </c>
      <c r="D56" s="282"/>
      <c r="E56" s="208">
        <f>ROUND('[4]G-PLN-1'!L60,0)</f>
        <v>2299</v>
      </c>
      <c r="F56" s="208"/>
      <c r="G56" s="208">
        <f>F56+E56</f>
        <v>2299</v>
      </c>
      <c r="H56" s="293">
        <f>ROUND(IF($B56="a",G56*H$5,G56*H$6),0)</f>
        <v>10</v>
      </c>
      <c r="I56" s="208">
        <f>H56+G56</f>
        <v>2309</v>
      </c>
      <c r="J56" s="293">
        <f>ROUND(IF($B56="a",I56*J$5,I56*J$6),0)</f>
        <v>69</v>
      </c>
      <c r="K56" s="208">
        <f>J56+I56</f>
        <v>2378</v>
      </c>
      <c r="L56" s="293">
        <f>ROUND(IF($B56="a",K56*L$5,K56*L$6),0)</f>
        <v>10</v>
      </c>
      <c r="M56" s="208">
        <f>L56+K56</f>
        <v>2388</v>
      </c>
      <c r="N56" s="208">
        <f>+H56+J56+L56</f>
        <v>89</v>
      </c>
      <c r="O56" s="208"/>
      <c r="P56" s="208">
        <f>M56+O56</f>
        <v>2388</v>
      </c>
      <c r="Q56" s="294"/>
      <c r="R56" s="208">
        <f>O56+F56</f>
        <v>0</v>
      </c>
      <c r="S56" s="208">
        <f>ROUND($S$76*E56/E$73,0)</f>
        <v>99</v>
      </c>
      <c r="T56" s="208">
        <f>ROUND($T$76*E56/E$73,0)</f>
        <v>103</v>
      </c>
    </row>
    <row r="57" spans="2:20">
      <c r="B57" s="45" t="s">
        <v>61</v>
      </c>
      <c r="C57" s="292" t="s">
        <v>248</v>
      </c>
      <c r="D57" s="282"/>
      <c r="E57" s="208">
        <f>ROUND('[4]G-PLN-1'!L61,0)</f>
        <v>0</v>
      </c>
      <c r="F57" s="208"/>
      <c r="G57" s="208">
        <f>F57+E57</f>
        <v>0</v>
      </c>
      <c r="H57" s="293">
        <f>ROUND(IF($B57="a",G57*H$5,G57*H$6),0)</f>
        <v>0</v>
      </c>
      <c r="I57" s="208">
        <f>H57+G57</f>
        <v>0</v>
      </c>
      <c r="J57" s="293">
        <f>ROUND(IF($B57="a",I57*J$5,I57*J$6),0)</f>
        <v>0</v>
      </c>
      <c r="K57" s="208">
        <f>J57+I57</f>
        <v>0</v>
      </c>
      <c r="L57" s="293">
        <f>ROUND(IF($B57="a",K57*L$5,K57*L$6),0)</f>
        <v>0</v>
      </c>
      <c r="M57" s="208">
        <f>L57+K57</f>
        <v>0</v>
      </c>
      <c r="N57" s="208">
        <f>+H57+J57+L57</f>
        <v>0</v>
      </c>
      <c r="O57" s="208"/>
      <c r="P57" s="208">
        <f>M57+O57</f>
        <v>0</v>
      </c>
      <c r="Q57" s="294"/>
      <c r="R57" s="208">
        <f>O57+F57</f>
        <v>0</v>
      </c>
      <c r="S57" s="208">
        <f>ROUND($S$76*E57/E$73,0)</f>
        <v>0</v>
      </c>
      <c r="T57" s="208">
        <f>ROUND($T$76*E57/E$73,0)</f>
        <v>0</v>
      </c>
    </row>
    <row r="58" spans="2:20">
      <c r="B58" s="45" t="s">
        <v>61</v>
      </c>
      <c r="C58" s="292" t="s">
        <v>249</v>
      </c>
      <c r="D58" s="282"/>
      <c r="E58" s="208">
        <f>ROUND('[4]G-PLN-1'!L62,0)</f>
        <v>-1899</v>
      </c>
      <c r="F58" s="208"/>
      <c r="G58" s="208">
        <f>F58+E58</f>
        <v>-1899</v>
      </c>
      <c r="H58" s="293">
        <f>ROUND(IF($B58="a",G58*H$5,G58*H$6),0)</f>
        <v>-9</v>
      </c>
      <c r="I58" s="208">
        <f>H58+G58</f>
        <v>-1908</v>
      </c>
      <c r="J58" s="293">
        <f>ROUND(IF($B58="a",I58*J$5,I58*J$6),0)</f>
        <v>-57</v>
      </c>
      <c r="K58" s="208">
        <f>J58+I58</f>
        <v>-1965</v>
      </c>
      <c r="L58" s="293">
        <f>ROUND(IF($B58="a",K58*L$5,K58*L$6),0)</f>
        <v>-8</v>
      </c>
      <c r="M58" s="208">
        <f>L58+K58</f>
        <v>-1973</v>
      </c>
      <c r="N58" s="208">
        <f>+H58+J58+L58</f>
        <v>-74</v>
      </c>
      <c r="O58" s="208"/>
      <c r="P58" s="208">
        <f>M58+O58</f>
        <v>-1973</v>
      </c>
      <c r="Q58" s="294"/>
      <c r="R58" s="208">
        <f>O58+F58</f>
        <v>0</v>
      </c>
      <c r="S58" s="208">
        <f>ROUND($S$76*E58/E$73,0)</f>
        <v>-81</v>
      </c>
      <c r="T58" s="208">
        <f>ROUND($T$76*E58/E$73,0)</f>
        <v>-85</v>
      </c>
    </row>
    <row r="59" spans="2:20">
      <c r="C59" s="287" t="s">
        <v>195</v>
      </c>
      <c r="D59" s="287"/>
      <c r="E59" s="295">
        <f>SUM(E55:E58)</f>
        <v>400</v>
      </c>
      <c r="F59" s="295">
        <f t="shared" ref="F59:P59" si="17">SUM(F55:F58)</f>
        <v>0</v>
      </c>
      <c r="G59" s="295">
        <f t="shared" si="17"/>
        <v>400</v>
      </c>
      <c r="H59" s="295">
        <f t="shared" si="17"/>
        <v>1</v>
      </c>
      <c r="I59" s="295">
        <f t="shared" si="17"/>
        <v>401</v>
      </c>
      <c r="J59" s="295">
        <f t="shared" si="17"/>
        <v>12</v>
      </c>
      <c r="K59" s="295">
        <f t="shared" si="17"/>
        <v>413</v>
      </c>
      <c r="L59" s="295">
        <f>SUM(L55:L58)</f>
        <v>2</v>
      </c>
      <c r="M59" s="295">
        <f>SUM(M55:M58)</f>
        <v>415</v>
      </c>
      <c r="N59" s="295">
        <f t="shared" si="17"/>
        <v>15</v>
      </c>
      <c r="O59" s="295">
        <f t="shared" si="17"/>
        <v>0</v>
      </c>
      <c r="P59" s="295">
        <f t="shared" si="17"/>
        <v>415</v>
      </c>
      <c r="Q59" s="296"/>
      <c r="R59" s="295">
        <f>SUM(R55:R58)</f>
        <v>0</v>
      </c>
      <c r="S59" s="295">
        <f>SUM(S55:S58)</f>
        <v>18</v>
      </c>
      <c r="T59" s="295">
        <f>SUM(T55:T58)</f>
        <v>18</v>
      </c>
    </row>
    <row r="60" spans="2:20">
      <c r="C60" s="287"/>
      <c r="D60" s="287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298"/>
      <c r="Q60" s="296"/>
      <c r="R60" s="298"/>
      <c r="S60" s="298"/>
      <c r="T60" s="298"/>
    </row>
    <row r="61" spans="2:20" ht="13.5" thickBot="1">
      <c r="C61" s="287" t="s">
        <v>196</v>
      </c>
      <c r="D61" s="287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  <c r="Q61" s="296"/>
      <c r="R61" s="298"/>
      <c r="S61" s="298"/>
      <c r="T61" s="298"/>
    </row>
    <row r="62" spans="2:20" ht="13.5" thickBot="1">
      <c r="B62" s="45" t="s">
        <v>61</v>
      </c>
      <c r="C62" s="292" t="s">
        <v>250</v>
      </c>
      <c r="D62" s="282"/>
      <c r="E62" s="208">
        <f>ROUND('[4]G-PLN-1'!L66,0)-1</f>
        <v>2418010</v>
      </c>
      <c r="F62" s="208">
        <f>-'[4]PLE-2'!H17</f>
        <v>-401629</v>
      </c>
      <c r="G62" s="208">
        <f t="shared" ref="G62:G70" si="18">F62+E62</f>
        <v>2016381</v>
      </c>
      <c r="H62" s="293">
        <f t="shared" ref="H62:H70" si="19">ROUND(IF($B62="a",G62*H$5,G62*H$6),0)</f>
        <v>9154</v>
      </c>
      <c r="I62" s="208">
        <f t="shared" ref="I62:I70" si="20">H62+G62</f>
        <v>2025535</v>
      </c>
      <c r="J62" s="293">
        <f t="shared" ref="J62:J70" si="21">ROUND(IF($B62="a",I62*J$5,I62*J$6),0)</f>
        <v>60766</v>
      </c>
      <c r="K62" s="208">
        <f t="shared" ref="K62:K70" si="22">J62+I62</f>
        <v>2086301</v>
      </c>
      <c r="L62" s="293">
        <f t="shared" ref="L62:L70" si="23">ROUND(IF($B62="a",K62*L$5,K62*L$6),0)</f>
        <v>8554</v>
      </c>
      <c r="M62" s="208">
        <f t="shared" ref="M62:M70" si="24">L62+K62</f>
        <v>2094855</v>
      </c>
      <c r="N62" s="208">
        <f t="shared" ref="N62:N70" si="25">+H62+J62+L62</f>
        <v>78474</v>
      </c>
      <c r="O62" s="208">
        <f>'PLE-4'!I35</f>
        <v>221540</v>
      </c>
      <c r="P62" s="208">
        <f t="shared" ref="P62:P70" si="26">M62+O62</f>
        <v>2316395</v>
      </c>
      <c r="Q62" s="294"/>
      <c r="R62" s="303">
        <f>O62+F62</f>
        <v>-180089</v>
      </c>
      <c r="S62" s="208">
        <f t="shared" ref="S62:S70" si="27">ROUND($S$76*E62/E$73,0)</f>
        <v>103751</v>
      </c>
      <c r="T62" s="208">
        <f t="shared" ref="T62:T70" si="28">ROUND($T$76*E62/E$73,0)</f>
        <v>108448</v>
      </c>
    </row>
    <row r="63" spans="2:20">
      <c r="B63" s="48"/>
      <c r="C63" s="292">
        <v>921</v>
      </c>
      <c r="D63" s="282"/>
      <c r="E63" s="208">
        <f>ROUND('[4]G-PLN-1'!L67,0)</f>
        <v>8300</v>
      </c>
      <c r="F63" s="208"/>
      <c r="G63" s="208">
        <f t="shared" si="18"/>
        <v>8300</v>
      </c>
      <c r="H63" s="293">
        <f t="shared" si="19"/>
        <v>58</v>
      </c>
      <c r="I63" s="208">
        <f t="shared" si="20"/>
        <v>8358</v>
      </c>
      <c r="J63" s="293">
        <f t="shared" si="21"/>
        <v>251</v>
      </c>
      <c r="K63" s="208">
        <f t="shared" si="22"/>
        <v>8609</v>
      </c>
      <c r="L63" s="293">
        <f t="shared" si="23"/>
        <v>61</v>
      </c>
      <c r="M63" s="208">
        <f t="shared" si="24"/>
        <v>8670</v>
      </c>
      <c r="N63" s="208">
        <f t="shared" si="25"/>
        <v>370</v>
      </c>
      <c r="O63" s="208">
        <f>'PLE-4'!I36</f>
        <v>0</v>
      </c>
      <c r="P63" s="208">
        <f t="shared" si="26"/>
        <v>8670</v>
      </c>
      <c r="Q63" s="294"/>
      <c r="R63" s="208">
        <f t="shared" ref="R63:R70" si="29">O63+F63</f>
        <v>0</v>
      </c>
      <c r="S63" s="208">
        <f t="shared" si="27"/>
        <v>356</v>
      </c>
      <c r="T63" s="208">
        <f t="shared" si="28"/>
        <v>372</v>
      </c>
    </row>
    <row r="64" spans="2:20">
      <c r="B64" s="48"/>
      <c r="C64" s="292">
        <v>922</v>
      </c>
      <c r="D64" s="282"/>
      <c r="E64" s="208">
        <f>ROUND('[4]G-PLN-1'!L68,0)</f>
        <v>852</v>
      </c>
      <c r="F64" s="208"/>
      <c r="G64" s="208">
        <f>F64+E64</f>
        <v>852</v>
      </c>
      <c r="H64" s="293">
        <f>ROUND(IF($B64="a",G64*H$5,G64*H$6),0)</f>
        <v>6</v>
      </c>
      <c r="I64" s="208">
        <f>H64+G64</f>
        <v>858</v>
      </c>
      <c r="J64" s="293">
        <f>ROUND(IF($B64="a",I64*J$5,I64*J$6),0)</f>
        <v>26</v>
      </c>
      <c r="K64" s="208">
        <f>J64+I64</f>
        <v>884</v>
      </c>
      <c r="L64" s="293">
        <f>ROUND(IF($B64="a",K64*L$5,K64*L$6),0)</f>
        <v>6</v>
      </c>
      <c r="M64" s="208">
        <f>L64+K64</f>
        <v>890</v>
      </c>
      <c r="N64" s="208">
        <f>+H64+J64+L64</f>
        <v>38</v>
      </c>
      <c r="O64" s="208">
        <v>0</v>
      </c>
      <c r="P64" s="208">
        <f>M64+O64</f>
        <v>890</v>
      </c>
      <c r="Q64" s="294"/>
      <c r="R64" s="208">
        <f t="shared" si="29"/>
        <v>0</v>
      </c>
      <c r="S64" s="208">
        <f t="shared" si="27"/>
        <v>37</v>
      </c>
      <c r="T64" s="208">
        <f t="shared" si="28"/>
        <v>38</v>
      </c>
    </row>
    <row r="65" spans="2:20">
      <c r="B65" s="45" t="s">
        <v>61</v>
      </c>
      <c r="C65" s="292" t="s">
        <v>251</v>
      </c>
      <c r="D65" s="282"/>
      <c r="E65" s="208">
        <f>ROUND('[4]G-PLN-1'!L69,0)</f>
        <v>-287</v>
      </c>
      <c r="F65" s="208"/>
      <c r="G65" s="208">
        <f t="shared" si="18"/>
        <v>-287</v>
      </c>
      <c r="H65" s="293">
        <f t="shared" si="19"/>
        <v>-1</v>
      </c>
      <c r="I65" s="208">
        <f t="shared" si="20"/>
        <v>-288</v>
      </c>
      <c r="J65" s="293">
        <f t="shared" si="21"/>
        <v>-9</v>
      </c>
      <c r="K65" s="208">
        <f t="shared" si="22"/>
        <v>-297</v>
      </c>
      <c r="L65" s="293">
        <f t="shared" si="23"/>
        <v>-1</v>
      </c>
      <c r="M65" s="208">
        <f t="shared" si="24"/>
        <v>-298</v>
      </c>
      <c r="N65" s="208">
        <f t="shared" si="25"/>
        <v>-11</v>
      </c>
      <c r="O65" s="208"/>
      <c r="P65" s="208">
        <f t="shared" si="26"/>
        <v>-298</v>
      </c>
      <c r="Q65" s="294"/>
      <c r="R65" s="208">
        <f t="shared" si="29"/>
        <v>0</v>
      </c>
      <c r="S65" s="208">
        <f t="shared" si="27"/>
        <v>-12</v>
      </c>
      <c r="T65" s="208">
        <f t="shared" si="28"/>
        <v>-13</v>
      </c>
    </row>
    <row r="66" spans="2:20">
      <c r="B66" s="45" t="s">
        <v>61</v>
      </c>
      <c r="C66" s="292" t="s">
        <v>252</v>
      </c>
      <c r="D66" s="282"/>
      <c r="E66" s="208">
        <f>ROUND('[4]G-PLN-1'!L70,0)</f>
        <v>0</v>
      </c>
      <c r="F66" s="208"/>
      <c r="G66" s="208">
        <f t="shared" si="18"/>
        <v>0</v>
      </c>
      <c r="H66" s="293">
        <f t="shared" si="19"/>
        <v>0</v>
      </c>
      <c r="I66" s="208">
        <f t="shared" si="20"/>
        <v>0</v>
      </c>
      <c r="J66" s="293">
        <f t="shared" si="21"/>
        <v>0</v>
      </c>
      <c r="K66" s="208">
        <f t="shared" si="22"/>
        <v>0</v>
      </c>
      <c r="L66" s="293">
        <f t="shared" si="23"/>
        <v>0</v>
      </c>
      <c r="M66" s="208">
        <f t="shared" si="24"/>
        <v>0</v>
      </c>
      <c r="N66" s="208">
        <f t="shared" si="25"/>
        <v>0</v>
      </c>
      <c r="O66" s="208">
        <v>0</v>
      </c>
      <c r="P66" s="208">
        <f t="shared" si="26"/>
        <v>0</v>
      </c>
      <c r="Q66" s="294"/>
      <c r="R66" s="208">
        <f t="shared" si="29"/>
        <v>0</v>
      </c>
      <c r="S66" s="208">
        <f t="shared" si="27"/>
        <v>0</v>
      </c>
      <c r="T66" s="208">
        <f t="shared" si="28"/>
        <v>0</v>
      </c>
    </row>
    <row r="67" spans="2:20">
      <c r="B67" s="45" t="s">
        <v>61</v>
      </c>
      <c r="C67" s="292" t="s">
        <v>253</v>
      </c>
      <c r="D67" s="282"/>
      <c r="E67" s="208">
        <f>ROUND('[4]G-PLN-1'!L71,0)</f>
        <v>57578</v>
      </c>
      <c r="F67" s="208"/>
      <c r="G67" s="208">
        <f t="shared" si="18"/>
        <v>57578</v>
      </c>
      <c r="H67" s="293">
        <f t="shared" si="19"/>
        <v>261</v>
      </c>
      <c r="I67" s="208">
        <f t="shared" si="20"/>
        <v>57839</v>
      </c>
      <c r="J67" s="293">
        <f t="shared" si="21"/>
        <v>1735</v>
      </c>
      <c r="K67" s="208">
        <f t="shared" si="22"/>
        <v>59574</v>
      </c>
      <c r="L67" s="293">
        <f t="shared" si="23"/>
        <v>244</v>
      </c>
      <c r="M67" s="208">
        <f t="shared" si="24"/>
        <v>59818</v>
      </c>
      <c r="N67" s="208">
        <f t="shared" si="25"/>
        <v>2240</v>
      </c>
      <c r="O67" s="208"/>
      <c r="P67" s="208">
        <f t="shared" si="26"/>
        <v>59818</v>
      </c>
      <c r="Q67" s="294"/>
      <c r="R67" s="208">
        <f t="shared" si="29"/>
        <v>0</v>
      </c>
      <c r="S67" s="208">
        <f t="shared" si="27"/>
        <v>2471</v>
      </c>
      <c r="T67" s="208">
        <f t="shared" si="28"/>
        <v>2582</v>
      </c>
    </row>
    <row r="68" spans="2:20">
      <c r="B68" s="45" t="s">
        <v>61</v>
      </c>
      <c r="C68" s="292" t="s">
        <v>254</v>
      </c>
      <c r="D68" s="282"/>
      <c r="E68" s="208">
        <f>ROUND('[4]G-PLN-1'!L73,0)</f>
        <v>203428</v>
      </c>
      <c r="F68" s="208"/>
      <c r="G68" s="208">
        <f t="shared" si="18"/>
        <v>203428</v>
      </c>
      <c r="H68" s="293">
        <f t="shared" si="19"/>
        <v>924</v>
      </c>
      <c r="I68" s="208">
        <f t="shared" si="20"/>
        <v>204352</v>
      </c>
      <c r="J68" s="293">
        <f t="shared" si="21"/>
        <v>6131</v>
      </c>
      <c r="K68" s="208">
        <f t="shared" si="22"/>
        <v>210483</v>
      </c>
      <c r="L68" s="293">
        <f t="shared" si="23"/>
        <v>863</v>
      </c>
      <c r="M68" s="208">
        <f t="shared" si="24"/>
        <v>211346</v>
      </c>
      <c r="N68" s="208">
        <f t="shared" si="25"/>
        <v>7918</v>
      </c>
      <c r="O68" s="208"/>
      <c r="P68" s="208">
        <f t="shared" si="26"/>
        <v>211346</v>
      </c>
      <c r="Q68" s="294"/>
      <c r="R68" s="208">
        <f t="shared" si="29"/>
        <v>0</v>
      </c>
      <c r="S68" s="208">
        <f t="shared" si="27"/>
        <v>8729</v>
      </c>
      <c r="T68" s="208">
        <f t="shared" si="28"/>
        <v>9124</v>
      </c>
    </row>
    <row r="69" spans="2:20">
      <c r="B69" s="45" t="s">
        <v>61</v>
      </c>
      <c r="C69" s="292" t="s">
        <v>255</v>
      </c>
      <c r="D69" s="282"/>
      <c r="E69" s="208">
        <f>ROUND('[4]G-PLN-1'!L74,0)</f>
        <v>24659</v>
      </c>
      <c r="F69" s="208">
        <f>-'[4]PLE-2'!H18</f>
        <v>-874</v>
      </c>
      <c r="G69" s="208">
        <f t="shared" si="18"/>
        <v>23785</v>
      </c>
      <c r="H69" s="293">
        <f t="shared" si="19"/>
        <v>108</v>
      </c>
      <c r="I69" s="208">
        <f t="shared" si="20"/>
        <v>23893</v>
      </c>
      <c r="J69" s="293">
        <f t="shared" si="21"/>
        <v>717</v>
      </c>
      <c r="K69" s="208">
        <f t="shared" si="22"/>
        <v>24610</v>
      </c>
      <c r="L69" s="293">
        <f t="shared" si="23"/>
        <v>101</v>
      </c>
      <c r="M69" s="208">
        <f t="shared" si="24"/>
        <v>24711</v>
      </c>
      <c r="N69" s="208">
        <f t="shared" si="25"/>
        <v>926</v>
      </c>
      <c r="O69" s="208"/>
      <c r="P69" s="208">
        <f t="shared" si="26"/>
        <v>24711</v>
      </c>
      <c r="Q69" s="294"/>
      <c r="R69" s="208">
        <f t="shared" si="29"/>
        <v>-874</v>
      </c>
      <c r="S69" s="208">
        <f t="shared" si="27"/>
        <v>1058</v>
      </c>
      <c r="T69" s="208">
        <f t="shared" si="28"/>
        <v>1106</v>
      </c>
    </row>
    <row r="70" spans="2:20">
      <c r="C70" s="292" t="s">
        <v>256</v>
      </c>
      <c r="D70" s="282"/>
      <c r="E70" s="208">
        <f>ROUND('[4]G-PLN-1'!L76,0)</f>
        <v>223094</v>
      </c>
      <c r="F70" s="208"/>
      <c r="G70" s="208">
        <f t="shared" si="18"/>
        <v>223094</v>
      </c>
      <c r="H70" s="301">
        <f t="shared" si="19"/>
        <v>1559</v>
      </c>
      <c r="I70" s="208">
        <f t="shared" si="20"/>
        <v>224653</v>
      </c>
      <c r="J70" s="301">
        <f t="shared" si="21"/>
        <v>6740</v>
      </c>
      <c r="K70" s="208">
        <f t="shared" si="22"/>
        <v>231393</v>
      </c>
      <c r="L70" s="301">
        <f t="shared" si="23"/>
        <v>1638</v>
      </c>
      <c r="M70" s="208">
        <f t="shared" si="24"/>
        <v>233031</v>
      </c>
      <c r="N70" s="208">
        <f t="shared" si="25"/>
        <v>9937</v>
      </c>
      <c r="O70" s="208"/>
      <c r="P70" s="208">
        <f t="shared" si="26"/>
        <v>233031</v>
      </c>
      <c r="Q70" s="294"/>
      <c r="R70" s="208">
        <f t="shared" si="29"/>
        <v>0</v>
      </c>
      <c r="S70" s="208">
        <f t="shared" si="27"/>
        <v>9572</v>
      </c>
      <c r="T70" s="208">
        <f t="shared" si="28"/>
        <v>10006</v>
      </c>
    </row>
    <row r="71" spans="2:20">
      <c r="C71" s="287" t="s">
        <v>208</v>
      </c>
      <c r="D71" s="287"/>
      <c r="E71" s="295">
        <f t="shared" ref="E71:P71" si="30">SUM(E62:E70)</f>
        <v>2935634</v>
      </c>
      <c r="F71" s="295">
        <f>SUM(F62:F70)</f>
        <v>-402503</v>
      </c>
      <c r="G71" s="295">
        <f t="shared" si="30"/>
        <v>2533131</v>
      </c>
      <c r="H71" s="295">
        <f t="shared" si="30"/>
        <v>12069</v>
      </c>
      <c r="I71" s="295">
        <f t="shared" si="30"/>
        <v>2545200</v>
      </c>
      <c r="J71" s="295">
        <f>SUM(J62:J70)</f>
        <v>76357</v>
      </c>
      <c r="K71" s="295">
        <f>SUM(K62:K70)</f>
        <v>2621557</v>
      </c>
      <c r="L71" s="295">
        <f>SUM(L62:L70)</f>
        <v>11466</v>
      </c>
      <c r="M71" s="295">
        <f>SUM(M62:M70)</f>
        <v>2633023</v>
      </c>
      <c r="N71" s="295">
        <f t="shared" si="30"/>
        <v>99892</v>
      </c>
      <c r="O71" s="295">
        <f t="shared" si="30"/>
        <v>221540</v>
      </c>
      <c r="P71" s="295">
        <f t="shared" si="30"/>
        <v>2854563</v>
      </c>
      <c r="Q71" s="296"/>
      <c r="R71" s="295">
        <f>SUM(R62:R70)</f>
        <v>-180963</v>
      </c>
      <c r="S71" s="295">
        <f>SUM(S62:S70)</f>
        <v>125962</v>
      </c>
      <c r="T71" s="295">
        <f>SUM(T62:T70)</f>
        <v>131663</v>
      </c>
    </row>
    <row r="72" spans="2:20">
      <c r="C72" s="287"/>
      <c r="D72" s="287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6"/>
      <c r="R72" s="298"/>
      <c r="S72" s="298"/>
      <c r="T72" s="298"/>
    </row>
    <row r="73" spans="2:20">
      <c r="C73" s="287" t="s">
        <v>257</v>
      </c>
      <c r="D73" s="287"/>
      <c r="E73" s="295">
        <f t="shared" ref="E73:P73" si="31">E12+E17+E39+E46+E52+E59+E71</f>
        <v>10459217</v>
      </c>
      <c r="F73" s="295">
        <f t="shared" si="31"/>
        <v>-437189</v>
      </c>
      <c r="G73" s="295">
        <f t="shared" si="31"/>
        <v>10022028</v>
      </c>
      <c r="H73" s="295">
        <f t="shared" si="31"/>
        <v>57335</v>
      </c>
      <c r="I73" s="295">
        <f t="shared" si="31"/>
        <v>10079363</v>
      </c>
      <c r="J73" s="295">
        <f t="shared" si="31"/>
        <v>302382</v>
      </c>
      <c r="K73" s="295">
        <f t="shared" si="31"/>
        <v>10381745</v>
      </c>
      <c r="L73" s="295">
        <f t="shared" si="31"/>
        <v>57495</v>
      </c>
      <c r="M73" s="295">
        <f t="shared" si="31"/>
        <v>10439240</v>
      </c>
      <c r="N73" s="295">
        <f t="shared" si="31"/>
        <v>417212</v>
      </c>
      <c r="O73" s="295">
        <f t="shared" si="31"/>
        <v>242328</v>
      </c>
      <c r="P73" s="295">
        <f t="shared" si="31"/>
        <v>10681568</v>
      </c>
      <c r="Q73" s="296"/>
      <c r="R73" s="295">
        <f>R12+R17+R39+R46+R52+R59+R71</f>
        <v>-194861</v>
      </c>
      <c r="S73" s="295">
        <f>S12+S17+S39+S46+S52+S59+S71</f>
        <v>448781</v>
      </c>
      <c r="T73" s="295">
        <f>T12+T17+T39+T46+T52+T59+T71</f>
        <v>469096</v>
      </c>
    </row>
    <row r="74" spans="2:20" s="65" customFormat="1">
      <c r="C74" s="304"/>
      <c r="D74" s="304" t="str">
        <f>D52</f>
        <v>2011 to 2013</v>
      </c>
      <c r="E74" s="305" t="s">
        <v>258</v>
      </c>
      <c r="F74" s="306" t="s">
        <v>259</v>
      </c>
      <c r="G74" s="305"/>
      <c r="H74" s="305"/>
      <c r="I74" s="305"/>
      <c r="J74" s="305"/>
      <c r="K74" s="305"/>
      <c r="L74" s="305"/>
      <c r="M74" s="305"/>
      <c r="N74" s="305"/>
      <c r="O74" s="307" t="s">
        <v>212</v>
      </c>
      <c r="P74" s="305"/>
      <c r="Q74" s="308"/>
      <c r="R74" s="305"/>
      <c r="S74" s="309" t="s">
        <v>213</v>
      </c>
      <c r="T74" s="171" t="s">
        <v>213</v>
      </c>
    </row>
    <row r="76" spans="2:20">
      <c r="D76" s="56"/>
      <c r="E76" s="52">
        <f>'[4]G-PLN-1'!L79</f>
        <v>10459215.58</v>
      </c>
      <c r="F76" s="52">
        <f>'[4]PLE-2'!H22</f>
        <v>437189</v>
      </c>
      <c r="G76" s="52"/>
      <c r="H76" s="52"/>
      <c r="I76" s="52"/>
      <c r="J76" s="52"/>
      <c r="K76" s="52"/>
      <c r="L76" s="52"/>
      <c r="M76" s="52"/>
      <c r="N76" s="66">
        <f>L73+J73+H73</f>
        <v>417212</v>
      </c>
      <c r="O76" s="66">
        <f>'PLE-4'!I38</f>
        <v>242328</v>
      </c>
      <c r="P76" s="66">
        <f>M73+O73</f>
        <v>10681568</v>
      </c>
      <c r="Q76" s="66"/>
      <c r="R76" s="66">
        <f>O76-F76</f>
        <v>-194861</v>
      </c>
      <c r="S76" s="59">
        <f>'[4]PEB-1'!G23</f>
        <v>448778</v>
      </c>
      <c r="T76" s="59">
        <f>'[4]PEB-1'!H23</f>
        <v>469098</v>
      </c>
    </row>
    <row r="77" spans="2:20">
      <c r="G77" s="52"/>
      <c r="H77" s="63"/>
      <c r="I77" s="52"/>
      <c r="J77" s="63"/>
      <c r="K77" s="52"/>
      <c r="L77" s="63"/>
      <c r="M77" s="52"/>
      <c r="Q77" s="52"/>
      <c r="R77" s="52"/>
    </row>
    <row r="78" spans="2:20">
      <c r="F78" s="52"/>
      <c r="G78" s="52"/>
      <c r="H78" s="63"/>
      <c r="I78" s="52"/>
      <c r="J78" s="63"/>
      <c r="K78" s="52"/>
      <c r="L78" s="63"/>
      <c r="M78" s="52"/>
      <c r="N78" s="52"/>
      <c r="O78" s="52"/>
      <c r="P78" s="52"/>
      <c r="Q78" s="52"/>
      <c r="R78" s="52"/>
    </row>
    <row r="79" spans="2:20">
      <c r="E79" s="52"/>
      <c r="F79" s="52"/>
      <c r="G79" s="52"/>
      <c r="H79" s="63"/>
      <c r="I79" s="52"/>
      <c r="J79" s="63"/>
      <c r="K79" s="52"/>
      <c r="L79" s="63"/>
      <c r="M79" s="52"/>
      <c r="N79" s="52"/>
      <c r="O79" s="52"/>
      <c r="P79" s="52"/>
      <c r="Q79" s="52"/>
      <c r="R79" s="52"/>
      <c r="S79" s="52"/>
      <c r="T79" s="52"/>
    </row>
    <row r="80" spans="2:20">
      <c r="E80" s="52"/>
      <c r="F80" s="52"/>
      <c r="G80" s="52"/>
      <c r="H80" s="63"/>
      <c r="I80" s="52"/>
      <c r="J80" s="63"/>
      <c r="K80" s="52"/>
      <c r="L80" s="63"/>
      <c r="M80" s="52"/>
      <c r="N80" s="52"/>
      <c r="O80" s="52"/>
      <c r="P80" s="52"/>
      <c r="Q80" s="52"/>
      <c r="R80" s="52"/>
      <c r="S80" s="52"/>
      <c r="T80" s="52"/>
    </row>
    <row r="81" spans="3:20">
      <c r="E81" s="52"/>
      <c r="F81" s="52"/>
      <c r="G81" s="52"/>
      <c r="H81" s="64"/>
      <c r="I81" s="52"/>
      <c r="J81" s="64"/>
      <c r="K81" s="52"/>
      <c r="L81" s="64"/>
      <c r="M81" s="52"/>
      <c r="N81" s="52"/>
      <c r="O81" s="52"/>
      <c r="P81" s="52"/>
      <c r="Q81" s="52"/>
      <c r="R81" s="52"/>
      <c r="S81" s="52"/>
      <c r="T81" s="52"/>
    </row>
    <row r="82" spans="3:20">
      <c r="E82" s="52"/>
      <c r="F82" s="52"/>
      <c r="G82" s="52"/>
      <c r="H82" s="63"/>
      <c r="I82" s="52"/>
      <c r="J82" s="63"/>
      <c r="K82" s="52"/>
      <c r="L82" s="63"/>
      <c r="M82" s="52"/>
      <c r="N82" s="52"/>
      <c r="O82" s="52"/>
      <c r="P82" s="52"/>
      <c r="Q82" s="52"/>
      <c r="R82" s="52"/>
      <c r="S82" s="52"/>
      <c r="T82" s="52"/>
    </row>
    <row r="83" spans="3:20">
      <c r="E83" s="52"/>
      <c r="F83" s="52"/>
      <c r="G83" s="52"/>
      <c r="H83" s="63"/>
      <c r="I83" s="52"/>
      <c r="J83" s="63"/>
      <c r="K83" s="52"/>
      <c r="L83" s="63"/>
      <c r="M83" s="52"/>
      <c r="N83" s="52"/>
      <c r="O83" s="52"/>
      <c r="P83" s="52"/>
      <c r="Q83" s="52"/>
      <c r="R83" s="52"/>
      <c r="S83" s="52"/>
      <c r="T83" s="52"/>
    </row>
    <row r="84" spans="3:20">
      <c r="I84" s="52"/>
      <c r="J84" s="63"/>
      <c r="K84" s="52"/>
      <c r="L84" s="63"/>
      <c r="M84" s="52"/>
      <c r="N84" s="52"/>
      <c r="O84" s="52"/>
      <c r="P84" s="52"/>
      <c r="Q84" s="52"/>
      <c r="R84" s="52"/>
      <c r="S84" s="52"/>
      <c r="T84" s="52"/>
    </row>
    <row r="85" spans="3:20">
      <c r="I85" s="52"/>
      <c r="J85" s="63"/>
      <c r="K85" s="52"/>
      <c r="L85" s="63"/>
      <c r="M85" s="52"/>
      <c r="N85" s="52"/>
      <c r="O85" s="52"/>
      <c r="P85" s="52"/>
      <c r="Q85" s="52"/>
      <c r="R85" s="52"/>
      <c r="S85" s="52"/>
      <c r="T85" s="52"/>
    </row>
    <row r="86" spans="3:20">
      <c r="I86" s="52"/>
      <c r="J86" s="63"/>
      <c r="K86" s="52"/>
      <c r="L86" s="63"/>
      <c r="M86" s="52"/>
      <c r="N86" s="52"/>
      <c r="O86" s="52"/>
      <c r="P86" s="52"/>
      <c r="Q86" s="52"/>
      <c r="R86" s="52"/>
      <c r="S86" s="52"/>
      <c r="T86" s="52"/>
    </row>
    <row r="87" spans="3:20">
      <c r="I87" s="52"/>
      <c r="J87" s="63"/>
      <c r="K87" s="52"/>
      <c r="L87" s="63"/>
      <c r="M87" s="52"/>
      <c r="N87" s="52"/>
      <c r="O87" s="52"/>
      <c r="P87" s="52"/>
      <c r="Q87" s="52"/>
      <c r="R87" s="52"/>
      <c r="S87" s="52"/>
      <c r="T87" s="52"/>
    </row>
    <row r="88" spans="3:20">
      <c r="I88" s="52"/>
      <c r="J88" s="63"/>
      <c r="K88" s="52"/>
      <c r="L88" s="63"/>
      <c r="M88" s="52"/>
      <c r="N88" s="52"/>
      <c r="O88" s="52"/>
      <c r="P88" s="52"/>
      <c r="Q88" s="52"/>
      <c r="R88" s="52"/>
      <c r="S88" s="52"/>
      <c r="T88" s="52"/>
    </row>
    <row r="89" spans="3:20">
      <c r="I89" s="52"/>
      <c r="J89" s="63"/>
      <c r="K89" s="52"/>
      <c r="L89" s="63"/>
      <c r="M89" s="52"/>
      <c r="N89" s="52"/>
      <c r="O89" s="52"/>
      <c r="P89" s="52"/>
      <c r="Q89" s="52"/>
      <c r="R89" s="52"/>
      <c r="S89" s="52"/>
      <c r="T89" s="52"/>
    </row>
    <row r="90" spans="3:20"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</row>
    <row r="91" spans="3:20">
      <c r="C91" s="45"/>
      <c r="D91" s="45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</row>
    <row r="92" spans="3:20">
      <c r="C92" s="45"/>
      <c r="D92" s="45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</row>
    <row r="93" spans="3:20">
      <c r="C93" s="45"/>
      <c r="D93" s="45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</row>
    <row r="94" spans="3:20">
      <c r="C94" s="45"/>
      <c r="D94" s="45"/>
      <c r="I94" s="52"/>
      <c r="J94" s="63"/>
      <c r="K94" s="52"/>
      <c r="L94" s="63"/>
      <c r="M94" s="52"/>
      <c r="N94" s="52"/>
      <c r="O94" s="52"/>
      <c r="P94" s="52"/>
      <c r="Q94" s="52"/>
      <c r="R94" s="52"/>
      <c r="S94" s="52"/>
      <c r="T94" s="52"/>
    </row>
    <row r="95" spans="3:20">
      <c r="C95" s="45"/>
      <c r="D95" s="45"/>
      <c r="I95" s="52"/>
      <c r="J95" s="64"/>
      <c r="K95" s="52"/>
      <c r="L95" s="64"/>
      <c r="M95" s="52"/>
      <c r="N95" s="52"/>
      <c r="O95" s="52"/>
      <c r="P95" s="52"/>
      <c r="Q95" s="52"/>
      <c r="R95" s="52"/>
      <c r="S95" s="52"/>
      <c r="T95" s="52"/>
    </row>
    <row r="96" spans="3:20">
      <c r="C96" s="45"/>
      <c r="D96" s="45"/>
      <c r="I96" s="52"/>
      <c r="J96" s="64"/>
      <c r="K96" s="52"/>
      <c r="L96" s="64"/>
      <c r="M96" s="52"/>
      <c r="N96" s="52"/>
      <c r="O96" s="52"/>
      <c r="P96" s="52"/>
      <c r="Q96" s="52"/>
      <c r="R96" s="52"/>
      <c r="S96" s="52"/>
      <c r="T96" s="52"/>
    </row>
    <row r="97" spans="3:20">
      <c r="C97" s="45"/>
      <c r="D97" s="45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</row>
    <row r="98" spans="3:20">
      <c r="C98" s="45"/>
      <c r="D98" s="45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</row>
    <row r="99" spans="3:20">
      <c r="C99" s="45"/>
      <c r="D99" s="45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</row>
    <row r="100" spans="3:20">
      <c r="C100" s="45"/>
      <c r="D100" s="45"/>
      <c r="I100" s="52"/>
      <c r="J100" s="64"/>
      <c r="K100" s="52"/>
      <c r="L100" s="64"/>
      <c r="M100" s="52"/>
      <c r="N100" s="52"/>
      <c r="O100" s="52"/>
      <c r="P100" s="52"/>
      <c r="Q100" s="52"/>
      <c r="R100" s="52"/>
      <c r="S100" s="52"/>
      <c r="T100" s="52"/>
    </row>
    <row r="101" spans="3:20">
      <c r="C101" s="45"/>
      <c r="D101" s="45"/>
      <c r="I101" s="52"/>
      <c r="J101" s="64"/>
      <c r="K101" s="52"/>
      <c r="L101" s="64"/>
      <c r="M101" s="52"/>
      <c r="N101" s="52"/>
      <c r="O101" s="52"/>
      <c r="P101" s="52"/>
      <c r="Q101" s="52"/>
      <c r="R101" s="52"/>
      <c r="S101" s="52"/>
      <c r="T101" s="52"/>
    </row>
    <row r="102" spans="3:20">
      <c r="C102" s="45"/>
      <c r="D102" s="45"/>
      <c r="I102" s="52"/>
      <c r="J102" s="64"/>
      <c r="K102" s="52"/>
      <c r="L102" s="64"/>
      <c r="M102" s="52"/>
      <c r="N102" s="52"/>
      <c r="O102" s="52"/>
      <c r="P102" s="52"/>
      <c r="Q102" s="52"/>
      <c r="R102" s="52"/>
      <c r="S102" s="52"/>
      <c r="T102" s="52"/>
    </row>
    <row r="103" spans="3:20">
      <c r="C103" s="45"/>
      <c r="D103" s="45"/>
      <c r="I103" s="52"/>
      <c r="J103" s="64"/>
      <c r="K103" s="52"/>
      <c r="L103" s="64"/>
      <c r="M103" s="52"/>
      <c r="N103" s="52"/>
      <c r="O103" s="52"/>
      <c r="P103" s="52"/>
      <c r="Q103" s="52"/>
      <c r="R103" s="52"/>
      <c r="S103" s="52"/>
      <c r="T103" s="52"/>
    </row>
    <row r="104" spans="3:20">
      <c r="C104" s="45"/>
      <c r="D104" s="45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</row>
    <row r="105" spans="3:20"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</row>
    <row r="106" spans="3:20"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</row>
    <row r="107" spans="3:20">
      <c r="E107" s="52"/>
      <c r="F107" s="52"/>
      <c r="G107" s="52"/>
      <c r="H107" s="64"/>
      <c r="I107" s="52"/>
      <c r="J107" s="64"/>
      <c r="K107" s="52"/>
      <c r="L107" s="64"/>
      <c r="M107" s="52"/>
      <c r="N107" s="52"/>
      <c r="O107" s="52"/>
      <c r="P107" s="52"/>
      <c r="Q107" s="52"/>
      <c r="R107" s="52"/>
      <c r="S107" s="52"/>
      <c r="T107" s="52"/>
    </row>
    <row r="108" spans="3:20"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</row>
    <row r="109" spans="3:20"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</row>
    <row r="110" spans="3:20"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</row>
    <row r="111" spans="3:20">
      <c r="E111" s="52"/>
      <c r="F111" s="52"/>
      <c r="G111" s="52"/>
      <c r="H111" s="64"/>
      <c r="I111" s="52"/>
      <c r="J111" s="64"/>
      <c r="K111" s="52"/>
      <c r="L111" s="64"/>
      <c r="M111" s="52"/>
      <c r="N111" s="52"/>
      <c r="O111" s="52"/>
      <c r="P111" s="52"/>
      <c r="Q111" s="52"/>
      <c r="R111" s="52"/>
      <c r="S111" s="52"/>
      <c r="T111" s="52"/>
    </row>
    <row r="112" spans="3:20">
      <c r="E112" s="52"/>
      <c r="F112" s="52"/>
      <c r="G112" s="52"/>
      <c r="H112" s="64"/>
      <c r="I112" s="52"/>
      <c r="J112" s="64"/>
      <c r="K112" s="52"/>
      <c r="L112" s="64"/>
      <c r="M112" s="52"/>
      <c r="N112" s="52"/>
      <c r="O112" s="52"/>
      <c r="P112" s="52"/>
      <c r="Q112" s="52"/>
      <c r="R112" s="52"/>
      <c r="S112" s="52"/>
      <c r="T112" s="52"/>
    </row>
    <row r="113" spans="5:20">
      <c r="E113" s="52"/>
      <c r="F113" s="52"/>
      <c r="G113" s="52"/>
      <c r="H113" s="64"/>
      <c r="I113" s="52"/>
      <c r="J113" s="64"/>
      <c r="K113" s="52"/>
      <c r="L113" s="64"/>
      <c r="M113" s="52"/>
      <c r="N113" s="52"/>
      <c r="O113" s="52"/>
      <c r="P113" s="52"/>
      <c r="Q113" s="52"/>
      <c r="R113" s="52"/>
      <c r="S113" s="52"/>
      <c r="T113" s="52"/>
    </row>
    <row r="114" spans="5:20">
      <c r="E114" s="52"/>
      <c r="F114" s="52"/>
      <c r="G114" s="52"/>
      <c r="H114" s="64"/>
      <c r="I114" s="52"/>
      <c r="J114" s="64"/>
      <c r="K114" s="52"/>
      <c r="L114" s="64"/>
      <c r="M114" s="52"/>
      <c r="N114" s="52"/>
      <c r="O114" s="52"/>
      <c r="P114" s="52"/>
      <c r="Q114" s="52"/>
      <c r="R114" s="52"/>
      <c r="S114" s="52"/>
      <c r="T114" s="52"/>
    </row>
    <row r="115" spans="5:20">
      <c r="E115" s="52"/>
      <c r="F115" s="52"/>
      <c r="G115" s="52"/>
      <c r="H115" s="64"/>
      <c r="I115" s="52"/>
      <c r="J115" s="64"/>
      <c r="K115" s="52"/>
      <c r="L115" s="64"/>
      <c r="M115" s="52"/>
      <c r="N115" s="52"/>
      <c r="O115" s="52"/>
      <c r="P115" s="52"/>
      <c r="Q115" s="52"/>
      <c r="R115" s="52"/>
      <c r="S115" s="52"/>
      <c r="T115" s="52"/>
    </row>
    <row r="116" spans="5:20">
      <c r="E116" s="52"/>
      <c r="F116" s="52"/>
      <c r="G116" s="52"/>
      <c r="H116" s="64"/>
      <c r="I116" s="52"/>
      <c r="J116" s="64"/>
      <c r="K116" s="52"/>
      <c r="L116" s="64"/>
      <c r="M116" s="52"/>
      <c r="N116" s="52"/>
      <c r="O116" s="52"/>
      <c r="P116" s="52"/>
      <c r="Q116" s="52"/>
      <c r="R116" s="52"/>
      <c r="S116" s="52"/>
      <c r="T116" s="52"/>
    </row>
    <row r="117" spans="5:20">
      <c r="E117" s="52"/>
      <c r="F117" s="52"/>
      <c r="G117" s="52"/>
      <c r="H117" s="64"/>
      <c r="I117" s="52"/>
      <c r="J117" s="64"/>
      <c r="K117" s="52"/>
      <c r="L117" s="64"/>
      <c r="M117" s="52"/>
      <c r="N117" s="52"/>
      <c r="O117" s="52"/>
      <c r="P117" s="52"/>
      <c r="Q117" s="52"/>
      <c r="R117" s="52"/>
      <c r="S117" s="52"/>
      <c r="T117" s="52"/>
    </row>
    <row r="118" spans="5:20">
      <c r="E118" s="52"/>
      <c r="F118" s="52"/>
      <c r="G118" s="52"/>
      <c r="H118" s="64"/>
      <c r="I118" s="52"/>
      <c r="J118" s="64"/>
      <c r="K118" s="52"/>
      <c r="L118" s="64"/>
      <c r="M118" s="52"/>
      <c r="N118" s="52"/>
      <c r="O118" s="52"/>
      <c r="P118" s="52"/>
      <c r="Q118" s="52"/>
      <c r="R118" s="52"/>
      <c r="S118" s="52"/>
      <c r="T118" s="52"/>
    </row>
    <row r="119" spans="5:20">
      <c r="E119" s="52"/>
      <c r="F119" s="52"/>
      <c r="G119" s="52"/>
      <c r="H119" s="64"/>
      <c r="I119" s="52"/>
      <c r="J119" s="64"/>
      <c r="K119" s="52"/>
      <c r="L119" s="64"/>
      <c r="M119" s="52"/>
      <c r="N119" s="52"/>
      <c r="O119" s="52"/>
      <c r="P119" s="52"/>
      <c r="Q119" s="52"/>
      <c r="R119" s="52"/>
      <c r="S119" s="52"/>
      <c r="T119" s="52"/>
    </row>
    <row r="120" spans="5:20">
      <c r="E120" s="52"/>
      <c r="F120" s="52"/>
      <c r="G120" s="52"/>
      <c r="H120" s="63"/>
      <c r="I120" s="52"/>
      <c r="J120" s="63"/>
      <c r="K120" s="52"/>
      <c r="L120" s="63"/>
      <c r="M120" s="52"/>
      <c r="N120" s="52"/>
      <c r="O120" s="52"/>
      <c r="P120" s="52"/>
      <c r="Q120" s="52"/>
      <c r="R120" s="52"/>
      <c r="S120" s="52"/>
      <c r="T120" s="52"/>
    </row>
    <row r="121" spans="5:20"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</row>
    <row r="122" spans="5:20"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</row>
    <row r="123" spans="5:20"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</row>
    <row r="124" spans="5:20"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</row>
    <row r="125" spans="5:20"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</row>
    <row r="126" spans="5:20"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</row>
    <row r="127" spans="5:20">
      <c r="E127" s="51"/>
      <c r="F127" s="51"/>
      <c r="G127" s="51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</row>
    <row r="128" spans="5:20"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</row>
    <row r="129" spans="5:20"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</row>
    <row r="130" spans="5:20"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</row>
    <row r="131" spans="5:20"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</row>
    <row r="132" spans="5:20"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</row>
    <row r="133" spans="5:20"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</row>
    <row r="134" spans="5:20"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</row>
    <row r="135" spans="5:20"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</row>
    <row r="136" spans="5:20"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</row>
    <row r="137" spans="5:20"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</row>
    <row r="138" spans="5:20"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</row>
    <row r="139" spans="5:20"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</row>
    <row r="140" spans="5:20"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</row>
    <row r="141" spans="5:20"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</row>
    <row r="142" spans="5:20"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</row>
    <row r="143" spans="5:20"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</row>
    <row r="144" spans="5:20"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</row>
    <row r="145" spans="5:20"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</row>
    <row r="146" spans="5:20"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</row>
    <row r="147" spans="5:20"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</row>
    <row r="148" spans="5:20"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</row>
    <row r="149" spans="5:20"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</row>
    <row r="150" spans="5:20"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</row>
    <row r="151" spans="5:20"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</row>
    <row r="152" spans="5:20"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</row>
    <row r="153" spans="5:20"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</row>
    <row r="154" spans="5:20"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</row>
    <row r="155" spans="5:20"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</row>
    <row r="156" spans="5:20"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</row>
    <row r="157" spans="5:20"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</row>
    <row r="158" spans="5:20"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</row>
    <row r="159" spans="5:20"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</row>
    <row r="160" spans="5:20"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</row>
    <row r="161" spans="5:20"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</row>
    <row r="162" spans="5:20"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</row>
    <row r="163" spans="5:20"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</row>
    <row r="164" spans="5:20"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</row>
    <row r="165" spans="5:20"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</row>
    <row r="166" spans="5:20"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</row>
    <row r="167" spans="5:20"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</row>
    <row r="168" spans="5:20"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</row>
    <row r="169" spans="5:20"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</row>
    <row r="170" spans="5:20"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</row>
    <row r="171" spans="5:20"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</row>
    <row r="172" spans="5:20"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</row>
    <row r="173" spans="5:20"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</row>
    <row r="174" spans="5:20"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</row>
    <row r="175" spans="5:20"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</row>
    <row r="176" spans="5:20"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</row>
    <row r="177" spans="5:20"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</row>
    <row r="178" spans="5:20"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</row>
    <row r="179" spans="5:20"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</row>
    <row r="180" spans="5:20"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</row>
    <row r="181" spans="5:20"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</row>
    <row r="182" spans="5:20"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</row>
    <row r="183" spans="5:20"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</row>
    <row r="184" spans="5:20"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</row>
    <row r="185" spans="5:20"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</row>
    <row r="186" spans="5:20"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</row>
    <row r="187" spans="5:20"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</row>
    <row r="188" spans="5:20"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</row>
    <row r="189" spans="5:20"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</row>
    <row r="190" spans="5:20"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</row>
    <row r="191" spans="5:20"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</row>
    <row r="192" spans="5:20"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</row>
    <row r="193" spans="5:20"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</row>
    <row r="194" spans="5:20"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</row>
    <row r="195" spans="5:20"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</row>
    <row r="196" spans="5:20"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</row>
    <row r="197" spans="5:20"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</row>
    <row r="198" spans="5:20"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</row>
    <row r="199" spans="5:20"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</row>
    <row r="200" spans="5:20"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</row>
    <row r="201" spans="5:20"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</row>
    <row r="202" spans="5:20"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</row>
    <row r="203" spans="5:20"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</row>
    <row r="204" spans="5:20"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</row>
    <row r="205" spans="5:20"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</row>
    <row r="206" spans="5:20"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</row>
    <row r="207" spans="5:20"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</row>
    <row r="208" spans="5:20"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</row>
    <row r="209" spans="5:20"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</row>
    <row r="210" spans="5:20"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</row>
    <row r="211" spans="5:20"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</row>
    <row r="212" spans="5:20"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</row>
    <row r="213" spans="5:20"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</row>
    <row r="214" spans="5:20"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</row>
    <row r="215" spans="5:20"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</row>
    <row r="216" spans="5:20"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</row>
    <row r="217" spans="5:20"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</row>
    <row r="218" spans="5:20"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</row>
    <row r="219" spans="5:20"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</row>
    <row r="220" spans="5:20"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</row>
    <row r="221" spans="5:20"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</row>
    <row r="222" spans="5:20"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</row>
    <row r="223" spans="5:20"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</row>
    <row r="224" spans="5:20"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</row>
    <row r="225" spans="5:20"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</row>
    <row r="226" spans="5:20"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</row>
    <row r="227" spans="5:20"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</row>
    <row r="228" spans="5:20"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</row>
    <row r="229" spans="5:20"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</row>
    <row r="230" spans="5:20"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</row>
    <row r="231" spans="5:20"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</row>
    <row r="232" spans="5:20"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</row>
    <row r="233" spans="5:20"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</row>
    <row r="234" spans="5:20"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</row>
    <row r="235" spans="5:20"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</row>
    <row r="236" spans="5:20"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</row>
    <row r="237" spans="5:20"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</row>
    <row r="238" spans="5:20"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</row>
    <row r="239" spans="5:20"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</row>
  </sheetData>
  <pageMargins left="0.7" right="0.7" top="0.75" bottom="0.75" header="0.3" footer="0.3"/>
  <pageSetup scale="50" fitToWidth="0" orientation="landscape" r:id="rId1"/>
  <headerFooter>
    <oddHeader>&amp;RExhibit No. ___ (JH-6)
Dockets UE-120436 &amp;&amp; UG-120437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N41"/>
  <sheetViews>
    <sheetView workbookViewId="0">
      <selection activeCell="L46" sqref="L46"/>
    </sheetView>
  </sheetViews>
  <sheetFormatPr defaultColWidth="10.6640625" defaultRowHeight="12.75"/>
  <cols>
    <col min="1" max="1" width="10.5" style="86" customWidth="1"/>
    <col min="2" max="2" width="11.33203125" style="86" customWidth="1"/>
    <col min="3" max="3" width="10.33203125" style="86" customWidth="1"/>
    <col min="4" max="4" width="12" style="86" customWidth="1"/>
    <col min="5" max="5" width="9.83203125" style="86" customWidth="1"/>
    <col min="6" max="6" width="1.83203125" style="86" customWidth="1"/>
    <col min="7" max="7" width="14" style="86" bestFit="1" customWidth="1"/>
    <col min="8" max="8" width="11.5" style="86" bestFit="1" customWidth="1"/>
    <col min="9" max="9" width="13" style="86" bestFit="1" customWidth="1"/>
    <col min="10" max="10" width="11.5" style="86" bestFit="1" customWidth="1"/>
    <col min="11" max="11" width="12.33203125" style="86" customWidth="1"/>
    <col min="12" max="12" width="10.6640625" style="86" customWidth="1"/>
    <col min="13" max="13" width="10.5" style="86" bestFit="1" customWidth="1"/>
    <col min="14" max="16384" width="10.6640625" style="86"/>
  </cols>
  <sheetData>
    <row r="1" spans="1:13" ht="18.75">
      <c r="A1" s="177" t="s">
        <v>260</v>
      </c>
      <c r="B1" s="229"/>
      <c r="C1" s="229"/>
      <c r="D1" s="229"/>
      <c r="E1" s="230"/>
      <c r="F1" s="230"/>
      <c r="G1" s="230"/>
      <c r="H1" s="230"/>
      <c r="I1" s="230"/>
      <c r="J1" s="230"/>
      <c r="K1" s="230"/>
      <c r="L1" s="230"/>
      <c r="M1" s="99"/>
    </row>
    <row r="2" spans="1:13">
      <c r="A2" s="231" t="s">
        <v>284</v>
      </c>
      <c r="B2" s="229"/>
      <c r="C2" s="229"/>
      <c r="D2" s="229"/>
      <c r="E2" s="230"/>
      <c r="F2" s="230"/>
      <c r="G2" s="230"/>
      <c r="H2" s="230"/>
      <c r="I2" s="230"/>
      <c r="J2" s="230"/>
      <c r="K2" s="230"/>
      <c r="L2" s="230"/>
      <c r="M2" s="99"/>
    </row>
    <row r="3" spans="1:13">
      <c r="A3" s="229" t="s">
        <v>285</v>
      </c>
      <c r="B3" s="229"/>
      <c r="C3" s="229"/>
      <c r="D3" s="229"/>
      <c r="E3" s="230"/>
      <c r="F3" s="230"/>
      <c r="G3" s="387" t="s">
        <v>286</v>
      </c>
      <c r="H3" s="388"/>
      <c r="I3" s="389" t="s">
        <v>287</v>
      </c>
      <c r="J3" s="390"/>
      <c r="K3" s="389"/>
      <c r="L3" s="388"/>
      <c r="M3" s="99"/>
    </row>
    <row r="4" spans="1:13">
      <c r="A4" s="232"/>
      <c r="B4" s="229"/>
      <c r="C4" s="229"/>
      <c r="D4" s="229"/>
      <c r="E4" s="233" t="s">
        <v>288</v>
      </c>
      <c r="F4" s="154"/>
      <c r="G4" s="234">
        <v>0.65239999999999998</v>
      </c>
      <c r="H4" s="235">
        <v>0.34760000000000002</v>
      </c>
      <c r="I4" s="236"/>
      <c r="J4" s="237"/>
      <c r="K4" s="237"/>
      <c r="L4" s="238"/>
      <c r="M4" s="100">
        <f>SUM(G4:K4)</f>
        <v>1</v>
      </c>
    </row>
    <row r="5" spans="1:13">
      <c r="A5" s="230"/>
      <c r="B5" s="230"/>
      <c r="C5" s="230"/>
      <c r="D5" s="230"/>
      <c r="E5" s="233" t="s">
        <v>289</v>
      </c>
      <c r="F5" s="154"/>
      <c r="G5" s="239">
        <v>0.67029000000000005</v>
      </c>
      <c r="H5" s="240">
        <v>0.32971</v>
      </c>
      <c r="I5" s="239">
        <v>0.67586999999999997</v>
      </c>
      <c r="J5" s="241">
        <v>0.32412999999999997</v>
      </c>
      <c r="K5" s="242">
        <v>1</v>
      </c>
      <c r="L5" s="243"/>
      <c r="M5" s="100">
        <f>SUM(G5:K5)</f>
        <v>3</v>
      </c>
    </row>
    <row r="6" spans="1:13">
      <c r="A6" s="230"/>
      <c r="B6" s="230"/>
      <c r="C6" s="230"/>
      <c r="D6" s="230"/>
      <c r="E6" s="233" t="s">
        <v>290</v>
      </c>
      <c r="F6" s="154"/>
      <c r="G6" s="391">
        <v>0.72382999999999997</v>
      </c>
      <c r="H6" s="392"/>
      <c r="I6" s="393">
        <v>0.19477</v>
      </c>
      <c r="J6" s="394"/>
      <c r="K6" s="395">
        <v>8.14E-2</v>
      </c>
      <c r="L6" s="396"/>
      <c r="M6" s="100">
        <f>SUM(G6:L6)</f>
        <v>1</v>
      </c>
    </row>
    <row r="7" spans="1:13">
      <c r="A7" s="230"/>
      <c r="B7" s="230"/>
      <c r="C7" s="230"/>
      <c r="D7" s="230"/>
      <c r="E7" s="233" t="s">
        <v>291</v>
      </c>
      <c r="F7" s="154"/>
      <c r="G7" s="244"/>
      <c r="H7" s="245"/>
      <c r="I7" s="383">
        <v>0.70574999999999999</v>
      </c>
      <c r="J7" s="384"/>
      <c r="K7" s="385">
        <v>0.29425000000000001</v>
      </c>
      <c r="L7" s="386"/>
      <c r="M7" s="100">
        <f>SUM(I7:L7)</f>
        <v>1</v>
      </c>
    </row>
    <row r="8" spans="1:13">
      <c r="A8" s="246"/>
      <c r="B8" s="247" t="s">
        <v>292</v>
      </c>
      <c r="C8" s="248" t="s">
        <v>293</v>
      </c>
      <c r="D8" s="247" t="s">
        <v>294</v>
      </c>
      <c r="E8" s="233" t="s">
        <v>295</v>
      </c>
      <c r="F8" s="154"/>
      <c r="G8" s="249"/>
      <c r="H8" s="250"/>
      <c r="I8" s="251">
        <v>0.67278000000000004</v>
      </c>
      <c r="J8" s="252">
        <v>0.32722000000000001</v>
      </c>
      <c r="K8" s="253">
        <v>1</v>
      </c>
      <c r="L8" s="254"/>
      <c r="M8" s="100">
        <f>SUM(I8:K8)</f>
        <v>2</v>
      </c>
    </row>
    <row r="9" spans="1:13">
      <c r="A9" s="255" t="s">
        <v>60</v>
      </c>
      <c r="B9" s="255" t="s">
        <v>296</v>
      </c>
      <c r="C9" s="255" t="s">
        <v>297</v>
      </c>
      <c r="D9" s="255" t="s">
        <v>298</v>
      </c>
      <c r="E9" s="255" t="s">
        <v>112</v>
      </c>
      <c r="F9" s="230"/>
      <c r="G9" s="256" t="s">
        <v>299</v>
      </c>
      <c r="H9" s="257" t="s">
        <v>300</v>
      </c>
      <c r="I9" s="256" t="s">
        <v>301</v>
      </c>
      <c r="J9" s="257" t="s">
        <v>302</v>
      </c>
      <c r="K9" s="258" t="s">
        <v>303</v>
      </c>
      <c r="L9" s="258" t="s">
        <v>112</v>
      </c>
      <c r="M9" s="101" t="s">
        <v>127</v>
      </c>
    </row>
    <row r="10" spans="1:13">
      <c r="A10" s="206">
        <f>'PLE-1'!A9</f>
        <v>188</v>
      </c>
      <c r="B10" s="223">
        <f>+'PLE-1'!O9/'PLE-1'!$O$23*$B$24</f>
        <v>103353.10699396631</v>
      </c>
      <c r="C10" s="223">
        <f>'PLE-1'!P9</f>
        <v>0</v>
      </c>
      <c r="D10" s="223">
        <f>'PLE-1'!Q9</f>
        <v>0</v>
      </c>
      <c r="E10" s="223">
        <f>SUM(B10:D10)</f>
        <v>103353.10699396631</v>
      </c>
      <c r="F10" s="259"/>
      <c r="G10" s="259">
        <f t="shared" ref="G10:H22" si="0">ROUND($B10*$G$6*G$5+$C10*G$4,0)</f>
        <v>50144</v>
      </c>
      <c r="H10" s="259">
        <f t="shared" si="0"/>
        <v>24666</v>
      </c>
      <c r="I10" s="259">
        <f>ROUND($B10*$I$6*I$5+$D10*$I$7*I$8,0)</f>
        <v>13605</v>
      </c>
      <c r="J10" s="259">
        <f>ROUND($B10*$I$6*J$5+$D10*$I$7*J$8,0)</f>
        <v>6525</v>
      </c>
      <c r="K10" s="259">
        <f t="shared" ref="K10:K21" si="1">ROUND($B10*$K$6*K$5+$D10*$K$7*K$8,0)</f>
        <v>8413</v>
      </c>
      <c r="L10" s="259">
        <f t="shared" ref="L10:L21" si="2">SUM(G10:K10)</f>
        <v>103353</v>
      </c>
      <c r="M10" s="102">
        <f>L10-E10</f>
        <v>-0.10699396631389391</v>
      </c>
    </row>
    <row r="11" spans="1:13">
      <c r="A11" s="206">
        <f>'PLE-1'!A10</f>
        <v>365</v>
      </c>
      <c r="B11" s="223">
        <f>+'PLE-1'!O10/'PLE-1'!$O$23*$B$24</f>
        <v>116131.21202207613</v>
      </c>
      <c r="C11" s="223">
        <f>'PLE-1'!P10</f>
        <v>0</v>
      </c>
      <c r="D11" s="223">
        <f>'PLE-1'!Q10</f>
        <v>0</v>
      </c>
      <c r="E11" s="223">
        <f>SUM(B11:D11)</f>
        <v>116131.21202207613</v>
      </c>
      <c r="F11" s="259"/>
      <c r="G11" s="259">
        <f t="shared" si="0"/>
        <v>56344</v>
      </c>
      <c r="H11" s="259">
        <f t="shared" si="0"/>
        <v>27715</v>
      </c>
      <c r="I11" s="259">
        <f>ROUND($B11*$I$6*I$5+$D11*$I$7*I$8,0)</f>
        <v>15287</v>
      </c>
      <c r="J11" s="259">
        <f t="shared" ref="I11:J22" si="3">ROUND($B11*$I$6*J$5+$D11*$I$7*J$8,0)</f>
        <v>7331</v>
      </c>
      <c r="K11" s="259">
        <f>ROUND($B11*$K$6*K$5+$D11*$K$7*K$8,0)</f>
        <v>9453</v>
      </c>
      <c r="L11" s="259">
        <f>SUM(G11:K11)</f>
        <v>116130</v>
      </c>
      <c r="M11" s="102">
        <f>L11-E11</f>
        <v>-1.2120220761280507</v>
      </c>
    </row>
    <row r="12" spans="1:13">
      <c r="A12" s="206">
        <v>3512</v>
      </c>
      <c r="B12" s="223">
        <f>+'PLE-1'!O11/'PLE-1'!$O$23*$B$24</f>
        <v>118121.33342708668</v>
      </c>
      <c r="C12" s="223">
        <f>'PLE-1'!P12</f>
        <v>0</v>
      </c>
      <c r="D12" s="223">
        <f>'PLE-1'!Q12</f>
        <v>0</v>
      </c>
      <c r="E12" s="223">
        <f t="shared" ref="E12:E21" si="4">SUM(B12:D12)</f>
        <v>118121.33342708668</v>
      </c>
      <c r="F12" s="259"/>
      <c r="G12" s="259">
        <f t="shared" si="0"/>
        <v>57310</v>
      </c>
      <c r="H12" s="259">
        <f t="shared" si="0"/>
        <v>28190</v>
      </c>
      <c r="I12" s="259">
        <f>ROUND($B12*$I$6*I$5+$D12*$I$7*I$8,0)</f>
        <v>15549</v>
      </c>
      <c r="J12" s="259">
        <f>ROUND($B12*$I$6*J$5+$D12*$I$7*J$8,0)</f>
        <v>7457</v>
      </c>
      <c r="K12" s="259">
        <f t="shared" si="1"/>
        <v>9615</v>
      </c>
      <c r="L12" s="259">
        <f>SUM(G12:K12)</f>
        <v>118121</v>
      </c>
      <c r="M12" s="102">
        <f>L12-E12</f>
        <v>-0.3334270866762381</v>
      </c>
    </row>
    <row r="13" spans="1:13">
      <c r="A13" s="206">
        <f>'PLE-1'!A11</f>
        <v>2565</v>
      </c>
      <c r="B13" s="223">
        <f>+'PLE-1'!O12/'PLE-1'!$O$23*$B$24</f>
        <v>162702.67148011917</v>
      </c>
      <c r="C13" s="223">
        <f>'PLE-1'!P11</f>
        <v>0</v>
      </c>
      <c r="D13" s="223">
        <f>'PLE-1'!Q11</f>
        <v>0</v>
      </c>
      <c r="E13" s="223">
        <f t="shared" si="4"/>
        <v>162702.67148011917</v>
      </c>
      <c r="F13" s="259"/>
      <c r="G13" s="259">
        <f t="shared" si="0"/>
        <v>78939</v>
      </c>
      <c r="H13" s="259">
        <f t="shared" si="0"/>
        <v>38830</v>
      </c>
      <c r="I13" s="259">
        <f>ROUND($B13*$I$6*I$5+$D13*$I$7*I$8,0)</f>
        <v>21418</v>
      </c>
      <c r="J13" s="259">
        <f>ROUND($B13*$I$6*J$5+$D13*$I$7*J$8,0)</f>
        <v>10272</v>
      </c>
      <c r="K13" s="259">
        <f t="shared" si="1"/>
        <v>13244</v>
      </c>
      <c r="L13" s="259">
        <f t="shared" si="2"/>
        <v>162703</v>
      </c>
      <c r="M13" s="102">
        <f t="shared" ref="M13:M21" si="5">L13-E13</f>
        <v>0.32851988082984462</v>
      </c>
    </row>
    <row r="14" spans="1:13">
      <c r="A14" s="206">
        <f>'PLE-1'!A13</f>
        <v>11290</v>
      </c>
      <c r="B14" s="223">
        <f>+'PLE-1'!O13/'PLE-1'!$O$23*$B$24</f>
        <v>96487.301998018869</v>
      </c>
      <c r="C14" s="223">
        <f>'PLE-1'!P13</f>
        <v>0</v>
      </c>
      <c r="D14" s="223">
        <f>'PLE-1'!Q13</f>
        <v>0</v>
      </c>
      <c r="E14" s="223">
        <f t="shared" si="4"/>
        <v>96487.301998018869</v>
      </c>
      <c r="F14" s="259"/>
      <c r="G14" s="259">
        <f t="shared" si="0"/>
        <v>46813</v>
      </c>
      <c r="H14" s="259">
        <f t="shared" si="0"/>
        <v>23027</v>
      </c>
      <c r="I14" s="259">
        <f t="shared" si="3"/>
        <v>12702</v>
      </c>
      <c r="J14" s="259">
        <f t="shared" si="3"/>
        <v>6091</v>
      </c>
      <c r="K14" s="259">
        <f t="shared" si="1"/>
        <v>7854</v>
      </c>
      <c r="L14" s="259">
        <f t="shared" si="2"/>
        <v>96487</v>
      </c>
      <c r="M14" s="102">
        <f t="shared" si="5"/>
        <v>-0.30199801886919886</v>
      </c>
    </row>
    <row r="15" spans="1:13">
      <c r="A15" s="206">
        <f>'PLE-1'!A14</f>
        <v>45464</v>
      </c>
      <c r="B15" s="223">
        <f>+'PLE-1'!O14/'PLE-1'!$O$23*$B$24</f>
        <v>107663.51868696972</v>
      </c>
      <c r="C15" s="223">
        <f>'PLE-1'!P14</f>
        <v>0</v>
      </c>
      <c r="D15" s="223">
        <f>'PLE-1'!Q14</f>
        <v>0</v>
      </c>
      <c r="E15" s="223">
        <f t="shared" si="4"/>
        <v>107663.51868696972</v>
      </c>
      <c r="F15" s="259"/>
      <c r="G15" s="259">
        <f t="shared" si="0"/>
        <v>52236</v>
      </c>
      <c r="H15" s="259">
        <f t="shared" si="0"/>
        <v>25694</v>
      </c>
      <c r="I15" s="259">
        <f t="shared" si="3"/>
        <v>14173</v>
      </c>
      <c r="J15" s="259">
        <f t="shared" si="3"/>
        <v>6797</v>
      </c>
      <c r="K15" s="259">
        <f t="shared" si="1"/>
        <v>8764</v>
      </c>
      <c r="L15" s="259">
        <f t="shared" si="2"/>
        <v>107664</v>
      </c>
      <c r="M15" s="102">
        <f t="shared" si="5"/>
        <v>0.48131303027912509</v>
      </c>
    </row>
    <row r="16" spans="1:13" s="99" customFormat="1">
      <c r="A16" s="200">
        <f>'PLE-1'!A15</f>
        <v>46832</v>
      </c>
      <c r="B16" s="223">
        <f>+'PLE-1'!O15/'PLE-1'!$O$23*$B$24</f>
        <v>127569.85604732843</v>
      </c>
      <c r="C16" s="223">
        <f>'PLE-1'!P15</f>
        <v>0</v>
      </c>
      <c r="D16" s="223">
        <f>'PLE-1'!Q15</f>
        <v>0</v>
      </c>
      <c r="E16" s="223">
        <f t="shared" si="4"/>
        <v>127569.85604732843</v>
      </c>
      <c r="F16" s="259"/>
      <c r="G16" s="259">
        <f t="shared" si="0"/>
        <v>61894</v>
      </c>
      <c r="H16" s="259">
        <f t="shared" si="0"/>
        <v>30445</v>
      </c>
      <c r="I16" s="259">
        <f t="shared" si="3"/>
        <v>16793</v>
      </c>
      <c r="J16" s="259">
        <f t="shared" si="3"/>
        <v>8054</v>
      </c>
      <c r="K16" s="259">
        <f t="shared" si="1"/>
        <v>10384</v>
      </c>
      <c r="L16" s="259">
        <f t="shared" si="2"/>
        <v>127570</v>
      </c>
      <c r="M16" s="102">
        <f t="shared" si="5"/>
        <v>0.14395267156942282</v>
      </c>
    </row>
    <row r="17" spans="1:14">
      <c r="A17" s="206">
        <f>'PLE-1'!A16</f>
        <v>61582</v>
      </c>
      <c r="B17" s="223">
        <f>+'PLE-1'!O16/'PLE-1'!$O$23*$B$24</f>
        <v>270154.4266766244</v>
      </c>
      <c r="C17" s="223">
        <f>'PLE-1'!P16</f>
        <v>0</v>
      </c>
      <c r="D17" s="223">
        <f>'PLE-1'!Q16</f>
        <v>0</v>
      </c>
      <c r="E17" s="223">
        <f t="shared" si="4"/>
        <v>270154.4266766244</v>
      </c>
      <c r="F17" s="259"/>
      <c r="G17" s="259">
        <f t="shared" si="0"/>
        <v>131072</v>
      </c>
      <c r="H17" s="259">
        <f t="shared" si="0"/>
        <v>64473</v>
      </c>
      <c r="I17" s="259">
        <f t="shared" si="3"/>
        <v>35563</v>
      </c>
      <c r="J17" s="259">
        <f t="shared" si="3"/>
        <v>17055</v>
      </c>
      <c r="K17" s="259">
        <f t="shared" si="1"/>
        <v>21991</v>
      </c>
      <c r="L17" s="259">
        <f t="shared" si="2"/>
        <v>270154</v>
      </c>
      <c r="M17" s="102">
        <f t="shared" si="5"/>
        <v>-0.42667662439635023</v>
      </c>
    </row>
    <row r="18" spans="1:14">
      <c r="A18" s="206">
        <f>'PLE-1'!A17</f>
        <v>64690</v>
      </c>
      <c r="B18" s="223">
        <f>+'PLE-1'!O17/'PLE-1'!$O$23*$B$24</f>
        <v>101585.56495662141</v>
      </c>
      <c r="C18" s="223">
        <f>'PLE-1'!P17</f>
        <v>0</v>
      </c>
      <c r="D18" s="223">
        <f>'PLE-1'!Q17</f>
        <v>0</v>
      </c>
      <c r="E18" s="223">
        <f t="shared" si="4"/>
        <v>101585.56495662141</v>
      </c>
      <c r="F18" s="259"/>
      <c r="G18" s="259">
        <f t="shared" si="0"/>
        <v>49287</v>
      </c>
      <c r="H18" s="259">
        <f t="shared" si="0"/>
        <v>24244</v>
      </c>
      <c r="I18" s="259">
        <f t="shared" si="3"/>
        <v>13373</v>
      </c>
      <c r="J18" s="259">
        <f t="shared" si="3"/>
        <v>6413</v>
      </c>
      <c r="K18" s="259">
        <f t="shared" si="1"/>
        <v>8269</v>
      </c>
      <c r="L18" s="259">
        <f t="shared" si="2"/>
        <v>101586</v>
      </c>
      <c r="M18" s="102">
        <f t="shared" si="5"/>
        <v>0.43504337858757935</v>
      </c>
    </row>
    <row r="19" spans="1:14">
      <c r="A19" s="206">
        <v>88740</v>
      </c>
      <c r="B19" s="223">
        <f>+'PLE-1'!O18/'PLE-1'!$O$23*$B$24</f>
        <v>0</v>
      </c>
      <c r="C19" s="223">
        <f>'PLE-1'!P20</f>
        <v>0</v>
      </c>
      <c r="D19" s="223">
        <f>'PLE-1'!Q20</f>
        <v>0</v>
      </c>
      <c r="E19" s="223">
        <f t="shared" si="4"/>
        <v>0</v>
      </c>
      <c r="F19" s="259"/>
      <c r="G19" s="259">
        <f t="shared" si="0"/>
        <v>0</v>
      </c>
      <c r="H19" s="259">
        <f t="shared" si="0"/>
        <v>0</v>
      </c>
      <c r="I19" s="259">
        <f t="shared" si="3"/>
        <v>0</v>
      </c>
      <c r="J19" s="259">
        <f t="shared" si="3"/>
        <v>0</v>
      </c>
      <c r="K19" s="259">
        <f t="shared" si="1"/>
        <v>0</v>
      </c>
      <c r="L19" s="259">
        <f t="shared" si="2"/>
        <v>0</v>
      </c>
      <c r="M19" s="102">
        <f t="shared" si="5"/>
        <v>0</v>
      </c>
    </row>
    <row r="20" spans="1:14">
      <c r="A20" s="200">
        <v>83984</v>
      </c>
      <c r="B20" s="223">
        <f>+'PLE-1'!O19/'PLE-1'!$O$23*$B$24</f>
        <v>60830.770406014832</v>
      </c>
      <c r="C20" s="223">
        <f>+'PLE-1'!P31</f>
        <v>83690.978143118933</v>
      </c>
      <c r="D20" s="223">
        <f>+'PLE-1'!Q31</f>
        <v>37260.427146590286</v>
      </c>
      <c r="E20" s="223">
        <f>SUM(B20:D20)</f>
        <v>181782.17569572406</v>
      </c>
      <c r="F20" s="259"/>
      <c r="G20" s="259">
        <f>ROUND($B20*$G$6*G$5+$C20*G$4,0)</f>
        <v>84114</v>
      </c>
      <c r="H20" s="259">
        <f t="shared" si="0"/>
        <v>43608</v>
      </c>
      <c r="I20" s="259">
        <f t="shared" si="3"/>
        <v>25700</v>
      </c>
      <c r="J20" s="259">
        <f t="shared" si="3"/>
        <v>12445</v>
      </c>
      <c r="K20" s="259">
        <f t="shared" si="1"/>
        <v>15916</v>
      </c>
      <c r="L20" s="259">
        <f>SUM(G20:K20)</f>
        <v>181783</v>
      </c>
      <c r="M20" s="102">
        <f>L20-E20</f>
        <v>0.82430427594226785</v>
      </c>
    </row>
    <row r="21" spans="1:14">
      <c r="A21" s="206">
        <f>'PLE-1'!A21</f>
        <v>94440</v>
      </c>
      <c r="B21" s="223">
        <f>+'PLE-1'!O20/'PLE-1'!$O$23*$B$24</f>
        <v>144144.3339730399</v>
      </c>
      <c r="C21" s="223">
        <f>'PLE-1'!P21</f>
        <v>0</v>
      </c>
      <c r="D21" s="223">
        <f>'PLE-1'!Q21</f>
        <v>0</v>
      </c>
      <c r="E21" s="223">
        <f t="shared" si="4"/>
        <v>144144.3339730399</v>
      </c>
      <c r="F21" s="259"/>
      <c r="G21" s="259">
        <f t="shared" si="0"/>
        <v>69935</v>
      </c>
      <c r="H21" s="259">
        <f t="shared" si="0"/>
        <v>34401</v>
      </c>
      <c r="I21" s="259">
        <f t="shared" si="3"/>
        <v>18975</v>
      </c>
      <c r="J21" s="259">
        <f t="shared" si="3"/>
        <v>9100</v>
      </c>
      <c r="K21" s="259">
        <f t="shared" si="1"/>
        <v>11733</v>
      </c>
      <c r="L21" s="259">
        <f t="shared" si="2"/>
        <v>144144</v>
      </c>
      <c r="M21" s="103">
        <f t="shared" si="5"/>
        <v>-0.33397303990204819</v>
      </c>
    </row>
    <row r="22" spans="1:14">
      <c r="A22" s="206">
        <f>'PLE-1'!A19</f>
        <v>85931</v>
      </c>
      <c r="B22" s="223">
        <f>+'PLE-1'!O21/'PLE-1'!$O$23*$B$24</f>
        <v>23543.887640111992</v>
      </c>
      <c r="C22" s="223">
        <f>'PLE-1'!P19</f>
        <v>0</v>
      </c>
      <c r="D22" s="223">
        <f>'PLE-1'!Q19</f>
        <v>0</v>
      </c>
      <c r="E22" s="223">
        <f>SUM(B22:D22)</f>
        <v>23543.887640111992</v>
      </c>
      <c r="F22" s="259"/>
      <c r="G22" s="259">
        <f>ROUND($B22*$G$6*G$5+$C22*G$4,0)</f>
        <v>11423</v>
      </c>
      <c r="H22" s="259">
        <f t="shared" si="0"/>
        <v>5619</v>
      </c>
      <c r="I22" s="259">
        <f t="shared" si="3"/>
        <v>3099</v>
      </c>
      <c r="J22" s="259">
        <f t="shared" si="3"/>
        <v>1486</v>
      </c>
      <c r="K22" s="259">
        <f>ROUND($B22*$K$6*K$5+$D22*$K$7*K$8,0)</f>
        <v>1916</v>
      </c>
      <c r="L22" s="259">
        <f>SUM(G22:K22)</f>
        <v>23543</v>
      </c>
      <c r="M22" s="104">
        <f>L22-E22</f>
        <v>-0.88764011199236847</v>
      </c>
    </row>
    <row r="23" spans="1:14" ht="13.5" thickBot="1">
      <c r="A23" s="246"/>
      <c r="B23" s="260"/>
      <c r="C23" s="260"/>
      <c r="D23" s="260"/>
      <c r="E23" s="260"/>
      <c r="F23" s="259"/>
      <c r="G23" s="260"/>
      <c r="H23" s="260"/>
      <c r="I23" s="260"/>
      <c r="J23" s="260"/>
      <c r="K23" s="260"/>
      <c r="L23" s="261"/>
      <c r="M23" s="99"/>
    </row>
    <row r="24" spans="1:14" ht="13.5" thickBot="1">
      <c r="A24" s="262" t="s">
        <v>112</v>
      </c>
      <c r="B24" s="184">
        <f>+'PLE-1'!O31</f>
        <v>1432287.9843079778</v>
      </c>
      <c r="C24" s="184">
        <f>SUM(C10:C22)</f>
        <v>83690.978143118933</v>
      </c>
      <c r="D24" s="184">
        <f>SUM(D10:D22)</f>
        <v>37260.427146590286</v>
      </c>
      <c r="E24" s="263">
        <f>+'PLE-1'!O33</f>
        <v>1553239.3895976872</v>
      </c>
      <c r="F24" s="259"/>
      <c r="G24" s="184">
        <f t="shared" ref="G24:L24" si="6">SUM(G10:G22)</f>
        <v>749511</v>
      </c>
      <c r="H24" s="184">
        <f t="shared" si="6"/>
        <v>370912</v>
      </c>
      <c r="I24" s="184">
        <f t="shared" si="6"/>
        <v>206237</v>
      </c>
      <c r="J24" s="184">
        <f t="shared" si="6"/>
        <v>99026</v>
      </c>
      <c r="K24" s="184">
        <f t="shared" si="6"/>
        <v>127552</v>
      </c>
      <c r="L24" s="184">
        <f t="shared" si="6"/>
        <v>1553238</v>
      </c>
      <c r="M24" s="102">
        <f>SUM(M10:M23)</f>
        <v>-1.3895976870699087</v>
      </c>
      <c r="N24" s="70"/>
    </row>
    <row r="25" spans="1:14" ht="19.5" customHeight="1">
      <c r="A25" s="246"/>
      <c r="B25" s="264"/>
      <c r="C25" s="184"/>
      <c r="D25" s="184"/>
      <c r="E25" s="223"/>
      <c r="F25" s="259"/>
      <c r="G25" s="259"/>
      <c r="H25" s="259"/>
      <c r="I25" s="259"/>
      <c r="J25" s="259"/>
      <c r="K25" s="259"/>
      <c r="L25" s="259"/>
      <c r="M25" s="102"/>
    </row>
    <row r="26" spans="1:14" ht="18" customHeight="1">
      <c r="A26" s="246"/>
      <c r="B26" s="246" t="s">
        <v>304</v>
      </c>
      <c r="C26" s="184"/>
      <c r="D26" s="184"/>
      <c r="E26" s="223"/>
      <c r="F26" s="259"/>
      <c r="G26" s="265">
        <v>1.175</v>
      </c>
      <c r="H26" s="266">
        <f>G26</f>
        <v>1.175</v>
      </c>
      <c r="I26" s="266">
        <f>H26</f>
        <v>1.175</v>
      </c>
      <c r="J26" s="266">
        <f>I26</f>
        <v>1.175</v>
      </c>
      <c r="K26" s="266">
        <f>J26</f>
        <v>1.175</v>
      </c>
      <c r="L26" s="266">
        <f>K26</f>
        <v>1.175</v>
      </c>
      <c r="M26" s="102"/>
    </row>
    <row r="27" spans="1:14" s="106" customFormat="1" ht="26.25" customHeight="1" thickBot="1">
      <c r="A27" s="267"/>
      <c r="B27" s="267" t="s">
        <v>305</v>
      </c>
      <c r="C27" s="268"/>
      <c r="D27" s="268"/>
      <c r="E27" s="268"/>
      <c r="F27" s="269"/>
      <c r="G27" s="270">
        <f>ROUND(G24*G26,0)</f>
        <v>880675</v>
      </c>
      <c r="H27" s="270">
        <f>ROUND(H24*H26,0)</f>
        <v>435822</v>
      </c>
      <c r="I27" s="271">
        <f>ROUND(I24*I26,0)</f>
        <v>242328</v>
      </c>
      <c r="J27" s="271">
        <f>ROUND(J24*J26,0)</f>
        <v>116356</v>
      </c>
      <c r="K27" s="271">
        <f>ROUND(K24*K26,0)</f>
        <v>149874</v>
      </c>
      <c r="L27" s="271">
        <f>SUM(G27:K27)-1</f>
        <v>1825054</v>
      </c>
      <c r="M27" s="105">
        <f>L24*L26</f>
        <v>1825054.6500000001</v>
      </c>
    </row>
    <row r="28" spans="1:14" ht="13.5" thickTop="1">
      <c r="A28" s="246"/>
      <c r="B28" s="264"/>
      <c r="C28" s="264"/>
      <c r="D28" s="264"/>
      <c r="E28" s="264"/>
      <c r="F28" s="230"/>
      <c r="G28" s="272"/>
      <c r="H28" s="272"/>
      <c r="I28" s="270"/>
      <c r="J28" s="270"/>
      <c r="K28" s="259"/>
      <c r="L28" s="259"/>
    </row>
    <row r="29" spans="1:14">
      <c r="A29" s="246"/>
      <c r="B29" s="264"/>
      <c r="C29" s="273" t="s">
        <v>306</v>
      </c>
      <c r="D29" s="264"/>
      <c r="E29" s="264"/>
      <c r="F29" s="230"/>
      <c r="G29" s="259"/>
      <c r="H29" s="274"/>
      <c r="I29" s="259"/>
      <c r="J29" s="274"/>
      <c r="K29" s="230"/>
      <c r="L29" s="230"/>
      <c r="M29" s="99"/>
    </row>
    <row r="30" spans="1:14">
      <c r="A30" s="264"/>
      <c r="B30" s="184"/>
      <c r="C30" s="184"/>
      <c r="D30" s="184"/>
      <c r="E30" s="275">
        <v>920</v>
      </c>
      <c r="F30" s="184"/>
      <c r="G30" s="223">
        <f>ROUND($B24*$G6*G5,0)</f>
        <v>694912</v>
      </c>
      <c r="H30" s="223">
        <f>ROUND($B24*$G6*H5,0)-1</f>
        <v>341820</v>
      </c>
      <c r="I30" s="223">
        <f>ROUND($B24*$I6*I5,0)</f>
        <v>188545</v>
      </c>
      <c r="J30" s="223">
        <f>ROUND($B24*$I6*J5,0)+4</f>
        <v>90425</v>
      </c>
      <c r="K30" s="223">
        <f>ROUND($B24*$K6*K5,0)-2</f>
        <v>116586</v>
      </c>
      <c r="L30" s="184">
        <f>SUM(G30:K30)</f>
        <v>1432288</v>
      </c>
    </row>
    <row r="31" spans="1:14">
      <c r="A31" s="264"/>
      <c r="B31" s="264"/>
      <c r="C31" s="264"/>
      <c r="D31" s="264"/>
      <c r="E31" s="275">
        <v>557</v>
      </c>
      <c r="F31" s="264"/>
      <c r="G31" s="223">
        <f>ROUND($C24*G4,0)</f>
        <v>54600</v>
      </c>
      <c r="H31" s="223">
        <f>ROUND($C24*H4,0)</f>
        <v>29091</v>
      </c>
      <c r="I31" s="223"/>
      <c r="J31" s="223"/>
      <c r="K31" s="223"/>
      <c r="L31" s="184">
        <f>SUM(G31:K31)</f>
        <v>83691</v>
      </c>
    </row>
    <row r="32" spans="1:14">
      <c r="A32" s="264"/>
      <c r="B32" s="264"/>
      <c r="C32" s="264"/>
      <c r="D32" s="264"/>
      <c r="E32" s="275">
        <v>813</v>
      </c>
      <c r="F32" s="264"/>
      <c r="G32" s="276"/>
      <c r="H32" s="276"/>
      <c r="I32" s="276">
        <f>ROUND($D24*$I7*I8,0)</f>
        <v>17692</v>
      </c>
      <c r="J32" s="276">
        <f>ROUND($D24*$I7*J8,0)</f>
        <v>8605</v>
      </c>
      <c r="K32" s="276">
        <f>ROUND($D24*$K7*K8,0)</f>
        <v>10964</v>
      </c>
      <c r="L32" s="276">
        <f>SUM(G32:K32)</f>
        <v>37261</v>
      </c>
    </row>
    <row r="33" spans="1:13">
      <c r="A33" s="264"/>
      <c r="B33" s="264"/>
      <c r="C33" s="264"/>
      <c r="D33" s="264"/>
      <c r="E33" s="275"/>
      <c r="F33" s="264"/>
      <c r="G33" s="184">
        <f>SUM(G30:G32)</f>
        <v>749512</v>
      </c>
      <c r="H33" s="184">
        <f>SUM(H30:H32)</f>
        <v>370911</v>
      </c>
      <c r="I33" s="184">
        <f>SUM(I30:I32)</f>
        <v>206237</v>
      </c>
      <c r="J33" s="184">
        <f>SUM(J30:J32)</f>
        <v>99030</v>
      </c>
      <c r="K33" s="184">
        <f>SUM(K30:K32)</f>
        <v>127550</v>
      </c>
      <c r="L33" s="184">
        <f>SUM(G33:K33)</f>
        <v>1553240</v>
      </c>
    </row>
    <row r="34" spans="1:13" ht="13.5" thickBot="1">
      <c r="A34" s="264"/>
      <c r="B34" s="264"/>
      <c r="C34" s="273" t="s">
        <v>307</v>
      </c>
      <c r="D34" s="264"/>
      <c r="E34" s="275"/>
      <c r="F34" s="264"/>
      <c r="G34" s="264"/>
      <c r="H34" s="264"/>
      <c r="I34" s="264"/>
      <c r="J34" s="264"/>
      <c r="K34" s="264"/>
      <c r="L34" s="264"/>
    </row>
    <row r="35" spans="1:13" ht="14.25" thickTop="1" thickBot="1">
      <c r="A35" s="264"/>
      <c r="B35" s="264"/>
      <c r="C35" s="264"/>
      <c r="D35" s="264"/>
      <c r="E35" s="275">
        <v>920</v>
      </c>
      <c r="F35" s="184"/>
      <c r="G35" s="277">
        <f>ROUND(G30*G$26,0)</f>
        <v>816522</v>
      </c>
      <c r="H35" s="223">
        <f>ROUND(H30*H$26,0)</f>
        <v>401639</v>
      </c>
      <c r="I35" s="277">
        <f t="shared" ref="G35:K37" si="7">ROUND(I30*I$26,0)</f>
        <v>221540</v>
      </c>
      <c r="J35" s="223">
        <f>ROUND(J30*J$26,0)</f>
        <v>106249</v>
      </c>
      <c r="K35" s="223">
        <f t="shared" si="7"/>
        <v>136989</v>
      </c>
      <c r="L35" s="184">
        <f>SUM(G35:K35)</f>
        <v>1682939</v>
      </c>
    </row>
    <row r="36" spans="1:13" s="107" customFormat="1" ht="14.25" thickTop="1" thickBot="1">
      <c r="A36" s="278"/>
      <c r="B36" s="279"/>
      <c r="C36" s="279"/>
      <c r="D36" s="279"/>
      <c r="E36" s="275">
        <v>557</v>
      </c>
      <c r="F36" s="264"/>
      <c r="G36" s="277">
        <f t="shared" si="7"/>
        <v>64155</v>
      </c>
      <c r="H36" s="223">
        <f t="shared" si="7"/>
        <v>34182</v>
      </c>
      <c r="I36" s="277">
        <f t="shared" si="7"/>
        <v>0</v>
      </c>
      <c r="J36" s="223">
        <f t="shared" si="7"/>
        <v>0</v>
      </c>
      <c r="K36" s="223">
        <f t="shared" si="7"/>
        <v>0</v>
      </c>
      <c r="L36" s="184">
        <f>SUM(G36:K36)</f>
        <v>98337</v>
      </c>
    </row>
    <row r="37" spans="1:13" ht="14.25" thickTop="1" thickBot="1">
      <c r="A37" s="264"/>
      <c r="B37" s="264"/>
      <c r="C37" s="264"/>
      <c r="D37" s="264"/>
      <c r="E37" s="275">
        <v>813</v>
      </c>
      <c r="F37" s="264"/>
      <c r="G37" s="277">
        <f t="shared" si="7"/>
        <v>0</v>
      </c>
      <c r="H37" s="276">
        <f t="shared" si="7"/>
        <v>0</v>
      </c>
      <c r="I37" s="277">
        <f t="shared" si="7"/>
        <v>20788</v>
      </c>
      <c r="J37" s="276">
        <f t="shared" si="7"/>
        <v>10111</v>
      </c>
      <c r="K37" s="276">
        <f t="shared" si="7"/>
        <v>12883</v>
      </c>
      <c r="L37" s="276">
        <f>SUM(G37:K37)</f>
        <v>43782</v>
      </c>
    </row>
    <row r="38" spans="1:13" ht="14.25" thickTop="1" thickBot="1">
      <c r="A38" s="264"/>
      <c r="B38" s="264"/>
      <c r="C38" s="264"/>
      <c r="D38" s="264"/>
      <c r="E38" s="264"/>
      <c r="F38" s="264"/>
      <c r="G38" s="277">
        <f>SUM(G35:G37)</f>
        <v>880677</v>
      </c>
      <c r="H38" s="184">
        <f>SUM(H35:H37)</f>
        <v>435821</v>
      </c>
      <c r="I38" s="277">
        <f>SUM(I35:I37)</f>
        <v>242328</v>
      </c>
      <c r="J38" s="184">
        <f>SUM(J35:J37)</f>
        <v>116360</v>
      </c>
      <c r="K38" s="184">
        <f>SUM(K35:K37)</f>
        <v>149872</v>
      </c>
      <c r="L38" s="184">
        <f>SUM(G38:K38)</f>
        <v>1825058</v>
      </c>
    </row>
    <row r="39" spans="1:13" ht="13.5" thickTop="1"/>
    <row r="41" spans="1:13">
      <c r="A41" s="106" t="s">
        <v>308</v>
      </c>
      <c r="B41" s="70" t="b">
        <f>B24='PLE-1'!O23</f>
        <v>0</v>
      </c>
      <c r="C41" s="70" t="b">
        <f>C24='PLE-1'!P23</f>
        <v>0</v>
      </c>
      <c r="D41" s="70" t="b">
        <f>D24='PLE-1'!Q23</f>
        <v>0</v>
      </c>
      <c r="E41" s="70"/>
      <c r="M41" s="99" t="b">
        <f>M27=L27</f>
        <v>0</v>
      </c>
    </row>
  </sheetData>
  <mergeCells count="7">
    <mergeCell ref="I7:J7"/>
    <mergeCell ref="K7:L7"/>
    <mergeCell ref="G3:H3"/>
    <mergeCell ref="I3:L3"/>
    <mergeCell ref="G6:H6"/>
    <mergeCell ref="I6:J6"/>
    <mergeCell ref="K6:L6"/>
  </mergeCells>
  <pageMargins left="0.7" right="0.7" top="0.75" bottom="0.75" header="0.3" footer="0.3"/>
  <pageSetup scale="78" fitToHeight="0" orientation="portrait" r:id="rId1"/>
  <headerFooter>
    <oddHeader>&amp;RExhibit No. ___ (JH-6)
Dockets UE-120436 &amp;&amp; UG-120437
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AG52"/>
  <sheetViews>
    <sheetView zoomScale="90" zoomScaleNormal="90" workbookViewId="0">
      <selection activeCell="F1" sqref="F1:H1"/>
    </sheetView>
  </sheetViews>
  <sheetFormatPr defaultColWidth="9.33203125" defaultRowHeight="12.75"/>
  <cols>
    <col min="1" max="1" width="15.33203125" style="68" customWidth="1"/>
    <col min="2" max="2" width="13.1640625" style="68" bestFit="1" customWidth="1"/>
    <col min="3" max="3" width="12.6640625" style="68" customWidth="1"/>
    <col min="4" max="4" width="11.5" style="68" customWidth="1"/>
    <col min="5" max="5" width="13.6640625" style="68" bestFit="1" customWidth="1"/>
    <col min="6" max="6" width="10" style="68" customWidth="1"/>
    <col min="7" max="7" width="11.5" style="68" customWidth="1"/>
    <col min="8" max="8" width="3" style="68" customWidth="1"/>
    <col min="9" max="9" width="11" style="68" customWidth="1"/>
    <col min="10" max="10" width="9.5" style="68" bestFit="1" customWidth="1"/>
    <col min="11" max="11" width="8.5" style="68" bestFit="1" customWidth="1"/>
    <col min="12" max="12" width="7.1640625" style="68" customWidth="1"/>
    <col min="13" max="13" width="10" style="68" bestFit="1" customWidth="1"/>
    <col min="14" max="14" width="7.83203125" style="68" customWidth="1"/>
    <col min="15" max="15" width="13.33203125" style="68" bestFit="1" customWidth="1"/>
    <col min="16" max="16" width="10.5" style="68" bestFit="1" customWidth="1"/>
    <col min="17" max="17" width="10.33203125" style="68" customWidth="1"/>
    <col min="18" max="18" width="9.6640625" style="68" bestFit="1" customWidth="1"/>
    <col min="19" max="19" width="9.83203125" style="68" customWidth="1"/>
    <col min="20" max="20" width="13.33203125" style="68" bestFit="1" customWidth="1"/>
    <col min="21" max="21" width="2.5" style="68" customWidth="1"/>
    <col min="22" max="22" width="10.33203125" style="68" hidden="1" customWidth="1"/>
    <col min="23" max="23" width="7.6640625" style="68" customWidth="1"/>
    <col min="24" max="24" width="13.5" style="68" bestFit="1" customWidth="1"/>
    <col min="25" max="26" width="13.6640625" style="68" bestFit="1" customWidth="1"/>
    <col min="27" max="27" width="2" style="68" customWidth="1"/>
    <col min="28" max="29" width="9.33203125" style="68"/>
    <col min="30" max="30" width="12" style="68" customWidth="1"/>
    <col min="31" max="16384" width="9.33203125" style="68"/>
  </cols>
  <sheetData>
    <row r="1" spans="1:33" ht="18.75">
      <c r="A1" s="177" t="str">
        <f>'PLE-4'!A1</f>
        <v>Avista Utilities</v>
      </c>
      <c r="B1" s="178"/>
      <c r="C1" s="178"/>
      <c r="D1" s="178"/>
      <c r="E1" s="178"/>
      <c r="F1" s="153" t="s">
        <v>396</v>
      </c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W1" s="67" t="s">
        <v>260</v>
      </c>
    </row>
    <row r="2" spans="1:33" ht="15.75">
      <c r="A2" s="179" t="str">
        <f>'PLE-4'!A2</f>
        <v>Pro Forma 2012 Officer Compensation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W2" s="69" t="str">
        <f>A2</f>
        <v>Pro Forma 2012 Officer Compensation</v>
      </c>
    </row>
    <row r="3" spans="1:33" ht="15.75">
      <c r="A3" s="179" t="str">
        <f>Summary!A3</f>
        <v>Twelve Months Ended December 31, 2011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W3" s="69" t="str">
        <f>A3</f>
        <v>Twelve Months Ended December 31, 2011</v>
      </c>
    </row>
    <row r="4" spans="1:33">
      <c r="A4" s="180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</row>
    <row r="5" spans="1:33" ht="15.75">
      <c r="A5" s="181" t="s">
        <v>261</v>
      </c>
      <c r="B5" s="182"/>
      <c r="C5" s="182"/>
      <c r="D5" s="182"/>
      <c r="E5" s="182"/>
      <c r="F5" s="182"/>
      <c r="G5" s="183"/>
      <c r="H5" s="183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1:33">
      <c r="A6" s="184"/>
      <c r="B6" s="184"/>
      <c r="C6" s="184"/>
      <c r="D6" s="184"/>
      <c r="E6" s="184"/>
      <c r="F6" s="184"/>
      <c r="G6" s="185"/>
      <c r="H6" s="186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X6" s="51" t="s">
        <v>262</v>
      </c>
      <c r="Y6" s="71" t="s">
        <v>263</v>
      </c>
      <c r="Z6" s="71">
        <v>0</v>
      </c>
    </row>
    <row r="7" spans="1:33" s="72" customFormat="1">
      <c r="A7" s="187"/>
      <c r="B7" s="188">
        <v>2011</v>
      </c>
      <c r="C7" s="189" t="s">
        <v>264</v>
      </c>
      <c r="D7" s="189" t="s">
        <v>264</v>
      </c>
      <c r="E7" s="190"/>
      <c r="F7" s="189">
        <v>2011</v>
      </c>
      <c r="G7" s="191">
        <v>2013</v>
      </c>
      <c r="H7" s="192"/>
      <c r="I7" s="193" t="s">
        <v>265</v>
      </c>
      <c r="J7" s="397" t="s">
        <v>266</v>
      </c>
      <c r="K7" s="397"/>
      <c r="L7" s="397"/>
      <c r="M7" s="397"/>
      <c r="N7" s="397"/>
      <c r="O7" s="397" t="s">
        <v>267</v>
      </c>
      <c r="P7" s="397"/>
      <c r="Q7" s="397"/>
      <c r="R7" s="397"/>
      <c r="S7" s="397"/>
      <c r="T7" s="194"/>
      <c r="X7" s="73">
        <v>2011</v>
      </c>
      <c r="Y7" s="73">
        <v>2012</v>
      </c>
      <c r="Z7" s="74">
        <v>2013</v>
      </c>
    </row>
    <row r="8" spans="1:33" s="72" customFormat="1">
      <c r="A8" s="195" t="s">
        <v>60</v>
      </c>
      <c r="B8" s="195" t="s">
        <v>197</v>
      </c>
      <c r="C8" s="195" t="s">
        <v>268</v>
      </c>
      <c r="D8" s="195" t="s">
        <v>269</v>
      </c>
      <c r="E8" s="196">
        <f>B7</f>
        <v>2011</v>
      </c>
      <c r="F8" s="195" t="s">
        <v>270</v>
      </c>
      <c r="G8" s="197" t="s">
        <v>197</v>
      </c>
      <c r="H8" s="197"/>
      <c r="I8" s="197" t="s">
        <v>271</v>
      </c>
      <c r="J8" s="198">
        <v>920</v>
      </c>
      <c r="K8" s="198">
        <v>557</v>
      </c>
      <c r="L8" s="198">
        <v>813</v>
      </c>
      <c r="M8" s="198" t="s">
        <v>272</v>
      </c>
      <c r="N8" s="198">
        <v>417</v>
      </c>
      <c r="O8" s="198">
        <v>920</v>
      </c>
      <c r="P8" s="198">
        <v>557</v>
      </c>
      <c r="Q8" s="198">
        <v>813</v>
      </c>
      <c r="R8" s="198" t="s">
        <v>272</v>
      </c>
      <c r="S8" s="198">
        <v>417</v>
      </c>
      <c r="T8" s="199" t="s">
        <v>112</v>
      </c>
      <c r="U8" s="77"/>
      <c r="V8" s="76" t="s">
        <v>273</v>
      </c>
      <c r="X8" s="75" t="s">
        <v>197</v>
      </c>
      <c r="Y8" s="75" t="s">
        <v>197</v>
      </c>
      <c r="Z8" s="75" t="s">
        <v>197</v>
      </c>
    </row>
    <row r="9" spans="1:33" s="51" customFormat="1">
      <c r="A9" s="200">
        <v>188</v>
      </c>
      <c r="B9" s="201">
        <v>289591</v>
      </c>
      <c r="C9" s="201">
        <v>60485</v>
      </c>
      <c r="D9" s="201">
        <v>35938</v>
      </c>
      <c r="E9" s="202">
        <f>B9-C9-D9</f>
        <v>193168</v>
      </c>
      <c r="F9" s="203">
        <f>ROUND((B9-C9)/B9,4)</f>
        <v>0.79110000000000003</v>
      </c>
      <c r="G9" s="202">
        <f>Z9</f>
        <v>255000</v>
      </c>
      <c r="H9" s="202"/>
      <c r="I9" s="204">
        <f>ROUND(F9*G9,0)</f>
        <v>201731</v>
      </c>
      <c r="J9" s="205">
        <v>0.9</v>
      </c>
      <c r="K9" s="205"/>
      <c r="L9" s="205"/>
      <c r="M9" s="205"/>
      <c r="N9" s="205">
        <f t="shared" ref="N9:N14" si="0">100%-J9</f>
        <v>9.9999999999999978E-2</v>
      </c>
      <c r="O9" s="178">
        <f>ROUND($I9*J9,0)</f>
        <v>181558</v>
      </c>
      <c r="P9" s="178">
        <f t="shared" ref="O9:S21" si="1">ROUND($I9*K9,0)</f>
        <v>0</v>
      </c>
      <c r="Q9" s="178">
        <f t="shared" si="1"/>
        <v>0</v>
      </c>
      <c r="R9" s="178">
        <f t="shared" si="1"/>
        <v>0</v>
      </c>
      <c r="S9" s="178">
        <f>ROUND($I9*N9,0)</f>
        <v>20173</v>
      </c>
      <c r="T9" s="178">
        <f>SUM(O9:S9)</f>
        <v>201731</v>
      </c>
      <c r="V9" s="51">
        <f t="shared" ref="V9:V21" si="2">I9-E9</f>
        <v>8563</v>
      </c>
      <c r="X9" s="202">
        <f>'[4]PLE-3'!C6</f>
        <v>255000</v>
      </c>
      <c r="Y9" s="202">
        <f>'[4]PLE-3'!D6</f>
        <v>255000</v>
      </c>
      <c r="Z9" s="202">
        <f>'[4]PLE-3'!E6</f>
        <v>255000</v>
      </c>
      <c r="AB9" s="78"/>
      <c r="AD9" s="79"/>
      <c r="AE9" s="80"/>
      <c r="AF9" s="81"/>
      <c r="AG9" s="81"/>
    </row>
    <row r="10" spans="1:33">
      <c r="A10" s="200">
        <v>365</v>
      </c>
      <c r="B10" s="201">
        <v>283996</v>
      </c>
      <c r="C10" s="201">
        <v>50386</v>
      </c>
      <c r="D10" s="201">
        <v>14663</v>
      </c>
      <c r="E10" s="202">
        <f>B10-C10-D10</f>
        <v>218947</v>
      </c>
      <c r="F10" s="203">
        <f t="shared" ref="F10:F21" si="3">ROUND((B10-C10)/B10,4)</f>
        <v>0.8226</v>
      </c>
      <c r="G10" s="202">
        <f t="shared" ref="G10:G21" si="4">Z10</f>
        <v>248000</v>
      </c>
      <c r="H10" s="202"/>
      <c r="I10" s="204">
        <f>ROUND(F10*G10,0)</f>
        <v>204005</v>
      </c>
      <c r="J10" s="205">
        <v>1</v>
      </c>
      <c r="K10" s="205"/>
      <c r="L10" s="205"/>
      <c r="M10" s="205"/>
      <c r="N10" s="205">
        <f t="shared" si="0"/>
        <v>0</v>
      </c>
      <c r="O10" s="178">
        <f t="shared" si="1"/>
        <v>204005</v>
      </c>
      <c r="P10" s="178">
        <f t="shared" si="1"/>
        <v>0</v>
      </c>
      <c r="Q10" s="178">
        <f t="shared" si="1"/>
        <v>0</v>
      </c>
      <c r="R10" s="178">
        <f t="shared" si="1"/>
        <v>0</v>
      </c>
      <c r="S10" s="178">
        <f t="shared" si="1"/>
        <v>0</v>
      </c>
      <c r="T10" s="178">
        <f t="shared" ref="T10:T21" si="5">SUM(O10:S10)</f>
        <v>204005</v>
      </c>
      <c r="V10" s="51">
        <f t="shared" si="2"/>
        <v>-14942</v>
      </c>
      <c r="W10" s="51"/>
      <c r="X10" s="202">
        <f>'[4]PLE-3'!C10</f>
        <v>248000</v>
      </c>
      <c r="Y10" s="202">
        <f>'[4]PLE-3'!D10</f>
        <v>248000</v>
      </c>
      <c r="Z10" s="202">
        <f>'[4]PLE-3'!E10</f>
        <v>248000</v>
      </c>
      <c r="AB10" s="78"/>
      <c r="AD10" s="79"/>
      <c r="AE10" s="80"/>
      <c r="AF10" s="82"/>
      <c r="AG10" s="82"/>
    </row>
    <row r="11" spans="1:33">
      <c r="A11" s="200">
        <v>2565</v>
      </c>
      <c r="B11" s="201">
        <v>325507</v>
      </c>
      <c r="C11" s="201">
        <v>34361</v>
      </c>
      <c r="D11" s="201">
        <v>35938</v>
      </c>
      <c r="E11" s="202">
        <f>B11-C11-D11</f>
        <v>255208</v>
      </c>
      <c r="F11" s="203">
        <f>ROUND((B11-C11)/B11,4)</f>
        <v>0.89439999999999997</v>
      </c>
      <c r="G11" s="202">
        <f>Z11</f>
        <v>290000</v>
      </c>
      <c r="H11" s="202"/>
      <c r="I11" s="204">
        <f>ROUND(F11*G11,0)</f>
        <v>259376</v>
      </c>
      <c r="J11" s="205">
        <v>0.8</v>
      </c>
      <c r="K11" s="205"/>
      <c r="L11" s="205"/>
      <c r="M11" s="205"/>
      <c r="N11" s="205">
        <f>100%-J11</f>
        <v>0.19999999999999996</v>
      </c>
      <c r="O11" s="178">
        <f t="shared" si="1"/>
        <v>207501</v>
      </c>
      <c r="P11" s="178">
        <f t="shared" si="1"/>
        <v>0</v>
      </c>
      <c r="Q11" s="178">
        <f t="shared" si="1"/>
        <v>0</v>
      </c>
      <c r="R11" s="178">
        <f t="shared" si="1"/>
        <v>0</v>
      </c>
      <c r="S11" s="178">
        <f t="shared" si="1"/>
        <v>51875</v>
      </c>
      <c r="T11" s="178">
        <f t="shared" si="5"/>
        <v>259376</v>
      </c>
      <c r="V11" s="51">
        <f>I11-E11</f>
        <v>4168</v>
      </c>
      <c r="W11" s="51"/>
      <c r="X11" s="202">
        <f>'[4]PLE-3'!C5</f>
        <v>290000</v>
      </c>
      <c r="Y11" s="202">
        <f>'[4]PLE-3'!D5</f>
        <v>290000</v>
      </c>
      <c r="Z11" s="202">
        <f>'[4]PLE-3'!E5</f>
        <v>290000</v>
      </c>
      <c r="AB11" s="78"/>
      <c r="AD11" s="79"/>
      <c r="AE11" s="80"/>
      <c r="AF11" s="82"/>
      <c r="AG11" s="82"/>
    </row>
    <row r="12" spans="1:33">
      <c r="A12" s="206">
        <v>3512</v>
      </c>
      <c r="B12" s="201">
        <v>378258</v>
      </c>
      <c r="C12" s="201">
        <v>30058</v>
      </c>
      <c r="D12" s="201">
        <v>35938</v>
      </c>
      <c r="E12" s="202">
        <f t="shared" ref="E12:E21" si="6">B12-C12-D12</f>
        <v>312262</v>
      </c>
      <c r="F12" s="203">
        <f t="shared" si="3"/>
        <v>0.92049999999999998</v>
      </c>
      <c r="G12" s="202">
        <f t="shared" si="4"/>
        <v>345000</v>
      </c>
      <c r="H12" s="202"/>
      <c r="I12" s="204">
        <f>ROUND(F12*G12,0)</f>
        <v>317573</v>
      </c>
      <c r="J12" s="205">
        <v>0.9</v>
      </c>
      <c r="K12" s="205"/>
      <c r="L12" s="205"/>
      <c r="M12" s="205"/>
      <c r="N12" s="205">
        <v>0.1</v>
      </c>
      <c r="O12" s="178">
        <f t="shared" si="1"/>
        <v>285816</v>
      </c>
      <c r="P12" s="178">
        <f t="shared" si="1"/>
        <v>0</v>
      </c>
      <c r="Q12" s="178">
        <f t="shared" si="1"/>
        <v>0</v>
      </c>
      <c r="R12" s="178">
        <f t="shared" si="1"/>
        <v>0</v>
      </c>
      <c r="S12" s="178">
        <f t="shared" si="1"/>
        <v>31757</v>
      </c>
      <c r="T12" s="178">
        <f t="shared" si="5"/>
        <v>317573</v>
      </c>
      <c r="V12" s="51">
        <f t="shared" si="2"/>
        <v>5311</v>
      </c>
      <c r="W12" s="51"/>
      <c r="X12" s="202">
        <f>'[4]PLE-3'!C3</f>
        <v>345000</v>
      </c>
      <c r="Y12" s="202">
        <f>'[4]PLE-3'!D3</f>
        <v>345000</v>
      </c>
      <c r="Z12" s="202">
        <f>'[4]PLE-3'!E3</f>
        <v>345000</v>
      </c>
      <c r="AB12" s="78"/>
      <c r="AD12" s="79"/>
      <c r="AE12" s="80"/>
      <c r="AF12" s="82"/>
      <c r="AG12" s="82"/>
    </row>
    <row r="13" spans="1:33" s="84" customFormat="1">
      <c r="A13" s="200">
        <v>11290</v>
      </c>
      <c r="B13" s="201">
        <v>231887</v>
      </c>
      <c r="C13" s="201">
        <v>31554</v>
      </c>
      <c r="D13" s="201">
        <v>14663</v>
      </c>
      <c r="E13" s="202">
        <f t="shared" si="6"/>
        <v>185670</v>
      </c>
      <c r="F13" s="203">
        <f t="shared" si="3"/>
        <v>0.8639</v>
      </c>
      <c r="G13" s="202">
        <f t="shared" si="4"/>
        <v>218000</v>
      </c>
      <c r="H13" s="202"/>
      <c r="I13" s="204">
        <f t="shared" ref="I13:I21" si="7">ROUND(F13*G13,0)</f>
        <v>188330</v>
      </c>
      <c r="J13" s="205">
        <v>0.9</v>
      </c>
      <c r="K13" s="205"/>
      <c r="L13" s="205"/>
      <c r="M13" s="205"/>
      <c r="N13" s="205">
        <f t="shared" si="0"/>
        <v>9.9999999999999978E-2</v>
      </c>
      <c r="O13" s="178">
        <f t="shared" si="1"/>
        <v>169497</v>
      </c>
      <c r="P13" s="178">
        <f t="shared" si="1"/>
        <v>0</v>
      </c>
      <c r="Q13" s="178">
        <f t="shared" si="1"/>
        <v>0</v>
      </c>
      <c r="R13" s="178">
        <f t="shared" si="1"/>
        <v>0</v>
      </c>
      <c r="S13" s="178">
        <f t="shared" si="1"/>
        <v>18833</v>
      </c>
      <c r="T13" s="178">
        <f>SUM(O13:S13)</f>
        <v>188330</v>
      </c>
      <c r="V13" s="51">
        <f t="shared" si="2"/>
        <v>2660</v>
      </c>
      <c r="W13" s="51"/>
      <c r="X13" s="202">
        <f>'[4]PLE-3'!C7</f>
        <v>218000</v>
      </c>
      <c r="Y13" s="202">
        <f>'[4]PLE-3'!D7</f>
        <v>218000</v>
      </c>
      <c r="Z13" s="202">
        <f>'[4]PLE-3'!E7</f>
        <v>218000</v>
      </c>
      <c r="AB13" s="78"/>
      <c r="AD13" s="79"/>
      <c r="AE13" s="80"/>
      <c r="AF13" s="85"/>
      <c r="AG13" s="85"/>
    </row>
    <row r="14" spans="1:33" s="84" customFormat="1">
      <c r="A14" s="200">
        <v>45464</v>
      </c>
      <c r="B14" s="201">
        <v>218701</v>
      </c>
      <c r="C14" s="201">
        <v>14904</v>
      </c>
      <c r="D14" s="201">
        <v>14663</v>
      </c>
      <c r="E14" s="202">
        <f t="shared" si="6"/>
        <v>189134</v>
      </c>
      <c r="F14" s="203">
        <f t="shared" si="3"/>
        <v>0.93189999999999995</v>
      </c>
      <c r="G14" s="202">
        <f t="shared" si="4"/>
        <v>205000</v>
      </c>
      <c r="H14" s="202"/>
      <c r="I14" s="204">
        <f t="shared" si="7"/>
        <v>191040</v>
      </c>
      <c r="J14" s="205">
        <v>0.99</v>
      </c>
      <c r="K14" s="205"/>
      <c r="L14" s="205"/>
      <c r="M14" s="205"/>
      <c r="N14" s="205">
        <f t="shared" si="0"/>
        <v>1.0000000000000009E-2</v>
      </c>
      <c r="O14" s="178">
        <f t="shared" si="1"/>
        <v>189130</v>
      </c>
      <c r="P14" s="178">
        <f t="shared" si="1"/>
        <v>0</v>
      </c>
      <c r="Q14" s="178">
        <f t="shared" si="1"/>
        <v>0</v>
      </c>
      <c r="R14" s="178">
        <f t="shared" si="1"/>
        <v>0</v>
      </c>
      <c r="S14" s="178">
        <f t="shared" si="1"/>
        <v>1910</v>
      </c>
      <c r="T14" s="178">
        <f t="shared" si="5"/>
        <v>191040</v>
      </c>
      <c r="V14" s="51">
        <f t="shared" si="2"/>
        <v>1906</v>
      </c>
      <c r="W14" s="51"/>
      <c r="X14" s="202">
        <f>'[4]PLE-3'!C8</f>
        <v>205000</v>
      </c>
      <c r="Y14" s="202">
        <f>'[4]PLE-3'!D8</f>
        <v>205000</v>
      </c>
      <c r="Z14" s="202">
        <f>'[4]PLE-3'!E8</f>
        <v>205000</v>
      </c>
      <c r="AB14" s="78"/>
      <c r="AD14" s="79"/>
      <c r="AE14" s="80"/>
      <c r="AF14" s="85"/>
      <c r="AG14" s="85"/>
    </row>
    <row r="15" spans="1:33" s="51" customFormat="1">
      <c r="A15" s="200">
        <v>46832</v>
      </c>
      <c r="B15" s="201">
        <v>278701</v>
      </c>
      <c r="C15" s="201">
        <v>40635</v>
      </c>
      <c r="D15" s="201">
        <v>14663</v>
      </c>
      <c r="E15" s="202">
        <f t="shared" si="6"/>
        <v>223403</v>
      </c>
      <c r="F15" s="203">
        <f t="shared" si="3"/>
        <v>0.85419999999999996</v>
      </c>
      <c r="G15" s="202">
        <f t="shared" si="4"/>
        <v>265000</v>
      </c>
      <c r="H15" s="207"/>
      <c r="I15" s="204">
        <f>ROUND(F15*G15,0)</f>
        <v>226363</v>
      </c>
      <c r="J15" s="205">
        <v>0.99</v>
      </c>
      <c r="K15" s="205"/>
      <c r="L15" s="205"/>
      <c r="M15" s="205"/>
      <c r="N15" s="205">
        <f>100%-J15-K15-L15-M15</f>
        <v>1.0000000000000009E-2</v>
      </c>
      <c r="O15" s="208">
        <f t="shared" si="1"/>
        <v>224099</v>
      </c>
      <c r="P15" s="208">
        <f t="shared" si="1"/>
        <v>0</v>
      </c>
      <c r="Q15" s="208">
        <f t="shared" si="1"/>
        <v>0</v>
      </c>
      <c r="R15" s="208">
        <f>ROUND($I15*M15,0)</f>
        <v>0</v>
      </c>
      <c r="S15" s="208">
        <f t="shared" si="1"/>
        <v>2264</v>
      </c>
      <c r="T15" s="208">
        <f t="shared" si="5"/>
        <v>226363</v>
      </c>
      <c r="V15" s="51">
        <f t="shared" si="2"/>
        <v>2960</v>
      </c>
      <c r="X15" s="202">
        <f>'[4]PLE-3'!C9</f>
        <v>265000</v>
      </c>
      <c r="Y15" s="202">
        <f>'[4]PLE-3'!D9</f>
        <v>265000</v>
      </c>
      <c r="Z15" s="202">
        <f>'[4]PLE-3'!E9</f>
        <v>265000</v>
      </c>
      <c r="AB15" s="78"/>
      <c r="AD15" s="79"/>
      <c r="AE15" s="80"/>
      <c r="AF15" s="81"/>
      <c r="AG15" s="81"/>
    </row>
    <row r="16" spans="1:33" s="84" customFormat="1">
      <c r="A16" s="200">
        <v>61582</v>
      </c>
      <c r="B16" s="201">
        <v>848330</v>
      </c>
      <c r="C16" s="201">
        <v>97210</v>
      </c>
      <c r="D16" s="201">
        <v>147775</v>
      </c>
      <c r="E16" s="202">
        <f t="shared" si="6"/>
        <v>603345</v>
      </c>
      <c r="F16" s="203">
        <f t="shared" si="3"/>
        <v>0.88539999999999996</v>
      </c>
      <c r="G16" s="202">
        <f t="shared" si="4"/>
        <v>670000</v>
      </c>
      <c r="H16" s="207"/>
      <c r="I16" s="204">
        <f t="shared" si="7"/>
        <v>593218</v>
      </c>
      <c r="J16" s="205">
        <v>0.8</v>
      </c>
      <c r="K16" s="205"/>
      <c r="L16" s="205"/>
      <c r="M16" s="205"/>
      <c r="N16" s="205">
        <f>100%-J16</f>
        <v>0.19999999999999996</v>
      </c>
      <c r="O16" s="178">
        <f t="shared" si="1"/>
        <v>474574</v>
      </c>
      <c r="P16" s="178">
        <f t="shared" si="1"/>
        <v>0</v>
      </c>
      <c r="Q16" s="178">
        <f t="shared" si="1"/>
        <v>0</v>
      </c>
      <c r="R16" s="178">
        <f t="shared" si="1"/>
        <v>0</v>
      </c>
      <c r="S16" s="178">
        <f t="shared" si="1"/>
        <v>118644</v>
      </c>
      <c r="T16" s="178">
        <f t="shared" si="5"/>
        <v>593218</v>
      </c>
      <c r="U16" s="86"/>
      <c r="V16" s="51">
        <f t="shared" si="2"/>
        <v>-10127</v>
      </c>
      <c r="W16" s="51"/>
      <c r="X16" s="202">
        <f>'[4]PLE-3'!C2</f>
        <v>670000</v>
      </c>
      <c r="Y16" s="202">
        <f>'[4]PLE-3'!D2</f>
        <v>670000</v>
      </c>
      <c r="Z16" s="202">
        <f>'[4]PLE-3'!E2</f>
        <v>670000</v>
      </c>
      <c r="AA16" s="51"/>
      <c r="AB16" s="78"/>
      <c r="AD16" s="79"/>
      <c r="AE16" s="80"/>
      <c r="AF16" s="85"/>
      <c r="AG16" s="85"/>
    </row>
    <row r="17" spans="1:33" s="84" customFormat="1">
      <c r="A17" s="200">
        <v>64690</v>
      </c>
      <c r="B17" s="201">
        <v>229483</v>
      </c>
      <c r="C17" s="201">
        <v>37077</v>
      </c>
      <c r="D17" s="201">
        <v>14663</v>
      </c>
      <c r="E17" s="202">
        <f t="shared" si="6"/>
        <v>177743</v>
      </c>
      <c r="F17" s="203">
        <f t="shared" si="3"/>
        <v>0.83840000000000003</v>
      </c>
      <c r="G17" s="202">
        <f t="shared" si="4"/>
        <v>215000</v>
      </c>
      <c r="H17" s="202"/>
      <c r="I17" s="204">
        <f t="shared" si="7"/>
        <v>180256</v>
      </c>
      <c r="J17" s="205">
        <v>0.99</v>
      </c>
      <c r="K17" s="205"/>
      <c r="L17" s="205"/>
      <c r="M17" s="205"/>
      <c r="N17" s="205">
        <f>100%-J17</f>
        <v>1.0000000000000009E-2</v>
      </c>
      <c r="O17" s="178">
        <f t="shared" si="1"/>
        <v>178453</v>
      </c>
      <c r="P17" s="178">
        <f t="shared" si="1"/>
        <v>0</v>
      </c>
      <c r="Q17" s="178">
        <f t="shared" si="1"/>
        <v>0</v>
      </c>
      <c r="R17" s="178">
        <f t="shared" si="1"/>
        <v>0</v>
      </c>
      <c r="S17" s="178">
        <f t="shared" si="1"/>
        <v>1803</v>
      </c>
      <c r="T17" s="178">
        <f>SUM(O17:S17)</f>
        <v>180256</v>
      </c>
      <c r="U17" s="86"/>
      <c r="V17" s="51">
        <f t="shared" si="2"/>
        <v>2513</v>
      </c>
      <c r="W17" s="51"/>
      <c r="X17" s="202">
        <f>'[4]PLE-3'!C11</f>
        <v>215000</v>
      </c>
      <c r="Y17" s="202">
        <f>'[4]PLE-3'!D11</f>
        <v>215000</v>
      </c>
      <c r="Z17" s="202">
        <f>'[4]PLE-3'!E11</f>
        <v>215000</v>
      </c>
      <c r="AB17" s="78"/>
      <c r="AD17" s="79"/>
      <c r="AE17" s="80"/>
      <c r="AF17" s="85"/>
      <c r="AG17" s="85"/>
    </row>
    <row r="18" spans="1:33">
      <c r="A18" s="200">
        <v>83984</v>
      </c>
      <c r="B18" s="201">
        <v>256337</v>
      </c>
      <c r="C18" s="201">
        <v>36177</v>
      </c>
      <c r="D18" s="201">
        <v>8913</v>
      </c>
      <c r="E18" s="202">
        <f t="shared" si="6"/>
        <v>211247</v>
      </c>
      <c r="F18" s="203">
        <f>ROUND((B18-C18)/B18,4)</f>
        <v>0.8589</v>
      </c>
      <c r="G18" s="202">
        <f>Z18</f>
        <v>248000</v>
      </c>
      <c r="H18" s="202"/>
      <c r="I18" s="204">
        <f>ROUND(F18*G18,0)</f>
        <v>213007</v>
      </c>
      <c r="J18" s="205">
        <v>0</v>
      </c>
      <c r="K18" s="205">
        <v>0.69</v>
      </c>
      <c r="L18" s="205">
        <v>0.3</v>
      </c>
      <c r="M18" s="205"/>
      <c r="N18" s="205">
        <v>0.01</v>
      </c>
      <c r="O18" s="178">
        <f t="shared" si="1"/>
        <v>0</v>
      </c>
      <c r="P18" s="178">
        <f>ROUND($I18*K18,0)</f>
        <v>146975</v>
      </c>
      <c r="Q18" s="178">
        <f>ROUND($I18*L18,0)</f>
        <v>63902</v>
      </c>
      <c r="R18" s="178">
        <f t="shared" si="1"/>
        <v>0</v>
      </c>
      <c r="S18" s="178">
        <f t="shared" si="1"/>
        <v>2130</v>
      </c>
      <c r="T18" s="178">
        <f t="shared" si="5"/>
        <v>213007</v>
      </c>
      <c r="V18" s="51">
        <f>I18-E18</f>
        <v>1760</v>
      </c>
      <c r="W18" s="51"/>
      <c r="X18" s="202">
        <f>'[4]PLE-3'!C12</f>
        <v>248000</v>
      </c>
      <c r="Y18" s="202">
        <f>'[4]PLE-3'!D12</f>
        <v>248000</v>
      </c>
      <c r="Z18" s="202">
        <f>'[4]PLE-3'!E12</f>
        <v>248000</v>
      </c>
      <c r="AB18" s="78"/>
      <c r="AD18" s="79"/>
      <c r="AE18" s="80"/>
      <c r="AF18" s="82"/>
      <c r="AG18" s="82"/>
    </row>
    <row r="19" spans="1:33" s="87" customFormat="1">
      <c r="A19" s="206">
        <v>85931</v>
      </c>
      <c r="B19" s="201">
        <v>205004</v>
      </c>
      <c r="C19" s="201">
        <v>23888</v>
      </c>
      <c r="D19" s="201">
        <v>2300</v>
      </c>
      <c r="E19" s="202">
        <f t="shared" si="6"/>
        <v>178816</v>
      </c>
      <c r="F19" s="203">
        <f>ROUND((B19-C19)/B19,4)</f>
        <v>0.88349999999999995</v>
      </c>
      <c r="G19" s="202">
        <f>Z19</f>
        <v>205000</v>
      </c>
      <c r="H19" s="202"/>
      <c r="I19" s="209">
        <f>ROUND(F19*G19,0)</f>
        <v>181118</v>
      </c>
      <c r="J19" s="210">
        <v>0.59</v>
      </c>
      <c r="K19" s="210"/>
      <c r="L19" s="210"/>
      <c r="M19" s="210">
        <v>0.4</v>
      </c>
      <c r="N19" s="210">
        <f>100%-J19-M19</f>
        <v>1.0000000000000009E-2</v>
      </c>
      <c r="O19" s="211">
        <f t="shared" si="1"/>
        <v>106860</v>
      </c>
      <c r="P19" s="211">
        <f t="shared" si="1"/>
        <v>0</v>
      </c>
      <c r="Q19" s="211">
        <f t="shared" si="1"/>
        <v>0</v>
      </c>
      <c r="R19" s="211">
        <f t="shared" si="1"/>
        <v>72447</v>
      </c>
      <c r="S19" s="211">
        <f t="shared" si="1"/>
        <v>1811</v>
      </c>
      <c r="T19" s="211">
        <f t="shared" si="5"/>
        <v>181118</v>
      </c>
      <c r="V19" s="52">
        <f>I19-E19</f>
        <v>2302</v>
      </c>
      <c r="W19" s="52"/>
      <c r="X19" s="202">
        <f>'[4]PLE-3'!C13</f>
        <v>205000</v>
      </c>
      <c r="Y19" s="202">
        <f>'[4]PLE-3'!D13</f>
        <v>205000</v>
      </c>
      <c r="Z19" s="202">
        <f>'[4]PLE-3'!E13</f>
        <v>205000</v>
      </c>
      <c r="AB19" s="78"/>
      <c r="AD19" s="79"/>
      <c r="AE19" s="80"/>
      <c r="AF19" s="82"/>
      <c r="AG19" s="82"/>
    </row>
    <row r="20" spans="1:33">
      <c r="A20" s="200">
        <v>88740</v>
      </c>
      <c r="B20" s="201">
        <v>318702</v>
      </c>
      <c r="C20" s="201">
        <v>51423</v>
      </c>
      <c r="D20" s="201">
        <v>14663</v>
      </c>
      <c r="E20" s="202">
        <f t="shared" si="6"/>
        <v>252616</v>
      </c>
      <c r="F20" s="203">
        <f>ROUND((B20-C20)/B20,4)</f>
        <v>0.83860000000000001</v>
      </c>
      <c r="G20" s="202">
        <f>Z20</f>
        <v>305000</v>
      </c>
      <c r="H20" s="202"/>
      <c r="I20" s="204">
        <f>ROUND(F20*G20,0)</f>
        <v>255773</v>
      </c>
      <c r="J20" s="205">
        <v>0.99</v>
      </c>
      <c r="K20" s="205"/>
      <c r="L20" s="205"/>
      <c r="M20" s="205"/>
      <c r="N20" s="205">
        <f>100%-J20-K20-L20-M20</f>
        <v>1.0000000000000009E-2</v>
      </c>
      <c r="O20" s="178">
        <f t="shared" si="1"/>
        <v>253215</v>
      </c>
      <c r="P20" s="178">
        <f t="shared" si="1"/>
        <v>0</v>
      </c>
      <c r="Q20" s="178">
        <f t="shared" si="1"/>
        <v>0</v>
      </c>
      <c r="R20" s="178">
        <f t="shared" si="1"/>
        <v>0</v>
      </c>
      <c r="S20" s="178">
        <f t="shared" si="1"/>
        <v>2558</v>
      </c>
      <c r="T20" s="178">
        <f t="shared" si="5"/>
        <v>255773</v>
      </c>
      <c r="V20" s="51">
        <f>I20-E20</f>
        <v>3157</v>
      </c>
      <c r="W20" s="51"/>
      <c r="X20" s="202">
        <f>'[4]PLE-3'!C4</f>
        <v>305000</v>
      </c>
      <c r="Y20" s="202">
        <f>'[4]PLE-3'!D4</f>
        <v>305000</v>
      </c>
      <c r="Z20" s="202">
        <f>'[4]PLE-3'!E4</f>
        <v>305000</v>
      </c>
      <c r="AB20" s="78"/>
      <c r="AD20" s="79"/>
      <c r="AE20" s="80"/>
      <c r="AF20" s="82"/>
      <c r="AG20" s="82"/>
    </row>
    <row r="21" spans="1:33">
      <c r="A21" s="402">
        <v>94440</v>
      </c>
      <c r="B21" s="212">
        <v>243702</v>
      </c>
      <c r="C21" s="212">
        <v>24596</v>
      </c>
      <c r="D21" s="212">
        <v>14663</v>
      </c>
      <c r="E21" s="213">
        <f t="shared" si="6"/>
        <v>204443</v>
      </c>
      <c r="F21" s="214">
        <f t="shared" si="3"/>
        <v>0.89910000000000001</v>
      </c>
      <c r="G21" s="213">
        <f t="shared" si="4"/>
        <v>230000</v>
      </c>
      <c r="H21" s="213"/>
      <c r="I21" s="215">
        <f t="shared" si="7"/>
        <v>206793</v>
      </c>
      <c r="J21" s="401">
        <v>0.2</v>
      </c>
      <c r="K21" s="401"/>
      <c r="L21" s="401"/>
      <c r="M21" s="401"/>
      <c r="N21" s="401">
        <f>100%-J21</f>
        <v>0.8</v>
      </c>
      <c r="O21" s="216">
        <f t="shared" si="1"/>
        <v>41359</v>
      </c>
      <c r="P21" s="216">
        <f t="shared" si="1"/>
        <v>0</v>
      </c>
      <c r="Q21" s="216">
        <f t="shared" si="1"/>
        <v>0</v>
      </c>
      <c r="R21" s="216">
        <f t="shared" si="1"/>
        <v>0</v>
      </c>
      <c r="S21" s="216">
        <f t="shared" si="1"/>
        <v>165434</v>
      </c>
      <c r="T21" s="216">
        <f t="shared" si="5"/>
        <v>206793</v>
      </c>
      <c r="U21" s="87"/>
      <c r="V21" s="52">
        <f t="shared" si="2"/>
        <v>2350</v>
      </c>
      <c r="W21" s="52"/>
      <c r="X21" s="213">
        <f>'[4]PLE-3'!C14</f>
        <v>230000</v>
      </c>
      <c r="Y21" s="213">
        <f>'[4]PLE-3'!D14</f>
        <v>230000</v>
      </c>
      <c r="Z21" s="213">
        <f>'[4]PLE-3'!E14</f>
        <v>230000</v>
      </c>
      <c r="AB21" s="78"/>
      <c r="AD21" s="79"/>
      <c r="AE21" s="80"/>
      <c r="AF21" s="82"/>
      <c r="AG21" s="82"/>
    </row>
    <row r="22" spans="1:33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</row>
    <row r="23" spans="1:33" ht="15" customHeight="1" thickBot="1">
      <c r="A23" s="217"/>
      <c r="B23" s="218">
        <f>SUM(B9:B21)</f>
        <v>4108199</v>
      </c>
      <c r="C23" s="219">
        <f>SUM(C9:C21)</f>
        <v>532754</v>
      </c>
      <c r="D23" s="219">
        <f>SUM(D9:D21)</f>
        <v>369443</v>
      </c>
      <c r="E23" s="220">
        <f>SUM(E9:E21)</f>
        <v>3206002</v>
      </c>
      <c r="F23" s="186"/>
      <c r="G23" s="186">
        <f>SUM(G9:G21)</f>
        <v>3699000</v>
      </c>
      <c r="H23" s="186"/>
      <c r="I23" s="186">
        <f>SUM(I9:I21)</f>
        <v>3218583</v>
      </c>
      <c r="J23" s="178"/>
      <c r="K23" s="178"/>
      <c r="L23" s="178"/>
      <c r="M23" s="178"/>
      <c r="N23" s="178"/>
      <c r="O23" s="221">
        <f t="shared" ref="O23:T23" si="8">SUM(O9:O21)</f>
        <v>2516067</v>
      </c>
      <c r="P23" s="221">
        <f t="shared" si="8"/>
        <v>146975</v>
      </c>
      <c r="Q23" s="221">
        <f t="shared" si="8"/>
        <v>63902</v>
      </c>
      <c r="R23" s="221">
        <f t="shared" si="8"/>
        <v>72447</v>
      </c>
      <c r="S23" s="211">
        <f>SUM(S9:S22)</f>
        <v>419192</v>
      </c>
      <c r="T23" s="221">
        <f t="shared" si="8"/>
        <v>3218583</v>
      </c>
      <c r="V23" s="88">
        <f>SUM(V9:V21)</f>
        <v>12581</v>
      </c>
      <c r="X23" s="88">
        <f>SUM(X9:X22)</f>
        <v>3699000</v>
      </c>
      <c r="Y23" s="88">
        <f>SUM(Y9:Y21)</f>
        <v>3699000</v>
      </c>
      <c r="Z23" s="88">
        <f>SUM(Z9:Z21)</f>
        <v>3699000</v>
      </c>
      <c r="AD23" s="79"/>
      <c r="AE23" s="80"/>
      <c r="AF23" s="82"/>
      <c r="AG23" s="82"/>
    </row>
    <row r="24" spans="1:33" ht="14.25" customHeight="1" thickTop="1" thickBot="1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2">
        <f>+O23/$I$23</f>
        <v>0.781731277397538</v>
      </c>
      <c r="P24" s="172">
        <f>+P23/$I$23</f>
        <v>4.5664505156461713E-2</v>
      </c>
      <c r="Q24" s="172">
        <f>+Q23/$I$23</f>
        <v>1.98540786426822E-2</v>
      </c>
      <c r="R24" s="172">
        <f>+R23/$I$23</f>
        <v>2.2508973669468833E-2</v>
      </c>
      <c r="S24" s="175">
        <f>+S23/$I$23</f>
        <v>0.13024116513384928</v>
      </c>
      <c r="T24" s="178"/>
      <c r="V24" s="90"/>
      <c r="Z24" s="90"/>
    </row>
    <row r="25" spans="1:33" ht="14.25" customHeight="1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V25" s="90"/>
      <c r="X25" s="91" t="s">
        <v>274</v>
      </c>
      <c r="Y25" s="90">
        <f>Y23-X23</f>
        <v>0</v>
      </c>
      <c r="Z25" s="90"/>
    </row>
    <row r="26" spans="1:33" ht="12.6" customHeight="1" thickBot="1">
      <c r="A26" s="178"/>
      <c r="B26" s="178"/>
      <c r="C26" s="178"/>
      <c r="D26" s="178"/>
      <c r="E26" s="178"/>
      <c r="F26" s="178"/>
      <c r="G26" s="178"/>
      <c r="H26" s="178"/>
      <c r="I26" s="208" t="s">
        <v>275</v>
      </c>
      <c r="J26" s="208" t="s">
        <v>276</v>
      </c>
      <c r="K26" s="178"/>
      <c r="L26" s="208"/>
      <c r="M26" s="178"/>
      <c r="N26" s="178"/>
      <c r="O26" s="178">
        <f>+($I$23)*O27</f>
        <v>2200473.1668581623</v>
      </c>
      <c r="P26" s="178">
        <f>+($I$23)*P27</f>
        <v>128577.32085284826</v>
      </c>
      <c r="Q26" s="178">
        <f>+($I$23)*Q27</f>
        <v>57244.472494377449</v>
      </c>
      <c r="R26" s="178">
        <f>+R23</f>
        <v>72447</v>
      </c>
      <c r="S26" s="178">
        <f>+I23*S27</f>
        <v>760567.64735287009</v>
      </c>
      <c r="T26" s="178"/>
      <c r="V26" s="90"/>
      <c r="X26" s="90"/>
      <c r="Y26" s="90"/>
      <c r="Z26" s="90"/>
    </row>
    <row r="27" spans="1:33" ht="13.5" thickBot="1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208"/>
      <c r="L27" s="178"/>
      <c r="M27" s="178"/>
      <c r="N27" s="178"/>
      <c r="O27" s="172">
        <f>+(100%-(R27+S27))*O23/($O$23+$P$23+$Q$23)-0.0002</f>
        <v>0.68367762051131264</v>
      </c>
      <c r="P27" s="172">
        <f>+(100%-(R27+S27))*P23/(O23+P23+Q23)</f>
        <v>3.9948424773525573E-2</v>
      </c>
      <c r="Q27" s="172">
        <f>+((100%-(R27+S27))*Q23/(O23+P23+Q32))</f>
        <v>1.7785613263469498E-2</v>
      </c>
      <c r="R27" s="172">
        <v>2.2499999999999999E-2</v>
      </c>
      <c r="S27" s="222">
        <f>+'Non-Reg'!F26</f>
        <v>0.23630512164914499</v>
      </c>
      <c r="T27" s="178"/>
      <c r="V27" s="90"/>
      <c r="X27" s="90"/>
      <c r="Z27" s="90"/>
    </row>
    <row r="28" spans="1:33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2"/>
      <c r="V28" s="90"/>
      <c r="X28" s="91" t="s">
        <v>277</v>
      </c>
      <c r="Y28" s="93">
        <v>0</v>
      </c>
      <c r="Z28" s="90"/>
    </row>
    <row r="29" spans="1:33">
      <c r="A29" s="178"/>
      <c r="B29" s="178"/>
      <c r="C29" s="178"/>
      <c r="D29" s="178"/>
      <c r="E29" s="178"/>
      <c r="F29" s="178"/>
      <c r="G29" s="178"/>
      <c r="H29" s="178"/>
      <c r="I29" s="208" t="s">
        <v>278</v>
      </c>
      <c r="J29" s="403" t="s">
        <v>395</v>
      </c>
      <c r="K29" s="404"/>
      <c r="L29" s="404"/>
      <c r="M29" s="404"/>
      <c r="N29" s="405"/>
      <c r="O29" s="208">
        <f>-O26*34.91%</f>
        <v>-768185.18255018443</v>
      </c>
      <c r="P29" s="208">
        <f>-P26*34.91%</f>
        <v>-44886.342709729324</v>
      </c>
      <c r="Q29" s="208">
        <f>-Q26*34.91%</f>
        <v>-19984.045347787167</v>
      </c>
      <c r="R29" s="178"/>
      <c r="S29" s="178"/>
      <c r="T29" s="172"/>
      <c r="V29" s="90"/>
      <c r="X29" s="91"/>
      <c r="Y29" s="93"/>
      <c r="Z29" s="90"/>
    </row>
    <row r="30" spans="1:33" ht="13.5" customHeight="1" thickBot="1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2"/>
      <c r="V30" s="90"/>
      <c r="X30" s="90"/>
      <c r="Y30" s="90"/>
      <c r="Z30" s="90"/>
    </row>
    <row r="31" spans="1:33" ht="14.45" customHeight="1" thickBot="1">
      <c r="A31" s="184"/>
      <c r="B31" s="223"/>
      <c r="C31" s="184"/>
      <c r="D31" s="184"/>
      <c r="E31" s="184"/>
      <c r="F31" s="184"/>
      <c r="G31" s="178"/>
      <c r="H31" s="178"/>
      <c r="I31" s="178"/>
      <c r="J31" s="178"/>
      <c r="K31" s="178"/>
      <c r="L31" s="208" t="s">
        <v>279</v>
      </c>
      <c r="M31" s="178"/>
      <c r="N31" s="178"/>
      <c r="O31" s="224">
        <f>+O26+O29</f>
        <v>1432287.9843079778</v>
      </c>
      <c r="P31" s="225">
        <f>+P26+P29</f>
        <v>83690.978143118933</v>
      </c>
      <c r="Q31" s="226">
        <f>+Q26+Q29</f>
        <v>37260.427146590286</v>
      </c>
      <c r="R31" s="178">
        <f>+R26</f>
        <v>72447</v>
      </c>
      <c r="S31" s="178">
        <f>+S26</f>
        <v>760567.64735287009</v>
      </c>
      <c r="T31" s="178"/>
      <c r="V31" s="90"/>
      <c r="X31" s="90"/>
      <c r="Y31" s="90"/>
      <c r="Z31" s="90"/>
    </row>
    <row r="32" spans="1:33" ht="15.6" customHeight="1" thickBot="1">
      <c r="A32" s="184"/>
      <c r="B32" s="227"/>
      <c r="C32" s="184"/>
      <c r="D32" s="184"/>
      <c r="E32" s="184"/>
      <c r="F32" s="184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V32" s="90"/>
      <c r="X32" s="90"/>
      <c r="Y32" s="90"/>
      <c r="Z32" s="90"/>
    </row>
    <row r="33" spans="1:17" ht="13.5" thickBot="1">
      <c r="L33" s="51" t="s">
        <v>280</v>
      </c>
      <c r="M33" s="51"/>
      <c r="O33" s="228">
        <f>+O31+P31+Q31</f>
        <v>1553239.3895976872</v>
      </c>
    </row>
    <row r="34" spans="1:17">
      <c r="F34" s="95"/>
    </row>
    <row r="35" spans="1:17">
      <c r="B35" s="68">
        <f>B9+C9+B11+C11+B12+C12+B16+C16+B20+C20</f>
        <v>2433925</v>
      </c>
      <c r="F35" s="95"/>
      <c r="O35" s="68">
        <f>+O26-O23</f>
        <v>-315593.83314183773</v>
      </c>
      <c r="P35" s="68">
        <f>+P26-P23</f>
        <v>-18397.679147151735</v>
      </c>
      <c r="Q35" s="68">
        <f>+Q26-Q23</f>
        <v>-6657.527505622551</v>
      </c>
    </row>
    <row r="36" spans="1:17">
      <c r="A36" s="70" t="s">
        <v>281</v>
      </c>
      <c r="B36" s="94">
        <v>0</v>
      </c>
      <c r="C36" s="90"/>
      <c r="D36" s="90"/>
      <c r="F36" s="95"/>
    </row>
    <row r="37" spans="1:17">
      <c r="A37" s="70" t="s">
        <v>282</v>
      </c>
      <c r="B37" s="94">
        <v>67172</v>
      </c>
      <c r="C37" s="90"/>
      <c r="D37" s="90"/>
    </row>
    <row r="38" spans="1:17">
      <c r="A38" s="70"/>
      <c r="B38" s="94"/>
      <c r="C38" s="90"/>
      <c r="D38" s="90"/>
    </row>
    <row r="39" spans="1:17" ht="13.5" thickBot="1">
      <c r="A39" s="70" t="s">
        <v>112</v>
      </c>
      <c r="B39" s="96">
        <f>B23+B36+B37</f>
        <v>4175371</v>
      </c>
      <c r="C39" s="97">
        <f>C23+C37</f>
        <v>532754</v>
      </c>
      <c r="D39" s="97">
        <f>D23</f>
        <v>369443</v>
      </c>
      <c r="E39" s="276">
        <f>E23</f>
        <v>3206002</v>
      </c>
      <c r="F39" s="70" t="s">
        <v>283</v>
      </c>
    </row>
    <row r="40" spans="1:17" ht="14.25" thickTop="1" thickBot="1">
      <c r="A40" s="70"/>
      <c r="B40" s="94"/>
      <c r="C40" s="70"/>
      <c r="D40" s="70"/>
      <c r="E40" s="98">
        <v>1.175</v>
      </c>
      <c r="F40" s="92"/>
    </row>
    <row r="41" spans="1:17" ht="14.25" thickTop="1" thickBot="1">
      <c r="A41" s="70"/>
      <c r="B41" s="94"/>
      <c r="C41" s="70"/>
      <c r="D41" s="70"/>
      <c r="E41" s="277">
        <f>E39*E40</f>
        <v>3767052.35</v>
      </c>
      <c r="F41" s="92"/>
    </row>
    <row r="42" spans="1:17" ht="13.5" thickTop="1">
      <c r="A42" s="78"/>
      <c r="B42" s="92"/>
      <c r="C42" s="92"/>
      <c r="D42" s="92"/>
      <c r="E42" s="92"/>
      <c r="F42" s="92"/>
    </row>
    <row r="43" spans="1:17">
      <c r="A43" s="78"/>
      <c r="B43" s="92"/>
      <c r="C43" s="92"/>
      <c r="D43" s="92"/>
      <c r="E43" s="92"/>
      <c r="F43" s="92"/>
    </row>
    <row r="44" spans="1:17">
      <c r="A44" s="78"/>
      <c r="B44" s="92"/>
      <c r="C44" s="92"/>
      <c r="D44" s="92"/>
      <c r="E44" s="92"/>
      <c r="F44" s="92"/>
    </row>
    <row r="45" spans="1:17">
      <c r="A45" s="78"/>
      <c r="B45" s="92"/>
      <c r="C45" s="92"/>
      <c r="D45" s="92"/>
      <c r="E45" s="92"/>
      <c r="F45" s="92"/>
    </row>
    <row r="46" spans="1:17">
      <c r="A46" s="83"/>
      <c r="B46" s="92"/>
      <c r="C46" s="92"/>
      <c r="D46" s="92"/>
      <c r="E46" s="92"/>
      <c r="F46" s="92"/>
    </row>
    <row r="47" spans="1:17">
      <c r="A47" s="78"/>
      <c r="B47" s="92"/>
      <c r="C47" s="92"/>
      <c r="D47" s="92"/>
      <c r="E47" s="92"/>
      <c r="F47" s="92"/>
    </row>
    <row r="48" spans="1:17">
      <c r="A48" s="83"/>
      <c r="B48" s="92"/>
      <c r="C48" s="92"/>
      <c r="D48" s="92"/>
      <c r="E48" s="92"/>
      <c r="F48" s="92"/>
    </row>
    <row r="49" spans="1:6">
      <c r="A49" s="83"/>
      <c r="B49" s="92"/>
      <c r="C49" s="92"/>
      <c r="D49" s="92"/>
      <c r="E49" s="92"/>
      <c r="F49" s="92"/>
    </row>
    <row r="50" spans="1:6">
      <c r="A50" s="92"/>
      <c r="B50" s="92"/>
      <c r="C50" s="92"/>
      <c r="D50" s="92"/>
      <c r="E50" s="92"/>
      <c r="F50" s="92"/>
    </row>
    <row r="51" spans="1:6">
      <c r="A51" s="92"/>
      <c r="B51" s="92"/>
      <c r="C51" s="92"/>
      <c r="D51" s="92"/>
      <c r="E51" s="92"/>
      <c r="F51" s="92"/>
    </row>
    <row r="52" spans="1:6">
      <c r="A52" s="92"/>
      <c r="B52" s="92"/>
      <c r="C52" s="92"/>
      <c r="D52" s="92"/>
      <c r="E52" s="92"/>
      <c r="F52" s="92"/>
    </row>
  </sheetData>
  <dataConsolidate/>
  <mergeCells count="2">
    <mergeCell ref="J7:N7"/>
    <mergeCell ref="O7:S7"/>
  </mergeCells>
  <pageMargins left="0.7" right="0.7" top="0.75" bottom="0.75" header="0.3" footer="0.3"/>
  <pageSetup scale="64" orientation="landscape" r:id="rId1"/>
  <headerFooter>
    <oddHeader>&amp;RExhibit No. ___ (JH-6)
Dockets UE-120436 &amp;&amp; UG-120437
Page 8 of 10</oddHeader>
  </headerFooter>
  <colBreaks count="1" manualBreakCount="1">
    <brk id="20" max="28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zoomScaleNormal="100" workbookViewId="0">
      <selection activeCell="O49" sqref="O49"/>
    </sheetView>
  </sheetViews>
  <sheetFormatPr defaultRowHeight="12.75"/>
  <cols>
    <col min="1" max="1" width="12.1640625" customWidth="1"/>
    <col min="5" max="5" width="9.83203125" customWidth="1"/>
    <col min="6" max="6" width="11.5" customWidth="1"/>
    <col min="7" max="7" width="7.5" customWidth="1"/>
    <col min="8" max="8" width="9.83203125" customWidth="1"/>
    <col min="11" max="11" width="10.5" customWidth="1"/>
    <col min="12" max="12" width="11.5" customWidth="1"/>
  </cols>
  <sheetData>
    <row r="1" spans="1:12">
      <c r="A1" s="1" t="s">
        <v>0</v>
      </c>
      <c r="C1" s="2"/>
      <c r="F1" s="153" t="s">
        <v>396</v>
      </c>
    </row>
    <row r="2" spans="1:12">
      <c r="A2" s="1" t="s">
        <v>1</v>
      </c>
      <c r="C2" s="2"/>
    </row>
    <row r="3" spans="1:12">
      <c r="A3" s="1" t="s">
        <v>2</v>
      </c>
      <c r="C3" s="2"/>
    </row>
    <row r="4" spans="1:12">
      <c r="A4" s="45" t="s">
        <v>309</v>
      </c>
      <c r="C4" s="2"/>
    </row>
    <row r="5" spans="1:12">
      <c r="A5" s="108"/>
      <c r="C5" s="2"/>
      <c r="J5" s="109"/>
    </row>
    <row r="6" spans="1:12">
      <c r="C6" s="2"/>
      <c r="J6" s="109"/>
    </row>
    <row r="7" spans="1:12" ht="13.5" thickBot="1">
      <c r="A7" s="45"/>
      <c r="C7" s="2"/>
      <c r="J7" s="109"/>
    </row>
    <row r="8" spans="1:12">
      <c r="B8" s="110"/>
      <c r="C8" s="406"/>
      <c r="D8" s="407"/>
      <c r="E8" s="407"/>
      <c r="F8" s="408"/>
      <c r="H8" s="111"/>
      <c r="I8" s="424"/>
      <c r="J8" s="413"/>
      <c r="K8" s="425"/>
      <c r="L8" s="426"/>
    </row>
    <row r="9" spans="1:12" ht="13.5" thickBot="1">
      <c r="B9" s="112"/>
      <c r="C9" s="409"/>
      <c r="D9" s="410"/>
      <c r="E9" s="410"/>
      <c r="F9" s="411"/>
      <c r="H9" s="113"/>
      <c r="I9" s="427"/>
      <c r="J9" s="420"/>
      <c r="K9" s="420"/>
      <c r="L9" s="421"/>
    </row>
    <row r="10" spans="1:12">
      <c r="B10" s="112"/>
      <c r="C10" s="412"/>
      <c r="D10" s="413"/>
      <c r="E10" s="413"/>
      <c r="F10" s="414"/>
      <c r="H10" s="113"/>
      <c r="I10" s="412"/>
      <c r="J10" s="413"/>
      <c r="K10" s="413"/>
      <c r="L10" s="414"/>
    </row>
    <row r="11" spans="1:12" ht="13.5" thickBot="1">
      <c r="B11" s="114" t="s">
        <v>311</v>
      </c>
      <c r="C11" s="409"/>
      <c r="D11" s="410"/>
      <c r="E11" s="410"/>
      <c r="F11" s="415"/>
      <c r="H11" s="114" t="s">
        <v>311</v>
      </c>
      <c r="I11" s="409"/>
      <c r="J11" s="410"/>
      <c r="K11" s="410"/>
      <c r="L11" s="415"/>
    </row>
    <row r="12" spans="1:12">
      <c r="B12" s="115"/>
      <c r="C12" s="416"/>
      <c r="D12" s="416"/>
      <c r="E12" s="416"/>
      <c r="F12" s="417"/>
      <c r="H12" s="114"/>
      <c r="I12" s="428"/>
      <c r="J12" s="416"/>
      <c r="K12" s="416"/>
      <c r="L12" s="417"/>
    </row>
    <row r="13" spans="1:12" ht="15">
      <c r="B13" s="116" t="s">
        <v>312</v>
      </c>
      <c r="C13" s="418"/>
      <c r="D13" s="418"/>
      <c r="E13" s="418"/>
      <c r="F13" s="419"/>
      <c r="H13" s="117" t="s">
        <v>312</v>
      </c>
      <c r="I13" s="429"/>
      <c r="J13" s="418"/>
      <c r="K13" s="418"/>
      <c r="L13" s="419"/>
    </row>
    <row r="14" spans="1:12">
      <c r="B14" s="422"/>
      <c r="C14" s="420"/>
      <c r="D14" s="420"/>
      <c r="E14" s="420"/>
      <c r="F14" s="421"/>
      <c r="H14" s="430"/>
      <c r="I14" s="427"/>
      <c r="J14" s="420"/>
      <c r="K14" s="420"/>
      <c r="L14" s="421"/>
    </row>
    <row r="15" spans="1:12">
      <c r="B15" s="422"/>
      <c r="C15" s="420"/>
      <c r="D15" s="420"/>
      <c r="E15" s="420"/>
      <c r="F15" s="421"/>
      <c r="H15" s="430"/>
      <c r="I15" s="427"/>
      <c r="J15" s="420"/>
      <c r="K15" s="420"/>
      <c r="L15" s="421"/>
    </row>
    <row r="16" spans="1:12" ht="13.5" thickBot="1">
      <c r="B16" s="423"/>
      <c r="C16" s="410"/>
      <c r="D16" s="410"/>
      <c r="E16" s="410"/>
      <c r="F16" s="411"/>
      <c r="H16" s="431"/>
      <c r="I16" s="409"/>
      <c r="J16" s="410"/>
      <c r="K16" s="410"/>
      <c r="L16" s="411"/>
    </row>
    <row r="18" spans="1:15">
      <c r="A18" s="45" t="s">
        <v>392</v>
      </c>
    </row>
    <row r="20" spans="1:15">
      <c r="A20" s="45"/>
    </row>
    <row r="21" spans="1:15">
      <c r="D21" s="398" t="s">
        <v>313</v>
      </c>
      <c r="E21" s="398"/>
      <c r="F21" s="398"/>
      <c r="H21" s="398" t="s">
        <v>314</v>
      </c>
      <c r="I21" s="398"/>
      <c r="J21" s="398"/>
      <c r="M21" s="118" t="s">
        <v>315</v>
      </c>
      <c r="N21" s="118"/>
      <c r="O21" s="118"/>
    </row>
    <row r="22" spans="1:15">
      <c r="D22" s="119" t="s">
        <v>312</v>
      </c>
      <c r="E22" s="432" t="s">
        <v>397</v>
      </c>
      <c r="F22" s="119" t="s">
        <v>316</v>
      </c>
      <c r="H22" s="119" t="s">
        <v>312</v>
      </c>
      <c r="I22" s="432" t="s">
        <v>397</v>
      </c>
      <c r="J22" s="119" t="s">
        <v>316</v>
      </c>
      <c r="L22" s="119" t="s">
        <v>312</v>
      </c>
      <c r="M22" s="432" t="s">
        <v>397</v>
      </c>
      <c r="N22" s="119" t="s">
        <v>316</v>
      </c>
    </row>
    <row r="23" spans="1:15">
      <c r="A23" t="s">
        <v>317</v>
      </c>
      <c r="B23" t="s">
        <v>318</v>
      </c>
      <c r="D23" s="119" t="s">
        <v>262</v>
      </c>
      <c r="E23" s="120" t="s">
        <v>311</v>
      </c>
      <c r="F23" s="119" t="s">
        <v>319</v>
      </c>
      <c r="H23" s="119" t="s">
        <v>262</v>
      </c>
      <c r="I23" s="120" t="s">
        <v>311</v>
      </c>
      <c r="J23" s="119" t="s">
        <v>319</v>
      </c>
      <c r="L23" s="119" t="s">
        <v>262</v>
      </c>
      <c r="M23" s="120" t="s">
        <v>311</v>
      </c>
      <c r="N23" s="119" t="s">
        <v>319</v>
      </c>
    </row>
    <row r="24" spans="1:15">
      <c r="A24" t="s">
        <v>320</v>
      </c>
      <c r="D24" s="433"/>
      <c r="E24" s="433"/>
      <c r="F24" s="434"/>
      <c r="H24" s="433"/>
      <c r="I24" s="433"/>
      <c r="J24" s="434"/>
      <c r="L24" s="433"/>
      <c r="M24" s="433"/>
      <c r="N24" s="434"/>
    </row>
    <row r="25" spans="1:15">
      <c r="A25" t="s">
        <v>321</v>
      </c>
      <c r="D25" s="433"/>
      <c r="E25" s="433"/>
      <c r="F25" s="434"/>
      <c r="H25" s="433"/>
      <c r="I25" s="433"/>
      <c r="J25" s="434"/>
      <c r="L25" s="433"/>
      <c r="M25" s="433"/>
      <c r="N25" s="434"/>
    </row>
    <row r="26" spans="1:15">
      <c r="A26" t="s">
        <v>322</v>
      </c>
      <c r="D26" s="433"/>
      <c r="E26" s="433"/>
      <c r="F26" s="434"/>
      <c r="H26" s="433"/>
      <c r="I26" s="433"/>
      <c r="J26" s="434"/>
      <c r="L26" s="433"/>
      <c r="M26" s="433"/>
      <c r="N26" s="434"/>
    </row>
    <row r="27" spans="1:15">
      <c r="A27" t="s">
        <v>323</v>
      </c>
      <c r="D27" s="433"/>
      <c r="E27" s="433"/>
      <c r="F27" s="434"/>
      <c r="H27" s="433"/>
      <c r="I27" s="433"/>
      <c r="J27" s="434"/>
      <c r="L27" s="433"/>
      <c r="M27" s="433"/>
      <c r="N27" s="434"/>
    </row>
    <row r="28" spans="1:15">
      <c r="A28" t="s">
        <v>324</v>
      </c>
      <c r="D28" s="435"/>
      <c r="E28" s="435"/>
      <c r="F28" s="434"/>
      <c r="H28" s="435"/>
      <c r="I28" s="435"/>
      <c r="J28" s="434"/>
      <c r="L28" s="435"/>
      <c r="M28" s="435"/>
      <c r="N28" s="434"/>
    </row>
    <row r="29" spans="1:15">
      <c r="A29" t="s">
        <v>325</v>
      </c>
      <c r="D29" s="435"/>
      <c r="E29" s="435"/>
      <c r="F29" s="434"/>
      <c r="H29" s="435"/>
      <c r="I29" s="435"/>
      <c r="J29" s="434"/>
      <c r="L29" s="435"/>
      <c r="M29" s="435"/>
      <c r="N29" s="434"/>
    </row>
    <row r="30" spans="1:15">
      <c r="A30" t="s">
        <v>326</v>
      </c>
      <c r="D30" s="435"/>
      <c r="E30" s="435"/>
      <c r="F30" s="434"/>
      <c r="H30" s="435"/>
      <c r="I30" s="435"/>
      <c r="J30" s="434"/>
      <c r="L30" s="435"/>
      <c r="M30" s="435"/>
      <c r="N30" s="434"/>
    </row>
    <row r="31" spans="1:15">
      <c r="A31" t="s">
        <v>327</v>
      </c>
      <c r="D31" s="435"/>
      <c r="E31" s="435"/>
      <c r="F31" s="434"/>
      <c r="H31" s="435"/>
      <c r="I31" s="435"/>
      <c r="J31" s="434"/>
      <c r="L31" s="435"/>
      <c r="M31" s="435"/>
      <c r="N31" s="434"/>
    </row>
    <row r="32" spans="1:15">
      <c r="A32" t="s">
        <v>328</v>
      </c>
      <c r="D32" s="435"/>
      <c r="E32" s="435"/>
      <c r="F32" s="434"/>
      <c r="H32" s="435"/>
      <c r="I32" s="435"/>
      <c r="J32" s="434"/>
      <c r="L32" s="435"/>
      <c r="M32" s="435"/>
      <c r="N32" s="434"/>
    </row>
    <row r="33" spans="1:14">
      <c r="A33" t="s">
        <v>329</v>
      </c>
      <c r="D33" s="435"/>
      <c r="E33" s="435"/>
      <c r="F33" s="434"/>
      <c r="H33" s="435"/>
      <c r="I33" s="435"/>
      <c r="J33" s="434"/>
      <c r="L33" s="435"/>
      <c r="M33" s="435"/>
      <c r="N33" s="434"/>
    </row>
    <row r="34" spans="1:14">
      <c r="A34" t="s">
        <v>330</v>
      </c>
      <c r="D34" s="435"/>
      <c r="E34" s="435"/>
      <c r="F34" s="434"/>
      <c r="H34" s="435"/>
      <c r="I34" s="435"/>
      <c r="J34" s="434"/>
      <c r="L34" s="435"/>
      <c r="M34" s="435"/>
      <c r="N34" s="434"/>
    </row>
    <row r="35" spans="1:14">
      <c r="A35" t="s">
        <v>331</v>
      </c>
      <c r="D35" s="435"/>
      <c r="E35" s="435"/>
      <c r="F35" s="434"/>
      <c r="H35" s="435"/>
      <c r="I35" s="435"/>
      <c r="J35" s="434"/>
      <c r="L35" s="435"/>
      <c r="M35" s="435"/>
      <c r="N35" s="434"/>
    </row>
    <row r="36" spans="1:14">
      <c r="A36" t="s">
        <v>332</v>
      </c>
      <c r="D36" s="435"/>
      <c r="E36" s="435"/>
      <c r="F36" s="434"/>
      <c r="H36" s="435"/>
      <c r="I36" s="435"/>
      <c r="J36" s="434"/>
      <c r="L36" s="435"/>
      <c r="M36" s="435"/>
      <c r="N36" s="434"/>
    </row>
    <row r="37" spans="1:14" ht="13.5" thickBot="1">
      <c r="A37" t="s">
        <v>333</v>
      </c>
      <c r="D37" s="433"/>
      <c r="E37" s="433"/>
      <c r="F37" s="436"/>
      <c r="H37" s="433"/>
      <c r="I37" s="433"/>
      <c r="J37" s="436"/>
      <c r="L37" s="433"/>
      <c r="M37" s="433"/>
      <c r="N37" s="436"/>
    </row>
    <row r="38" spans="1:14" ht="13.5" thickTop="1"/>
    <row r="41" spans="1:14">
      <c r="A41" s="398" t="s">
        <v>334</v>
      </c>
      <c r="B41" s="398"/>
      <c r="C41" s="398"/>
      <c r="D41" s="398"/>
      <c r="E41" s="398"/>
      <c r="F41" s="398"/>
      <c r="H41" s="398" t="s">
        <v>335</v>
      </c>
      <c r="I41" s="398"/>
      <c r="J41" s="398"/>
    </row>
    <row r="42" spans="1:14">
      <c r="D42" s="119" t="s">
        <v>312</v>
      </c>
      <c r="E42" s="432"/>
      <c r="F42" s="119" t="s">
        <v>316</v>
      </c>
      <c r="H42" s="119" t="s">
        <v>312</v>
      </c>
      <c r="I42" s="432"/>
      <c r="J42" s="119" t="s">
        <v>316</v>
      </c>
    </row>
    <row r="43" spans="1:14">
      <c r="A43" t="s">
        <v>317</v>
      </c>
      <c r="D43" s="119" t="s">
        <v>262</v>
      </c>
      <c r="E43" s="120" t="s">
        <v>311</v>
      </c>
      <c r="F43" s="119" t="s">
        <v>319</v>
      </c>
      <c r="H43" s="119" t="s">
        <v>262</v>
      </c>
      <c r="I43" s="120" t="s">
        <v>311</v>
      </c>
      <c r="J43" s="119" t="s">
        <v>319</v>
      </c>
    </row>
    <row r="44" spans="1:14">
      <c r="A44" t="s">
        <v>320</v>
      </c>
      <c r="D44" s="433"/>
      <c r="E44" s="433"/>
      <c r="F44" s="434"/>
      <c r="H44" s="433"/>
      <c r="I44" s="433"/>
      <c r="J44" s="434"/>
      <c r="L44" s="154"/>
    </row>
    <row r="45" spans="1:14">
      <c r="A45" t="s">
        <v>321</v>
      </c>
      <c r="D45" s="433"/>
      <c r="E45" s="433"/>
      <c r="F45" s="434"/>
      <c r="H45" s="433"/>
      <c r="I45" s="433"/>
      <c r="J45" s="434"/>
    </row>
    <row r="46" spans="1:14">
      <c r="A46" t="s">
        <v>322</v>
      </c>
      <c r="D46" s="433"/>
      <c r="E46" s="433"/>
      <c r="F46" s="434"/>
      <c r="H46" s="433"/>
      <c r="I46" s="433"/>
      <c r="J46" s="434"/>
    </row>
    <row r="47" spans="1:14">
      <c r="A47" t="s">
        <v>323</v>
      </c>
      <c r="D47" s="433"/>
      <c r="E47" s="433"/>
      <c r="F47" s="434"/>
      <c r="H47" s="433"/>
      <c r="I47" s="433"/>
      <c r="J47" s="434"/>
    </row>
    <row r="48" spans="1:14">
      <c r="A48" t="s">
        <v>324</v>
      </c>
      <c r="D48" s="433"/>
      <c r="E48" s="433"/>
      <c r="F48" s="434"/>
      <c r="H48" s="433"/>
      <c r="I48" s="433"/>
      <c r="J48" s="434"/>
    </row>
    <row r="49" spans="1:10">
      <c r="A49" t="s">
        <v>325</v>
      </c>
      <c r="D49" s="433"/>
      <c r="E49" s="433"/>
      <c r="F49" s="434"/>
      <c r="H49" s="433"/>
      <c r="I49" s="433"/>
      <c r="J49" s="434"/>
    </row>
    <row r="50" spans="1:10">
      <c r="A50" t="s">
        <v>326</v>
      </c>
      <c r="D50" s="433"/>
      <c r="E50" s="433"/>
      <c r="F50" s="434"/>
      <c r="H50" s="433"/>
      <c r="I50" s="433"/>
      <c r="J50" s="434"/>
    </row>
    <row r="51" spans="1:10">
      <c r="A51" t="s">
        <v>327</v>
      </c>
      <c r="D51" s="433"/>
      <c r="E51" s="433"/>
      <c r="F51" s="434"/>
      <c r="H51" s="433"/>
      <c r="I51" s="433"/>
      <c r="J51" s="434"/>
    </row>
    <row r="52" spans="1:10">
      <c r="A52" t="s">
        <v>328</v>
      </c>
      <c r="D52" s="433"/>
      <c r="E52" s="433"/>
      <c r="F52" s="434"/>
      <c r="H52" s="433"/>
      <c r="I52" s="433"/>
      <c r="J52" s="434"/>
    </row>
    <row r="53" spans="1:10">
      <c r="A53" t="s">
        <v>329</v>
      </c>
      <c r="D53" s="433"/>
      <c r="E53" s="433"/>
      <c r="F53" s="434"/>
      <c r="H53" s="433"/>
      <c r="I53" s="433"/>
      <c r="J53" s="434"/>
    </row>
    <row r="54" spans="1:10">
      <c r="A54" t="s">
        <v>330</v>
      </c>
      <c r="D54" s="433"/>
      <c r="E54" s="433"/>
      <c r="F54" s="434"/>
      <c r="H54" s="433"/>
      <c r="I54" s="433"/>
      <c r="J54" s="434"/>
    </row>
    <row r="55" spans="1:10">
      <c r="A55" t="s">
        <v>331</v>
      </c>
      <c r="D55" s="433"/>
      <c r="E55" s="433"/>
      <c r="F55" s="434"/>
      <c r="H55" s="433"/>
      <c r="I55" s="433"/>
      <c r="J55" s="434"/>
    </row>
    <row r="56" spans="1:10" ht="13.5" thickBot="1">
      <c r="A56" t="s">
        <v>332</v>
      </c>
      <c r="D56" s="433"/>
      <c r="E56" s="433"/>
      <c r="F56" s="434"/>
      <c r="H56" s="433"/>
      <c r="I56" s="433"/>
      <c r="J56" s="434"/>
    </row>
    <row r="57" spans="1:10" ht="15.75" thickBot="1">
      <c r="A57" t="s">
        <v>333</v>
      </c>
      <c r="D57" s="433"/>
      <c r="E57" s="433"/>
      <c r="F57" s="437"/>
      <c r="H57" s="433"/>
      <c r="I57" s="433"/>
      <c r="J57" s="438"/>
    </row>
    <row r="59" spans="1:10">
      <c r="A59" s="45" t="s">
        <v>393</v>
      </c>
    </row>
  </sheetData>
  <mergeCells count="5">
    <mergeCell ref="C8:F8"/>
    <mergeCell ref="D21:F21"/>
    <mergeCell ref="H21:J21"/>
    <mergeCell ref="A41:F41"/>
    <mergeCell ref="H41:J41"/>
  </mergeCells>
  <pageMargins left="0.7" right="0.7" top="0.75" bottom="0.75" header="0.3" footer="0.3"/>
  <pageSetup scale="73" orientation="portrait" r:id="rId1"/>
  <headerFooter>
    <oddHeader>&amp;RExhibit No. ___ (JH-6)
Dockets UE-120436 &amp;&amp; UG-120437
Page 9 of &amp; 10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workbookViewId="0">
      <selection activeCell="G15" sqref="G15"/>
    </sheetView>
  </sheetViews>
  <sheetFormatPr defaultRowHeight="12.75"/>
  <cols>
    <col min="1" max="1" width="8.83203125" customWidth="1"/>
    <col min="2" max="2" width="10.83203125" customWidth="1"/>
    <col min="3" max="3" width="17.5" customWidth="1"/>
    <col min="4" max="4" width="15.5" customWidth="1"/>
    <col min="5" max="5" width="15.83203125" customWidth="1"/>
    <col min="6" max="6" width="14.33203125" customWidth="1"/>
    <col min="7" max="7" width="11.5" customWidth="1"/>
    <col min="8" max="8" width="34.5" customWidth="1"/>
    <col min="9" max="9" width="13.1640625" customWidth="1"/>
    <col min="10" max="10" width="13.33203125" customWidth="1"/>
    <col min="11" max="11" width="5.5" customWidth="1"/>
    <col min="12" max="12" width="12.83203125" customWidth="1"/>
    <col min="13" max="13" width="13" customWidth="1"/>
    <col min="14" max="14" width="4.1640625" customWidth="1"/>
    <col min="15" max="15" width="12.33203125" customWidth="1"/>
    <col min="16" max="16" width="10.83203125" customWidth="1"/>
    <col min="17" max="17" width="5" customWidth="1"/>
    <col min="18" max="18" width="12.5" customWidth="1"/>
    <col min="19" max="19" width="10.83203125" customWidth="1"/>
    <col min="20" max="20" width="4.6640625" customWidth="1"/>
    <col min="21" max="21" width="12.6640625" customWidth="1"/>
    <col min="22" max="22" width="11.1640625" customWidth="1"/>
    <col min="23" max="23" width="4.83203125" customWidth="1"/>
    <col min="24" max="24" width="12.83203125" customWidth="1"/>
  </cols>
  <sheetData>
    <row r="1" spans="1:25" ht="15.75">
      <c r="A1" s="149" t="s">
        <v>0</v>
      </c>
      <c r="B1" s="150"/>
      <c r="C1" s="151"/>
      <c r="D1" s="152"/>
      <c r="E1" s="153" t="s">
        <v>396</v>
      </c>
      <c r="F1" s="154"/>
      <c r="I1" s="398">
        <v>2008</v>
      </c>
      <c r="J1" s="398"/>
      <c r="K1" s="118"/>
      <c r="L1" s="398">
        <v>2009</v>
      </c>
      <c r="M1" s="398"/>
      <c r="N1" s="118"/>
      <c r="O1" s="398">
        <v>2010</v>
      </c>
      <c r="P1" s="398"/>
      <c r="Q1" s="118"/>
      <c r="R1" s="398">
        <v>2011</v>
      </c>
      <c r="S1" s="398"/>
      <c r="T1" s="118"/>
      <c r="U1" s="398" t="s">
        <v>336</v>
      </c>
      <c r="V1" s="398"/>
      <c r="W1" s="118"/>
      <c r="X1" s="398" t="s">
        <v>337</v>
      </c>
      <c r="Y1" s="398"/>
    </row>
    <row r="2" spans="1:25" ht="15.75">
      <c r="A2" s="149" t="s">
        <v>1</v>
      </c>
      <c r="B2" s="150"/>
      <c r="C2" s="151"/>
      <c r="D2" s="152"/>
      <c r="E2" s="155"/>
      <c r="F2" s="154"/>
      <c r="I2" s="121" t="s">
        <v>338</v>
      </c>
      <c r="J2" s="122" t="s">
        <v>339</v>
      </c>
      <c r="K2" s="119"/>
      <c r="L2" s="121" t="s">
        <v>338</v>
      </c>
      <c r="M2" s="122" t="s">
        <v>339</v>
      </c>
      <c r="N2" s="119"/>
      <c r="O2" s="121" t="s">
        <v>338</v>
      </c>
      <c r="P2" s="122" t="s">
        <v>339</v>
      </c>
      <c r="Q2" s="119"/>
      <c r="R2" s="121" t="s">
        <v>338</v>
      </c>
      <c r="S2" s="122" t="s">
        <v>339</v>
      </c>
      <c r="T2" s="119"/>
      <c r="U2" s="121" t="s">
        <v>338</v>
      </c>
      <c r="V2" s="122" t="s">
        <v>339</v>
      </c>
      <c r="W2" s="119"/>
      <c r="X2" s="121" t="s">
        <v>338</v>
      </c>
      <c r="Y2" s="122" t="s">
        <v>339</v>
      </c>
    </row>
    <row r="3" spans="1:25" ht="15.75">
      <c r="A3" s="149" t="s">
        <v>2</v>
      </c>
      <c r="B3" s="150"/>
      <c r="C3" s="151"/>
      <c r="D3" s="152"/>
      <c r="E3" s="155"/>
      <c r="F3" s="154"/>
      <c r="H3" t="s">
        <v>340</v>
      </c>
      <c r="I3" s="442" t="s">
        <v>401</v>
      </c>
      <c r="J3" s="443" t="s">
        <v>401</v>
      </c>
      <c r="K3" s="443"/>
      <c r="L3" s="442" t="s">
        <v>402</v>
      </c>
      <c r="M3" s="442" t="s">
        <v>402</v>
      </c>
      <c r="N3" s="443"/>
      <c r="O3" s="442" t="s">
        <v>402</v>
      </c>
      <c r="P3" s="442" t="s">
        <v>402</v>
      </c>
      <c r="Q3" s="443"/>
      <c r="R3" s="442" t="s">
        <v>402</v>
      </c>
      <c r="S3" s="442" t="s">
        <v>402</v>
      </c>
      <c r="T3" s="443"/>
      <c r="U3" s="442" t="s">
        <v>402</v>
      </c>
      <c r="V3" s="442" t="s">
        <v>402</v>
      </c>
      <c r="W3" s="443"/>
      <c r="X3" s="442" t="s">
        <v>402</v>
      </c>
      <c r="Y3" s="442" t="s">
        <v>402</v>
      </c>
    </row>
    <row r="4" spans="1:25" ht="15.75">
      <c r="A4" s="149" t="s">
        <v>341</v>
      </c>
      <c r="B4" s="150"/>
      <c r="C4" s="151"/>
      <c r="D4" s="152"/>
      <c r="E4" s="155"/>
      <c r="F4" s="154"/>
      <c r="H4" t="s">
        <v>342</v>
      </c>
      <c r="I4" s="442" t="s">
        <v>402</v>
      </c>
      <c r="J4" s="442" t="s">
        <v>402</v>
      </c>
      <c r="K4" s="443"/>
      <c r="L4" s="442" t="s">
        <v>402</v>
      </c>
      <c r="M4" s="442" t="s">
        <v>402</v>
      </c>
      <c r="N4" s="443"/>
      <c r="O4" s="442" t="s">
        <v>402</v>
      </c>
      <c r="P4" s="442" t="s">
        <v>402</v>
      </c>
      <c r="Q4" s="443"/>
      <c r="R4" s="442" t="s">
        <v>402</v>
      </c>
      <c r="S4" s="442" t="s">
        <v>402</v>
      </c>
      <c r="T4" s="443"/>
      <c r="U4" s="442" t="s">
        <v>402</v>
      </c>
      <c r="V4" s="442" t="s">
        <v>402</v>
      </c>
      <c r="W4" s="443"/>
      <c r="X4" s="442" t="s">
        <v>402</v>
      </c>
      <c r="Y4" s="442" t="s">
        <v>402</v>
      </c>
    </row>
    <row r="5" spans="1:25">
      <c r="A5" s="154"/>
      <c r="B5" s="156"/>
      <c r="C5" s="152"/>
      <c r="D5" s="152"/>
      <c r="E5" s="155"/>
      <c r="F5" s="154"/>
      <c r="H5" t="s">
        <v>343</v>
      </c>
      <c r="I5" s="442" t="s">
        <v>402</v>
      </c>
      <c r="J5" s="442" t="s">
        <v>402</v>
      </c>
      <c r="K5" s="443"/>
      <c r="L5" s="442" t="s">
        <v>402</v>
      </c>
      <c r="M5" s="442" t="s">
        <v>402</v>
      </c>
      <c r="N5" s="443"/>
      <c r="O5" s="442" t="s">
        <v>402</v>
      </c>
      <c r="P5" s="442" t="s">
        <v>402</v>
      </c>
      <c r="Q5" s="443"/>
      <c r="R5" s="442" t="s">
        <v>402</v>
      </c>
      <c r="S5" s="442" t="s">
        <v>402</v>
      </c>
      <c r="T5" s="443"/>
      <c r="U5" s="442" t="s">
        <v>402</v>
      </c>
      <c r="V5" s="442" t="s">
        <v>402</v>
      </c>
      <c r="W5" s="443"/>
      <c r="X5" s="442" t="s">
        <v>402</v>
      </c>
      <c r="Y5" s="442" t="s">
        <v>402</v>
      </c>
    </row>
    <row r="6" spans="1:25">
      <c r="A6" s="154"/>
      <c r="B6" s="154"/>
      <c r="C6" s="154"/>
      <c r="D6" s="154"/>
      <c r="E6" s="154"/>
      <c r="F6" s="154"/>
      <c r="H6" t="s">
        <v>344</v>
      </c>
      <c r="I6" s="442" t="s">
        <v>402</v>
      </c>
      <c r="J6" s="442" t="s">
        <v>402</v>
      </c>
      <c r="K6" s="443"/>
      <c r="L6" s="442" t="s">
        <v>402</v>
      </c>
      <c r="M6" s="442" t="s">
        <v>402</v>
      </c>
      <c r="N6" s="443"/>
      <c r="O6" s="442" t="s">
        <v>402</v>
      </c>
      <c r="P6" s="442" t="s">
        <v>402</v>
      </c>
      <c r="Q6" s="443"/>
      <c r="R6" s="442" t="s">
        <v>402</v>
      </c>
      <c r="S6" s="442" t="s">
        <v>402</v>
      </c>
      <c r="T6" s="443"/>
      <c r="U6" s="442" t="s">
        <v>402</v>
      </c>
      <c r="V6" s="442" t="s">
        <v>402</v>
      </c>
      <c r="W6" s="443"/>
      <c r="X6" s="442" t="s">
        <v>402</v>
      </c>
      <c r="Y6" s="442" t="s">
        <v>402</v>
      </c>
    </row>
    <row r="7" spans="1:25">
      <c r="A7" s="157" t="s">
        <v>394</v>
      </c>
      <c r="B7" s="154"/>
      <c r="C7" s="158"/>
      <c r="D7" s="158"/>
      <c r="E7" s="158"/>
      <c r="F7" s="158"/>
      <c r="H7" t="s">
        <v>345</v>
      </c>
      <c r="I7" s="442" t="s">
        <v>402</v>
      </c>
      <c r="J7" s="442" t="s">
        <v>402</v>
      </c>
      <c r="K7" s="443"/>
      <c r="L7" s="442" t="s">
        <v>402</v>
      </c>
      <c r="M7" s="442" t="s">
        <v>402</v>
      </c>
      <c r="N7" s="443"/>
      <c r="O7" s="442" t="s">
        <v>402</v>
      </c>
      <c r="P7" s="442" t="s">
        <v>402</v>
      </c>
      <c r="Q7" s="443"/>
      <c r="R7" s="442" t="s">
        <v>402</v>
      </c>
      <c r="S7" s="442" t="s">
        <v>402</v>
      </c>
      <c r="T7" s="443"/>
      <c r="U7" s="442" t="s">
        <v>402</v>
      </c>
      <c r="V7" s="442" t="s">
        <v>402</v>
      </c>
      <c r="W7" s="443"/>
      <c r="X7" s="442" t="s">
        <v>402</v>
      </c>
      <c r="Y7" s="442" t="s">
        <v>402</v>
      </c>
    </row>
    <row r="8" spans="1:25" ht="13.5" thickBot="1">
      <c r="A8" s="154"/>
      <c r="B8" s="154"/>
      <c r="C8" s="154"/>
      <c r="D8" s="154"/>
      <c r="E8" s="154"/>
      <c r="F8" s="154"/>
      <c r="H8" t="s">
        <v>346</v>
      </c>
      <c r="I8" s="442" t="s">
        <v>402</v>
      </c>
      <c r="J8" s="442" t="s">
        <v>402</v>
      </c>
      <c r="K8" s="443"/>
      <c r="L8" s="442" t="s">
        <v>402</v>
      </c>
      <c r="M8" s="442" t="s">
        <v>402</v>
      </c>
      <c r="N8" s="443"/>
      <c r="O8" s="442" t="s">
        <v>402</v>
      </c>
      <c r="P8" s="442" t="s">
        <v>402</v>
      </c>
      <c r="Q8" s="443"/>
      <c r="R8" s="442" t="s">
        <v>402</v>
      </c>
      <c r="S8" s="442" t="s">
        <v>402</v>
      </c>
      <c r="T8" s="443"/>
      <c r="U8" s="442" t="s">
        <v>402</v>
      </c>
      <c r="V8" s="442" t="s">
        <v>402</v>
      </c>
      <c r="W8" s="443"/>
      <c r="X8" s="442" t="s">
        <v>402</v>
      </c>
      <c r="Y8" s="442" t="s">
        <v>402</v>
      </c>
    </row>
    <row r="9" spans="1:25">
      <c r="A9" s="159"/>
      <c r="B9" s="160"/>
      <c r="C9" s="399" t="s">
        <v>347</v>
      </c>
      <c r="D9" s="399"/>
      <c r="E9" s="399" t="s">
        <v>348</v>
      </c>
      <c r="F9" s="400"/>
      <c r="H9" t="s">
        <v>349</v>
      </c>
      <c r="I9" s="442" t="s">
        <v>402</v>
      </c>
      <c r="J9" s="442" t="s">
        <v>402</v>
      </c>
      <c r="K9" s="443"/>
      <c r="L9" s="442" t="s">
        <v>402</v>
      </c>
      <c r="M9" s="442" t="s">
        <v>402</v>
      </c>
      <c r="N9" s="443"/>
      <c r="O9" s="442" t="s">
        <v>402</v>
      </c>
      <c r="P9" s="442" t="s">
        <v>402</v>
      </c>
      <c r="Q9" s="443"/>
      <c r="R9" s="442" t="s">
        <v>402</v>
      </c>
      <c r="S9" s="442" t="s">
        <v>402</v>
      </c>
      <c r="T9" s="443"/>
      <c r="U9" s="442" t="s">
        <v>402</v>
      </c>
      <c r="V9" s="442" t="s">
        <v>402</v>
      </c>
      <c r="W9" s="443"/>
      <c r="X9" s="442" t="s">
        <v>402</v>
      </c>
      <c r="Y9" s="442" t="s">
        <v>402</v>
      </c>
    </row>
    <row r="10" spans="1:25">
      <c r="A10" s="161"/>
      <c r="B10" s="162"/>
      <c r="C10" s="162"/>
      <c r="D10" s="162"/>
      <c r="E10" s="162"/>
      <c r="F10" s="163"/>
      <c r="H10" t="s">
        <v>350</v>
      </c>
      <c r="I10" s="442" t="s">
        <v>402</v>
      </c>
      <c r="J10" s="442" t="s">
        <v>402</v>
      </c>
      <c r="K10" s="443"/>
      <c r="L10" s="442" t="s">
        <v>402</v>
      </c>
      <c r="M10" s="442" t="s">
        <v>402</v>
      </c>
      <c r="N10" s="443"/>
      <c r="O10" s="442" t="s">
        <v>402</v>
      </c>
      <c r="P10" s="442" t="s">
        <v>402</v>
      </c>
      <c r="Q10" s="443"/>
      <c r="R10" s="442" t="s">
        <v>402</v>
      </c>
      <c r="S10" s="442" t="s">
        <v>402</v>
      </c>
      <c r="T10" s="443"/>
      <c r="U10" s="442" t="s">
        <v>402</v>
      </c>
      <c r="V10" s="442" t="s">
        <v>402</v>
      </c>
      <c r="W10" s="443"/>
      <c r="X10" s="442" t="s">
        <v>402</v>
      </c>
      <c r="Y10" s="442" t="s">
        <v>402</v>
      </c>
    </row>
    <row r="11" spans="1:25">
      <c r="A11" s="161"/>
      <c r="B11" s="162"/>
      <c r="C11" s="162" t="s">
        <v>351</v>
      </c>
      <c r="D11" s="162" t="str">
        <f>+F11</f>
        <v># of Employees</v>
      </c>
      <c r="E11" s="162" t="s">
        <v>351</v>
      </c>
      <c r="F11" s="163" t="s">
        <v>339</v>
      </c>
      <c r="H11" t="s">
        <v>352</v>
      </c>
      <c r="I11" s="442" t="s">
        <v>402</v>
      </c>
      <c r="J11" s="442" t="s">
        <v>402</v>
      </c>
      <c r="K11" s="443"/>
      <c r="L11" s="442" t="s">
        <v>402</v>
      </c>
      <c r="M11" s="442" t="s">
        <v>402</v>
      </c>
      <c r="N11" s="443"/>
      <c r="O11" s="442" t="s">
        <v>402</v>
      </c>
      <c r="P11" s="442" t="s">
        <v>402</v>
      </c>
      <c r="Q11" s="443"/>
      <c r="R11" s="442" t="s">
        <v>402</v>
      </c>
      <c r="S11" s="442" t="s">
        <v>402</v>
      </c>
      <c r="T11" s="443"/>
      <c r="U11" s="442" t="s">
        <v>402</v>
      </c>
      <c r="V11" s="442" t="s">
        <v>402</v>
      </c>
      <c r="W11" s="443"/>
      <c r="X11" s="442" t="s">
        <v>402</v>
      </c>
      <c r="Y11" s="442" t="s">
        <v>402</v>
      </c>
    </row>
    <row r="12" spans="1:25">
      <c r="A12" s="161"/>
      <c r="B12" s="162">
        <v>2008</v>
      </c>
      <c r="C12" s="164">
        <v>1657671994</v>
      </c>
      <c r="D12" s="162">
        <v>1482</v>
      </c>
      <c r="E12" s="164">
        <v>122291310</v>
      </c>
      <c r="F12" s="165">
        <v>811</v>
      </c>
      <c r="G12" s="123"/>
      <c r="H12" t="s">
        <v>353</v>
      </c>
      <c r="I12" s="442" t="s">
        <v>402</v>
      </c>
      <c r="J12" s="442" t="s">
        <v>402</v>
      </c>
      <c r="K12" s="443"/>
      <c r="L12" s="442" t="s">
        <v>402</v>
      </c>
      <c r="M12" s="442" t="s">
        <v>402</v>
      </c>
      <c r="N12" s="443"/>
      <c r="O12" s="442" t="s">
        <v>402</v>
      </c>
      <c r="P12" s="442" t="s">
        <v>402</v>
      </c>
      <c r="Q12" s="443"/>
      <c r="R12" s="442" t="s">
        <v>402</v>
      </c>
      <c r="S12" s="442" t="s">
        <v>402</v>
      </c>
      <c r="T12" s="443"/>
      <c r="U12" s="442" t="s">
        <v>402</v>
      </c>
      <c r="V12" s="442" t="s">
        <v>402</v>
      </c>
      <c r="W12" s="443"/>
      <c r="X12" s="442" t="s">
        <v>402</v>
      </c>
      <c r="Y12" s="442" t="s">
        <v>402</v>
      </c>
    </row>
    <row r="13" spans="1:25">
      <c r="A13" s="161"/>
      <c r="B13" s="162">
        <v>2009</v>
      </c>
      <c r="C13" s="164">
        <v>1516973753</v>
      </c>
      <c r="D13" s="162">
        <v>1538</v>
      </c>
      <c r="E13" s="164">
        <v>136610142</v>
      </c>
      <c r="F13" s="165">
        <v>820</v>
      </c>
      <c r="G13" s="123"/>
      <c r="H13" t="s">
        <v>354</v>
      </c>
      <c r="I13" s="442" t="s">
        <v>402</v>
      </c>
      <c r="J13" s="442" t="s">
        <v>402</v>
      </c>
      <c r="K13" s="443"/>
      <c r="L13" s="442" t="s">
        <v>402</v>
      </c>
      <c r="M13" s="442" t="s">
        <v>402</v>
      </c>
      <c r="N13" s="443"/>
      <c r="O13" s="442" t="s">
        <v>402</v>
      </c>
      <c r="P13" s="442" t="s">
        <v>402</v>
      </c>
      <c r="Q13" s="443"/>
      <c r="R13" s="442" t="s">
        <v>402</v>
      </c>
      <c r="S13" s="442" t="s">
        <v>402</v>
      </c>
      <c r="T13" s="443"/>
      <c r="U13" s="442" t="s">
        <v>402</v>
      </c>
      <c r="V13" s="442" t="s">
        <v>402</v>
      </c>
      <c r="W13" s="443"/>
      <c r="X13" s="442" t="s">
        <v>402</v>
      </c>
      <c r="Y13" s="442" t="s">
        <v>402</v>
      </c>
    </row>
    <row r="14" spans="1:25">
      <c r="A14" s="161"/>
      <c r="B14" s="162">
        <v>2010</v>
      </c>
      <c r="C14" s="164">
        <v>1602043840</v>
      </c>
      <c r="D14" s="162">
        <v>1554</v>
      </c>
      <c r="E14" s="164">
        <v>170212895</v>
      </c>
      <c r="F14" s="165">
        <v>782</v>
      </c>
      <c r="G14" s="123"/>
      <c r="H14" t="s">
        <v>355</v>
      </c>
      <c r="I14" s="442" t="s">
        <v>402</v>
      </c>
      <c r="J14" s="442" t="s">
        <v>402</v>
      </c>
      <c r="K14" s="443"/>
      <c r="L14" s="442" t="s">
        <v>402</v>
      </c>
      <c r="M14" s="442" t="s">
        <v>402</v>
      </c>
      <c r="N14" s="443"/>
      <c r="O14" s="442" t="s">
        <v>402</v>
      </c>
      <c r="P14" s="442" t="s">
        <v>402</v>
      </c>
      <c r="Q14" s="443"/>
      <c r="R14" s="442" t="s">
        <v>402</v>
      </c>
      <c r="S14" s="442" t="s">
        <v>402</v>
      </c>
      <c r="T14" s="443"/>
      <c r="U14" s="442" t="s">
        <v>402</v>
      </c>
      <c r="V14" s="442" t="s">
        <v>402</v>
      </c>
      <c r="W14" s="443"/>
      <c r="X14" s="442" t="s">
        <v>402</v>
      </c>
      <c r="Y14" s="442" t="s">
        <v>402</v>
      </c>
    </row>
    <row r="15" spans="1:25">
      <c r="A15" s="161"/>
      <c r="B15" s="162">
        <v>2011</v>
      </c>
      <c r="C15" s="164">
        <v>1617162134</v>
      </c>
      <c r="D15" s="162">
        <v>1594</v>
      </c>
      <c r="E15" s="164">
        <v>177536768</v>
      </c>
      <c r="F15" s="165">
        <v>1268</v>
      </c>
      <c r="G15" s="123"/>
      <c r="H15" t="s">
        <v>356</v>
      </c>
      <c r="I15" s="442" t="s">
        <v>402</v>
      </c>
      <c r="J15" s="442" t="s">
        <v>402</v>
      </c>
      <c r="K15" s="443"/>
      <c r="L15" s="442" t="s">
        <v>402</v>
      </c>
      <c r="M15" s="442" t="s">
        <v>402</v>
      </c>
      <c r="N15" s="443"/>
      <c r="O15" s="442" t="s">
        <v>402</v>
      </c>
      <c r="P15" s="442" t="s">
        <v>402</v>
      </c>
      <c r="Q15" s="443"/>
      <c r="R15" s="442" t="s">
        <v>402</v>
      </c>
      <c r="S15" s="442" t="s">
        <v>402</v>
      </c>
      <c r="T15" s="443"/>
      <c r="U15" s="442" t="s">
        <v>402</v>
      </c>
      <c r="V15" s="442" t="s">
        <v>402</v>
      </c>
      <c r="W15" s="443"/>
      <c r="X15" s="442" t="s">
        <v>402</v>
      </c>
      <c r="Y15" s="442" t="s">
        <v>402</v>
      </c>
    </row>
    <row r="16" spans="1:25">
      <c r="A16" s="161" t="s">
        <v>357</v>
      </c>
      <c r="B16" s="162">
        <v>2012</v>
      </c>
      <c r="C16" s="439" t="s">
        <v>398</v>
      </c>
      <c r="D16" s="440" t="s">
        <v>397</v>
      </c>
      <c r="E16" s="439" t="s">
        <v>399</v>
      </c>
      <c r="F16" s="441" t="s">
        <v>400</v>
      </c>
      <c r="G16" s="123"/>
      <c r="H16" t="s">
        <v>358</v>
      </c>
      <c r="I16" s="442" t="s">
        <v>402</v>
      </c>
      <c r="J16" s="442" t="s">
        <v>402</v>
      </c>
      <c r="K16" s="443"/>
      <c r="L16" s="442" t="s">
        <v>402</v>
      </c>
      <c r="M16" s="442" t="s">
        <v>402</v>
      </c>
      <c r="N16" s="443"/>
      <c r="O16" s="442" t="s">
        <v>402</v>
      </c>
      <c r="P16" s="442" t="s">
        <v>402</v>
      </c>
      <c r="Q16" s="443"/>
      <c r="R16" s="442" t="s">
        <v>402</v>
      </c>
      <c r="S16" s="442" t="s">
        <v>402</v>
      </c>
      <c r="T16" s="443"/>
      <c r="U16" s="442" t="s">
        <v>402</v>
      </c>
      <c r="V16" s="442" t="s">
        <v>402</v>
      </c>
      <c r="W16" s="443"/>
      <c r="X16" s="442" t="s">
        <v>402</v>
      </c>
      <c r="Y16" s="442" t="s">
        <v>402</v>
      </c>
    </row>
    <row r="17" spans="1:25">
      <c r="A17" s="161" t="s">
        <v>357</v>
      </c>
      <c r="B17" s="162">
        <v>2013</v>
      </c>
      <c r="C17" s="439" t="s">
        <v>398</v>
      </c>
      <c r="D17" s="440" t="s">
        <v>397</v>
      </c>
      <c r="E17" s="439" t="s">
        <v>399</v>
      </c>
      <c r="F17" s="441" t="s">
        <v>400</v>
      </c>
      <c r="G17" s="123" t="e">
        <f>+F17-D17</f>
        <v>#VALUE!</v>
      </c>
      <c r="H17" t="s">
        <v>359</v>
      </c>
      <c r="I17" s="442" t="s">
        <v>402</v>
      </c>
      <c r="J17" s="442" t="s">
        <v>402</v>
      </c>
      <c r="K17" s="443"/>
      <c r="L17" s="442" t="s">
        <v>402</v>
      </c>
      <c r="M17" s="442" t="s">
        <v>402</v>
      </c>
      <c r="N17" s="443"/>
      <c r="O17" s="442" t="s">
        <v>402</v>
      </c>
      <c r="P17" s="442" t="s">
        <v>402</v>
      </c>
      <c r="Q17" s="443"/>
      <c r="R17" s="442" t="s">
        <v>402</v>
      </c>
      <c r="S17" s="442" t="s">
        <v>402</v>
      </c>
      <c r="T17" s="443"/>
      <c r="U17" s="442" t="s">
        <v>402</v>
      </c>
      <c r="V17" s="442" t="s">
        <v>402</v>
      </c>
      <c r="W17" s="443"/>
      <c r="X17" s="442" t="s">
        <v>402</v>
      </c>
      <c r="Y17" s="442" t="s">
        <v>402</v>
      </c>
    </row>
    <row r="18" spans="1:25">
      <c r="A18" s="161"/>
      <c r="B18" s="162"/>
      <c r="C18" s="164"/>
      <c r="D18" s="162"/>
      <c r="E18" s="164"/>
      <c r="F18" s="165"/>
      <c r="G18" s="125" t="e">
        <f>+G17/D17</f>
        <v>#VALUE!</v>
      </c>
      <c r="H18" t="s">
        <v>360</v>
      </c>
      <c r="I18" s="442" t="s">
        <v>402</v>
      </c>
      <c r="J18" s="442" t="s">
        <v>402</v>
      </c>
      <c r="K18" s="443"/>
      <c r="L18" s="442" t="s">
        <v>402</v>
      </c>
      <c r="M18" s="442" t="s">
        <v>402</v>
      </c>
      <c r="N18" s="443"/>
      <c r="O18" s="442" t="s">
        <v>402</v>
      </c>
      <c r="P18" s="442" t="s">
        <v>402</v>
      </c>
      <c r="Q18" s="443"/>
      <c r="R18" s="442" t="s">
        <v>402</v>
      </c>
      <c r="S18" s="442" t="s">
        <v>402</v>
      </c>
      <c r="T18" s="443"/>
      <c r="U18" s="442" t="s">
        <v>402</v>
      </c>
      <c r="V18" s="442" t="s">
        <v>402</v>
      </c>
      <c r="W18" s="443"/>
      <c r="X18" s="442" t="s">
        <v>402</v>
      </c>
      <c r="Y18" s="442" t="s">
        <v>402</v>
      </c>
    </row>
    <row r="19" spans="1:25" ht="13.5" thickBot="1">
      <c r="A19" s="167" t="s">
        <v>361</v>
      </c>
      <c r="B19" s="168"/>
      <c r="C19" s="169">
        <f>+AVERAGE(C13:C15)</f>
        <v>1578726575.6666667</v>
      </c>
      <c r="D19" s="169">
        <f>+AVERAGE(D13:D15)</f>
        <v>1562</v>
      </c>
      <c r="E19" s="169">
        <f>+AVERAGE(E13:E15)</f>
        <v>161453268.33333334</v>
      </c>
      <c r="F19" s="170">
        <f>+AVERAGE(F13:F15)</f>
        <v>956.66666666666663</v>
      </c>
      <c r="G19" s="124"/>
      <c r="H19" t="s">
        <v>362</v>
      </c>
      <c r="I19" s="442" t="s">
        <v>402</v>
      </c>
      <c r="J19" s="442" t="s">
        <v>402</v>
      </c>
      <c r="K19" s="443"/>
      <c r="L19" s="442" t="s">
        <v>402</v>
      </c>
      <c r="M19" s="442" t="s">
        <v>402</v>
      </c>
      <c r="N19" s="443"/>
      <c r="O19" s="442" t="s">
        <v>402</v>
      </c>
      <c r="P19" s="442" t="s">
        <v>402</v>
      </c>
      <c r="Q19" s="443"/>
      <c r="R19" s="442" t="s">
        <v>402</v>
      </c>
      <c r="S19" s="442" t="s">
        <v>402</v>
      </c>
      <c r="T19" s="443"/>
      <c r="U19" s="442" t="s">
        <v>402</v>
      </c>
      <c r="V19" s="442" t="s">
        <v>402</v>
      </c>
      <c r="W19" s="443"/>
      <c r="X19" s="442" t="s">
        <v>402</v>
      </c>
      <c r="Y19" s="442" t="s">
        <v>402</v>
      </c>
    </row>
    <row r="20" spans="1:25" ht="13.5" thickBot="1">
      <c r="A20" s="154"/>
      <c r="B20" s="154"/>
      <c r="C20" s="154"/>
      <c r="D20" s="154"/>
      <c r="E20" s="154"/>
      <c r="F20" s="154"/>
      <c r="H20" t="s">
        <v>310</v>
      </c>
      <c r="I20" s="442" t="s">
        <v>402</v>
      </c>
      <c r="J20" s="442" t="s">
        <v>402</v>
      </c>
      <c r="K20" s="444"/>
      <c r="L20" s="442" t="s">
        <v>402</v>
      </c>
      <c r="M20" s="442" t="s">
        <v>402</v>
      </c>
      <c r="N20" s="444"/>
      <c r="O20" s="442" t="s">
        <v>402</v>
      </c>
      <c r="P20" s="442" t="s">
        <v>402</v>
      </c>
      <c r="Q20" s="444"/>
      <c r="R20" s="442" t="s">
        <v>402</v>
      </c>
      <c r="S20" s="442" t="s">
        <v>402</v>
      </c>
      <c r="T20" s="444"/>
      <c r="U20" s="442" t="s">
        <v>402</v>
      </c>
      <c r="V20" s="442" t="s">
        <v>402</v>
      </c>
      <c r="W20" s="444"/>
      <c r="X20" s="442" t="s">
        <v>402</v>
      </c>
      <c r="Y20" s="442" t="s">
        <v>402</v>
      </c>
    </row>
    <row r="21" spans="1:25" ht="13.5" thickTop="1">
      <c r="A21" s="171" t="s">
        <v>363</v>
      </c>
      <c r="B21" s="154"/>
      <c r="C21" s="154"/>
      <c r="D21" s="154"/>
      <c r="E21" s="154"/>
      <c r="F21" s="154"/>
    </row>
    <row r="22" spans="1:25">
      <c r="A22" s="157" t="s">
        <v>364</v>
      </c>
      <c r="B22" s="154"/>
      <c r="C22" s="172">
        <f>+C19/(C19+E19)</f>
        <v>0.90722035490181596</v>
      </c>
      <c r="D22" s="172">
        <f>+D19/(D19+F19)</f>
        <v>0.62016940179989422</v>
      </c>
      <c r="E22" s="172"/>
      <c r="F22" s="172"/>
      <c r="G22" s="89"/>
    </row>
    <row r="23" spans="1:25">
      <c r="A23" s="157" t="s">
        <v>365</v>
      </c>
      <c r="B23" s="154"/>
      <c r="C23" s="172"/>
      <c r="D23" s="172"/>
      <c r="E23" s="172">
        <f>+E19/(C19+E19)</f>
        <v>9.277964509818408E-2</v>
      </c>
      <c r="F23" s="172">
        <f>+F19/(D19+F19)</f>
        <v>0.3798305982001059</v>
      </c>
      <c r="G23" s="89"/>
    </row>
    <row r="24" spans="1:25">
      <c r="A24" s="157" t="s">
        <v>366</v>
      </c>
      <c r="B24" s="154"/>
      <c r="C24" s="173"/>
      <c r="D24" s="173"/>
      <c r="E24" s="173">
        <v>0.5</v>
      </c>
      <c r="F24" s="173">
        <v>0.5</v>
      </c>
      <c r="G24" s="126"/>
    </row>
    <row r="25" spans="1:25" ht="13.5" thickBot="1">
      <c r="A25" s="154"/>
      <c r="B25" s="154"/>
      <c r="C25" s="154"/>
      <c r="D25" s="154"/>
      <c r="E25" s="154"/>
      <c r="F25" s="154"/>
    </row>
    <row r="26" spans="1:25" ht="13.5" thickBot="1">
      <c r="A26" s="157" t="s">
        <v>367</v>
      </c>
      <c r="B26" s="154"/>
      <c r="C26" s="154"/>
      <c r="D26" s="154"/>
      <c r="E26" s="154"/>
      <c r="F26" s="174">
        <f>+(+E23*E24)+(F23*F24)</f>
        <v>0.23630512164914499</v>
      </c>
    </row>
    <row r="27" spans="1:25" ht="13.5" thickBot="1">
      <c r="A27" s="154"/>
      <c r="B27" s="154"/>
      <c r="C27" s="154"/>
      <c r="D27" s="154"/>
      <c r="E27" s="154"/>
      <c r="F27" s="154"/>
    </row>
    <row r="28" spans="1:25" ht="13.5" thickBot="1">
      <c r="A28" s="157" t="s">
        <v>368</v>
      </c>
      <c r="B28" s="154"/>
      <c r="C28" s="154"/>
      <c r="D28" s="154"/>
      <c r="E28" s="154"/>
      <c r="F28" s="175">
        <v>0.13</v>
      </c>
    </row>
    <row r="29" spans="1:25">
      <c r="A29" s="154"/>
      <c r="B29" s="154"/>
      <c r="C29" s="154"/>
      <c r="D29" s="154"/>
      <c r="E29" s="154"/>
      <c r="F29" s="154"/>
    </row>
  </sheetData>
  <mergeCells count="8">
    <mergeCell ref="X1:Y1"/>
    <mergeCell ref="C9:D9"/>
    <mergeCell ref="E9:F9"/>
    <mergeCell ref="I1:J1"/>
    <mergeCell ref="L1:M1"/>
    <mergeCell ref="O1:P1"/>
    <mergeCell ref="R1:S1"/>
    <mergeCell ref="U1:V1"/>
  </mergeCells>
  <pageMargins left="0.7" right="0.7" top="0.75" bottom="0.75" header="0.3" footer="0.3"/>
  <pageSetup fitToWidth="0" orientation="portrait" r:id="rId1"/>
  <headerFooter>
    <oddHeader>&amp;RExhibit No. ___ (JH-6)
Dockets UE-120436 &amp;&amp; UG-120437
Page 10 of &amp; 10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E322690B-FC84-4EDC-B839-8C90E934FD3F}"/>
</file>

<file path=customXml/itemProps2.xml><?xml version="1.0" encoding="utf-8"?>
<ds:datastoreItem xmlns:ds="http://schemas.openxmlformats.org/officeDocument/2006/customXml" ds:itemID="{5DF5F75D-5198-4B4C-B30F-E2FC0CC964E5}"/>
</file>

<file path=customXml/itemProps3.xml><?xml version="1.0" encoding="utf-8"?>
<ds:datastoreItem xmlns:ds="http://schemas.openxmlformats.org/officeDocument/2006/customXml" ds:itemID="{48BB3E50-6376-4AC4-AB0A-E19EA3304ABF}"/>
</file>

<file path=customXml/itemProps4.xml><?xml version="1.0" encoding="utf-8"?>
<ds:datastoreItem xmlns:ds="http://schemas.openxmlformats.org/officeDocument/2006/customXml" ds:itemID="{0C380B1D-04DB-4384-8588-B83E39E9EA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Cover-Ele</vt:lpstr>
      <vt:lpstr>Cover-Gas</vt:lpstr>
      <vt:lpstr>Summary</vt:lpstr>
      <vt:lpstr>PLN-E </vt:lpstr>
      <vt:lpstr>G-WA-ADJ</vt:lpstr>
      <vt:lpstr>PLE-4</vt:lpstr>
      <vt:lpstr>PLE-1</vt:lpstr>
      <vt:lpstr>Comparison</vt:lpstr>
      <vt:lpstr>Non-Reg</vt:lpstr>
      <vt:lpstr>Sheet1</vt:lpstr>
      <vt:lpstr>Comparison!Print_Area</vt:lpstr>
      <vt:lpstr>'Cover-Ele'!Print_Area</vt:lpstr>
      <vt:lpstr>'Cover-Gas'!Print_Area</vt:lpstr>
      <vt:lpstr>'G-WA-ADJ'!Print_Area</vt:lpstr>
      <vt:lpstr>'Non-Reg'!Print_Area</vt:lpstr>
      <vt:lpstr>'PLE-1'!Print_Area</vt:lpstr>
      <vt:lpstr>'PLE-4'!Print_Area</vt:lpstr>
      <vt:lpstr>'PLN-E '!Print_Area</vt:lpstr>
      <vt:lpstr>Summary!Print_Area</vt:lpstr>
      <vt:lpstr>'G-WA-ADJ'!Print_Titles</vt:lpstr>
      <vt:lpstr>'PLE-1'!Print_Titles</vt:lpstr>
      <vt:lpstr>'PLN-E '!Print_Titles</vt:lpstr>
      <vt:lpstr>Summary!Print_Titles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DeMarco, Betsy (UTC)</cp:lastModifiedBy>
  <cp:lastPrinted>2012-09-17T20:30:37Z</cp:lastPrinted>
  <dcterms:created xsi:type="dcterms:W3CDTF">2012-09-11T18:07:02Z</dcterms:created>
  <dcterms:modified xsi:type="dcterms:W3CDTF">2012-09-17T20:32:27Z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