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300" windowHeight="8730"/>
  </bookViews>
  <sheets>
    <sheet name="Cover-Ele" sheetId="1" r:id="rId1"/>
    <sheet name="Cover-Gas" sheetId="2" r:id="rId2"/>
    <sheet name="Summary" sheetId="4" r:id="rId3"/>
    <sheet name="E-PLN-6" sheetId="3" r:id="rId4"/>
    <sheet name="Sheet1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'Cover-Ele'!$A$1:$G$79</definedName>
    <definedName name="_xlnm.Print_Area" localSheetId="1">'Cover-Gas'!$A$1:$H$81</definedName>
    <definedName name="_xlnm.Print_Area" localSheetId="3">'E-PLN-6'!$A$1:$F$41</definedName>
    <definedName name="_xlnm.Print_Area" localSheetId="2">Summary!$A$1:$J$67</definedName>
    <definedName name="_xlnm.Print_Titles" localSheetId="2">Summary!$A:$C</definedName>
    <definedName name="Recover">[1]Macro1!$A$69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E45" i="1" l="1"/>
  <c r="F49" i="1" l="1"/>
  <c r="F49" i="4"/>
  <c r="F49" i="3"/>
  <c r="F49" i="2"/>
  <c r="F44" i="1"/>
  <c r="F44" i="4"/>
  <c r="F44" i="3"/>
  <c r="F44" i="2"/>
  <c r="F40" i="1"/>
  <c r="F40" i="4"/>
  <c r="F40" i="3"/>
  <c r="F40" i="2"/>
  <c r="F39" i="1"/>
  <c r="F39" i="4"/>
  <c r="F39" i="3"/>
  <c r="F39" i="2"/>
  <c r="F59" i="4"/>
  <c r="F59" i="3"/>
  <c r="F34" i="1"/>
  <c r="F34" i="4"/>
  <c r="F34" i="3"/>
  <c r="F34" i="2"/>
  <c r="F23" i="1"/>
  <c r="F23" i="4"/>
  <c r="F23" i="3"/>
  <c r="F23" i="2"/>
  <c r="F54" i="4"/>
  <c r="F54" i="3"/>
  <c r="I114" i="4" l="1"/>
  <c r="H114" i="4"/>
  <c r="J110" i="4"/>
  <c r="I109" i="4"/>
  <c r="J109" i="4" s="1"/>
  <c r="H109" i="4"/>
  <c r="F109" i="4"/>
  <c r="E109" i="4"/>
  <c r="J108" i="4"/>
  <c r="I107" i="4"/>
  <c r="H107" i="4"/>
  <c r="F107" i="4"/>
  <c r="E107" i="4"/>
  <c r="I106" i="4"/>
  <c r="H106" i="4"/>
  <c r="F106" i="4"/>
  <c r="E106" i="4"/>
  <c r="I105" i="4"/>
  <c r="H105" i="4"/>
  <c r="F105" i="4"/>
  <c r="E105" i="4"/>
  <c r="I103" i="4"/>
  <c r="H103" i="4"/>
  <c r="J103" i="4" s="1"/>
  <c r="F103" i="4"/>
  <c r="E103" i="4"/>
  <c r="I101" i="4"/>
  <c r="H101" i="4"/>
  <c r="F101" i="4"/>
  <c r="E101" i="4"/>
  <c r="I99" i="4"/>
  <c r="I111" i="4" s="1"/>
  <c r="H99" i="4"/>
  <c r="H111" i="4" s="1"/>
  <c r="F99" i="4"/>
  <c r="F111" i="4" s="1"/>
  <c r="E99" i="4"/>
  <c r="E111" i="4" s="1"/>
  <c r="J88" i="4"/>
  <c r="I87" i="4"/>
  <c r="J87" i="4" s="1"/>
  <c r="H87" i="4"/>
  <c r="F87" i="4"/>
  <c r="E87" i="4"/>
  <c r="J86" i="4"/>
  <c r="I85" i="4"/>
  <c r="H85" i="4"/>
  <c r="F85" i="4"/>
  <c r="E85" i="4"/>
  <c r="I84" i="4"/>
  <c r="H84" i="4"/>
  <c r="J84" i="4" s="1"/>
  <c r="F84" i="4"/>
  <c r="E84" i="4"/>
  <c r="I83" i="4"/>
  <c r="H83" i="4"/>
  <c r="F83" i="4"/>
  <c r="E83" i="4"/>
  <c r="I81" i="4"/>
  <c r="H81" i="4"/>
  <c r="J81" i="4" s="1"/>
  <c r="F81" i="4"/>
  <c r="E81" i="4"/>
  <c r="I79" i="4"/>
  <c r="H79" i="4"/>
  <c r="F79" i="4"/>
  <c r="E79" i="4"/>
  <c r="J78" i="4"/>
  <c r="I77" i="4"/>
  <c r="H77" i="4"/>
  <c r="F77" i="4"/>
  <c r="F89" i="4" s="1"/>
  <c r="E77" i="4"/>
  <c r="E89" i="4" s="1"/>
  <c r="A71" i="4"/>
  <c r="J66" i="4"/>
  <c r="I65" i="4"/>
  <c r="J65" i="4" s="1"/>
  <c r="H65" i="4"/>
  <c r="F65" i="4"/>
  <c r="E65" i="4"/>
  <c r="J64" i="4"/>
  <c r="I63" i="4"/>
  <c r="H63" i="4"/>
  <c r="F63" i="4"/>
  <c r="E63" i="4"/>
  <c r="I62" i="4"/>
  <c r="H62" i="4"/>
  <c r="J62" i="4" s="1"/>
  <c r="F62" i="4"/>
  <c r="E62" i="4"/>
  <c r="I61" i="4"/>
  <c r="H61" i="4"/>
  <c r="F61" i="4"/>
  <c r="E61" i="4"/>
  <c r="I59" i="4"/>
  <c r="H59" i="4"/>
  <c r="J59" i="4" s="1"/>
  <c r="E59" i="4"/>
  <c r="I57" i="4"/>
  <c r="H57" i="4"/>
  <c r="F57" i="4"/>
  <c r="E57" i="4"/>
  <c r="J56" i="4"/>
  <c r="I55" i="4"/>
  <c r="H55" i="4"/>
  <c r="F55" i="4"/>
  <c r="F67" i="4" s="1"/>
  <c r="E55" i="4"/>
  <c r="A49" i="4"/>
  <c r="I41" i="4"/>
  <c r="H41" i="4"/>
  <c r="J41" i="4" s="1"/>
  <c r="F41" i="4"/>
  <c r="E41" i="4"/>
  <c r="J40" i="4"/>
  <c r="I39" i="4"/>
  <c r="H39" i="4"/>
  <c r="E39" i="4"/>
  <c r="I38" i="4"/>
  <c r="J38" i="4" s="1"/>
  <c r="H38" i="4"/>
  <c r="F38" i="4"/>
  <c r="E38" i="4"/>
  <c r="I37" i="4"/>
  <c r="H37" i="4"/>
  <c r="F37" i="4"/>
  <c r="E37" i="4"/>
  <c r="I35" i="4"/>
  <c r="J35" i="4" s="1"/>
  <c r="H35" i="4"/>
  <c r="F35" i="4"/>
  <c r="E35" i="4"/>
  <c r="I32" i="4"/>
  <c r="J32" i="4" s="1"/>
  <c r="H32" i="4"/>
  <c r="F32" i="4"/>
  <c r="E32" i="4"/>
  <c r="I31" i="4"/>
  <c r="I33" i="4" s="1"/>
  <c r="H31" i="4"/>
  <c r="H33" i="4" s="1"/>
  <c r="H43" i="4" s="1"/>
  <c r="F31" i="4"/>
  <c r="F33" i="4" s="1"/>
  <c r="F43" i="4" s="1"/>
  <c r="E31" i="4"/>
  <c r="E33" i="4" s="1"/>
  <c r="E43" i="4" s="1"/>
  <c r="E28" i="4"/>
  <c r="E52" i="4" s="1"/>
  <c r="E74" i="4" s="1"/>
  <c r="F27" i="4"/>
  <c r="F51" i="4" s="1"/>
  <c r="F73" i="4" s="1"/>
  <c r="F95" i="4" s="1"/>
  <c r="A25" i="4"/>
  <c r="A93" i="4" s="1"/>
  <c r="I19" i="4"/>
  <c r="H19" i="4"/>
  <c r="F19" i="4"/>
  <c r="E19" i="4"/>
  <c r="J18" i="4"/>
  <c r="I17" i="4"/>
  <c r="H17" i="4"/>
  <c r="F17" i="4"/>
  <c r="E17" i="4"/>
  <c r="I16" i="4"/>
  <c r="H16" i="4"/>
  <c r="F16" i="4"/>
  <c r="E16" i="4"/>
  <c r="I15" i="4"/>
  <c r="H15" i="4"/>
  <c r="F15" i="4"/>
  <c r="E15" i="4"/>
  <c r="I13" i="4"/>
  <c r="H13" i="4"/>
  <c r="F13" i="4"/>
  <c r="E13" i="4"/>
  <c r="I10" i="4"/>
  <c r="H10" i="4"/>
  <c r="J10" i="4" s="1"/>
  <c r="F10" i="4"/>
  <c r="E10" i="4"/>
  <c r="I9" i="4"/>
  <c r="H9" i="4"/>
  <c r="H11" i="4" s="1"/>
  <c r="H21" i="4" s="1"/>
  <c r="F9" i="4"/>
  <c r="F11" i="4" s="1"/>
  <c r="F21" i="4" s="1"/>
  <c r="E9" i="4"/>
  <c r="E11" i="4" s="1"/>
  <c r="E21" i="4" s="1"/>
  <c r="J13" i="4" l="1"/>
  <c r="J16" i="4"/>
  <c r="J19" i="4"/>
  <c r="E67" i="4"/>
  <c r="H67" i="4"/>
  <c r="H113" i="4" s="1"/>
  <c r="H89" i="4"/>
  <c r="J9" i="4"/>
  <c r="J15" i="4"/>
  <c r="J17" i="4"/>
  <c r="J55" i="4"/>
  <c r="J77" i="4"/>
  <c r="J106" i="4"/>
  <c r="J37" i="4"/>
  <c r="J39" i="4"/>
  <c r="J57" i="4"/>
  <c r="J61" i="4"/>
  <c r="J63" i="4"/>
  <c r="J79" i="4"/>
  <c r="J83" i="4"/>
  <c r="J85" i="4"/>
  <c r="J101" i="4"/>
  <c r="J105" i="4"/>
  <c r="J107" i="4"/>
  <c r="I43" i="4"/>
  <c r="J43" i="4" s="1"/>
  <c r="J33" i="4"/>
  <c r="E113" i="4"/>
  <c r="F113" i="4"/>
  <c r="J111" i="4"/>
  <c r="I11" i="4"/>
  <c r="J31" i="4"/>
  <c r="I67" i="4"/>
  <c r="J67" i="4" s="1"/>
  <c r="I89" i="4"/>
  <c r="J89" i="4" s="1"/>
  <c r="J99" i="4"/>
  <c r="D45" i="3"/>
  <c r="D44" i="3"/>
  <c r="C44" i="3"/>
  <c r="E40" i="3"/>
  <c r="E41" i="3" s="1"/>
  <c r="C40" i="3"/>
  <c r="F41" i="3"/>
  <c r="D39" i="3"/>
  <c r="D41" i="3" s="1"/>
  <c r="C39" i="3"/>
  <c r="E31" i="3"/>
  <c r="E32" i="3" s="1"/>
  <c r="D31" i="3"/>
  <c r="D32" i="3" s="1"/>
  <c r="C31" i="3"/>
  <c r="D24" i="3"/>
  <c r="D23" i="3"/>
  <c r="C23" i="3"/>
  <c r="E19" i="3"/>
  <c r="E20" i="3" s="1"/>
  <c r="C19" i="3"/>
  <c r="F18" i="3"/>
  <c r="F20" i="3" s="1"/>
  <c r="D18" i="3"/>
  <c r="D20" i="3" s="1"/>
  <c r="C18" i="3"/>
  <c r="D10" i="3"/>
  <c r="D11" i="3" s="1"/>
  <c r="C10" i="3"/>
  <c r="A1" i="3"/>
  <c r="H81" i="2"/>
  <c r="G81" i="2"/>
  <c r="F81" i="2"/>
  <c r="H72" i="2"/>
  <c r="G72" i="2"/>
  <c r="F72" i="2"/>
  <c r="H66" i="2"/>
  <c r="H73" i="2" s="1"/>
  <c r="H75" i="2" s="1"/>
  <c r="G66" i="2"/>
  <c r="G73" i="2" s="1"/>
  <c r="G75" i="2" s="1"/>
  <c r="F66" i="2"/>
  <c r="F73" i="2" s="1"/>
  <c r="F75" i="2" s="1"/>
  <c r="H55" i="2"/>
  <c r="G55" i="2"/>
  <c r="F55" i="2"/>
  <c r="H48" i="2"/>
  <c r="G44" i="2"/>
  <c r="G48" i="2" s="1"/>
  <c r="F48" i="2"/>
  <c r="H37" i="2"/>
  <c r="G37" i="2"/>
  <c r="F37" i="2"/>
  <c r="H31" i="2"/>
  <c r="G31" i="2"/>
  <c r="F31" i="2"/>
  <c r="H25" i="2"/>
  <c r="H49" i="2" s="1"/>
  <c r="G23" i="2"/>
  <c r="G25" i="2" s="1"/>
  <c r="F25" i="2"/>
  <c r="H18" i="2"/>
  <c r="H51" i="2" s="1"/>
  <c r="G18" i="2"/>
  <c r="F18" i="2"/>
  <c r="G11" i="2"/>
  <c r="H11" i="2" s="1"/>
  <c r="A5" i="2"/>
  <c r="A4" i="2"/>
  <c r="A3" i="2"/>
  <c r="A2" i="2"/>
  <c r="G71" i="1"/>
  <c r="F71" i="1"/>
  <c r="E71" i="1"/>
  <c r="G64" i="1"/>
  <c r="G72" i="1" s="1"/>
  <c r="G75" i="1" s="1"/>
  <c r="G79" i="1" s="1"/>
  <c r="G51" i="1" s="1"/>
  <c r="E64" i="1"/>
  <c r="E72" i="1" s="1"/>
  <c r="E75" i="1" s="1"/>
  <c r="E79" i="1" s="1"/>
  <c r="E51" i="1" s="1"/>
  <c r="G44" i="1"/>
  <c r="G45" i="1" s="1"/>
  <c r="F41" i="1"/>
  <c r="E41" i="1"/>
  <c r="E44" i="1" s="1"/>
  <c r="E37" i="1"/>
  <c r="E36" i="1"/>
  <c r="G34" i="1"/>
  <c r="E31" i="1"/>
  <c r="E34" i="1" s="1"/>
  <c r="G28" i="1"/>
  <c r="F28" i="1"/>
  <c r="E23" i="1"/>
  <c r="E28" i="1" s="1"/>
  <c r="G17" i="1"/>
  <c r="G19" i="1" s="1"/>
  <c r="F17" i="1"/>
  <c r="F19" i="1" s="1"/>
  <c r="E17" i="1"/>
  <c r="E19" i="1" s="1"/>
  <c r="E10" i="1"/>
  <c r="F10" i="1" s="1"/>
  <c r="G10" i="1" s="1"/>
  <c r="G49" i="2" l="1"/>
  <c r="I21" i="4"/>
  <c r="J11" i="4"/>
  <c r="H54" i="2"/>
  <c r="H59" i="2" s="1"/>
  <c r="E47" i="1"/>
  <c r="G47" i="1"/>
  <c r="F45" i="1"/>
  <c r="F47" i="1" s="1"/>
  <c r="G51" i="2"/>
  <c r="F51" i="2"/>
  <c r="F59" i="2" l="1"/>
  <c r="F54" i="2"/>
  <c r="I113" i="4"/>
  <c r="J21" i="4"/>
  <c r="F50" i="1"/>
  <c r="E50" i="1"/>
  <c r="E55" i="1" s="1"/>
  <c r="G54" i="2"/>
  <c r="G59" i="2" s="1"/>
  <c r="G55" i="1"/>
  <c r="G50" i="1"/>
  <c r="F55" i="1"/>
  <c r="F54" i="1"/>
  <c r="F72" i="1"/>
  <c r="F75" i="1"/>
  <c r="F79" i="1"/>
  <c r="F51" i="1"/>
  <c r="F59" i="1"/>
  <c r="F64" i="1"/>
</calcChain>
</file>

<file path=xl/sharedStrings.xml><?xml version="1.0" encoding="utf-8"?>
<sst xmlns="http://schemas.openxmlformats.org/spreadsheetml/2006/main" count="319" uniqueCount="174">
  <si>
    <t xml:space="preserve">AVISTA UTILITIES  </t>
  </si>
  <si>
    <t xml:space="preserve">WASHINGTON ELECTRIC RESULTS  </t>
  </si>
  <si>
    <t>TWELVE MONTHS ENDED DECEMBER 31, 2011</t>
  </si>
  <si>
    <t xml:space="preserve">(000'S OF DOLLARS)  </t>
  </si>
  <si>
    <t xml:space="preserve">Pro Forma </t>
  </si>
  <si>
    <t>Line</t>
  </si>
  <si>
    <t>Labor</t>
  </si>
  <si>
    <t xml:space="preserve">Employee </t>
  </si>
  <si>
    <t>No.</t>
  </si>
  <si>
    <t>DESCRIPTION</t>
  </si>
  <si>
    <t>Non-Exec</t>
  </si>
  <si>
    <t>Exec</t>
  </si>
  <si>
    <t>Benefits</t>
  </si>
  <si>
    <t xml:space="preserve">Adjustment Number </t>
  </si>
  <si>
    <t>Workpaper Reference</t>
  </si>
  <si>
    <t>E-PLN</t>
  </si>
  <si>
    <t>E-PLE</t>
  </si>
  <si>
    <t>E-PEB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</si>
  <si>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</si>
  <si>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</si>
  <si>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</si>
  <si>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</si>
  <si>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</si>
  <si>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</si>
  <si>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</si>
  <si>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</si>
  <si>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</si>
  <si>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</si>
  <si>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</si>
  <si>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</si>
  <si>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</si>
  <si>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</si>
  <si>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</si>
  <si>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</si>
  <si>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</si>
  <si>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</si>
  <si>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</si>
  <si>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</si>
  <si>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</si>
  <si>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</si>
  <si>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</si>
  <si>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</si>
  <si>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</si>
  <si>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</si>
  <si>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</si>
  <si>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</si>
  <si>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</si>
  <si>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</si>
  <si>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</si>
  <si>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</si>
  <si>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</si>
  <si>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</si>
  <si>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</si>
  <si>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</si>
  <si>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</si>
  <si>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</si>
  <si>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</si>
  <si>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</si>
  <si>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</si>
  <si>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</si>
  <si>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</si>
  <si>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 xml:space="preserve">DEFERRED DEBITS AND CREDITS </t>
  </si>
  <si>
    <t xml:space="preserve">WORKING CAPITAL </t>
  </si>
  <si>
    <t xml:space="preserve">TOTAL RATE BASE  </t>
  </si>
  <si>
    <t>Pro Forma</t>
  </si>
  <si>
    <t>Employee</t>
  </si>
  <si>
    <t>a</t>
  </si>
  <si>
    <t>G-PLN</t>
  </si>
  <si>
    <t>G-PLE</t>
  </si>
  <si>
    <t>G-PEB</t>
  </si>
  <si>
    <t>REVENUES</t>
  </si>
  <si>
    <t>Total General Business</t>
  </si>
  <si>
    <t>Total Transportation</t>
  </si>
  <si>
    <t>Other Revenues</t>
  </si>
  <si>
    <t>Total Gas Revenues</t>
  </si>
  <si>
    <t>EXPENSES</t>
  </si>
  <si>
    <t xml:space="preserve">Production Expenses 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</si>
  <si>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</si>
  <si>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</si>
  <si>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</si>
  <si>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</si>
  <si>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</si>
  <si>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</si>
  <si>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</si>
  <si>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</si>
  <si>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</si>
  <si>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</si>
  <si>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</si>
  <si>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</si>
  <si>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</si>
  <si>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</si>
  <si>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</si>
  <si>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</si>
  <si>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</si>
  <si>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</si>
  <si>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</si>
  <si>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</si>
  <si>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</si>
  <si>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</si>
  <si>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</si>
  <si>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</si>
  <si>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</si>
  <si>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</si>
  <si>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</si>
  <si>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</si>
  <si>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DEPREC/AMORT</t>
  </si>
  <si>
    <t>Total Accum. Depreciation/Amort.</t>
  </si>
  <si>
    <t>NET PLANT</t>
  </si>
  <si>
    <t>DEFERRED FIT</t>
  </si>
  <si>
    <t>GAS INVENTORY</t>
  </si>
  <si>
    <t>GAIN ON SALE OF BUILDING</t>
  </si>
  <si>
    <t>OTHER</t>
  </si>
  <si>
    <t>WORKING CAPITAL</t>
  </si>
  <si>
    <t>TOTAL RATE BASE</t>
  </si>
  <si>
    <t>Percentage Increase Adjustments</t>
  </si>
  <si>
    <t>2011 - 2013 Labor Adjustments</t>
  </si>
  <si>
    <t xml:space="preserve">Avista </t>
  </si>
  <si>
    <t>Staff-Huang</t>
  </si>
  <si>
    <t>Staff-Breda</t>
  </si>
  <si>
    <t>UNION</t>
  </si>
  <si>
    <t>2013 only</t>
  </si>
  <si>
    <t>March 26, 2011 increase</t>
  </si>
  <si>
    <t>Factor to adjust January 1 - March 26, 2011</t>
  </si>
  <si>
    <t>Adjustment % for remaining 2011 Increase</t>
  </si>
  <si>
    <t>2012 increase for 2012 adjustment</t>
  </si>
  <si>
    <t>2013 increase for 2013 adjustment</t>
  </si>
  <si>
    <t xml:space="preserve">Factor to adjust: </t>
  </si>
  <si>
    <t>March 27 - Decr 31, 2013</t>
  </si>
  <si>
    <t>Jan. 1,     - March 26, 2013</t>
  </si>
  <si>
    <t>Adjustment % for remaining 2013 Increase</t>
  </si>
  <si>
    <t>Factor to adjust  March 27, 2013 - June 30, 2013</t>
  </si>
  <si>
    <t>ID</t>
  </si>
  <si>
    <t xml:space="preserve">ADMIN </t>
  </si>
  <si>
    <t>March 1, 2011 increase</t>
  </si>
  <si>
    <t>Factor to adjust January 1, - February 28, 2011</t>
  </si>
  <si>
    <t>March 1 - Decr 31, 2013</t>
  </si>
  <si>
    <t>Jan. 1,     - Feb.  28, 2013</t>
  </si>
  <si>
    <t>Factor to adjust  March 1, 2013 - June 30, 2013</t>
  </si>
  <si>
    <t xml:space="preserve">Note: 2013 increase is set to be proposed to the board in May as a minimum increase. </t>
  </si>
  <si>
    <t>Source:</t>
  </si>
  <si>
    <t>Salary Planning Comparison 2012</t>
  </si>
  <si>
    <t>AVISTA UTILITIES</t>
  </si>
  <si>
    <t>Summary</t>
  </si>
  <si>
    <t>Twelve Months Ended December 31, 2011</t>
  </si>
  <si>
    <t>Net 2013</t>
  </si>
  <si>
    <t>Total</t>
  </si>
  <si>
    <t>2011 to 2013</t>
  </si>
  <si>
    <t>Exec Pro Forma</t>
  </si>
  <si>
    <t>Pension</t>
  </si>
  <si>
    <t>Medical</t>
  </si>
  <si>
    <t>Washington Electric</t>
  </si>
  <si>
    <t>Pro Forma Incr</t>
  </si>
  <si>
    <t>Adjustment</t>
  </si>
  <si>
    <t>Benefit</t>
  </si>
  <si>
    <t>E-WA-ADJ</t>
  </si>
  <si>
    <t>Total Transmission</t>
  </si>
  <si>
    <t>Total Production and Transmission</t>
  </si>
  <si>
    <t>Customer Accounts</t>
  </si>
  <si>
    <t>Cust Service &amp; Info</t>
  </si>
  <si>
    <t>Sales &amp; Marketing</t>
  </si>
  <si>
    <t>Total Admin &amp; General</t>
  </si>
  <si>
    <t>Total WA Electric Expense</t>
  </si>
  <si>
    <t>Idaho Electric</t>
  </si>
  <si>
    <t>Total Id Electric Expense</t>
  </si>
  <si>
    <t>Washington Gas</t>
  </si>
  <si>
    <t>G-WA-ADJ</t>
  </si>
  <si>
    <t>customer Accounts</t>
  </si>
  <si>
    <t>Total Admin&amp; General</t>
  </si>
  <si>
    <t>Total WA Gas Expense</t>
  </si>
  <si>
    <t>Idaho Gas</t>
  </si>
  <si>
    <t>Total ID Gas Expense</t>
  </si>
  <si>
    <t>2010 to 2012</t>
  </si>
  <si>
    <t>Oregon Gas</t>
  </si>
  <si>
    <t>Total OR Gas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</si>
</sst>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</numFmts>
  <fonts count="26">
    <font>
      <sz val="10"/>
      <name val="Times New Roman"/>
      <family val="1"/>
    </font>
    <font>
      <sz val="10"/>
      <name val="Geneva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u/>
      <sz val="10"/>
      <color indexed="36"/>
      <name val="Times New Roman"/>
      <family val="1"/>
    </font>
    <font>
      <sz val="9"/>
      <color rgb="FF0033CC"/>
      <name val="Times New Roman"/>
      <family val="1"/>
    </font>
    <font>
      <sz val="10"/>
      <name val="Geneva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name val="Times New Roman"/>
      <family val="1"/>
    </font>
    <font>
      <sz val="9"/>
      <color rgb="FF0000FF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u/>
      <sz val="10"/>
      <name val="Times New Roman"/>
      <family val="1"/>
    </font>
    <font>
      <sz val="10"/>
      <color indexed="14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12"/>
      <name val="Times New Roman"/>
      <family val="1"/>
    </font>
    <font>
      <sz val="10"/>
      <color rgb="FFFF0000"/>
      <name val="Times New Roman"/>
      <family val="1"/>
    </font>
    <font>
      <u/>
      <sz val="9.9499999999999993"/>
      <color indexed="8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rgb="FFFF0000"/>
      <name val="Times New Roman"/>
      <family val="1"/>
    </font>
    <font>
      <b/>
      <sz val="9"/>
      <color indexed="12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64"/>
      </top>
      <bottom/>
      <diagonal/>
    </border>
  </borders>
  <cellStyleXfs count="1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7" fillId="0" borderId="0"/>
    <xf numFmtId="44" fontId="20" fillId="0" borderId="0" applyFont="0" applyFill="0" applyBorder="0" applyAlignment="0" applyProtection="0"/>
    <xf numFmtId="0" fontId="21" fillId="0" borderId="0"/>
    <xf numFmtId="0" fontId="22" fillId="0" borderId="0"/>
    <xf numFmtId="9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</cellStyleXfs>
  <cellXfs count="163">
    <xf numFmtId="0" fontId="0" fillId="0" borderId="0" xfId="0"/>
    <xf numFmtId="0" fontId="2" fillId="0" borderId="0" xfId="2" applyNumberFormat="1" applyFont="1" applyAlignment="1">
      <alignment horizontal="left"/>
    </xf>
    <xf numFmtId="0" fontId="2" fillId="0" borderId="0" xfId="2" applyFont="1"/>
    <xf numFmtId="0" fontId="2" fillId="0" borderId="0" xfId="2" applyNumberFormat="1" applyFont="1" applyAlignment="1">
      <alignment horizontal="center"/>
    </xf>
    <xf numFmtId="41" fontId="2" fillId="0" borderId="0" xfId="2" applyNumberFormat="1" applyFont="1" applyFill="1"/>
    <xf numFmtId="0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41" fontId="4" fillId="0" borderId="0" xfId="2" applyNumberFormat="1" applyFont="1" applyFill="1" applyAlignment="1">
      <alignment horizontal="center"/>
    </xf>
    <xf numFmtId="0" fontId="4" fillId="0" borderId="1" xfId="2" applyNumberFormat="1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41" fontId="4" fillId="0" borderId="1" xfId="3" applyNumberFormat="1" applyFont="1" applyFill="1" applyBorder="1" applyAlignment="1">
      <alignment horizontal="center"/>
    </xf>
    <xf numFmtId="0" fontId="4" fillId="0" borderId="4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41" fontId="4" fillId="0" borderId="4" xfId="2" applyNumberFormat="1" applyFont="1" applyFill="1" applyBorder="1" applyAlignment="1">
      <alignment horizontal="center"/>
    </xf>
    <xf numFmtId="0" fontId="4" fillId="0" borderId="6" xfId="2" applyNumberFormat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41" fontId="4" fillId="0" borderId="6" xfId="2" applyNumberFormat="1" applyFont="1" applyFill="1" applyBorder="1" applyAlignment="1">
      <alignment horizontal="center"/>
    </xf>
    <xf numFmtId="2" fontId="4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left"/>
    </xf>
    <xf numFmtId="2" fontId="4" fillId="0" borderId="0" xfId="4" applyNumberFormat="1" applyFont="1" applyFill="1" applyAlignment="1" applyProtection="1">
      <alignment horizontal="center"/>
    </xf>
    <xf numFmtId="37" fontId="2" fillId="0" borderId="0" xfId="2" applyNumberFormat="1" applyFont="1" applyAlignment="1">
      <alignment horizontal="center"/>
    </xf>
    <xf numFmtId="5" fontId="2" fillId="0" borderId="0" xfId="2" applyNumberFormat="1" applyFont="1"/>
    <xf numFmtId="5" fontId="6" fillId="0" borderId="0" xfId="3" applyNumberFormat="1" applyFont="1" applyFill="1" applyBorder="1"/>
    <xf numFmtId="37" fontId="2" fillId="0" borderId="0" xfId="2" applyNumberFormat="1" applyFont="1"/>
    <xf numFmtId="41" fontId="6" fillId="0" borderId="0" xfId="2" applyNumberFormat="1" applyFont="1" applyFill="1"/>
    <xf numFmtId="41" fontId="6" fillId="0" borderId="8" xfId="2" applyNumberFormat="1" applyFont="1" applyFill="1" applyBorder="1"/>
    <xf numFmtId="37" fontId="2" fillId="0" borderId="0" xfId="2" applyNumberFormat="1" applyFont="1" applyFill="1"/>
    <xf numFmtId="37" fontId="2" fillId="0" borderId="0" xfId="2" applyNumberFormat="1" applyFont="1" applyFill="1" applyAlignment="1">
      <alignment horizontal="center"/>
    </xf>
    <xf numFmtId="41" fontId="2" fillId="0" borderId="8" xfId="2" applyNumberFormat="1" applyFont="1" applyFill="1" applyBorder="1"/>
    <xf numFmtId="1" fontId="2" fillId="0" borderId="0" xfId="5" applyNumberFormat="1" applyFont="1" applyAlignment="1">
      <alignment horizontal="center"/>
    </xf>
    <xf numFmtId="9" fontId="2" fillId="0" borderId="0" xfId="1" applyFont="1"/>
    <xf numFmtId="41" fontId="2" fillId="0" borderId="0" xfId="2" applyNumberFormat="1" applyFont="1"/>
    <xf numFmtId="3" fontId="2" fillId="0" borderId="0" xfId="5" applyNumberFormat="1" applyFont="1" applyAlignment="1">
      <alignment horizontal="center"/>
    </xf>
    <xf numFmtId="5" fontId="2" fillId="0" borderId="9" xfId="2" applyNumberFormat="1" applyFont="1" applyFill="1" applyBorder="1"/>
    <xf numFmtId="3" fontId="2" fillId="0" borderId="0" xfId="5" applyNumberFormat="1" applyFont="1" applyFill="1" applyAlignment="1">
      <alignment horizontal="center"/>
    </xf>
    <xf numFmtId="5" fontId="6" fillId="0" borderId="0" xfId="2" applyNumberFormat="1" applyFont="1" applyFill="1"/>
    <xf numFmtId="41" fontId="6" fillId="0" borderId="0" xfId="2" applyNumberFormat="1" applyFont="1"/>
    <xf numFmtId="41" fontId="2" fillId="0" borderId="3" xfId="2" applyNumberFormat="1" applyFont="1" applyFill="1" applyBorder="1"/>
    <xf numFmtId="41" fontId="2" fillId="0" borderId="0" xfId="2" applyNumberFormat="1" applyFont="1" applyFill="1" applyBorder="1"/>
    <xf numFmtId="41" fontId="2" fillId="0" borderId="0" xfId="1" applyNumberFormat="1" applyFont="1" applyFill="1"/>
    <xf numFmtId="3" fontId="2" fillId="0" borderId="0" xfId="0" applyNumberFormat="1" applyFont="1"/>
    <xf numFmtId="3" fontId="8" fillId="0" borderId="0" xfId="6" applyNumberFormat="1" applyFont="1"/>
    <xf numFmtId="3" fontId="8" fillId="0" borderId="0" xfId="6" applyNumberFormat="1" applyFont="1" applyFill="1"/>
    <xf numFmtId="3" fontId="9" fillId="0" borderId="0" xfId="6" applyNumberFormat="1" applyFont="1" applyFill="1" applyAlignment="1">
      <alignment horizontal="center"/>
    </xf>
    <xf numFmtId="0" fontId="4" fillId="0" borderId="2" xfId="2" applyNumberFormat="1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3" fontId="9" fillId="0" borderId="1" xfId="6" applyNumberFormat="1" applyFont="1" applyFill="1" applyBorder="1" applyAlignment="1">
      <alignment horizontal="center"/>
    </xf>
    <xf numFmtId="0" fontId="4" fillId="0" borderId="5" xfId="2" applyNumberFormat="1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3" fontId="9" fillId="0" borderId="4" xfId="2" applyNumberFormat="1" applyFont="1" applyFill="1" applyBorder="1" applyAlignment="1">
      <alignment horizontal="center"/>
    </xf>
    <xf numFmtId="3" fontId="9" fillId="0" borderId="4" xfId="6" applyNumberFormat="1" applyFont="1" applyFill="1" applyBorder="1" applyAlignment="1">
      <alignment horizontal="center"/>
    </xf>
    <xf numFmtId="0" fontId="4" fillId="0" borderId="7" xfId="2" applyNumberFormat="1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3" fontId="9" fillId="0" borderId="6" xfId="2" applyNumberFormat="1" applyFont="1" applyFill="1" applyBorder="1" applyAlignment="1">
      <alignment horizontal="center"/>
    </xf>
    <xf numFmtId="3" fontId="9" fillId="0" borderId="6" xfId="6" applyNumberFormat="1" applyFont="1" applyFill="1" applyBorder="1" applyAlignment="1">
      <alignment horizontal="center"/>
    </xf>
    <xf numFmtId="0" fontId="10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4" fontId="9" fillId="0" borderId="0" xfId="6" applyNumberFormat="1" applyFont="1" applyFill="1" applyBorder="1" applyAlignment="1">
      <alignment horizontal="center"/>
    </xf>
    <xf numFmtId="0" fontId="2" fillId="0" borderId="0" xfId="6" applyNumberFormat="1" applyFont="1" applyAlignment="1">
      <alignment horizontal="center"/>
    </xf>
    <xf numFmtId="0" fontId="2" fillId="0" borderId="0" xfId="6" applyFont="1"/>
    <xf numFmtId="5" fontId="2" fillId="0" borderId="0" xfId="6" applyNumberFormat="1" applyFont="1"/>
    <xf numFmtId="42" fontId="11" fillId="0" borderId="0" xfId="3" applyNumberFormat="1" applyFont="1" applyFill="1"/>
    <xf numFmtId="37" fontId="2" fillId="0" borderId="0" xfId="6" applyNumberFormat="1" applyFont="1"/>
    <xf numFmtId="41" fontId="11" fillId="0" borderId="0" xfId="3" applyNumberFormat="1" applyFont="1" applyFill="1"/>
    <xf numFmtId="41" fontId="11" fillId="0" borderId="8" xfId="3" applyNumberFormat="1" applyFont="1" applyFill="1" applyBorder="1"/>
    <xf numFmtId="41" fontId="8" fillId="0" borderId="0" xfId="6" applyNumberFormat="1" applyFont="1"/>
    <xf numFmtId="41" fontId="8" fillId="0" borderId="0" xfId="3" applyNumberFormat="1" applyFont="1" applyFill="1"/>
    <xf numFmtId="41" fontId="8" fillId="0" borderId="0" xfId="6" applyNumberFormat="1" applyFont="1" applyFill="1"/>
    <xf numFmtId="0" fontId="2" fillId="0" borderId="0" xfId="6" applyNumberFormat="1" applyFont="1" applyFill="1" applyAlignment="1">
      <alignment horizontal="center"/>
    </xf>
    <xf numFmtId="41" fontId="11" fillId="0" borderId="0" xfId="3" applyNumberFormat="1" applyFont="1" applyFill="1" applyBorder="1"/>
    <xf numFmtId="41" fontId="11" fillId="0" borderId="0" xfId="6" applyNumberFormat="1" applyFont="1" applyFill="1"/>
    <xf numFmtId="0" fontId="2" fillId="0" borderId="0" xfId="0" applyFont="1"/>
    <xf numFmtId="0" fontId="3" fillId="0" borderId="0" xfId="0" applyFont="1"/>
    <xf numFmtId="41" fontId="8" fillId="0" borderId="8" xfId="6" applyNumberFormat="1" applyFont="1" applyBorder="1"/>
    <xf numFmtId="41" fontId="8" fillId="0" borderId="8" xfId="6" applyNumberFormat="1" applyFont="1" applyFill="1" applyBorder="1"/>
    <xf numFmtId="37" fontId="8" fillId="0" borderId="0" xfId="6" applyNumberFormat="1" applyFont="1"/>
    <xf numFmtId="42" fontId="8" fillId="0" borderId="9" xfId="6" applyNumberFormat="1" applyFont="1" applyBorder="1"/>
    <xf numFmtId="42" fontId="8" fillId="0" borderId="9" xfId="6" applyNumberFormat="1" applyFont="1" applyFill="1" applyBorder="1"/>
    <xf numFmtId="41" fontId="8" fillId="0" borderId="13" xfId="6" applyNumberFormat="1" applyFont="1" applyBorder="1"/>
    <xf numFmtId="41" fontId="8" fillId="0" borderId="13" xfId="6" applyNumberFormat="1" applyFont="1" applyFill="1" applyBorder="1"/>
    <xf numFmtId="41" fontId="8" fillId="0" borderId="0" xfId="6" applyNumberFormat="1" applyFont="1" applyBorder="1"/>
    <xf numFmtId="0" fontId="2" fillId="0" borderId="0" xfId="6" applyNumberFormat="1" applyFont="1" applyBorder="1" applyAlignment="1">
      <alignment horizontal="center"/>
    </xf>
    <xf numFmtId="37" fontId="2" fillId="0" borderId="0" xfId="6" applyNumberFormat="1" applyFont="1" applyBorder="1"/>
    <xf numFmtId="37" fontId="8" fillId="0" borderId="0" xfId="6" applyNumberFormat="1" applyFont="1" applyBorder="1"/>
    <xf numFmtId="37" fontId="2" fillId="0" borderId="0" xfId="6" applyNumberFormat="1" applyFont="1" applyFill="1"/>
    <xf numFmtId="41" fontId="8" fillId="0" borderId="14" xfId="6" applyNumberFormat="1" applyFont="1" applyBorder="1"/>
    <xf numFmtId="3" fontId="8" fillId="0" borderId="0" xfId="2" applyNumberFormat="1" applyFont="1" applyFill="1"/>
    <xf numFmtId="0" fontId="12" fillId="0" borderId="0" xfId="7" applyFont="1"/>
    <xf numFmtId="0" fontId="3" fillId="0" borderId="0" xfId="7" applyFont="1"/>
    <xf numFmtId="0" fontId="13" fillId="0" borderId="0" xfId="7" applyFont="1"/>
    <xf numFmtId="0" fontId="3" fillId="0" borderId="0" xfId="7" applyFont="1" applyBorder="1" applyAlignment="1">
      <alignment horizontal="center"/>
    </xf>
    <xf numFmtId="0" fontId="14" fillId="0" borderId="0" xfId="7" applyFont="1"/>
    <xf numFmtId="0" fontId="3" fillId="0" borderId="8" xfId="7" applyFont="1" applyBorder="1"/>
    <xf numFmtId="0" fontId="3" fillId="0" borderId="8" xfId="7" applyFont="1" applyBorder="1" applyAlignment="1">
      <alignment horizontal="center"/>
    </xf>
    <xf numFmtId="0" fontId="13" fillId="0" borderId="0" xfId="7" applyFont="1" applyFill="1"/>
    <xf numFmtId="10" fontId="13" fillId="0" borderId="0" xfId="7" applyNumberFormat="1" applyFont="1" applyFill="1"/>
    <xf numFmtId="0" fontId="3" fillId="0" borderId="0" xfId="7" applyFont="1" applyFill="1"/>
    <xf numFmtId="0" fontId="13" fillId="0" borderId="0" xfId="7" applyFont="1" applyFill="1" applyAlignment="1">
      <alignment horizontal="center"/>
    </xf>
    <xf numFmtId="0" fontId="3" fillId="0" borderId="8" xfId="7" applyFont="1" applyFill="1" applyBorder="1"/>
    <xf numFmtId="164" fontId="3" fillId="0" borderId="9" xfId="7" applyNumberFormat="1" applyFont="1" applyBorder="1"/>
    <xf numFmtId="0" fontId="15" fillId="0" borderId="0" xfId="7" applyFont="1"/>
    <xf numFmtId="10" fontId="13" fillId="0" borderId="9" xfId="7" applyNumberFormat="1" applyFont="1" applyFill="1" applyBorder="1"/>
    <xf numFmtId="164" fontId="12" fillId="0" borderId="0" xfId="7" applyNumberFormat="1" applyFont="1" applyFill="1" applyBorder="1"/>
    <xf numFmtId="10" fontId="13" fillId="2" borderId="0" xfId="7" applyNumberFormat="1" applyFont="1" applyFill="1"/>
    <xf numFmtId="0" fontId="3" fillId="0" borderId="0" xfId="7" applyFont="1" applyFill="1" applyBorder="1"/>
    <xf numFmtId="164" fontId="12" fillId="0" borderId="9" xfId="7" applyNumberFormat="1" applyFont="1" applyBorder="1"/>
    <xf numFmtId="164" fontId="3" fillId="0" borderId="0" xfId="7" applyNumberFormat="1" applyFont="1" applyBorder="1"/>
    <xf numFmtId="0" fontId="16" fillId="0" borderId="0" xfId="7" applyFont="1"/>
    <xf numFmtId="0" fontId="16" fillId="0" borderId="0" xfId="7" applyFont="1" applyFill="1"/>
    <xf numFmtId="164" fontId="17" fillId="0" borderId="0" xfId="7" applyNumberFormat="1" applyFont="1" applyBorder="1"/>
    <xf numFmtId="0" fontId="17" fillId="0" borderId="0" xfId="7" applyFont="1"/>
    <xf numFmtId="0" fontId="16" fillId="0" borderId="0" xfId="7" applyFont="1" applyFill="1" applyAlignment="1">
      <alignment horizontal="center"/>
    </xf>
    <xf numFmtId="0" fontId="16" fillId="0" borderId="0" xfId="7" applyFont="1" applyFill="1" applyBorder="1"/>
    <xf numFmtId="164" fontId="16" fillId="0" borderId="0" xfId="7" applyNumberFormat="1" applyFont="1" applyBorder="1"/>
    <xf numFmtId="0" fontId="3" fillId="0" borderId="0" xfId="7" applyFont="1" applyBorder="1"/>
    <xf numFmtId="164" fontId="12" fillId="0" borderId="0" xfId="7" applyNumberFormat="1" applyFont="1" applyBorder="1"/>
    <xf numFmtId="10" fontId="18" fillId="0" borderId="0" xfId="7" applyNumberFormat="1" applyFont="1" applyFill="1"/>
    <xf numFmtId="164" fontId="3" fillId="2" borderId="9" xfId="7" applyNumberFormat="1" applyFont="1" applyFill="1" applyBorder="1"/>
    <xf numFmtId="164" fontId="12" fillId="2" borderId="9" xfId="7" applyNumberFormat="1" applyFont="1" applyFill="1" applyBorder="1"/>
    <xf numFmtId="0" fontId="19" fillId="0" borderId="0" xfId="7" applyFont="1"/>
    <xf numFmtId="0" fontId="1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23" fillId="0" borderId="0" xfId="0" applyFont="1" applyFill="1"/>
    <xf numFmtId="0" fontId="3" fillId="0" borderId="0" xfId="0" applyFont="1" applyFill="1" applyBorder="1"/>
    <xf numFmtId="0" fontId="0" fillId="0" borderId="0" xfId="0" applyFill="1"/>
    <xf numFmtId="0" fontId="13" fillId="0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3" fontId="24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5" fillId="0" borderId="0" xfId="0" applyFont="1"/>
    <xf numFmtId="0" fontId="12" fillId="0" borderId="8" xfId="0" applyFont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/>
    <xf numFmtId="37" fontId="3" fillId="0" borderId="0" xfId="0" applyNumberFormat="1" applyFont="1"/>
    <xf numFmtId="37" fontId="3" fillId="0" borderId="0" xfId="0" applyNumberFormat="1" applyFont="1" applyBorder="1"/>
    <xf numFmtId="37" fontId="3" fillId="0" borderId="15" xfId="0" applyNumberFormat="1" applyFont="1" applyBorder="1"/>
    <xf numFmtId="37" fontId="3" fillId="0" borderId="3" xfId="0" applyNumberFormat="1" applyFont="1" applyBorder="1"/>
    <xf numFmtId="0" fontId="3" fillId="0" borderId="0" xfId="0" applyFont="1" applyBorder="1"/>
    <xf numFmtId="37" fontId="3" fillId="0" borderId="8" xfId="0" applyNumberFormat="1" applyFont="1" applyBorder="1"/>
    <xf numFmtId="0" fontId="3" fillId="0" borderId="3" xfId="0" applyFont="1" applyBorder="1"/>
    <xf numFmtId="0" fontId="12" fillId="0" borderId="3" xfId="0" applyFont="1" applyBorder="1"/>
    <xf numFmtId="37" fontId="12" fillId="0" borderId="0" xfId="0" applyNumberFormat="1" applyFont="1"/>
    <xf numFmtId="37" fontId="12" fillId="0" borderId="9" xfId="0" applyNumberFormat="1" applyFont="1" applyFill="1" applyBorder="1"/>
    <xf numFmtId="0" fontId="3" fillId="0" borderId="16" xfId="0" applyFont="1" applyBorder="1"/>
    <xf numFmtId="37" fontId="12" fillId="0" borderId="0" xfId="0" applyNumberFormat="1" applyFont="1" applyFill="1"/>
    <xf numFmtId="37" fontId="12" fillId="0" borderId="8" xfId="0" applyNumberFormat="1" applyFont="1" applyFill="1" applyBorder="1"/>
    <xf numFmtId="0" fontId="3" fillId="0" borderId="0" xfId="13" applyFont="1"/>
    <xf numFmtId="37" fontId="12" fillId="0" borderId="0" xfId="0" applyNumberFormat="1" applyFont="1" applyFill="1" applyBorder="1"/>
    <xf numFmtId="0" fontId="3" fillId="0" borderId="0" xfId="13" applyFont="1" applyAlignment="1">
      <alignment horizontal="left"/>
    </xf>
    <xf numFmtId="37" fontId="3" fillId="0" borderId="14" xfId="0" applyNumberFormat="1" applyFont="1" applyBorder="1"/>
    <xf numFmtId="37" fontId="3" fillId="0" borderId="0" xfId="0" applyNumberFormat="1" applyFont="1" applyFill="1"/>
    <xf numFmtId="37" fontId="3" fillId="0" borderId="9" xfId="0" applyNumberFormat="1" applyFont="1" applyBorder="1"/>
    <xf numFmtId="0" fontId="23" fillId="0" borderId="0" xfId="0" applyFont="1"/>
    <xf numFmtId="165" fontId="3" fillId="0" borderId="0" xfId="12" applyNumberFormat="1" applyFont="1"/>
    <xf numFmtId="164" fontId="3" fillId="0" borderId="0" xfId="7" applyNumberFormat="1" applyFont="1"/>
  </cellXfs>
  <cellStyles count="14">
    <cellStyle name="Comma" xfId="12" builtinId="3"/>
    <cellStyle name="Currency 2" xfId="8"/>
    <cellStyle name="Followed Hyperlink" xfId="4" builtinId="9"/>
    <cellStyle name="Normal" xfId="0" builtinId="0"/>
    <cellStyle name="Normal 2" xfId="9"/>
    <cellStyle name="Normal 3" xfId="10"/>
    <cellStyle name="Normal_1296GasLabor$" xfId="13"/>
    <cellStyle name="Normal_DFIT-WaEle_SUM" xfId="5"/>
    <cellStyle name="Normal_IDGas6_97" xfId="3"/>
    <cellStyle name="Normal_LaborAdj%" xfId="7"/>
    <cellStyle name="Normal_WAElec6_97" xfId="2"/>
    <cellStyle name="Normal_WAGas6_97" xfId="6"/>
    <cellStyle name="Percent" xfId="1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vista/UE-120436%20GRC/Company's%20workpaper/N.%20UE__Andrews%20Electric%20WPs%20(AVA-Apr2012)/3.02%20PF%20-%20Labor%20Non-Exec/Downloads/Total%20Labor%20for%20Pension-Medi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vista/UE-120436%20GRC/Joanna%20Huang/Labor/WA%20PF%20-%202012%20Labor%20&amp;%20Benefit%20J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vista/UE-120436%20GRC/Company's%20workpaper/N.%20UE__Andrews%20Electric%20WPs%20(AVA-Apr2012)/2012%20WA%20Electric%20RR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vista/UE-120436%20GRC/Company's%20workpaper/N.%20UE__Andrews%20Nat.%20Gas%20WPs%20(AVA-Apr2012)/2012%20WA%20Gas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-Ele"/>
      <sheetName val="Cover-Gas"/>
      <sheetName val="Summary"/>
      <sheetName val="PLN-E "/>
      <sheetName val="G-WA-ADJ"/>
      <sheetName val="E-PLN-6"/>
      <sheetName val="PLE-1"/>
      <sheetName val="PLE-4"/>
      <sheetName val="Comparison"/>
      <sheetName val="Non-Reg"/>
      <sheetName val="PLE-2"/>
      <sheetName val="PLE-3"/>
      <sheetName val="E-PLN-5"/>
      <sheetName val="E-PLN-1"/>
      <sheetName val="E-ID-ADJ"/>
      <sheetName val="G-ID-ADJ"/>
      <sheetName val="G-OR-ADJ"/>
      <sheetName val="G-PLN-1"/>
      <sheetName val="G-PLN-2"/>
      <sheetName val="PEB-1"/>
      <sheetName val="PEB-2"/>
      <sheetName val="PEB-3"/>
      <sheetName val="G-PLN-3"/>
      <sheetName val="G-PLN-4"/>
      <sheetName val="Sheet1"/>
    </sheetNames>
    <sheetDataSet>
      <sheetData sheetId="0" refreshError="1"/>
      <sheetData sheetId="1" refreshError="1"/>
      <sheetData sheetId="2" refreshError="1">
        <row r="1">
          <cell r="A1" t="str">
            <v>AVISTA UTILITIES</v>
          </cell>
        </row>
        <row r="11">
          <cell r="E11">
            <v>526969</v>
          </cell>
        </row>
        <row r="13">
          <cell r="E13">
            <v>392294</v>
          </cell>
        </row>
        <row r="15">
          <cell r="E15">
            <v>173184</v>
          </cell>
        </row>
        <row r="16">
          <cell r="E16">
            <v>14264</v>
          </cell>
        </row>
        <row r="19">
          <cell r="E19">
            <v>391799</v>
          </cell>
          <cell r="F19">
            <v>-632118</v>
          </cell>
        </row>
        <row r="55">
          <cell r="E55">
            <v>18204</v>
          </cell>
          <cell r="F55">
            <v>-13881</v>
          </cell>
        </row>
        <row r="59">
          <cell r="E59">
            <v>184504</v>
          </cell>
        </row>
        <row r="61">
          <cell r="E61">
            <v>105472</v>
          </cell>
        </row>
        <row r="62">
          <cell r="E62">
            <v>8940</v>
          </cell>
        </row>
        <row r="65">
          <cell r="E65">
            <v>99892</v>
          </cell>
          <cell r="F65">
            <v>-180987</v>
          </cell>
        </row>
      </sheetData>
      <sheetData sheetId="3" refreshError="1">
        <row r="51">
          <cell r="N51">
            <v>418249</v>
          </cell>
          <cell r="R51">
            <v>-47524</v>
          </cell>
          <cell r="S51">
            <v>428377</v>
          </cell>
          <cell r="T51">
            <v>447775</v>
          </cell>
        </row>
        <row r="67">
          <cell r="N67">
            <v>108720</v>
          </cell>
          <cell r="R67">
            <v>0</v>
          </cell>
          <cell r="S67">
            <v>114428</v>
          </cell>
          <cell r="T67">
            <v>119609</v>
          </cell>
        </row>
        <row r="89">
          <cell r="N89">
            <v>392294</v>
          </cell>
          <cell r="R89">
            <v>0</v>
          </cell>
          <cell r="S89">
            <v>383550</v>
          </cell>
          <cell r="T89">
            <v>400917</v>
          </cell>
        </row>
        <row r="96">
          <cell r="N96">
            <v>173184</v>
          </cell>
          <cell r="R96">
            <v>0</v>
          </cell>
          <cell r="S96">
            <v>182443</v>
          </cell>
          <cell r="T96">
            <v>190703</v>
          </cell>
        </row>
        <row r="103">
          <cell r="N103">
            <v>14264</v>
          </cell>
          <cell r="R103">
            <v>0</v>
          </cell>
          <cell r="S103">
            <v>15728</v>
          </cell>
          <cell r="T103">
            <v>16439</v>
          </cell>
        </row>
        <row r="110">
          <cell r="N110">
            <v>24</v>
          </cell>
          <cell r="R110">
            <v>0</v>
          </cell>
          <cell r="S110">
            <v>26</v>
          </cell>
          <cell r="T110">
            <v>27</v>
          </cell>
        </row>
        <row r="125">
          <cell r="N125">
            <v>391799</v>
          </cell>
          <cell r="R125">
            <v>-632118</v>
          </cell>
          <cell r="S125">
            <v>488348</v>
          </cell>
          <cell r="T125">
            <v>510460</v>
          </cell>
        </row>
      </sheetData>
      <sheetData sheetId="4" refreshError="1">
        <row r="12">
          <cell r="N12">
            <v>18204</v>
          </cell>
          <cell r="R12">
            <v>-13881</v>
          </cell>
          <cell r="S12">
            <v>21558</v>
          </cell>
          <cell r="T12">
            <v>22534</v>
          </cell>
        </row>
        <row r="17">
          <cell r="N17">
            <v>185</v>
          </cell>
          <cell r="R17">
            <v>0</v>
          </cell>
          <cell r="S17">
            <v>204</v>
          </cell>
          <cell r="T17">
            <v>213</v>
          </cell>
        </row>
        <row r="39">
          <cell r="N39">
            <v>184504</v>
          </cell>
          <cell r="S39">
            <v>180026</v>
          </cell>
          <cell r="T39">
            <v>188175</v>
          </cell>
        </row>
        <row r="46">
          <cell r="N46">
            <v>105472</v>
          </cell>
          <cell r="R46">
            <v>0</v>
          </cell>
          <cell r="S46">
            <v>111157</v>
          </cell>
          <cell r="T46">
            <v>116190</v>
          </cell>
        </row>
        <row r="52">
          <cell r="N52">
            <v>8940</v>
          </cell>
          <cell r="R52">
            <v>0</v>
          </cell>
          <cell r="S52">
            <v>9856</v>
          </cell>
          <cell r="T52">
            <v>10303</v>
          </cell>
        </row>
        <row r="59">
          <cell r="N59">
            <v>15</v>
          </cell>
          <cell r="R59">
            <v>0</v>
          </cell>
          <cell r="S59">
            <v>18</v>
          </cell>
          <cell r="T59">
            <v>18</v>
          </cell>
        </row>
        <row r="71">
          <cell r="N71">
            <v>99892</v>
          </cell>
          <cell r="R71">
            <v>-180987</v>
          </cell>
          <cell r="S71">
            <v>125962</v>
          </cell>
          <cell r="T71">
            <v>131663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1">
          <cell r="N51">
            <v>234189</v>
          </cell>
          <cell r="R51">
            <v>-25529</v>
          </cell>
          <cell r="S51">
            <v>228245</v>
          </cell>
          <cell r="T51">
            <v>62256</v>
          </cell>
        </row>
        <row r="67">
          <cell r="N67">
            <v>62588</v>
          </cell>
          <cell r="R67">
            <v>0</v>
          </cell>
          <cell r="S67">
            <v>61082</v>
          </cell>
          <cell r="T67">
            <v>0</v>
          </cell>
        </row>
        <row r="89">
          <cell r="N89">
            <v>186616</v>
          </cell>
          <cell r="R89">
            <v>0</v>
          </cell>
          <cell r="S89">
            <v>177783</v>
          </cell>
          <cell r="T89">
            <v>0</v>
          </cell>
        </row>
        <row r="96">
          <cell r="N96">
            <v>75732</v>
          </cell>
          <cell r="R96">
            <v>0</v>
          </cell>
          <cell r="S96">
            <v>74535</v>
          </cell>
          <cell r="T96">
            <v>0</v>
          </cell>
        </row>
        <row r="103">
          <cell r="N103">
            <v>9643</v>
          </cell>
          <cell r="R103">
            <v>0</v>
          </cell>
          <cell r="S103">
            <v>9551</v>
          </cell>
          <cell r="T103">
            <v>0</v>
          </cell>
        </row>
        <row r="110">
          <cell r="N110">
            <v>78</v>
          </cell>
          <cell r="S110">
            <v>77</v>
          </cell>
          <cell r="T110">
            <v>0</v>
          </cell>
        </row>
        <row r="125">
          <cell r="N125">
            <v>211738</v>
          </cell>
          <cell r="R125">
            <v>-331735</v>
          </cell>
          <cell r="S125">
            <v>240260</v>
          </cell>
          <cell r="T125">
            <v>765111</v>
          </cell>
        </row>
      </sheetData>
      <sheetData sheetId="15" refreshError="1">
        <row r="12">
          <cell r="N12">
            <v>9833</v>
          </cell>
          <cell r="R12">
            <v>-7231</v>
          </cell>
          <cell r="S12">
            <v>10485</v>
          </cell>
          <cell r="T12">
            <v>19403</v>
          </cell>
        </row>
        <row r="17">
          <cell r="N17">
            <v>90</v>
          </cell>
          <cell r="R17">
            <v>0</v>
          </cell>
          <cell r="S17">
            <v>89</v>
          </cell>
          <cell r="T17">
            <v>0</v>
          </cell>
        </row>
        <row r="39">
          <cell r="N39">
            <v>101580</v>
          </cell>
          <cell r="R39">
            <v>0</v>
          </cell>
          <cell r="S39">
            <v>96591</v>
          </cell>
          <cell r="T39">
            <v>0</v>
          </cell>
        </row>
        <row r="46">
          <cell r="N46">
            <v>43468</v>
          </cell>
          <cell r="R46">
            <v>0</v>
          </cell>
          <cell r="S46">
            <v>42805</v>
          </cell>
          <cell r="T46">
            <v>0</v>
          </cell>
        </row>
        <row r="52">
          <cell r="N52">
            <v>5912</v>
          </cell>
          <cell r="R52">
            <v>0</v>
          </cell>
          <cell r="S52">
            <v>5858</v>
          </cell>
          <cell r="T52">
            <v>0</v>
          </cell>
        </row>
        <row r="59">
          <cell r="N59">
            <v>47</v>
          </cell>
          <cell r="R59">
            <v>0</v>
          </cell>
          <cell r="S59">
            <v>47</v>
          </cell>
          <cell r="T59">
            <v>0</v>
          </cell>
        </row>
        <row r="71">
          <cell r="N71">
            <v>53325</v>
          </cell>
          <cell r="R71">
            <v>-78700</v>
          </cell>
          <cell r="S71">
            <v>60549</v>
          </cell>
          <cell r="T71">
            <v>206817</v>
          </cell>
        </row>
      </sheetData>
      <sheetData sheetId="16" refreshError="1">
        <row r="12">
          <cell r="N12">
            <v>16257</v>
          </cell>
          <cell r="Q12">
            <v>-9534</v>
          </cell>
          <cell r="R12">
            <v>13353</v>
          </cell>
          <cell r="S12">
            <v>10927</v>
          </cell>
        </row>
        <row r="17">
          <cell r="N17">
            <v>0</v>
          </cell>
          <cell r="Q17">
            <v>0</v>
          </cell>
          <cell r="R17">
            <v>0</v>
          </cell>
          <cell r="S17">
            <v>0</v>
          </cell>
        </row>
        <row r="41">
          <cell r="N41">
            <v>188926</v>
          </cell>
          <cell r="Q41">
            <v>0</v>
          </cell>
          <cell r="R41">
            <v>121059</v>
          </cell>
          <cell r="S41">
            <v>157907</v>
          </cell>
        </row>
        <row r="48">
          <cell r="N48">
            <v>77221</v>
          </cell>
          <cell r="Q48">
            <v>0</v>
          </cell>
          <cell r="R48">
            <v>57770</v>
          </cell>
          <cell r="S48">
            <v>53366</v>
          </cell>
        </row>
        <row r="55">
          <cell r="N55">
            <v>8132</v>
          </cell>
          <cell r="Q55">
            <v>0</v>
          </cell>
          <cell r="R55">
            <v>6199</v>
          </cell>
          <cell r="S55">
            <v>5459</v>
          </cell>
        </row>
        <row r="62">
          <cell r="N62">
            <v>0</v>
          </cell>
          <cell r="Q62">
            <v>0</v>
          </cell>
          <cell r="R62">
            <v>0</v>
          </cell>
          <cell r="S62">
            <v>0</v>
          </cell>
        </row>
        <row r="76">
          <cell r="N76">
            <v>82628</v>
          </cell>
          <cell r="Q76">
            <v>-115443</v>
          </cell>
          <cell r="R76">
            <v>73261</v>
          </cell>
          <cell r="S76">
            <v>56283</v>
          </cell>
        </row>
      </sheetData>
      <sheetData sheetId="17" refreshError="1"/>
      <sheetData sheetId="18" refreshError="1"/>
      <sheetData sheetId="19" refreshError="1">
        <row r="33">
          <cell r="G33">
            <v>3341271</v>
          </cell>
          <cell r="H33">
            <v>3492557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DETAIL-INPUT"/>
      <sheetName val="LEAD SHEETS-DO NOT ENTER"/>
      <sheetName val="ADJ SUMMARY"/>
      <sheetName val="ROO INPUT"/>
      <sheetName val="DEBT CALC"/>
      <sheetName val="RETAIL REVENUE CREDIT"/>
      <sheetName val="COMPARISON -SETTLEMENT"/>
    </sheetNames>
    <sheetDataSet>
      <sheetData sheetId="0"/>
      <sheetData sheetId="1">
        <row r="11">
          <cell r="N11">
            <v>2.9700000000000001E-2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0SED RATES"/>
      <sheetName val="RR SUMMARY"/>
      <sheetName val="CF"/>
      <sheetName val="ADJ DETAIL INPUT"/>
      <sheetName val="LEAD SHEETS-DO NOT ENTER"/>
      <sheetName val="ADJ SUMMARY"/>
      <sheetName val="DEBT CALC"/>
      <sheetName val="ROO INPUT"/>
      <sheetName val="Recap Summary-for sttlmt disc"/>
    </sheetNames>
    <sheetDataSet>
      <sheetData sheetId="0"/>
      <sheetData sheetId="1">
        <row r="14">
          <cell r="M14">
            <v>2.9700000000000001E-2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AVISTA UTILITIES</v>
          </cell>
          <cell r="B3">
            <v>0</v>
          </cell>
          <cell r="C3">
            <v>0</v>
          </cell>
        </row>
        <row r="4">
          <cell r="A4" t="str">
            <v xml:space="preserve">WASHINGTON NATURAL GAS RESULTS </v>
          </cell>
          <cell r="B4">
            <v>0</v>
          </cell>
          <cell r="C4">
            <v>0</v>
          </cell>
        </row>
        <row r="5">
          <cell r="A5" t="str">
            <v>TWELVE MONTHS ENDED DECEMBER 31, 2011</v>
          </cell>
          <cell r="B5">
            <v>0</v>
          </cell>
          <cell r="C5">
            <v>0</v>
          </cell>
        </row>
        <row r="6">
          <cell r="A6" t="str">
            <v xml:space="preserve">(000'S OF DOLLARS)   </v>
          </cell>
          <cell r="B6">
            <v>0</v>
          </cell>
          <cell r="C6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1"/>
  <sheetViews>
    <sheetView tabSelected="1" topLeftCell="A25" zoomScale="115" zoomScaleNormal="115" workbookViewId="0">
      <selection activeCell="E46" sqref="E46"/>
    </sheetView>
  </sheetViews>
  <sheetFormatPr defaultRowHeight="12.75"/>
  <cols>
    <col min="1" max="1" width="4.6640625" style="3" customWidth="1"/>
    <col min="2" max="3" width="1.6640625" style="2" customWidth="1"/>
    <col min="4" max="4" width="33.6640625" style="2" customWidth="1"/>
    <col min="5" max="5" width="11.5" style="4" customWidth="1"/>
    <col min="6" max="7" width="11.5" style="4" hidden="1" customWidth="1"/>
  </cols>
  <sheetData>
    <row r="2" spans="1:7">
      <c r="A2" s="1" t="s">
        <v>0</v>
      </c>
      <c r="D2" s="3"/>
    </row>
    <row r="3" spans="1:7">
      <c r="A3" s="1" t="s">
        <v>1</v>
      </c>
      <c r="D3" s="3"/>
    </row>
    <row r="4" spans="1:7">
      <c r="A4" s="1" t="s">
        <v>2</v>
      </c>
      <c r="D4" s="3"/>
    </row>
    <row r="5" spans="1:7">
      <c r="A5" s="1" t="s">
        <v>3</v>
      </c>
      <c r="D5" s="3"/>
    </row>
    <row r="6" spans="1:7">
      <c r="A6" s="5"/>
      <c r="B6" s="6"/>
      <c r="C6" s="6"/>
      <c r="D6" s="5"/>
      <c r="E6" s="7"/>
      <c r="F6" s="7"/>
      <c r="G6" s="7"/>
    </row>
    <row r="7" spans="1:7">
      <c r="A7" s="8"/>
      <c r="B7" s="9"/>
      <c r="C7" s="10"/>
      <c r="D7" s="10"/>
      <c r="E7" s="11" t="s">
        <v>4</v>
      </c>
      <c r="F7" s="11" t="s">
        <v>4</v>
      </c>
      <c r="G7" s="11" t="s">
        <v>4</v>
      </c>
    </row>
    <row r="8" spans="1:7">
      <c r="A8" s="12" t="s">
        <v>5</v>
      </c>
      <c r="B8" s="13"/>
      <c r="C8" s="14"/>
      <c r="D8" s="14"/>
      <c r="E8" s="15" t="s">
        <v>6</v>
      </c>
      <c r="F8" s="15" t="s">
        <v>6</v>
      </c>
      <c r="G8" s="15" t="s">
        <v>7</v>
      </c>
    </row>
    <row r="9" spans="1:7">
      <c r="A9" s="16" t="s">
        <v>8</v>
      </c>
      <c r="B9" s="17"/>
      <c r="C9" s="18"/>
      <c r="D9" s="18" t="s">
        <v>9</v>
      </c>
      <c r="E9" s="19" t="s">
        <v>10</v>
      </c>
      <c r="F9" s="19" t="s">
        <v>11</v>
      </c>
      <c r="G9" s="19" t="s">
        <v>12</v>
      </c>
    </row>
    <row r="10" spans="1:7">
      <c r="A10" s="20"/>
      <c r="B10" s="21" t="s">
        <v>13</v>
      </c>
      <c r="C10" s="20"/>
      <c r="D10" s="20"/>
      <c r="E10" s="22">
        <f>D10+0.01</f>
        <v>0.01</v>
      </c>
      <c r="F10" s="22">
        <f>E10+0.01</f>
        <v>0.02</v>
      </c>
      <c r="G10" s="22">
        <f>F10+0.01</f>
        <v>0.03</v>
      </c>
    </row>
    <row r="11" spans="1:7">
      <c r="A11" s="20"/>
      <c r="B11" s="21" t="s">
        <v>14</v>
      </c>
      <c r="C11" s="20"/>
      <c r="D11" s="20"/>
      <c r="E11" s="22" t="s">
        <v>15</v>
      </c>
      <c r="F11" s="22" t="s">
        <v>16</v>
      </c>
      <c r="G11" s="22" t="s">
        <v>17</v>
      </c>
    </row>
    <row r="12" spans="1:7">
      <c r="A12" s="20"/>
      <c r="B12" s="21"/>
      <c r="C12" s="20"/>
      <c r="D12" s="20"/>
      <c r="E12" s="22"/>
      <c r="F12" s="22"/>
      <c r="G12" s="22"/>
    </row>
    <row r="13" spans="1:7">
      <c r="B13" s="2" t="s">
        <v>18</v>
      </c>
    </row>
    <row r="14" spans="1:7">
      <c r="A14" s="23">
        <v>1</v>
      </c>
      <c r="B14" s="24" t="s">
        <v>19</v>
      </c>
      <c r="C14" s="24"/>
      <c r="D14" s="24"/>
      <c r="E14" s="25">
        <v>0</v>
      </c>
      <c r="F14" s="25">
        <v>0</v>
      </c>
      <c r="G14" s="25">
        <v>0</v>
      </c>
    </row>
    <row r="15" spans="1:7">
      <c r="A15" s="23">
        <v>2</v>
      </c>
      <c r="B15" s="26" t="s">
        <v>20</v>
      </c>
      <c r="C15" s="26"/>
      <c r="D15" s="26"/>
      <c r="E15" s="27">
        <v>0</v>
      </c>
      <c r="F15" s="27">
        <v>0</v>
      </c>
      <c r="G15" s="27">
        <v>0</v>
      </c>
    </row>
    <row r="16" spans="1:7">
      <c r="A16" s="23">
        <v>3</v>
      </c>
      <c r="B16" s="26" t="s">
        <v>21</v>
      </c>
      <c r="C16" s="26"/>
      <c r="D16" s="26"/>
      <c r="E16" s="28">
        <v>0</v>
      </c>
      <c r="F16" s="28">
        <v>0</v>
      </c>
      <c r="G16" s="28">
        <v>0</v>
      </c>
    </row>
    <row r="17" spans="1:7">
      <c r="A17" s="23">
        <v>4</v>
      </c>
      <c r="B17" s="26" t="s">
        <v>22</v>
      </c>
      <c r="C17" s="26"/>
      <c r="D17" s="26"/>
      <c r="E17" s="4">
        <f>SUM(E14:E16)</f>
        <v>0</v>
      </c>
      <c r="F17" s="4">
        <f>SUM(F14:F16)</f>
        <v>0</v>
      </c>
      <c r="G17" s="4">
        <f>SUM(G14:G16)</f>
        <v>0</v>
      </c>
    </row>
    <row r="18" spans="1:7">
      <c r="A18" s="23">
        <v>5</v>
      </c>
      <c r="B18" s="26" t="s">
        <v>23</v>
      </c>
      <c r="C18" s="26"/>
      <c r="D18" s="26"/>
      <c r="E18" s="28">
        <v>0</v>
      </c>
      <c r="F18" s="28">
        <v>0</v>
      </c>
      <c r="G18" s="28">
        <v>0</v>
      </c>
    </row>
    <row r="19" spans="1:7">
      <c r="A19" s="23">
        <v>6</v>
      </c>
      <c r="B19" s="26" t="s">
        <v>24</v>
      </c>
      <c r="C19" s="26"/>
      <c r="D19" s="26"/>
      <c r="E19" s="4">
        <f>SUM(E17:E18)</f>
        <v>0</v>
      </c>
      <c r="F19" s="4">
        <f>SUM(F17:F18)</f>
        <v>0</v>
      </c>
      <c r="G19" s="4">
        <f>SUM(G17:G18)</f>
        <v>0</v>
      </c>
    </row>
    <row r="20" spans="1:7">
      <c r="A20" s="23"/>
      <c r="B20" s="26"/>
      <c r="C20" s="26"/>
      <c r="D20" s="26"/>
    </row>
    <row r="21" spans="1:7">
      <c r="A21" s="23"/>
      <c r="B21" s="26" t="s">
        <v>25</v>
      </c>
      <c r="C21" s="26"/>
      <c r="D21" s="26"/>
    </row>
    <row r="22" spans="1:7">
      <c r="A22" s="23"/>
      <c r="B22" s="26" t="s">
        <v>26</v>
      </c>
      <c r="C22" s="26"/>
      <c r="D22" s="26"/>
    </row>
    <row r="23" spans="1:7">
      <c r="A23" s="23">
        <v>7</v>
      </c>
      <c r="B23" s="26"/>
      <c r="C23" s="26" t="s">
        <v>27</v>
      </c>
      <c r="D23" s="26"/>
      <c r="E23" s="27">
        <f>+[2]Summary!E11/1000</f>
        <v>526.96900000000005</v>
      </c>
      <c r="F23" s="27">
        <f>+ROUND([2]Summary!E55/1000,0)</f>
        <v>18</v>
      </c>
      <c r="G23" s="27">
        <v>1110</v>
      </c>
    </row>
    <row r="24" spans="1:7">
      <c r="A24" s="23">
        <v>8</v>
      </c>
      <c r="B24" s="26"/>
      <c r="C24" s="26" t="s">
        <v>28</v>
      </c>
      <c r="D24" s="26"/>
      <c r="E24" s="27">
        <v>0</v>
      </c>
      <c r="F24" s="27">
        <v>0</v>
      </c>
      <c r="G24" s="27">
        <v>0</v>
      </c>
    </row>
    <row r="25" spans="1:7">
      <c r="A25" s="23">
        <v>9</v>
      </c>
      <c r="B25" s="26"/>
      <c r="C25" s="26" t="s">
        <v>29</v>
      </c>
      <c r="D25" s="26"/>
      <c r="E25" s="27">
        <v>0</v>
      </c>
      <c r="F25" s="27">
        <v>0</v>
      </c>
      <c r="G25" s="27">
        <v>0</v>
      </c>
    </row>
    <row r="26" spans="1:7">
      <c r="A26" s="23">
        <v>10</v>
      </c>
      <c r="B26" s="26"/>
      <c r="C26" s="29" t="s">
        <v>30</v>
      </c>
      <c r="D26" s="29"/>
      <c r="E26" s="27"/>
      <c r="F26" s="27"/>
      <c r="G26" s="27"/>
    </row>
    <row r="27" spans="1:7">
      <c r="A27" s="23">
        <v>11</v>
      </c>
      <c r="B27" s="26"/>
      <c r="C27" s="26" t="s">
        <v>31</v>
      </c>
      <c r="D27" s="26"/>
      <c r="E27" s="28">
        <v>0</v>
      </c>
      <c r="F27" s="28">
        <v>0</v>
      </c>
      <c r="G27" s="28">
        <v>0</v>
      </c>
    </row>
    <row r="28" spans="1:7">
      <c r="A28" s="23">
        <v>12</v>
      </c>
      <c r="B28" s="26" t="s">
        <v>32</v>
      </c>
      <c r="C28" s="26"/>
      <c r="D28" s="26"/>
      <c r="E28" s="4">
        <f>SUM(E23:E27)</f>
        <v>526.96900000000005</v>
      </c>
      <c r="F28" s="4">
        <f>SUM(F23:F27)</f>
        <v>18</v>
      </c>
      <c r="G28" s="4">
        <f>SUM(G23:G27)</f>
        <v>1110</v>
      </c>
    </row>
    <row r="29" spans="1:7">
      <c r="A29" s="23"/>
      <c r="B29" s="26"/>
      <c r="C29" s="26"/>
      <c r="D29" s="26"/>
    </row>
    <row r="30" spans="1:7">
      <c r="A30" s="23"/>
      <c r="B30" s="26" t="s">
        <v>33</v>
      </c>
      <c r="C30" s="26"/>
      <c r="D30" s="26"/>
    </row>
    <row r="31" spans="1:7">
      <c r="A31" s="23">
        <v>13</v>
      </c>
      <c r="B31" s="26"/>
      <c r="C31" s="26" t="s">
        <v>27</v>
      </c>
      <c r="D31" s="26"/>
      <c r="E31" s="27">
        <f>+[2]Summary!E13/1000</f>
        <v>392.29399999999998</v>
      </c>
      <c r="F31" s="27">
        <v>0</v>
      </c>
      <c r="G31" s="27">
        <v>785</v>
      </c>
    </row>
    <row r="32" spans="1:7">
      <c r="A32" s="23">
        <v>14</v>
      </c>
      <c r="B32" s="26"/>
      <c r="C32" s="26" t="s">
        <v>34</v>
      </c>
      <c r="D32" s="26"/>
      <c r="E32" s="27">
        <v>0</v>
      </c>
      <c r="F32" s="27">
        <v>0</v>
      </c>
      <c r="G32" s="27">
        <v>0</v>
      </c>
    </row>
    <row r="33" spans="1:7">
      <c r="A33" s="23">
        <v>15</v>
      </c>
      <c r="B33" s="26"/>
      <c r="C33" s="26" t="s">
        <v>31</v>
      </c>
      <c r="D33" s="26"/>
      <c r="E33" s="28">
        <v>0</v>
      </c>
      <c r="F33" s="28">
        <v>0</v>
      </c>
      <c r="G33" s="28">
        <v>0</v>
      </c>
    </row>
    <row r="34" spans="1:7">
      <c r="A34" s="23">
        <v>16</v>
      </c>
      <c r="B34" s="26" t="s">
        <v>35</v>
      </c>
      <c r="C34" s="26"/>
      <c r="D34" s="26"/>
      <c r="E34" s="4">
        <f>SUM(E31:E33)</f>
        <v>392.29399999999998</v>
      </c>
      <c r="F34" s="4">
        <f>+(ROUND([2]Summary!E59/1000,0))</f>
        <v>185</v>
      </c>
      <c r="G34" s="4">
        <f>SUM(G31:G33)</f>
        <v>785</v>
      </c>
    </row>
    <row r="35" spans="1:7">
      <c r="A35" s="26"/>
      <c r="B35" s="26"/>
      <c r="C35" s="26"/>
      <c r="D35" s="26"/>
    </row>
    <row r="36" spans="1:7">
      <c r="A36" s="23">
        <v>17</v>
      </c>
      <c r="B36" s="26" t="s">
        <v>36</v>
      </c>
      <c r="C36" s="26"/>
      <c r="D36" s="26"/>
      <c r="E36" s="27">
        <f>+[2]Summary!E15/1000</f>
        <v>173.184</v>
      </c>
      <c r="F36" s="27">
        <v>0</v>
      </c>
      <c r="G36" s="27">
        <v>373</v>
      </c>
    </row>
    <row r="37" spans="1:7">
      <c r="A37" s="23">
        <v>18</v>
      </c>
      <c r="B37" s="26" t="s">
        <v>37</v>
      </c>
      <c r="C37" s="26"/>
      <c r="D37" s="26"/>
      <c r="E37" s="27">
        <f>+[2]Summary!E16/1000</f>
        <v>14.263999999999999</v>
      </c>
      <c r="F37" s="27">
        <v>0</v>
      </c>
      <c r="G37" s="27">
        <v>32</v>
      </c>
    </row>
    <row r="38" spans="1:7">
      <c r="A38" s="23">
        <v>19</v>
      </c>
      <c r="B38" s="26" t="s">
        <v>38</v>
      </c>
      <c r="C38" s="26"/>
      <c r="D38" s="26"/>
      <c r="E38" s="27">
        <v>0</v>
      </c>
      <c r="F38" s="27">
        <v>0</v>
      </c>
      <c r="G38" s="27">
        <v>0</v>
      </c>
    </row>
    <row r="39" spans="1:7">
      <c r="A39" s="23"/>
      <c r="B39" s="26"/>
      <c r="C39" s="26"/>
      <c r="D39" s="26"/>
      <c r="F39" s="4">
        <f>+ROUND([2]Summary!E61/1000,0)</f>
        <v>105</v>
      </c>
    </row>
    <row r="40" spans="1:7">
      <c r="A40" s="26"/>
      <c r="B40" s="26" t="s">
        <v>39</v>
      </c>
      <c r="C40" s="26"/>
      <c r="D40" s="26"/>
      <c r="F40" s="4">
        <f>+ROUND([2]Summary!E62/1000,0)</f>
        <v>9</v>
      </c>
    </row>
    <row r="41" spans="1:7">
      <c r="A41" s="23">
        <v>20</v>
      </c>
      <c r="B41" s="26"/>
      <c r="C41" s="26" t="s">
        <v>27</v>
      </c>
      <c r="D41" s="26"/>
      <c r="E41" s="27">
        <f>+[2]Summary!E19/1000</f>
        <v>391.79899999999998</v>
      </c>
      <c r="F41" s="27">
        <f>+[2]Summary!F19/1000</f>
        <v>-632.11800000000005</v>
      </c>
      <c r="G41" s="27">
        <v>999</v>
      </c>
    </row>
    <row r="42" spans="1:7">
      <c r="A42" s="23">
        <v>21</v>
      </c>
      <c r="B42" s="26"/>
      <c r="C42" s="26" t="s">
        <v>34</v>
      </c>
      <c r="D42" s="26"/>
      <c r="E42" s="27">
        <v>0</v>
      </c>
      <c r="F42" s="27">
        <v>0</v>
      </c>
      <c r="G42" s="27">
        <v>0</v>
      </c>
    </row>
    <row r="43" spans="1:7">
      <c r="A43" s="30">
        <v>22</v>
      </c>
      <c r="B43" s="26"/>
      <c r="C43" s="26" t="s">
        <v>31</v>
      </c>
      <c r="D43" s="26"/>
      <c r="E43" s="28">
        <v>0</v>
      </c>
      <c r="F43" s="28">
        <v>0</v>
      </c>
      <c r="G43" s="28">
        <v>0</v>
      </c>
    </row>
    <row r="44" spans="1:7">
      <c r="A44" s="23">
        <v>23</v>
      </c>
      <c r="B44" s="26" t="s">
        <v>40</v>
      </c>
      <c r="C44" s="26"/>
      <c r="D44" s="26"/>
      <c r="E44" s="31">
        <f>SUM(E41:E43)</f>
        <v>391.79899999999998</v>
      </c>
      <c r="F44" s="31">
        <f>+ROUND([2]Summary!E65/1000,0)</f>
        <v>100</v>
      </c>
      <c r="G44" s="31">
        <f>SUM(G41:G43)</f>
        <v>999</v>
      </c>
    </row>
    <row r="45" spans="1:7">
      <c r="A45" s="23">
        <v>24</v>
      </c>
      <c r="B45" s="26" t="s">
        <v>41</v>
      </c>
      <c r="C45" s="26"/>
      <c r="D45" s="26"/>
      <c r="E45" s="31">
        <f>E44+E38+E37+E36+E34+E28</f>
        <v>1498.51</v>
      </c>
      <c r="F45" s="31">
        <f>F44+F38+F37+F36+F34+F28</f>
        <v>303</v>
      </c>
      <c r="G45" s="31">
        <f>G44+G38+G37+G36+G34+G28</f>
        <v>3299</v>
      </c>
    </row>
    <row r="46" spans="1:7">
      <c r="A46" s="26"/>
      <c r="B46" s="26"/>
      <c r="C46" s="26"/>
      <c r="D46" s="26"/>
    </row>
    <row r="47" spans="1:7">
      <c r="A47" s="23">
        <v>25</v>
      </c>
      <c r="B47" s="26" t="s">
        <v>42</v>
      </c>
      <c r="C47" s="26"/>
      <c r="D47" s="26"/>
      <c r="E47" s="4">
        <f>E19-E45</f>
        <v>-1498.51</v>
      </c>
      <c r="F47" s="4">
        <f>F19-F45</f>
        <v>-303</v>
      </c>
      <c r="G47" s="4">
        <f>G19-G45</f>
        <v>-3299</v>
      </c>
    </row>
    <row r="48" spans="1:7">
      <c r="A48" s="23"/>
      <c r="B48" s="26"/>
      <c r="C48" s="26"/>
      <c r="D48" s="26"/>
    </row>
    <row r="49" spans="1:7">
      <c r="A49" s="32"/>
      <c r="B49" s="26" t="s">
        <v>43</v>
      </c>
      <c r="C49" s="26"/>
      <c r="D49" s="26"/>
      <c r="F49" s="4">
        <f>F21+F25+F31+F37+F39+F40+F41+F48</f>
        <v>-518.11800000000005</v>
      </c>
    </row>
    <row r="50" spans="1:7">
      <c r="A50" s="30">
        <v>26</v>
      </c>
      <c r="B50" s="26" t="s">
        <v>44</v>
      </c>
      <c r="C50" s="26"/>
      <c r="D50" s="33"/>
      <c r="E50" s="34">
        <f>E47*0.35</f>
        <v>-524.47849999999994</v>
      </c>
      <c r="F50" s="34">
        <f>F47*0.35</f>
        <v>-106.05</v>
      </c>
      <c r="G50" s="34">
        <f>G47*0.35</f>
        <v>-1154.6499999999999</v>
      </c>
    </row>
    <row r="51" spans="1:7">
      <c r="A51" s="23">
        <v>27</v>
      </c>
      <c r="B51" s="29" t="s">
        <v>45</v>
      </c>
      <c r="C51" s="29"/>
      <c r="D51" s="29"/>
      <c r="E51" s="4">
        <f>(E79*'[3]RR SUMMARY'!$N$11)*-0.35</f>
        <v>0</v>
      </c>
      <c r="F51" s="4">
        <f ca="1">(F79*'[3]RR SUMMARY'!$N$11)*-0.35</f>
        <v>0</v>
      </c>
      <c r="G51" s="4">
        <f>(G79*'[3]RR SUMMARY'!$N$11)*-0.35</f>
        <v>0</v>
      </c>
    </row>
    <row r="52" spans="1:7">
      <c r="A52" s="23">
        <v>28</v>
      </c>
      <c r="B52" s="26" t="s">
        <v>46</v>
      </c>
      <c r="C52" s="26"/>
      <c r="D52" s="26"/>
      <c r="E52" s="27">
        <v>0</v>
      </c>
      <c r="F52" s="27">
        <v>0</v>
      </c>
      <c r="G52" s="27">
        <v>0</v>
      </c>
    </row>
    <row r="53" spans="1:7">
      <c r="A53" s="32">
        <v>29</v>
      </c>
      <c r="B53" s="26" t="s">
        <v>47</v>
      </c>
      <c r="C53" s="26"/>
      <c r="D53" s="26"/>
      <c r="E53" s="28">
        <v>0</v>
      </c>
      <c r="F53" s="28">
        <v>0</v>
      </c>
      <c r="G53" s="28">
        <v>0</v>
      </c>
    </row>
    <row r="54" spans="1:7">
      <c r="F54" s="4">
        <f ca="1">ROUND(F51*0.35,0)</f>
        <v>0</v>
      </c>
    </row>
    <row r="55" spans="1:7" ht="13.5" thickBot="1">
      <c r="A55" s="35">
        <v>30</v>
      </c>
      <c r="B55" s="24" t="s">
        <v>48</v>
      </c>
      <c r="C55" s="24"/>
      <c r="D55" s="24"/>
      <c r="E55" s="36">
        <f>E47-SUM(E50:E53)</f>
        <v>-974.03150000000005</v>
      </c>
      <c r="F55" s="36">
        <f ca="1">F47-SUM(F50:F53)</f>
        <v>441.76730000000009</v>
      </c>
      <c r="G55" s="36">
        <f>G47-SUM(G50:G53)</f>
        <v>-2144.3500000000004</v>
      </c>
    </row>
    <row r="56" spans="1:7" ht="13.5" thickTop="1">
      <c r="A56" s="35"/>
    </row>
    <row r="57" spans="1:7">
      <c r="A57" s="35"/>
      <c r="B57" s="2" t="s">
        <v>49</v>
      </c>
    </row>
    <row r="58" spans="1:7">
      <c r="B58" s="2" t="s">
        <v>50</v>
      </c>
    </row>
    <row r="59" spans="1:7">
      <c r="A59" s="37">
        <v>31</v>
      </c>
      <c r="B59" s="24"/>
      <c r="C59" s="24" t="s">
        <v>51</v>
      </c>
      <c r="D59" s="24"/>
      <c r="E59" s="38">
        <v>0</v>
      </c>
      <c r="F59" s="27">
        <f ca="1">ROUND(F51-SUM(F54:F57),0)</f>
        <v>-442</v>
      </c>
      <c r="G59" s="38">
        <v>0</v>
      </c>
    </row>
    <row r="60" spans="1:7">
      <c r="A60" s="35">
        <v>32</v>
      </c>
      <c r="B60" s="26"/>
      <c r="C60" s="26" t="s">
        <v>52</v>
      </c>
      <c r="D60" s="26"/>
      <c r="E60" s="27">
        <v>0</v>
      </c>
      <c r="F60" s="27">
        <v>0</v>
      </c>
      <c r="G60" s="27">
        <v>0</v>
      </c>
    </row>
    <row r="61" spans="1:7">
      <c r="A61" s="35">
        <v>33</v>
      </c>
      <c r="B61" s="26"/>
      <c r="C61" s="26" t="s">
        <v>53</v>
      </c>
      <c r="D61" s="26"/>
      <c r="E61" s="27">
        <v>0</v>
      </c>
      <c r="F61" s="27">
        <v>0</v>
      </c>
      <c r="G61" s="27">
        <v>0</v>
      </c>
    </row>
    <row r="62" spans="1:7">
      <c r="A62" s="35">
        <v>34</v>
      </c>
      <c r="B62" s="26"/>
      <c r="C62" s="26" t="s">
        <v>33</v>
      </c>
      <c r="D62" s="26"/>
      <c r="E62" s="27">
        <v>0</v>
      </c>
      <c r="F62" s="27">
        <v>0</v>
      </c>
      <c r="G62" s="27">
        <v>0</v>
      </c>
    </row>
    <row r="63" spans="1:7">
      <c r="A63" s="35">
        <v>35</v>
      </c>
      <c r="B63" s="26"/>
      <c r="C63" s="26" t="s">
        <v>54</v>
      </c>
      <c r="D63" s="26"/>
      <c r="E63" s="28">
        <v>0</v>
      </c>
      <c r="F63" s="28">
        <v>0</v>
      </c>
      <c r="G63" s="28">
        <v>0</v>
      </c>
    </row>
    <row r="64" spans="1:7">
      <c r="A64" s="35">
        <v>36</v>
      </c>
      <c r="B64" s="26" t="s">
        <v>55</v>
      </c>
      <c r="C64" s="26"/>
      <c r="D64" s="26"/>
      <c r="E64" s="4">
        <f>SUM(E59:E63)</f>
        <v>0</v>
      </c>
      <c r="F64" s="4">
        <f ca="1">SUM(F59:F63)</f>
        <v>0</v>
      </c>
      <c r="G64" s="4">
        <f>SUM(G59:G63)</f>
        <v>0</v>
      </c>
    </row>
    <row r="65" spans="1:7">
      <c r="A65" s="35"/>
      <c r="B65" s="26" t="s">
        <v>56</v>
      </c>
      <c r="C65" s="26"/>
      <c r="D65" s="26"/>
      <c r="E65" s="27">
        <v>0</v>
      </c>
      <c r="F65" s="27">
        <v>0</v>
      </c>
      <c r="G65" s="27">
        <v>0</v>
      </c>
    </row>
    <row r="66" spans="1:7">
      <c r="A66" s="35">
        <v>37</v>
      </c>
      <c r="B66" s="26"/>
      <c r="C66" s="24" t="s">
        <v>51</v>
      </c>
      <c r="D66" s="26"/>
      <c r="E66" s="39">
        <v>0</v>
      </c>
      <c r="F66" s="39">
        <v>0</v>
      </c>
      <c r="G66" s="39">
        <v>0</v>
      </c>
    </row>
    <row r="67" spans="1:7">
      <c r="A67" s="35">
        <v>38</v>
      </c>
      <c r="B67" s="26"/>
      <c r="C67" s="26" t="s">
        <v>52</v>
      </c>
      <c r="D67" s="26"/>
      <c r="E67" s="39">
        <v>0</v>
      </c>
      <c r="F67" s="39">
        <v>0</v>
      </c>
      <c r="G67" s="39">
        <v>0</v>
      </c>
    </row>
    <row r="68" spans="1:7">
      <c r="A68" s="35">
        <v>39</v>
      </c>
      <c r="B68" s="26"/>
      <c r="C68" s="26" t="s">
        <v>53</v>
      </c>
      <c r="D68" s="26"/>
      <c r="E68" s="39">
        <v>0</v>
      </c>
      <c r="F68" s="39">
        <v>0</v>
      </c>
      <c r="G68" s="39">
        <v>0</v>
      </c>
    </row>
    <row r="69" spans="1:7">
      <c r="A69" s="35">
        <v>40</v>
      </c>
      <c r="B69" s="26"/>
      <c r="C69" s="26" t="s">
        <v>33</v>
      </c>
      <c r="D69" s="26"/>
      <c r="E69" s="39">
        <v>0</v>
      </c>
      <c r="F69" s="39">
        <v>0</v>
      </c>
      <c r="G69" s="39">
        <v>0</v>
      </c>
    </row>
    <row r="70" spans="1:7">
      <c r="A70" s="35">
        <v>41</v>
      </c>
      <c r="B70" s="26"/>
      <c r="C70" s="26" t="s">
        <v>54</v>
      </c>
      <c r="D70" s="26"/>
      <c r="E70" s="39">
        <v>0</v>
      </c>
      <c r="F70" s="39">
        <v>0</v>
      </c>
      <c r="G70" s="39">
        <v>0</v>
      </c>
    </row>
    <row r="71" spans="1:7">
      <c r="A71" s="35">
        <v>42</v>
      </c>
      <c r="B71" s="26" t="s">
        <v>57</v>
      </c>
      <c r="C71" s="26"/>
      <c r="D71" s="26"/>
      <c r="E71" s="40">
        <f>SUM(E66:E70)</f>
        <v>0</v>
      </c>
      <c r="F71" s="40">
        <f>SUM(F66:F70)</f>
        <v>0</v>
      </c>
      <c r="G71" s="40">
        <f>SUM(G66:G70)</f>
        <v>0</v>
      </c>
    </row>
    <row r="72" spans="1:7">
      <c r="A72" s="35">
        <v>43</v>
      </c>
      <c r="B72" s="26" t="s">
        <v>58</v>
      </c>
      <c r="C72" s="26"/>
      <c r="D72" s="26"/>
      <c r="E72" s="40">
        <f>E64-E71</f>
        <v>0</v>
      </c>
      <c r="F72" s="40">
        <f ca="1">F64-F71</f>
        <v>0</v>
      </c>
      <c r="G72" s="40">
        <f>G64-G71</f>
        <v>0</v>
      </c>
    </row>
    <row r="73" spans="1:7">
      <c r="A73" s="35"/>
      <c r="B73" s="26"/>
      <c r="C73" s="26"/>
      <c r="D73" s="26"/>
      <c r="E73" s="41"/>
      <c r="F73" s="41"/>
      <c r="G73" s="41"/>
    </row>
    <row r="74" spans="1:7">
      <c r="A74" s="32">
        <v>44</v>
      </c>
      <c r="B74" s="26" t="s">
        <v>59</v>
      </c>
      <c r="C74" s="26"/>
      <c r="D74" s="26"/>
      <c r="E74" s="28">
        <v>0</v>
      </c>
      <c r="F74" s="28">
        <v>0</v>
      </c>
      <c r="G74" s="28">
        <v>0</v>
      </c>
    </row>
    <row r="75" spans="1:7">
      <c r="A75" s="32">
        <v>45</v>
      </c>
      <c r="B75" s="26"/>
      <c r="C75" s="26" t="s">
        <v>60</v>
      </c>
      <c r="D75" s="26"/>
      <c r="E75" s="41">
        <f>SUM(E72:E74)</f>
        <v>0</v>
      </c>
      <c r="F75" s="41">
        <f ca="1">SUM(F72:F74)</f>
        <v>0</v>
      </c>
      <c r="G75" s="41">
        <f>SUM(G72:G74)</f>
        <v>0</v>
      </c>
    </row>
    <row r="76" spans="1:7">
      <c r="A76" s="35">
        <v>46</v>
      </c>
      <c r="B76" s="26" t="s">
        <v>61</v>
      </c>
      <c r="C76" s="26"/>
      <c r="D76" s="26"/>
      <c r="E76" s="27">
        <v>0</v>
      </c>
      <c r="F76" s="27">
        <v>0</v>
      </c>
      <c r="G76" s="27">
        <v>0</v>
      </c>
    </row>
    <row r="77" spans="1:7">
      <c r="A77" s="35">
        <v>47</v>
      </c>
      <c r="B77" s="26" t="s">
        <v>62</v>
      </c>
      <c r="C77" s="26"/>
      <c r="D77" s="26"/>
      <c r="E77" s="28">
        <v>0</v>
      </c>
      <c r="F77" s="28">
        <v>0</v>
      </c>
      <c r="G77" s="28">
        <v>0</v>
      </c>
    </row>
    <row r="78" spans="1:7">
      <c r="A78" s="32"/>
      <c r="B78" s="26"/>
      <c r="C78" s="26"/>
      <c r="D78" s="26"/>
    </row>
    <row r="79" spans="1:7" ht="13.5" thickBot="1">
      <c r="A79" s="23">
        <v>48</v>
      </c>
      <c r="B79" s="24" t="s">
        <v>63</v>
      </c>
      <c r="C79" s="24"/>
      <c r="D79" s="24"/>
      <c r="E79" s="36">
        <f>SUM(E75:E77)</f>
        <v>0</v>
      </c>
      <c r="F79" s="36">
        <f ca="1">SUM(F75:F77)</f>
        <v>0</v>
      </c>
      <c r="G79" s="36">
        <f>SUM(G75:G77)</f>
        <v>0</v>
      </c>
    </row>
    <row r="80" spans="1:7" ht="13.5" thickTop="1">
      <c r="A80" s="23"/>
    </row>
    <row r="81" spans="5:7">
      <c r="E81" s="42"/>
      <c r="F81" s="42"/>
      <c r="G81" s="42"/>
    </row>
  </sheetData>
  <pageMargins left="0.7" right="0.7" top="0.75" bottom="0.75" header="0.3" footer="0.3"/>
  <pageSetup scale="67" fitToWidth="0" orientation="portrait" r:id="rId1"/>
  <headerFooter>
    <oddHeader>&amp;RExhibit No. ___ (JH-5)
Dockets UE-120436 &amp;&amp; UG-120437
Page 1 of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8"/>
  <sheetViews>
    <sheetView topLeftCell="A31" zoomScale="115" zoomScaleNormal="115" workbookViewId="0">
      <selection activeCell="F50" sqref="F50"/>
    </sheetView>
  </sheetViews>
  <sheetFormatPr defaultRowHeight="12.75"/>
  <cols>
    <col min="1" max="1" width="4.6640625" style="3" customWidth="1"/>
    <col min="2" max="3" width="1.6640625" style="2" customWidth="1"/>
    <col min="4" max="4" width="2.6640625" style="2" customWidth="1"/>
    <col min="5" max="5" width="22.5" style="43" customWidth="1"/>
    <col min="6" max="6" width="13.5" style="44" customWidth="1"/>
    <col min="7" max="8" width="13.5" style="45" hidden="1" customWidth="1"/>
  </cols>
  <sheetData>
    <row r="2" spans="1:8">
      <c r="A2" s="1" t="str">
        <f>'[4]ROO INPUT'!A3:C3</f>
        <v>AVISTA UTILITIES</v>
      </c>
      <c r="D2" s="3"/>
    </row>
    <row r="3" spans="1:8">
      <c r="A3" s="1" t="str">
        <f>'[4]ROO INPUT'!A4:C4</f>
        <v xml:space="preserve">WASHINGTON NATURAL GAS RESULTS </v>
      </c>
      <c r="D3" s="3"/>
    </row>
    <row r="4" spans="1:8">
      <c r="A4" s="1" t="str">
        <f>'[4]ROO INPUT'!A5:C5</f>
        <v>TWELVE MONTHS ENDED DECEMBER 31, 2011</v>
      </c>
      <c r="D4" s="3"/>
    </row>
    <row r="5" spans="1:8">
      <c r="A5" s="1" t="str">
        <f>'[4]ROO INPUT'!A6:C6</f>
        <v xml:space="preserve">(000'S OF DOLLARS)   </v>
      </c>
      <c r="D5" s="3"/>
    </row>
    <row r="6" spans="1:8">
      <c r="A6" s="1"/>
      <c r="D6" s="3"/>
      <c r="F6" s="45"/>
      <c r="H6" s="46"/>
    </row>
    <row r="7" spans="1:8">
      <c r="A7" s="5"/>
      <c r="B7" s="5"/>
      <c r="C7" s="6"/>
      <c r="D7" s="6"/>
      <c r="E7" s="5"/>
      <c r="F7" s="46"/>
      <c r="G7" s="46"/>
      <c r="H7" s="46"/>
    </row>
    <row r="8" spans="1:8">
      <c r="A8" s="8"/>
      <c r="B8" s="47"/>
      <c r="C8" s="9"/>
      <c r="D8" s="10"/>
      <c r="E8" s="48"/>
      <c r="F8" s="49" t="s">
        <v>64</v>
      </c>
      <c r="G8" s="49" t="s">
        <v>64</v>
      </c>
      <c r="H8" s="49" t="s">
        <v>64</v>
      </c>
    </row>
    <row r="9" spans="1:8">
      <c r="A9" s="12" t="s">
        <v>5</v>
      </c>
      <c r="B9" s="50"/>
      <c r="C9" s="13"/>
      <c r="D9" s="14"/>
      <c r="E9" s="51"/>
      <c r="F9" s="52" t="s">
        <v>6</v>
      </c>
      <c r="G9" s="52" t="s">
        <v>6</v>
      </c>
      <c r="H9" s="53" t="s">
        <v>65</v>
      </c>
    </row>
    <row r="10" spans="1:8">
      <c r="A10" s="16" t="s">
        <v>8</v>
      </c>
      <c r="B10" s="54"/>
      <c r="C10" s="17"/>
      <c r="D10" s="18"/>
      <c r="E10" s="55" t="s">
        <v>9</v>
      </c>
      <c r="F10" s="56" t="s">
        <v>10</v>
      </c>
      <c r="G10" s="56" t="s">
        <v>11</v>
      </c>
      <c r="H10" s="57" t="s">
        <v>12</v>
      </c>
    </row>
    <row r="11" spans="1:8">
      <c r="A11" s="58"/>
      <c r="B11" s="58"/>
      <c r="C11" s="59"/>
      <c r="D11" s="59"/>
      <c r="E11" s="59" t="s">
        <v>66</v>
      </c>
      <c r="F11" s="60">
        <v>3</v>
      </c>
      <c r="G11" s="60">
        <f>F11+0.01</f>
        <v>3.01</v>
      </c>
      <c r="H11" s="60">
        <f>G11+0.01</f>
        <v>3.0199999999999996</v>
      </c>
    </row>
    <row r="12" spans="1:8">
      <c r="A12" s="58"/>
      <c r="B12" s="58"/>
      <c r="C12" s="59"/>
      <c r="D12" s="59"/>
      <c r="E12" s="59"/>
      <c r="F12" s="46" t="s">
        <v>67</v>
      </c>
      <c r="G12" s="46" t="s">
        <v>68</v>
      </c>
      <c r="H12" s="46" t="s">
        <v>69</v>
      </c>
    </row>
    <row r="13" spans="1:8">
      <c r="A13" s="58"/>
      <c r="B13" s="58"/>
      <c r="C13" s="59"/>
      <c r="D13" s="59"/>
      <c r="E13" s="59"/>
    </row>
    <row r="14" spans="1:8">
      <c r="A14" s="61"/>
      <c r="B14" s="62" t="s">
        <v>70</v>
      </c>
      <c r="C14" s="62"/>
      <c r="D14" s="62"/>
      <c r="E14" s="62"/>
    </row>
    <row r="15" spans="1:8">
      <c r="A15" s="61">
        <v>1</v>
      </c>
      <c r="B15" s="63"/>
      <c r="C15" s="63" t="s">
        <v>71</v>
      </c>
      <c r="D15" s="63"/>
      <c r="E15" s="63"/>
      <c r="F15" s="64">
        <v>0</v>
      </c>
      <c r="G15" s="64">
        <v>0</v>
      </c>
      <c r="H15" s="64">
        <v>0</v>
      </c>
    </row>
    <row r="16" spans="1:8">
      <c r="A16" s="61">
        <v>2</v>
      </c>
      <c r="B16" s="62"/>
      <c r="C16" s="65" t="s">
        <v>72</v>
      </c>
      <c r="D16" s="65"/>
      <c r="E16" s="65"/>
      <c r="F16" s="66">
        <v>0</v>
      </c>
      <c r="G16" s="66">
        <v>0</v>
      </c>
      <c r="H16" s="66">
        <v>0</v>
      </c>
    </row>
    <row r="17" spans="1:8">
      <c r="A17" s="61">
        <v>3</v>
      </c>
      <c r="B17" s="62"/>
      <c r="C17" s="65" t="s">
        <v>73</v>
      </c>
      <c r="D17" s="65"/>
      <c r="E17" s="65"/>
      <c r="F17" s="67">
        <v>0</v>
      </c>
      <c r="G17" s="67">
        <v>0</v>
      </c>
      <c r="H17" s="67">
        <v>0</v>
      </c>
    </row>
    <row r="18" spans="1:8">
      <c r="A18" s="61">
        <v>4</v>
      </c>
      <c r="B18" s="62" t="s">
        <v>74</v>
      </c>
      <c r="C18" s="65"/>
      <c r="D18" s="65"/>
      <c r="E18" s="65"/>
      <c r="F18" s="68">
        <f>SUM(F15:F17)</f>
        <v>0</v>
      </c>
      <c r="G18" s="68">
        <f>SUM(G15:G17)</f>
        <v>0</v>
      </c>
      <c r="H18" s="68">
        <f>SUM(H15:H17)</f>
        <v>0</v>
      </c>
    </row>
    <row r="19" spans="1:8">
      <c r="A19" s="61"/>
      <c r="B19" s="62"/>
      <c r="C19" s="65"/>
      <c r="D19" s="65"/>
      <c r="E19" s="65"/>
      <c r="F19" s="69"/>
      <c r="G19" s="69"/>
      <c r="H19" s="69"/>
    </row>
    <row r="20" spans="1:8">
      <c r="A20" s="61"/>
      <c r="B20" s="62" t="s">
        <v>75</v>
      </c>
      <c r="C20" s="65"/>
      <c r="D20" s="65"/>
      <c r="E20" s="65"/>
      <c r="F20" s="69"/>
      <c r="G20" s="69"/>
      <c r="H20" s="69"/>
    </row>
    <row r="21" spans="1:8">
      <c r="A21" s="61"/>
      <c r="B21" s="62"/>
      <c r="C21" s="65" t="s">
        <v>76</v>
      </c>
      <c r="D21" s="65"/>
      <c r="E21" s="65"/>
      <c r="F21" s="66"/>
      <c r="G21" s="66"/>
      <c r="H21" s="66"/>
    </row>
    <row r="22" spans="1:8">
      <c r="A22" s="61">
        <v>5</v>
      </c>
      <c r="B22" s="62"/>
      <c r="C22" s="65"/>
      <c r="D22" s="65" t="s">
        <v>77</v>
      </c>
      <c r="E22" s="65"/>
      <c r="F22" s="66">
        <v>0</v>
      </c>
      <c r="G22" s="66">
        <v>0</v>
      </c>
      <c r="H22" s="66">
        <v>0</v>
      </c>
    </row>
    <row r="23" spans="1:8">
      <c r="A23" s="61">
        <v>6</v>
      </c>
      <c r="B23" s="62"/>
      <c r="C23" s="65"/>
      <c r="D23" s="65" t="s">
        <v>78</v>
      </c>
      <c r="E23" s="65"/>
      <c r="F23" s="66">
        <f>+ROUND([2]Summary!E55/1000,0)</f>
        <v>18</v>
      </c>
      <c r="G23" s="66">
        <f>+[2]Summary!F55/1000</f>
        <v>-13.881</v>
      </c>
      <c r="H23" s="66">
        <v>44</v>
      </c>
    </row>
    <row r="24" spans="1:8">
      <c r="A24" s="61">
        <v>7</v>
      </c>
      <c r="B24" s="62"/>
      <c r="C24" s="65"/>
      <c r="D24" s="65" t="s">
        <v>79</v>
      </c>
      <c r="E24" s="65"/>
      <c r="F24" s="67">
        <v>0</v>
      </c>
      <c r="G24" s="67">
        <v>0</v>
      </c>
      <c r="H24" s="67">
        <v>0</v>
      </c>
    </row>
    <row r="25" spans="1:8">
      <c r="A25" s="61">
        <v>8</v>
      </c>
      <c r="B25" s="62"/>
      <c r="C25" s="65"/>
      <c r="D25" s="65"/>
      <c r="E25" s="65" t="s">
        <v>80</v>
      </c>
      <c r="F25" s="68">
        <f>SUM(F22:F24)</f>
        <v>18</v>
      </c>
      <c r="G25" s="68">
        <f>SUM(G22:G24)</f>
        <v>-13.881</v>
      </c>
      <c r="H25" s="68">
        <f>SUM(H22:H24)</f>
        <v>44</v>
      </c>
    </row>
    <row r="26" spans="1:8">
      <c r="A26" s="61"/>
      <c r="B26" s="62"/>
      <c r="C26" s="65"/>
      <c r="D26" s="65"/>
      <c r="E26" s="65"/>
      <c r="F26" s="68"/>
      <c r="G26" s="70"/>
      <c r="H26" s="70"/>
    </row>
    <row r="27" spans="1:8">
      <c r="A27" s="61"/>
      <c r="B27" s="62"/>
      <c r="C27" s="65" t="s">
        <v>81</v>
      </c>
      <c r="D27" s="65"/>
      <c r="E27" s="65"/>
      <c r="F27" s="69"/>
      <c r="G27" s="69"/>
      <c r="H27" s="69"/>
    </row>
    <row r="28" spans="1:8">
      <c r="A28" s="61">
        <v>9</v>
      </c>
      <c r="B28" s="62"/>
      <c r="C28" s="65"/>
      <c r="D28" s="65" t="s">
        <v>82</v>
      </c>
      <c r="E28" s="65"/>
      <c r="F28" s="66">
        <v>0</v>
      </c>
      <c r="G28" s="66">
        <v>0</v>
      </c>
      <c r="H28" s="66">
        <v>0</v>
      </c>
    </row>
    <row r="29" spans="1:8">
      <c r="A29" s="61">
        <v>10</v>
      </c>
      <c r="B29" s="62"/>
      <c r="C29" s="65"/>
      <c r="D29" s="65" t="s">
        <v>83</v>
      </c>
      <c r="E29" s="65"/>
      <c r="F29" s="66">
        <v>0</v>
      </c>
      <c r="G29" s="66">
        <v>0</v>
      </c>
      <c r="H29" s="66">
        <v>0</v>
      </c>
    </row>
    <row r="30" spans="1:8">
      <c r="A30" s="71">
        <v>11</v>
      </c>
      <c r="B30" s="62"/>
      <c r="C30" s="65"/>
      <c r="D30" s="65" t="s">
        <v>84</v>
      </c>
      <c r="E30" s="65"/>
      <c r="F30" s="67">
        <v>0</v>
      </c>
      <c r="G30" s="67">
        <v>0</v>
      </c>
      <c r="H30" s="67">
        <v>0</v>
      </c>
    </row>
    <row r="31" spans="1:8">
      <c r="A31" s="61">
        <v>12</v>
      </c>
      <c r="B31" s="62"/>
      <c r="C31" s="65"/>
      <c r="D31" s="65"/>
      <c r="E31" s="65" t="s">
        <v>85</v>
      </c>
      <c r="F31" s="68">
        <f>SUM(F28:F30)</f>
        <v>0</v>
      </c>
      <c r="G31" s="70">
        <f>SUM(G28:G30)</f>
        <v>0</v>
      </c>
      <c r="H31" s="70">
        <f>SUM(H28:H30)</f>
        <v>0</v>
      </c>
    </row>
    <row r="32" spans="1:8">
      <c r="A32" s="61"/>
      <c r="B32" s="62"/>
      <c r="C32" s="65"/>
      <c r="D32" s="65"/>
      <c r="E32" s="65"/>
      <c r="F32" s="68"/>
      <c r="G32" s="70"/>
      <c r="H32" s="70"/>
    </row>
    <row r="33" spans="1:8">
      <c r="A33" s="61"/>
      <c r="B33" s="62"/>
      <c r="C33" s="65" t="s">
        <v>86</v>
      </c>
      <c r="D33" s="65"/>
      <c r="E33" s="65"/>
      <c r="F33" s="69"/>
      <c r="G33" s="69"/>
      <c r="H33" s="69"/>
    </row>
    <row r="34" spans="1:8">
      <c r="A34" s="61">
        <v>13</v>
      </c>
      <c r="B34" s="62"/>
      <c r="C34" s="65"/>
      <c r="D34" s="65" t="s">
        <v>82</v>
      </c>
      <c r="E34" s="65"/>
      <c r="F34" s="66">
        <f>+(ROUND([2]Summary!E59/1000,0))</f>
        <v>185</v>
      </c>
      <c r="G34" s="66">
        <v>0</v>
      </c>
      <c r="H34" s="66">
        <v>368</v>
      </c>
    </row>
    <row r="35" spans="1:8">
      <c r="A35" s="61">
        <v>14</v>
      </c>
      <c r="B35" s="62"/>
      <c r="C35" s="65"/>
      <c r="D35" s="65" t="s">
        <v>83</v>
      </c>
      <c r="E35" s="65"/>
      <c r="F35" s="66">
        <v>0</v>
      </c>
      <c r="G35" s="66">
        <v>0</v>
      </c>
      <c r="H35" s="66">
        <v>0</v>
      </c>
    </row>
    <row r="36" spans="1:8">
      <c r="A36" s="61">
        <v>15</v>
      </c>
      <c r="B36" s="62"/>
      <c r="C36" s="65"/>
      <c r="D36" s="65" t="s">
        <v>84</v>
      </c>
      <c r="E36" s="65"/>
      <c r="F36" s="67">
        <v>0</v>
      </c>
      <c r="G36" s="67">
        <v>0</v>
      </c>
      <c r="H36" s="67">
        <v>0</v>
      </c>
    </row>
    <row r="37" spans="1:8">
      <c r="A37" s="61">
        <v>16</v>
      </c>
      <c r="B37" s="62"/>
      <c r="C37" s="65"/>
      <c r="D37" s="65"/>
      <c r="E37" s="65" t="s">
        <v>87</v>
      </c>
      <c r="F37" s="68">
        <f>SUM(F34:F36)</f>
        <v>185</v>
      </c>
      <c r="G37" s="70">
        <f>SUM(G34:G36)</f>
        <v>0</v>
      </c>
      <c r="H37" s="70">
        <f>SUM(H34:H36)</f>
        <v>368</v>
      </c>
    </row>
    <row r="38" spans="1:8">
      <c r="A38" s="61"/>
      <c r="B38" s="62"/>
      <c r="C38" s="65"/>
      <c r="D38" s="65"/>
      <c r="E38" s="65"/>
      <c r="F38" s="68"/>
      <c r="G38" s="70"/>
      <c r="H38" s="70"/>
    </row>
    <row r="39" spans="1:8">
      <c r="A39" s="61">
        <v>17</v>
      </c>
      <c r="B39" s="62" t="s">
        <v>88</v>
      </c>
      <c r="C39" s="65"/>
      <c r="D39" s="65"/>
      <c r="E39" s="65"/>
      <c r="F39" s="72">
        <f>+ROUND([2]Summary!E61/1000,0)</f>
        <v>105</v>
      </c>
      <c r="G39" s="72">
        <v>0</v>
      </c>
      <c r="H39" s="73">
        <v>228</v>
      </c>
    </row>
    <row r="40" spans="1:8">
      <c r="A40" s="61">
        <v>18</v>
      </c>
      <c r="B40" s="62" t="s">
        <v>89</v>
      </c>
      <c r="C40" s="65"/>
      <c r="D40" s="65"/>
      <c r="E40" s="65"/>
      <c r="F40" s="66">
        <f>+ROUND([2]Summary!E62/1000,0)</f>
        <v>9</v>
      </c>
      <c r="G40" s="66">
        <v>0</v>
      </c>
      <c r="H40" s="66">
        <v>20</v>
      </c>
    </row>
    <row r="41" spans="1:8">
      <c r="A41" s="61">
        <v>19</v>
      </c>
      <c r="B41" s="62" t="s">
        <v>90</v>
      </c>
      <c r="C41" s="65"/>
      <c r="D41" s="65"/>
      <c r="E41" s="65"/>
      <c r="F41" s="66">
        <v>0</v>
      </c>
      <c r="G41" s="66">
        <v>0</v>
      </c>
      <c r="H41" s="66">
        <v>0</v>
      </c>
    </row>
    <row r="42" spans="1:8">
      <c r="A42" s="61"/>
      <c r="B42" s="62"/>
      <c r="C42" s="65"/>
      <c r="D42" s="65"/>
      <c r="E42" s="65"/>
      <c r="F42" s="66"/>
      <c r="G42" s="66"/>
      <c r="H42" s="66"/>
    </row>
    <row r="43" spans="1:8">
      <c r="A43" s="61"/>
      <c r="B43" s="62" t="s">
        <v>91</v>
      </c>
      <c r="C43" s="65"/>
      <c r="D43" s="65"/>
      <c r="E43" s="65"/>
      <c r="F43" s="66"/>
      <c r="G43" s="66"/>
      <c r="H43" s="66"/>
    </row>
    <row r="44" spans="1:8">
      <c r="A44" s="61">
        <v>20</v>
      </c>
      <c r="B44" s="62"/>
      <c r="C44" s="65" t="s">
        <v>82</v>
      </c>
      <c r="D44" s="65"/>
      <c r="E44" s="65"/>
      <c r="F44" s="66">
        <f>+ROUND([2]Summary!E65/1000,0)</f>
        <v>100</v>
      </c>
      <c r="G44" s="66">
        <f>+[2]Summary!F65/1000</f>
        <v>-180.98699999999999</v>
      </c>
      <c r="H44" s="66">
        <v>258</v>
      </c>
    </row>
    <row r="45" spans="1:8">
      <c r="A45" s="61">
        <v>21</v>
      </c>
      <c r="B45" s="62"/>
      <c r="C45" s="65" t="s">
        <v>34</v>
      </c>
      <c r="D45" s="65"/>
      <c r="E45" s="65"/>
      <c r="F45" s="66">
        <v>0</v>
      </c>
      <c r="G45" s="66">
        <v>0</v>
      </c>
      <c r="H45" s="66">
        <v>0</v>
      </c>
    </row>
    <row r="46" spans="1:8">
      <c r="A46" s="61">
        <v>22</v>
      </c>
      <c r="B46" s="62"/>
      <c r="C46" s="74" t="s">
        <v>92</v>
      </c>
      <c r="D46" s="65"/>
      <c r="E46" s="65"/>
      <c r="F46" s="66"/>
      <c r="G46" s="66"/>
      <c r="H46" s="66"/>
    </row>
    <row r="47" spans="1:8">
      <c r="A47" s="61">
        <v>23</v>
      </c>
      <c r="B47" s="62"/>
      <c r="C47" s="65" t="s">
        <v>84</v>
      </c>
      <c r="D47" s="65"/>
      <c r="E47" s="65"/>
      <c r="F47" s="67">
        <v>0</v>
      </c>
      <c r="G47" s="67">
        <v>0</v>
      </c>
      <c r="H47" s="67">
        <v>0</v>
      </c>
    </row>
    <row r="48" spans="1:8">
      <c r="A48" s="61">
        <v>24</v>
      </c>
      <c r="B48" s="62"/>
      <c r="C48" s="65"/>
      <c r="D48" s="65" t="s">
        <v>93</v>
      </c>
      <c r="E48" s="75"/>
      <c r="F48" s="76">
        <f>SUM(F44:F47)</f>
        <v>100</v>
      </c>
      <c r="G48" s="77">
        <f>SUM(G44:G47)</f>
        <v>-180.98699999999999</v>
      </c>
      <c r="H48" s="77">
        <f>SUM(H44:H47)</f>
        <v>258</v>
      </c>
    </row>
    <row r="49" spans="1:8">
      <c r="A49" s="61">
        <v>25</v>
      </c>
      <c r="B49" s="62" t="s">
        <v>94</v>
      </c>
      <c r="C49" s="65"/>
      <c r="D49" s="65"/>
      <c r="E49" s="65"/>
      <c r="F49" s="76">
        <f>F21+F25+F31+F37+F39+F40+F41+F48</f>
        <v>417</v>
      </c>
      <c r="G49" s="76">
        <f>G21+G25+G31+G37+G39+G40+G41+G48</f>
        <v>-194.86799999999999</v>
      </c>
      <c r="H49" s="76">
        <f>H21+H25+H31+H37+H39+H40+H41+H48</f>
        <v>918</v>
      </c>
    </row>
    <row r="50" spans="1:8">
      <c r="A50" s="61"/>
      <c r="B50" s="62"/>
      <c r="C50" s="65"/>
      <c r="D50" s="65"/>
      <c r="E50" s="65"/>
      <c r="F50" s="68"/>
      <c r="G50" s="70"/>
      <c r="H50" s="70"/>
    </row>
    <row r="51" spans="1:8">
      <c r="A51" s="61">
        <v>26</v>
      </c>
      <c r="B51" s="62" t="s">
        <v>95</v>
      </c>
      <c r="C51" s="65"/>
      <c r="D51" s="65"/>
      <c r="E51" s="65"/>
      <c r="F51" s="68">
        <f>F18-F49</f>
        <v>-417</v>
      </c>
      <c r="G51" s="70">
        <f>G18-G49</f>
        <v>194.86799999999999</v>
      </c>
      <c r="H51" s="70">
        <f>H18-H49</f>
        <v>-918</v>
      </c>
    </row>
    <row r="52" spans="1:8">
      <c r="A52" s="61"/>
      <c r="B52" s="62"/>
      <c r="C52" s="65"/>
      <c r="D52" s="65"/>
      <c r="E52" s="65"/>
      <c r="F52" s="68"/>
      <c r="G52" s="70"/>
      <c r="H52" s="70"/>
    </row>
    <row r="53" spans="1:8">
      <c r="A53" s="61"/>
      <c r="B53" s="62" t="s">
        <v>96</v>
      </c>
      <c r="C53" s="65"/>
      <c r="D53" s="65"/>
      <c r="E53" s="65"/>
      <c r="F53" s="69"/>
      <c r="G53" s="69"/>
      <c r="H53" s="69"/>
    </row>
    <row r="54" spans="1:8">
      <c r="A54" s="61">
        <v>27</v>
      </c>
      <c r="B54" s="62"/>
      <c r="C54" s="65" t="s">
        <v>97</v>
      </c>
      <c r="D54" s="65"/>
      <c r="E54" s="65"/>
      <c r="F54" s="69">
        <f>ROUND(F51*0.35,0)</f>
        <v>-146</v>
      </c>
      <c r="G54" s="69">
        <f>G51*0.35</f>
        <v>68.203799999999987</v>
      </c>
      <c r="H54" s="69">
        <f>H51*0.35</f>
        <v>-321.29999999999995</v>
      </c>
    </row>
    <row r="55" spans="1:8">
      <c r="A55" s="61">
        <v>28</v>
      </c>
      <c r="B55" s="62"/>
      <c r="C55" s="78" t="s">
        <v>45</v>
      </c>
      <c r="D55" s="65"/>
      <c r="E55" s="65"/>
      <c r="F55" s="69">
        <f>(F81*'[4]RR SUMMARY'!$M$14)*-0.35</f>
        <v>0</v>
      </c>
      <c r="G55" s="69">
        <f>(G81*'[4]RR SUMMARY'!$M$14)*-0.35</f>
        <v>0</v>
      </c>
      <c r="H55" s="69">
        <f>(H81*'[4]RR SUMMARY'!$M$14)*-0.35</f>
        <v>0</v>
      </c>
    </row>
    <row r="56" spans="1:8">
      <c r="A56" s="61">
        <v>29</v>
      </c>
      <c r="B56" s="62"/>
      <c r="C56" s="65" t="s">
        <v>98</v>
      </c>
      <c r="D56" s="65"/>
      <c r="E56" s="65"/>
      <c r="F56" s="66">
        <v>0</v>
      </c>
      <c r="G56" s="66">
        <v>0</v>
      </c>
      <c r="H56" s="66">
        <v>0</v>
      </c>
    </row>
    <row r="57" spans="1:8">
      <c r="A57" s="61">
        <v>30</v>
      </c>
      <c r="B57" s="62"/>
      <c r="C57" s="65" t="s">
        <v>99</v>
      </c>
      <c r="D57" s="65"/>
      <c r="E57" s="65"/>
      <c r="F57" s="67">
        <v>0</v>
      </c>
      <c r="G57" s="67">
        <v>0</v>
      </c>
      <c r="H57" s="67">
        <v>0</v>
      </c>
    </row>
    <row r="58" spans="1:8">
      <c r="A58" s="61"/>
      <c r="B58" s="62"/>
      <c r="C58" s="62"/>
      <c r="D58" s="62"/>
      <c r="E58" s="62"/>
      <c r="F58" s="68"/>
      <c r="G58" s="70"/>
      <c r="H58" s="70"/>
    </row>
    <row r="59" spans="1:8" ht="13.5" thickBot="1">
      <c r="A59" s="61">
        <v>31</v>
      </c>
      <c r="B59" s="63" t="s">
        <v>100</v>
      </c>
      <c r="C59" s="63"/>
      <c r="D59" s="63"/>
      <c r="E59" s="63"/>
      <c r="F59" s="79">
        <f>ROUND(F51-SUM(F54:F57),0)</f>
        <v>-271</v>
      </c>
      <c r="G59" s="80">
        <f>G51-SUM(G54:G57)</f>
        <v>126.66420000000001</v>
      </c>
      <c r="H59" s="80">
        <f>H51-SUM(H54:H57)</f>
        <v>-596.70000000000005</v>
      </c>
    </row>
    <row r="60" spans="1:8" ht="13.5" thickTop="1">
      <c r="A60" s="61"/>
      <c r="B60" s="62"/>
      <c r="C60" s="62"/>
      <c r="D60" s="62"/>
      <c r="E60" s="62"/>
      <c r="F60" s="68"/>
      <c r="G60" s="70"/>
      <c r="H60" s="70"/>
    </row>
    <row r="61" spans="1:8">
      <c r="A61" s="61"/>
      <c r="B61" s="62"/>
      <c r="C61" s="62"/>
      <c r="D61" s="62"/>
      <c r="E61" s="62"/>
      <c r="F61" s="68"/>
      <c r="G61" s="70"/>
      <c r="H61" s="70"/>
    </row>
    <row r="62" spans="1:8">
      <c r="A62" s="61"/>
      <c r="B62" s="62" t="s">
        <v>101</v>
      </c>
      <c r="C62" s="62"/>
      <c r="D62" s="62"/>
      <c r="E62" s="62"/>
      <c r="F62" s="69"/>
      <c r="G62" s="69"/>
      <c r="H62" s="69"/>
    </row>
    <row r="63" spans="1:8">
      <c r="A63" s="61">
        <v>32</v>
      </c>
      <c r="B63" s="65"/>
      <c r="C63" s="65" t="s">
        <v>81</v>
      </c>
      <c r="D63" s="65"/>
      <c r="E63" s="65"/>
      <c r="F63" s="64">
        <v>0</v>
      </c>
      <c r="G63" s="64">
        <v>0</v>
      </c>
      <c r="H63" s="64">
        <v>0</v>
      </c>
    </row>
    <row r="64" spans="1:8">
      <c r="A64" s="61">
        <v>33</v>
      </c>
      <c r="B64" s="65"/>
      <c r="C64" s="65" t="s">
        <v>102</v>
      </c>
      <c r="D64" s="65"/>
      <c r="E64" s="65"/>
      <c r="F64" s="66">
        <v>0</v>
      </c>
      <c r="G64" s="66">
        <v>0</v>
      </c>
      <c r="H64" s="66">
        <v>0</v>
      </c>
    </row>
    <row r="65" spans="1:8">
      <c r="A65" s="61">
        <v>34</v>
      </c>
      <c r="B65" s="65"/>
      <c r="C65" s="65" t="s">
        <v>103</v>
      </c>
      <c r="D65" s="65"/>
      <c r="E65" s="65"/>
      <c r="F65" s="67">
        <v>0</v>
      </c>
      <c r="G65" s="67">
        <v>0</v>
      </c>
      <c r="H65" s="67">
        <v>0</v>
      </c>
    </row>
    <row r="66" spans="1:8">
      <c r="A66" s="61">
        <v>35</v>
      </c>
      <c r="B66" s="65"/>
      <c r="C66" s="65"/>
      <c r="D66" s="65"/>
      <c r="E66" s="65" t="s">
        <v>104</v>
      </c>
      <c r="F66" s="68">
        <f>SUM(F63:F65)</f>
        <v>0</v>
      </c>
      <c r="G66" s="70">
        <f>SUM(G63:G65)</f>
        <v>0</v>
      </c>
      <c r="H66" s="70">
        <f>SUM(H63:H65)</f>
        <v>0</v>
      </c>
    </row>
    <row r="67" spans="1:8">
      <c r="A67" s="61"/>
      <c r="B67" s="65"/>
      <c r="C67" s="65"/>
      <c r="D67" s="65"/>
      <c r="E67" s="65"/>
      <c r="F67" s="68"/>
      <c r="G67" s="70"/>
      <c r="H67" s="70"/>
    </row>
    <row r="68" spans="1:8">
      <c r="A68" s="61"/>
      <c r="B68" s="65" t="s">
        <v>105</v>
      </c>
      <c r="C68" s="65"/>
      <c r="D68" s="65"/>
      <c r="E68" s="65"/>
      <c r="F68" s="69"/>
      <c r="G68" s="69"/>
      <c r="H68" s="69"/>
    </row>
    <row r="69" spans="1:8">
      <c r="A69" s="61">
        <v>36</v>
      </c>
      <c r="B69" s="65"/>
      <c r="C69" s="65" t="s">
        <v>81</v>
      </c>
      <c r="D69" s="65"/>
      <c r="E69" s="65"/>
      <c r="F69" s="69">
        <v>0</v>
      </c>
      <c r="G69" s="69">
        <v>0</v>
      </c>
      <c r="H69" s="69">
        <v>0</v>
      </c>
    </row>
    <row r="70" spans="1:8">
      <c r="A70" s="61">
        <v>37</v>
      </c>
      <c r="B70" s="65"/>
      <c r="C70" s="65" t="s">
        <v>102</v>
      </c>
      <c r="D70" s="65"/>
      <c r="E70" s="65"/>
      <c r="F70" s="69">
        <v>0</v>
      </c>
      <c r="G70" s="69">
        <v>0</v>
      </c>
      <c r="H70" s="69">
        <v>0</v>
      </c>
    </row>
    <row r="71" spans="1:8">
      <c r="A71" s="61">
        <v>38</v>
      </c>
      <c r="B71" s="65"/>
      <c r="C71" s="65" t="s">
        <v>103</v>
      </c>
      <c r="D71" s="65"/>
      <c r="E71" s="65"/>
      <c r="F71" s="69">
        <v>0</v>
      </c>
      <c r="G71" s="69">
        <v>0</v>
      </c>
      <c r="H71" s="69">
        <v>0</v>
      </c>
    </row>
    <row r="72" spans="1:8">
      <c r="A72" s="61">
        <v>39</v>
      </c>
      <c r="B72" s="65" t="s">
        <v>106</v>
      </c>
      <c r="C72" s="65"/>
      <c r="D72" s="65"/>
      <c r="E72" s="75"/>
      <c r="F72" s="81">
        <f>SUM(F69:F71)</f>
        <v>0</v>
      </c>
      <c r="G72" s="82">
        <f>SUM(G69:G71)</f>
        <v>0</v>
      </c>
      <c r="H72" s="82">
        <f>SUM(H69:H71)</f>
        <v>0</v>
      </c>
    </row>
    <row r="73" spans="1:8">
      <c r="A73" s="61">
        <v>40</v>
      </c>
      <c r="B73" s="78" t="s">
        <v>107</v>
      </c>
      <c r="C73" s="65"/>
      <c r="D73" s="65"/>
      <c r="E73" s="65"/>
      <c r="F73" s="83">
        <f>F66-F72</f>
        <v>0</v>
      </c>
      <c r="G73" s="83">
        <f>G66-G72</f>
        <v>0</v>
      </c>
      <c r="H73" s="83">
        <f>H66-H72</f>
        <v>0</v>
      </c>
    </row>
    <row r="74" spans="1:8">
      <c r="A74" s="84">
        <v>41</v>
      </c>
      <c r="B74" s="85" t="s">
        <v>108</v>
      </c>
      <c r="C74" s="85"/>
      <c r="D74" s="85"/>
      <c r="E74" s="85"/>
      <c r="F74" s="67"/>
      <c r="G74" s="67"/>
      <c r="H74" s="67"/>
    </row>
    <row r="75" spans="1:8">
      <c r="A75" s="84">
        <v>42</v>
      </c>
      <c r="B75" s="85"/>
      <c r="C75" s="86" t="s">
        <v>60</v>
      </c>
      <c r="D75" s="85"/>
      <c r="E75" s="85"/>
      <c r="F75" s="83">
        <f>F73+F74</f>
        <v>0</v>
      </c>
      <c r="G75" s="83">
        <f>G73+G74</f>
        <v>0</v>
      </c>
      <c r="H75" s="83">
        <f>H73+H74</f>
        <v>0</v>
      </c>
    </row>
    <row r="76" spans="1:8">
      <c r="A76" s="61">
        <v>43</v>
      </c>
      <c r="B76" s="87" t="s">
        <v>109</v>
      </c>
      <c r="C76" s="87"/>
      <c r="D76" s="87"/>
      <c r="E76" s="87"/>
      <c r="F76" s="66"/>
      <c r="G76" s="66"/>
      <c r="H76" s="66"/>
    </row>
    <row r="77" spans="1:8">
      <c r="A77" s="61">
        <v>44</v>
      </c>
      <c r="B77" s="87" t="s">
        <v>110</v>
      </c>
      <c r="C77" s="87"/>
      <c r="D77" s="87"/>
      <c r="E77" s="87"/>
      <c r="F77" s="72"/>
      <c r="G77" s="72"/>
      <c r="H77" s="72"/>
    </row>
    <row r="78" spans="1:8">
      <c r="A78" s="61">
        <v>45</v>
      </c>
      <c r="B78" s="87" t="s">
        <v>111</v>
      </c>
      <c r="C78" s="87"/>
      <c r="D78" s="87"/>
      <c r="E78" s="87"/>
      <c r="F78" s="72"/>
      <c r="G78" s="72"/>
      <c r="H78" s="72"/>
    </row>
    <row r="79" spans="1:8">
      <c r="A79" s="61">
        <v>46</v>
      </c>
      <c r="B79" s="87" t="s">
        <v>112</v>
      </c>
      <c r="C79" s="87"/>
      <c r="D79" s="87"/>
      <c r="E79" s="87"/>
      <c r="F79" s="67"/>
      <c r="G79" s="67"/>
      <c r="H79" s="67"/>
    </row>
    <row r="80" spans="1:8">
      <c r="A80" s="61"/>
      <c r="B80" s="62"/>
      <c r="C80" s="62"/>
      <c r="D80" s="62"/>
      <c r="E80" s="62"/>
    </row>
    <row r="81" spans="1:8" ht="13.5" thickBot="1">
      <c r="A81" s="61">
        <v>47</v>
      </c>
      <c r="B81" s="63" t="s">
        <v>113</v>
      </c>
      <c r="C81" s="63"/>
      <c r="D81" s="63"/>
      <c r="E81" s="63"/>
      <c r="F81" s="88">
        <f>F79+F80</f>
        <v>0</v>
      </c>
      <c r="G81" s="88">
        <f>G79+G80</f>
        <v>0</v>
      </c>
      <c r="H81" s="88">
        <f>H79+H80</f>
        <v>0</v>
      </c>
    </row>
    <row r="82" spans="1:8" ht="13.5" thickTop="1">
      <c r="A82" s="61"/>
      <c r="B82" s="62"/>
      <c r="C82" s="62"/>
      <c r="D82" s="62"/>
      <c r="E82" s="62"/>
    </row>
    <row r="83" spans="1:8">
      <c r="F83" s="89"/>
      <c r="G83" s="89"/>
      <c r="H83" s="89"/>
    </row>
    <row r="84" spans="1:8">
      <c r="F84" s="89"/>
      <c r="G84" s="89"/>
      <c r="H84" s="89"/>
    </row>
    <row r="85" spans="1:8">
      <c r="F85" s="89"/>
      <c r="G85" s="89"/>
      <c r="H85" s="89"/>
    </row>
    <row r="86" spans="1:8">
      <c r="F86" s="89"/>
      <c r="G86" s="89"/>
      <c r="H86" s="89"/>
    </row>
    <row r="87" spans="1:8" s="45" customFormat="1" ht="12">
      <c r="A87" s="3"/>
      <c r="B87" s="2"/>
      <c r="C87" s="2"/>
      <c r="D87" s="2"/>
      <c r="E87" s="43"/>
    </row>
    <row r="88" spans="1:8" s="45" customFormat="1" ht="12">
      <c r="A88" s="3"/>
      <c r="B88" s="2"/>
      <c r="C88" s="2"/>
      <c r="D88" s="2"/>
      <c r="E88" s="43"/>
    </row>
  </sheetData>
  <pageMargins left="0.7" right="0.7" top="0.75" bottom="0.75" header="0.3" footer="0.3"/>
  <pageSetup scale="66" fitToWidth="0" orientation="portrait" r:id="rId1"/>
  <headerFooter>
    <oddHeader>&amp;RExhibit No. ___ (JH-5)
Dockets UE-120436 &amp;&amp; UG-120437
Page 2 of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114"/>
  <sheetViews>
    <sheetView topLeftCell="A47" zoomScaleNormal="100" workbookViewId="0">
      <selection activeCell="F50" sqref="F50"/>
    </sheetView>
  </sheetViews>
  <sheetFormatPr defaultRowHeight="12.75"/>
  <cols>
    <col min="1" max="1" width="3.5" customWidth="1"/>
    <col min="2" max="2" width="13.5" customWidth="1"/>
    <col min="3" max="3" width="21.6640625" customWidth="1"/>
    <col min="4" max="4" width="12.83203125" style="160" customWidth="1"/>
    <col min="5" max="5" width="16" style="75" customWidth="1"/>
    <col min="6" max="6" width="15.6640625" style="75" hidden="1" customWidth="1"/>
    <col min="7" max="7" width="2.83203125" style="145" hidden="1" customWidth="1"/>
    <col min="8" max="8" width="11.1640625" style="75" hidden="1" customWidth="1"/>
    <col min="9" max="9" width="12.6640625" style="75" hidden="1" customWidth="1"/>
    <col min="10" max="10" width="16.1640625" hidden="1" customWidth="1"/>
  </cols>
  <sheetData>
    <row r="1" spans="1:10">
      <c r="A1" s="123" t="s">
        <v>141</v>
      </c>
      <c r="B1" s="124"/>
      <c r="C1" s="125"/>
      <c r="D1" s="126"/>
      <c r="E1" s="125"/>
      <c r="F1" s="125"/>
      <c r="G1" s="127"/>
      <c r="H1" s="125"/>
      <c r="I1" s="125"/>
      <c r="J1" s="128"/>
    </row>
    <row r="2" spans="1:10">
      <c r="A2" s="123" t="s">
        <v>142</v>
      </c>
      <c r="B2" s="124"/>
      <c r="C2" s="125"/>
      <c r="D2" s="126"/>
      <c r="E2" s="125"/>
      <c r="F2" s="125"/>
      <c r="G2" s="127"/>
      <c r="H2" s="125"/>
      <c r="I2" s="125"/>
      <c r="J2" s="128"/>
    </row>
    <row r="3" spans="1:10">
      <c r="A3" s="129" t="s">
        <v>143</v>
      </c>
      <c r="B3" s="124"/>
      <c r="C3" s="125"/>
      <c r="D3" s="126"/>
      <c r="E3" s="125"/>
      <c r="F3" s="125"/>
      <c r="G3" s="127"/>
      <c r="H3" s="125"/>
      <c r="I3" s="125"/>
      <c r="J3" s="128"/>
    </row>
    <row r="4" spans="1:10">
      <c r="A4" s="124"/>
      <c r="B4" s="124"/>
      <c r="C4" s="125"/>
      <c r="D4" s="126"/>
      <c r="E4" s="125"/>
      <c r="F4" s="125"/>
      <c r="G4" s="127"/>
      <c r="H4" s="125"/>
      <c r="I4" s="125"/>
      <c r="J4" s="128"/>
    </row>
    <row r="5" spans="1:10">
      <c r="A5" s="124"/>
      <c r="B5" s="124"/>
      <c r="C5" s="125"/>
      <c r="D5" s="126"/>
      <c r="E5" s="130" t="s">
        <v>10</v>
      </c>
      <c r="F5" s="131" t="s">
        <v>144</v>
      </c>
      <c r="G5" s="132"/>
      <c r="H5" s="133" t="s">
        <v>145</v>
      </c>
      <c r="I5" s="133" t="s">
        <v>145</v>
      </c>
    </row>
    <row r="6" spans="1:10">
      <c r="A6" s="124"/>
      <c r="B6" s="124"/>
      <c r="C6" s="125"/>
      <c r="D6" s="126"/>
      <c r="E6" s="134" t="s">
        <v>146</v>
      </c>
      <c r="F6" s="130" t="s">
        <v>147</v>
      </c>
      <c r="G6" s="135"/>
      <c r="H6" s="133" t="s">
        <v>148</v>
      </c>
      <c r="I6" s="133" t="s">
        <v>149</v>
      </c>
      <c r="J6" s="133" t="s">
        <v>145</v>
      </c>
    </row>
    <row r="7" spans="1:10">
      <c r="A7" s="136" t="s">
        <v>150</v>
      </c>
      <c r="B7" s="124"/>
      <c r="C7" s="125"/>
      <c r="D7" s="126"/>
      <c r="E7" s="137" t="s">
        <v>151</v>
      </c>
      <c r="F7" s="138" t="s">
        <v>152</v>
      </c>
      <c r="G7" s="139"/>
      <c r="H7" s="138" t="s">
        <v>64</v>
      </c>
      <c r="I7" s="138" t="s">
        <v>64</v>
      </c>
      <c r="J7" s="138" t="s">
        <v>153</v>
      </c>
    </row>
    <row r="8" spans="1:10">
      <c r="A8" s="75"/>
      <c r="B8" s="124"/>
      <c r="C8" s="125"/>
      <c r="D8" s="126"/>
      <c r="E8" s="125"/>
      <c r="F8" s="125"/>
      <c r="G8" s="127"/>
      <c r="H8" s="125"/>
      <c r="I8" s="125"/>
      <c r="J8" s="140"/>
    </row>
    <row r="9" spans="1:10">
      <c r="A9" s="75" t="s">
        <v>80</v>
      </c>
      <c r="B9" s="124"/>
      <c r="C9" s="125"/>
      <c r="D9" s="126" t="s">
        <v>154</v>
      </c>
      <c r="E9" s="141">
        <f>'[2]PLN-E '!N51</f>
        <v>418249</v>
      </c>
      <c r="F9" s="141">
        <f>'[2]PLN-E '!R51</f>
        <v>-47524</v>
      </c>
      <c r="G9" s="142"/>
      <c r="H9" s="141">
        <f>'[2]PLN-E '!S51</f>
        <v>428377</v>
      </c>
      <c r="I9" s="141">
        <f>'[2]PLN-E '!T51</f>
        <v>447775</v>
      </c>
      <c r="J9" s="141">
        <f>I9+H9</f>
        <v>876152</v>
      </c>
    </row>
    <row r="10" spans="1:10" ht="13.5" thickBot="1">
      <c r="A10" s="75" t="s">
        <v>155</v>
      </c>
      <c r="B10" s="124"/>
      <c r="C10" s="125"/>
      <c r="D10" s="126" t="s">
        <v>154</v>
      </c>
      <c r="E10" s="141">
        <f>'[2]PLN-E '!N67</f>
        <v>108720</v>
      </c>
      <c r="F10" s="141">
        <f>'[2]PLN-E '!R67</f>
        <v>0</v>
      </c>
      <c r="G10" s="142"/>
      <c r="H10" s="141">
        <f>'[2]PLN-E '!S67</f>
        <v>114428</v>
      </c>
      <c r="I10" s="141">
        <f>'[2]PLN-E '!T67</f>
        <v>119609</v>
      </c>
      <c r="J10" s="141">
        <f>I10+H10</f>
        <v>234037</v>
      </c>
    </row>
    <row r="11" spans="1:10" ht="14.25" thickTop="1" thickBot="1">
      <c r="A11" s="75"/>
      <c r="B11" s="75" t="s">
        <v>156</v>
      </c>
      <c r="C11" s="125"/>
      <c r="D11" s="126"/>
      <c r="E11" s="143">
        <f>E9+E10</f>
        <v>526969</v>
      </c>
      <c r="F11" s="144">
        <f>F9+F10</f>
        <v>-47524</v>
      </c>
      <c r="G11" s="142"/>
      <c r="H11" s="144">
        <f>H9+H10</f>
        <v>542805</v>
      </c>
      <c r="I11" s="144">
        <f>I9+I10</f>
        <v>567384</v>
      </c>
      <c r="J11" s="144">
        <f>I11+H11</f>
        <v>1110189</v>
      </c>
    </row>
    <row r="12" spans="1:10" ht="14.25" thickTop="1" thickBot="1">
      <c r="A12" s="75"/>
      <c r="B12" s="124"/>
      <c r="C12" s="125"/>
      <c r="D12" s="126"/>
      <c r="J12" s="75"/>
    </row>
    <row r="13" spans="1:10" ht="14.25" thickTop="1" thickBot="1">
      <c r="A13" s="75" t="s">
        <v>87</v>
      </c>
      <c r="B13" s="124"/>
      <c r="C13" s="125"/>
      <c r="D13" s="126" t="s">
        <v>154</v>
      </c>
      <c r="E13" s="143">
        <f>'[2]PLN-E '!N89</f>
        <v>392294</v>
      </c>
      <c r="F13" s="141">
        <f>'[2]PLN-E '!R89</f>
        <v>0</v>
      </c>
      <c r="G13" s="142"/>
      <c r="H13" s="141">
        <f>'[2]PLN-E '!S89</f>
        <v>383550</v>
      </c>
      <c r="I13" s="141">
        <f>'[2]PLN-E '!T89</f>
        <v>400917</v>
      </c>
      <c r="J13" s="141">
        <f>I13+H13</f>
        <v>784467</v>
      </c>
    </row>
    <row r="14" spans="1:10" ht="13.5" thickTop="1">
      <c r="A14" s="75"/>
      <c r="B14" s="124"/>
      <c r="C14" s="125"/>
      <c r="D14" s="126"/>
      <c r="J14" s="75"/>
    </row>
    <row r="15" spans="1:10">
      <c r="A15" s="75" t="s">
        <v>157</v>
      </c>
      <c r="B15" s="124"/>
      <c r="C15" s="125"/>
      <c r="D15" s="126" t="s">
        <v>154</v>
      </c>
      <c r="E15" s="141">
        <f>'[2]PLN-E '!N96</f>
        <v>173184</v>
      </c>
      <c r="F15" s="141">
        <f>'[2]PLN-E '!R96</f>
        <v>0</v>
      </c>
      <c r="G15" s="142"/>
      <c r="H15" s="141">
        <f>'[2]PLN-E '!S96</f>
        <v>182443</v>
      </c>
      <c r="I15" s="141">
        <f>'[2]PLN-E '!T96</f>
        <v>190703</v>
      </c>
      <c r="J15" s="141">
        <f>I15+H15</f>
        <v>373146</v>
      </c>
    </row>
    <row r="16" spans="1:10">
      <c r="A16" s="75" t="s">
        <v>158</v>
      </c>
      <c r="B16" s="124"/>
      <c r="C16" s="125"/>
      <c r="D16" s="126" t="s">
        <v>154</v>
      </c>
      <c r="E16" s="141">
        <f>'[2]PLN-E '!N103</f>
        <v>14264</v>
      </c>
      <c r="F16" s="141">
        <f>'[2]PLN-E '!R103</f>
        <v>0</v>
      </c>
      <c r="G16" s="142"/>
      <c r="H16" s="141">
        <f>'[2]PLN-E '!S103</f>
        <v>15728</v>
      </c>
      <c r="I16" s="141">
        <f>'[2]PLN-E '!T103</f>
        <v>16439</v>
      </c>
      <c r="J16" s="141">
        <f>I16+H16</f>
        <v>32167</v>
      </c>
    </row>
    <row r="17" spans="1:10">
      <c r="A17" s="75" t="s">
        <v>159</v>
      </c>
      <c r="B17" s="124"/>
      <c r="C17" s="125"/>
      <c r="D17" s="126" t="s">
        <v>154</v>
      </c>
      <c r="E17" s="141">
        <f>'[2]PLN-E '!N110</f>
        <v>24</v>
      </c>
      <c r="F17" s="141">
        <f>'[2]PLN-E '!R110</f>
        <v>0</v>
      </c>
      <c r="G17" s="142"/>
      <c r="H17" s="141">
        <f>'[2]PLN-E '!S110</f>
        <v>26</v>
      </c>
      <c r="I17" s="141">
        <f>'[2]PLN-E '!T110</f>
        <v>27</v>
      </c>
      <c r="J17" s="141">
        <f>I17+H17</f>
        <v>53</v>
      </c>
    </row>
    <row r="18" spans="1:10" ht="13.5" thickBot="1">
      <c r="A18" s="75"/>
      <c r="B18" s="124"/>
      <c r="C18" s="125"/>
      <c r="D18" s="126"/>
      <c r="J18" s="75">
        <f>I18+H18</f>
        <v>0</v>
      </c>
    </row>
    <row r="19" spans="1:10" ht="14.25" thickTop="1" thickBot="1">
      <c r="A19" s="75" t="s">
        <v>160</v>
      </c>
      <c r="B19" s="124"/>
      <c r="C19" s="125"/>
      <c r="D19" s="126" t="s">
        <v>154</v>
      </c>
      <c r="E19" s="143">
        <f>'[2]PLN-E '!N125</f>
        <v>391799</v>
      </c>
      <c r="F19" s="141">
        <f>'[2]PLN-E '!R125</f>
        <v>-632118</v>
      </c>
      <c r="G19" s="142"/>
      <c r="H19" s="141">
        <f>'[2]PLN-E '!S125</f>
        <v>488348</v>
      </c>
      <c r="I19" s="141">
        <f>'[2]PLN-E '!T125</f>
        <v>510460</v>
      </c>
      <c r="J19" s="146">
        <f>I19+H19</f>
        <v>998808</v>
      </c>
    </row>
    <row r="20" spans="1:10" ht="13.5" thickTop="1">
      <c r="A20" s="75"/>
      <c r="B20" s="124"/>
      <c r="C20" s="125"/>
      <c r="D20" s="126"/>
      <c r="E20" s="147"/>
      <c r="F20" s="148"/>
      <c r="H20" s="148"/>
      <c r="I20" s="148"/>
    </row>
    <row r="21" spans="1:10" ht="13.5" thickBot="1">
      <c r="A21" s="75" t="s">
        <v>161</v>
      </c>
      <c r="B21" s="124"/>
      <c r="C21" s="125"/>
      <c r="D21" s="126"/>
      <c r="E21" s="141">
        <f>SUM(E11:E19)</f>
        <v>1498534</v>
      </c>
      <c r="F21" s="149">
        <f>SUM(F11:F19)</f>
        <v>-679642</v>
      </c>
      <c r="G21" s="142"/>
      <c r="H21" s="149">
        <f>SUM(H11:H19)</f>
        <v>1612900</v>
      </c>
      <c r="I21" s="149">
        <f>SUM(I11:I19)</f>
        <v>1685930</v>
      </c>
      <c r="J21" s="150">
        <f>I21+H21</f>
        <v>3298830</v>
      </c>
    </row>
    <row r="22" spans="1:10" ht="14.25" thickTop="1" thickBot="1">
      <c r="A22" s="75"/>
      <c r="B22" s="124"/>
      <c r="C22" s="125"/>
      <c r="D22" s="126"/>
      <c r="E22" s="151"/>
      <c r="F22" s="151"/>
      <c r="H22" s="151"/>
      <c r="I22" s="151"/>
      <c r="J22" s="128"/>
    </row>
    <row r="23" spans="1:10" ht="13.5" hidden="1" thickBot="1">
      <c r="A23" s="123" t="s">
        <v>141</v>
      </c>
      <c r="B23" s="124"/>
      <c r="C23" s="125"/>
      <c r="D23" s="126"/>
      <c r="E23" s="125"/>
      <c r="F23" s="125">
        <f>+ROUND([2]Summary!E55/1000,0)</f>
        <v>18</v>
      </c>
      <c r="G23" s="127"/>
      <c r="H23" s="125"/>
      <c r="I23" s="125"/>
      <c r="J23" s="128"/>
    </row>
    <row r="24" spans="1:10" ht="13.5" hidden="1" thickBot="1">
      <c r="A24" s="123" t="s">
        <v>142</v>
      </c>
      <c r="B24" s="124"/>
      <c r="C24" s="125"/>
      <c r="D24" s="126"/>
      <c r="E24" s="125"/>
      <c r="F24" s="125"/>
      <c r="G24" s="127"/>
      <c r="H24" s="125"/>
      <c r="I24" s="125"/>
      <c r="J24" s="128"/>
    </row>
    <row r="25" spans="1:10" ht="13.5" hidden="1" thickBot="1">
      <c r="A25" s="124" t="str">
        <f>A3</f>
        <v>Twelve Months Ended December 31, 2011</v>
      </c>
      <c r="B25" s="124"/>
      <c r="C25" s="125"/>
      <c r="D25" s="126"/>
      <c r="E25" s="125"/>
      <c r="F25" s="125"/>
      <c r="G25" s="127"/>
      <c r="H25" s="125"/>
      <c r="I25" s="125"/>
      <c r="J25" s="128"/>
    </row>
    <row r="26" spans="1:10" ht="13.5" hidden="1" thickBot="1">
      <c r="A26" s="124"/>
      <c r="B26" s="124"/>
      <c r="C26" s="125"/>
      <c r="D26" s="126"/>
      <c r="E26" s="125"/>
      <c r="F26" s="125"/>
      <c r="G26" s="127"/>
      <c r="H26" s="125"/>
      <c r="I26" s="125"/>
      <c r="J26" s="128"/>
    </row>
    <row r="27" spans="1:10" ht="13.5" hidden="1" thickBot="1">
      <c r="A27" s="124"/>
      <c r="B27" s="124"/>
      <c r="C27" s="125"/>
      <c r="D27" s="126"/>
      <c r="E27" s="130" t="s">
        <v>10</v>
      </c>
      <c r="F27" s="131" t="str">
        <f>F5</f>
        <v>Net 2013</v>
      </c>
      <c r="G27" s="132"/>
      <c r="H27" s="133" t="s">
        <v>145</v>
      </c>
      <c r="I27" s="133" t="s">
        <v>145</v>
      </c>
    </row>
    <row r="28" spans="1:10" ht="13.5" hidden="1" thickBot="1">
      <c r="A28" s="124"/>
      <c r="B28" s="124"/>
      <c r="C28" s="125"/>
      <c r="D28" s="126"/>
      <c r="E28" s="134" t="str">
        <f>E6</f>
        <v>2011 to 2013</v>
      </c>
      <c r="F28" s="130" t="s">
        <v>147</v>
      </c>
      <c r="G28" s="135"/>
      <c r="H28" s="133" t="s">
        <v>148</v>
      </c>
      <c r="I28" s="133" t="s">
        <v>149</v>
      </c>
      <c r="J28" s="133" t="s">
        <v>145</v>
      </c>
    </row>
    <row r="29" spans="1:10" ht="13.5" hidden="1" thickBot="1">
      <c r="A29" s="136" t="s">
        <v>162</v>
      </c>
      <c r="B29" s="124"/>
      <c r="C29" s="125"/>
      <c r="D29" s="126"/>
      <c r="E29" s="137" t="s">
        <v>151</v>
      </c>
      <c r="F29" s="138" t="s">
        <v>152</v>
      </c>
      <c r="G29" s="139"/>
      <c r="H29" s="138" t="s">
        <v>64</v>
      </c>
      <c r="I29" s="138" t="s">
        <v>64</v>
      </c>
      <c r="J29" s="138" t="s">
        <v>153</v>
      </c>
    </row>
    <row r="30" spans="1:10" ht="13.5" hidden="1" thickBot="1">
      <c r="A30" s="75"/>
      <c r="B30" s="124"/>
      <c r="C30" s="125"/>
      <c r="D30" s="126"/>
      <c r="E30" s="125"/>
      <c r="F30" s="125"/>
      <c r="G30" s="127"/>
      <c r="H30" s="125"/>
      <c r="I30" s="125"/>
      <c r="J30" s="140"/>
    </row>
    <row r="31" spans="1:10" ht="13.5" hidden="1" thickBot="1">
      <c r="A31" s="75" t="s">
        <v>80</v>
      </c>
      <c r="B31" s="124"/>
      <c r="C31" s="125"/>
      <c r="D31" s="126"/>
      <c r="E31" s="141">
        <f>'[2]E-ID-ADJ'!N51</f>
        <v>234189</v>
      </c>
      <c r="F31" s="141">
        <f>'[2]E-ID-ADJ'!R51</f>
        <v>-25529</v>
      </c>
      <c r="G31" s="142"/>
      <c r="H31" s="141">
        <f>'[2]E-ID-ADJ'!S51</f>
        <v>228245</v>
      </c>
      <c r="I31" s="141">
        <f>'[2]E-ID-ADJ'!T51</f>
        <v>62256</v>
      </c>
      <c r="J31" s="152">
        <f>I31+H31</f>
        <v>290501</v>
      </c>
    </row>
    <row r="32" spans="1:10" ht="13.5" hidden="1" thickBot="1">
      <c r="A32" s="75" t="s">
        <v>155</v>
      </c>
      <c r="B32" s="124"/>
      <c r="C32" s="125"/>
      <c r="D32" s="126"/>
      <c r="E32" s="141">
        <f>'[2]E-ID-ADJ'!N67</f>
        <v>62588</v>
      </c>
      <c r="F32" s="141">
        <f>'[2]E-ID-ADJ'!R67</f>
        <v>0</v>
      </c>
      <c r="G32" s="142"/>
      <c r="H32" s="141">
        <f>'[2]E-ID-ADJ'!S67</f>
        <v>61082</v>
      </c>
      <c r="I32" s="141">
        <f>'[2]E-ID-ADJ'!T67</f>
        <v>0</v>
      </c>
      <c r="J32" s="153">
        <f>I32+H32</f>
        <v>61082</v>
      </c>
    </row>
    <row r="33" spans="1:10" ht="13.5" hidden="1" thickBot="1">
      <c r="A33" s="75"/>
      <c r="B33" s="75" t="s">
        <v>156</v>
      </c>
      <c r="C33" s="125"/>
      <c r="D33" s="126"/>
      <c r="E33" s="144">
        <f>E31+E32</f>
        <v>296777</v>
      </c>
      <c r="F33" s="144">
        <f>F31+F32</f>
        <v>-25529</v>
      </c>
      <c r="G33" s="142"/>
      <c r="H33" s="144">
        <f>H31+H32</f>
        <v>289327</v>
      </c>
      <c r="I33" s="144">
        <f>I31+I32</f>
        <v>62256</v>
      </c>
      <c r="J33" s="152">
        <f>I33+H33</f>
        <v>351583</v>
      </c>
    </row>
    <row r="34" spans="1:10" ht="13.5" hidden="1" thickBot="1">
      <c r="A34" s="75"/>
      <c r="B34" s="124"/>
      <c r="C34" s="125"/>
      <c r="D34" s="126"/>
      <c r="F34" s="75">
        <f>+(ROUND([2]Summary!E59/1000,0))</f>
        <v>185</v>
      </c>
      <c r="J34" s="152"/>
    </row>
    <row r="35" spans="1:10" ht="13.5" hidden="1" thickBot="1">
      <c r="A35" s="75" t="s">
        <v>87</v>
      </c>
      <c r="B35" s="124"/>
      <c r="C35" s="125"/>
      <c r="D35" s="126"/>
      <c r="E35" s="141">
        <f>'[2]E-ID-ADJ'!N89</f>
        <v>186616</v>
      </c>
      <c r="F35" s="141">
        <f>'[2]E-ID-ADJ'!R89</f>
        <v>0</v>
      </c>
      <c r="G35" s="142"/>
      <c r="H35" s="141">
        <f>'[2]E-ID-ADJ'!S89</f>
        <v>177783</v>
      </c>
      <c r="I35" s="141">
        <f>'[2]E-ID-ADJ'!T89</f>
        <v>0</v>
      </c>
      <c r="J35" s="152">
        <f>I35+H35</f>
        <v>177783</v>
      </c>
    </row>
    <row r="36" spans="1:10" ht="13.5" hidden="1" thickBot="1">
      <c r="A36" s="75"/>
      <c r="B36" s="124"/>
      <c r="C36" s="125"/>
      <c r="D36" s="126"/>
      <c r="J36" s="152"/>
    </row>
    <row r="37" spans="1:10" ht="13.5" hidden="1" thickBot="1">
      <c r="A37" s="75" t="s">
        <v>157</v>
      </c>
      <c r="B37" s="124"/>
      <c r="C37" s="125"/>
      <c r="D37" s="126"/>
      <c r="E37" s="141">
        <f>'[2]E-ID-ADJ'!N96</f>
        <v>75732</v>
      </c>
      <c r="F37" s="141">
        <f>'[2]E-ID-ADJ'!R96</f>
        <v>0</v>
      </c>
      <c r="G37" s="142"/>
      <c r="H37" s="141">
        <f>'[2]E-ID-ADJ'!S96</f>
        <v>74535</v>
      </c>
      <c r="I37" s="141">
        <f>'[2]E-ID-ADJ'!T96</f>
        <v>0</v>
      </c>
      <c r="J37" s="152">
        <f>I37+H37</f>
        <v>74535</v>
      </c>
    </row>
    <row r="38" spans="1:10" ht="13.5" hidden="1" thickBot="1">
      <c r="A38" s="75" t="s">
        <v>158</v>
      </c>
      <c r="B38" s="124"/>
      <c r="C38" s="125"/>
      <c r="D38" s="126"/>
      <c r="E38" s="141">
        <f>'[2]E-ID-ADJ'!N103</f>
        <v>9643</v>
      </c>
      <c r="F38" s="141">
        <f>'[2]E-ID-ADJ'!R103</f>
        <v>0</v>
      </c>
      <c r="G38" s="142"/>
      <c r="H38" s="141">
        <f>'[2]E-ID-ADJ'!S103</f>
        <v>9551</v>
      </c>
      <c r="I38" s="141">
        <f>'[2]E-ID-ADJ'!T103</f>
        <v>0</v>
      </c>
      <c r="J38" s="152">
        <f>I38+H38</f>
        <v>9551</v>
      </c>
    </row>
    <row r="39" spans="1:10" ht="13.5" hidden="1" thickBot="1">
      <c r="A39" s="75" t="s">
        <v>159</v>
      </c>
      <c r="B39" s="124"/>
      <c r="C39" s="125"/>
      <c r="D39" s="126"/>
      <c r="E39" s="141">
        <f>'[2]E-ID-ADJ'!N110</f>
        <v>78</v>
      </c>
      <c r="F39" s="141">
        <f>+ROUND([2]Summary!E61/1000,0)</f>
        <v>105</v>
      </c>
      <c r="G39" s="142"/>
      <c r="H39" s="141">
        <f>'[2]E-ID-ADJ'!S110</f>
        <v>77</v>
      </c>
      <c r="I39" s="141">
        <f>'[2]E-ID-ADJ'!T110</f>
        <v>0</v>
      </c>
      <c r="J39" s="152">
        <f>I39+H39</f>
        <v>77</v>
      </c>
    </row>
    <row r="40" spans="1:10" ht="13.5" hidden="1" thickBot="1">
      <c r="A40" s="75"/>
      <c r="B40" s="124"/>
      <c r="C40" s="125"/>
      <c r="D40" s="126"/>
      <c r="F40" s="75">
        <f>+ROUND([2]Summary!E62/1000,0)</f>
        <v>9</v>
      </c>
      <c r="J40" s="152">
        <f>I40+H40</f>
        <v>0</v>
      </c>
    </row>
    <row r="41" spans="1:10" ht="13.5" hidden="1" thickBot="1">
      <c r="A41" s="75" t="s">
        <v>160</v>
      </c>
      <c r="B41" s="124"/>
      <c r="C41" s="125"/>
      <c r="D41" s="126"/>
      <c r="E41" s="141">
        <f>'[2]E-ID-ADJ'!N125</f>
        <v>211738</v>
      </c>
      <c r="F41" s="141">
        <f>'[2]E-ID-ADJ'!R125</f>
        <v>-331735</v>
      </c>
      <c r="G41" s="142"/>
      <c r="H41" s="141">
        <f>'[2]E-ID-ADJ'!S125</f>
        <v>240260</v>
      </c>
      <c r="I41" s="141">
        <f>'[2]E-ID-ADJ'!T125</f>
        <v>765111</v>
      </c>
      <c r="J41" s="153">
        <f>I41+H41</f>
        <v>1005371</v>
      </c>
    </row>
    <row r="42" spans="1:10" ht="13.5" hidden="1" thickBot="1">
      <c r="A42" s="75"/>
      <c r="B42" s="124"/>
      <c r="C42" s="125"/>
      <c r="D42" s="126"/>
      <c r="E42" s="147"/>
      <c r="F42" s="147"/>
      <c r="H42" s="147"/>
      <c r="I42" s="147"/>
      <c r="J42" s="152"/>
    </row>
    <row r="43" spans="1:10" ht="13.5" hidden="1" thickBot="1">
      <c r="A43" s="75" t="s">
        <v>163</v>
      </c>
      <c r="B43" s="124"/>
      <c r="C43" s="125"/>
      <c r="D43" s="126"/>
      <c r="E43" s="141">
        <f>SUM(E33:E41)</f>
        <v>780584</v>
      </c>
      <c r="F43" s="141">
        <f>SUM(F33:F41)</f>
        <v>-356965</v>
      </c>
      <c r="G43" s="142"/>
      <c r="H43" s="141">
        <f>SUM(H33:H41)</f>
        <v>791533</v>
      </c>
      <c r="I43" s="141">
        <f>SUM(I33:I41)</f>
        <v>827367</v>
      </c>
      <c r="J43" s="150">
        <f>I43+H43</f>
        <v>1618900</v>
      </c>
    </row>
    <row r="44" spans="1:10" ht="13.5" thickTop="1">
      <c r="A44" s="124"/>
      <c r="B44" s="124"/>
      <c r="C44" s="125"/>
      <c r="D44" s="126"/>
      <c r="E44" s="151"/>
      <c r="F44" s="151">
        <f>+ROUND([2]Summary!E65/1000,0)</f>
        <v>100</v>
      </c>
      <c r="H44" s="151"/>
      <c r="I44" s="151"/>
      <c r="J44" s="128"/>
    </row>
    <row r="45" spans="1:10">
      <c r="A45" s="124"/>
      <c r="B45" s="124"/>
      <c r="C45" s="125"/>
      <c r="D45" s="126"/>
      <c r="E45" s="125"/>
      <c r="F45" s="125"/>
      <c r="G45" s="127"/>
      <c r="H45" s="125"/>
      <c r="I45" s="125"/>
      <c r="J45" s="128"/>
    </row>
    <row r="46" spans="1:10">
      <c r="A46" s="124"/>
      <c r="B46" s="124"/>
      <c r="C46" s="125"/>
      <c r="D46" s="126"/>
      <c r="E46" s="125"/>
      <c r="F46" s="125"/>
      <c r="G46" s="127"/>
      <c r="H46" s="125"/>
      <c r="I46" s="125"/>
      <c r="J46" s="128"/>
    </row>
    <row r="47" spans="1:10">
      <c r="A47" s="123" t="s">
        <v>141</v>
      </c>
      <c r="B47" s="124"/>
      <c r="C47" s="125"/>
      <c r="D47" s="126"/>
      <c r="E47" s="125"/>
      <c r="F47" s="125"/>
      <c r="G47" s="127"/>
      <c r="H47" s="125"/>
      <c r="I47" s="125"/>
      <c r="J47" s="128"/>
    </row>
    <row r="48" spans="1:10">
      <c r="A48" s="123" t="s">
        <v>142</v>
      </c>
      <c r="B48" s="124"/>
      <c r="C48" s="125"/>
      <c r="D48" s="126"/>
      <c r="E48" s="125"/>
      <c r="F48" s="125"/>
      <c r="G48" s="127"/>
      <c r="H48" s="125"/>
      <c r="I48" s="125"/>
      <c r="J48" s="128"/>
    </row>
    <row r="49" spans="1:10">
      <c r="A49" s="124" t="str">
        <f>A3</f>
        <v>Twelve Months Ended December 31, 2011</v>
      </c>
      <c r="B49" s="124"/>
      <c r="C49" s="125"/>
      <c r="D49" s="126"/>
      <c r="E49" s="125"/>
      <c r="F49" s="158">
        <f>F21+F25+F31+F37+F39+F40+F41+F48</f>
        <v>-1036792</v>
      </c>
      <c r="G49" s="127"/>
      <c r="H49" s="125"/>
      <c r="I49" s="125"/>
      <c r="J49" s="128"/>
    </row>
    <row r="50" spans="1:10">
      <c r="A50" s="124"/>
      <c r="B50" s="124"/>
      <c r="C50" s="125"/>
      <c r="D50" s="126"/>
      <c r="E50" s="125"/>
      <c r="F50" s="125"/>
      <c r="G50" s="127"/>
      <c r="H50" s="125"/>
      <c r="I50" s="125"/>
      <c r="J50" s="128"/>
    </row>
    <row r="51" spans="1:10">
      <c r="A51" s="124"/>
      <c r="B51" s="124"/>
      <c r="C51" s="125"/>
      <c r="D51" s="126"/>
      <c r="E51" s="130" t="s">
        <v>10</v>
      </c>
      <c r="F51" s="131" t="str">
        <f>F27</f>
        <v>Net 2013</v>
      </c>
      <c r="G51" s="132"/>
      <c r="H51" s="133" t="s">
        <v>145</v>
      </c>
      <c r="I51" s="133" t="s">
        <v>145</v>
      </c>
    </row>
    <row r="52" spans="1:10">
      <c r="A52" s="124"/>
      <c r="B52" s="124"/>
      <c r="C52" s="125"/>
      <c r="D52" s="126"/>
      <c r="E52" s="134" t="str">
        <f>E28</f>
        <v>2011 to 2013</v>
      </c>
      <c r="F52" s="130" t="s">
        <v>147</v>
      </c>
      <c r="G52" s="135"/>
      <c r="H52" s="133" t="s">
        <v>148</v>
      </c>
      <c r="I52" s="133" t="s">
        <v>149</v>
      </c>
      <c r="J52" s="133" t="s">
        <v>145</v>
      </c>
    </row>
    <row r="53" spans="1:10">
      <c r="A53" s="136" t="s">
        <v>164</v>
      </c>
      <c r="B53" s="124"/>
      <c r="C53" s="125"/>
      <c r="D53" s="126"/>
      <c r="E53" s="137" t="s">
        <v>151</v>
      </c>
      <c r="F53" s="138" t="s">
        <v>152</v>
      </c>
      <c r="G53" s="139"/>
      <c r="H53" s="138" t="s">
        <v>64</v>
      </c>
      <c r="I53" s="138" t="s">
        <v>64</v>
      </c>
      <c r="J53" s="138" t="s">
        <v>153</v>
      </c>
    </row>
    <row r="54" spans="1:10">
      <c r="A54" s="75"/>
      <c r="B54" s="124"/>
      <c r="C54" s="125"/>
      <c r="D54" s="126"/>
      <c r="E54" s="125"/>
      <c r="F54" s="125" t="e">
        <f>ROUND(F51*0.35,0)</f>
        <v>#VALUE!</v>
      </c>
      <c r="G54" s="127"/>
      <c r="H54" s="125"/>
      <c r="I54" s="125"/>
      <c r="J54" s="140"/>
    </row>
    <row r="55" spans="1:10">
      <c r="A55" s="154" t="s">
        <v>80</v>
      </c>
      <c r="B55" s="124"/>
      <c r="C55" s="125"/>
      <c r="D55" s="126" t="s">
        <v>165</v>
      </c>
      <c r="E55" s="141">
        <f>'[2]G-WA-ADJ'!N12</f>
        <v>18204</v>
      </c>
      <c r="F55" s="141">
        <f>'[2]G-WA-ADJ'!R12</f>
        <v>-13881</v>
      </c>
      <c r="G55" s="142"/>
      <c r="H55" s="141">
        <f>'[2]G-WA-ADJ'!S12</f>
        <v>21558</v>
      </c>
      <c r="I55" s="141">
        <f>'[2]G-WA-ADJ'!T12</f>
        <v>22534</v>
      </c>
      <c r="J55" s="152">
        <f>I55+H55</f>
        <v>44092</v>
      </c>
    </row>
    <row r="56" spans="1:10">
      <c r="A56" s="154"/>
      <c r="B56" s="124"/>
      <c r="C56" s="125"/>
      <c r="D56" s="126"/>
      <c r="E56" s="141"/>
      <c r="F56" s="141"/>
      <c r="G56" s="142"/>
      <c r="H56" s="141"/>
      <c r="I56" s="141"/>
      <c r="J56" s="155">
        <f>I56+H56</f>
        <v>0</v>
      </c>
    </row>
    <row r="57" spans="1:10">
      <c r="A57" s="156" t="s">
        <v>85</v>
      </c>
      <c r="B57" s="124"/>
      <c r="C57" s="125"/>
      <c r="D57" s="126" t="s">
        <v>165</v>
      </c>
      <c r="E57" s="141">
        <f>'[2]G-WA-ADJ'!N17</f>
        <v>185</v>
      </c>
      <c r="F57" s="141">
        <f>'[2]G-WA-ADJ'!R17</f>
        <v>0</v>
      </c>
      <c r="G57" s="142"/>
      <c r="H57" s="141">
        <f>'[2]G-WA-ADJ'!S17</f>
        <v>204</v>
      </c>
      <c r="I57" s="141">
        <f>'[2]G-WA-ADJ'!T17</f>
        <v>213</v>
      </c>
      <c r="J57" s="152">
        <f>I57+H57</f>
        <v>417</v>
      </c>
    </row>
    <row r="58" spans="1:10">
      <c r="A58" s="75"/>
      <c r="B58" s="124"/>
      <c r="C58" s="125"/>
      <c r="D58" s="126"/>
      <c r="J58" s="152"/>
    </row>
    <row r="59" spans="1:10">
      <c r="A59" s="75" t="s">
        <v>87</v>
      </c>
      <c r="B59" s="124"/>
      <c r="C59" s="125"/>
      <c r="D59" s="126" t="s">
        <v>165</v>
      </c>
      <c r="E59" s="141">
        <f>'[2]G-WA-ADJ'!N39</f>
        <v>184504</v>
      </c>
      <c r="F59" s="141" t="e">
        <f>ROUND(F51-SUM(F54:F57),0)</f>
        <v>#VALUE!</v>
      </c>
      <c r="G59" s="142"/>
      <c r="H59" s="141">
        <f>'[2]G-WA-ADJ'!S39</f>
        <v>180026</v>
      </c>
      <c r="I59" s="141">
        <f>'[2]G-WA-ADJ'!T39</f>
        <v>188175</v>
      </c>
      <c r="J59" s="152">
        <f>I59+H59</f>
        <v>368201</v>
      </c>
    </row>
    <row r="60" spans="1:10">
      <c r="A60" s="75"/>
      <c r="B60" s="124"/>
      <c r="C60" s="125"/>
      <c r="D60" s="126"/>
      <c r="J60" s="152"/>
    </row>
    <row r="61" spans="1:10">
      <c r="A61" s="75" t="s">
        <v>166</v>
      </c>
      <c r="B61" s="124"/>
      <c r="C61" s="125"/>
      <c r="D61" s="126" t="s">
        <v>165</v>
      </c>
      <c r="E61" s="141">
        <f>'[2]G-WA-ADJ'!N46</f>
        <v>105472</v>
      </c>
      <c r="F61" s="141">
        <f>'[2]G-WA-ADJ'!R46</f>
        <v>0</v>
      </c>
      <c r="G61" s="142"/>
      <c r="H61" s="141">
        <f>'[2]G-WA-ADJ'!S46</f>
        <v>111157</v>
      </c>
      <c r="I61" s="141">
        <f>'[2]G-WA-ADJ'!T46</f>
        <v>116190</v>
      </c>
      <c r="J61" s="152">
        <f t="shared" ref="J61:J67" si="0">I61+H61</f>
        <v>227347</v>
      </c>
    </row>
    <row r="62" spans="1:10">
      <c r="A62" s="75" t="s">
        <v>158</v>
      </c>
      <c r="B62" s="124"/>
      <c r="C62" s="125"/>
      <c r="D62" s="126" t="s">
        <v>165</v>
      </c>
      <c r="E62" s="141">
        <f>'[2]G-WA-ADJ'!N52</f>
        <v>8940</v>
      </c>
      <c r="F62" s="141">
        <f>'[2]G-WA-ADJ'!R52</f>
        <v>0</v>
      </c>
      <c r="G62" s="142"/>
      <c r="H62" s="141">
        <f>'[2]G-WA-ADJ'!S52</f>
        <v>9856</v>
      </c>
      <c r="I62" s="141">
        <f>'[2]G-WA-ADJ'!T52</f>
        <v>10303</v>
      </c>
      <c r="J62" s="152">
        <f t="shared" si="0"/>
        <v>20159</v>
      </c>
    </row>
    <row r="63" spans="1:10">
      <c r="A63" s="75" t="s">
        <v>159</v>
      </c>
      <c r="B63" s="124"/>
      <c r="C63" s="125"/>
      <c r="D63" s="126" t="s">
        <v>165</v>
      </c>
      <c r="E63" s="141">
        <f>'[2]G-WA-ADJ'!N59</f>
        <v>15</v>
      </c>
      <c r="F63" s="141">
        <f>'[2]G-WA-ADJ'!R59</f>
        <v>0</v>
      </c>
      <c r="G63" s="142"/>
      <c r="H63" s="141">
        <f>'[2]G-WA-ADJ'!S59</f>
        <v>18</v>
      </c>
      <c r="I63" s="141">
        <f>'[2]G-WA-ADJ'!T59</f>
        <v>18</v>
      </c>
      <c r="J63" s="152">
        <f t="shared" si="0"/>
        <v>36</v>
      </c>
    </row>
    <row r="64" spans="1:10">
      <c r="A64" s="75"/>
      <c r="B64" s="124"/>
      <c r="C64" s="125"/>
      <c r="D64" s="126"/>
      <c r="J64" s="152">
        <f t="shared" si="0"/>
        <v>0</v>
      </c>
    </row>
    <row r="65" spans="1:10">
      <c r="A65" s="75" t="s">
        <v>167</v>
      </c>
      <c r="B65" s="124"/>
      <c r="C65" s="125"/>
      <c r="D65" s="126"/>
      <c r="E65" s="141">
        <f>'[2]G-WA-ADJ'!N71</f>
        <v>99892</v>
      </c>
      <c r="F65" s="141">
        <f>'[2]G-WA-ADJ'!R71</f>
        <v>-180987</v>
      </c>
      <c r="G65" s="142"/>
      <c r="H65" s="141">
        <f>'[2]G-WA-ADJ'!S71</f>
        <v>125962</v>
      </c>
      <c r="I65" s="141">
        <f>'[2]G-WA-ADJ'!T71</f>
        <v>131663</v>
      </c>
      <c r="J65" s="153">
        <f t="shared" si="0"/>
        <v>257625</v>
      </c>
    </row>
    <row r="66" spans="1:10" ht="13.5" thickBot="1">
      <c r="A66" s="75"/>
      <c r="B66" s="124"/>
      <c r="C66" s="125"/>
      <c r="D66" s="126"/>
      <c r="E66" s="147"/>
      <c r="F66" s="147"/>
      <c r="H66" s="147"/>
      <c r="I66" s="147"/>
      <c r="J66" s="152">
        <f t="shared" si="0"/>
        <v>0</v>
      </c>
    </row>
    <row r="67" spans="1:10" ht="14.25" thickTop="1" thickBot="1">
      <c r="A67" s="75" t="s">
        <v>168</v>
      </c>
      <c r="B67" s="124"/>
      <c r="C67" s="125"/>
      <c r="D67" s="126"/>
      <c r="E67" s="141">
        <f>SUM(E55:E65)</f>
        <v>417212</v>
      </c>
      <c r="F67" s="157" t="e">
        <f>SUM(F55:F65)</f>
        <v>#VALUE!</v>
      </c>
      <c r="G67" s="142"/>
      <c r="H67" s="143">
        <f>SUM(H55:H65)</f>
        <v>448781</v>
      </c>
      <c r="I67" s="143">
        <f>SUM(I55:I65)</f>
        <v>469096</v>
      </c>
      <c r="J67" s="150">
        <f t="shared" si="0"/>
        <v>917877</v>
      </c>
    </row>
    <row r="68" spans="1:10" ht="13.5" thickTop="1">
      <c r="A68" s="75"/>
      <c r="B68" s="124"/>
      <c r="C68" s="125"/>
      <c r="D68" s="126"/>
      <c r="E68" s="151"/>
      <c r="F68" s="145"/>
      <c r="H68" s="151"/>
      <c r="I68" s="151"/>
      <c r="J68" s="128"/>
    </row>
    <row r="69" spans="1:10">
      <c r="A69" s="123" t="s">
        <v>141</v>
      </c>
      <c r="B69" s="124"/>
      <c r="C69" s="125"/>
      <c r="D69" s="126"/>
      <c r="E69" s="125"/>
      <c r="F69" s="125"/>
      <c r="G69" s="127"/>
      <c r="H69" s="125"/>
      <c r="I69" s="125"/>
      <c r="J69" s="128"/>
    </row>
    <row r="70" spans="1:10">
      <c r="A70" s="123" t="s">
        <v>142</v>
      </c>
      <c r="B70" s="124"/>
      <c r="C70" s="125"/>
      <c r="D70" s="126"/>
      <c r="E70" s="125"/>
      <c r="F70" s="125"/>
      <c r="G70" s="127"/>
      <c r="H70" s="125"/>
      <c r="I70" s="125"/>
      <c r="J70" s="128"/>
    </row>
    <row r="71" spans="1:10">
      <c r="A71" s="124" t="str">
        <f>A3</f>
        <v>Twelve Months Ended December 31, 2011</v>
      </c>
      <c r="B71" s="124"/>
      <c r="C71" s="125"/>
      <c r="D71" s="126"/>
      <c r="E71" s="125"/>
      <c r="F71" s="125"/>
      <c r="G71" s="127"/>
      <c r="H71" s="125"/>
      <c r="I71" s="125"/>
      <c r="J71" s="128"/>
    </row>
    <row r="72" spans="1:10">
      <c r="A72" s="124"/>
      <c r="B72" s="124"/>
      <c r="C72" s="125"/>
      <c r="D72" s="126"/>
      <c r="E72" s="125"/>
      <c r="F72" s="125"/>
      <c r="G72" s="127"/>
      <c r="H72" s="125"/>
      <c r="I72" s="125"/>
      <c r="J72" s="128"/>
    </row>
    <row r="73" spans="1:10">
      <c r="A73" s="124"/>
      <c r="B73" s="124"/>
      <c r="C73" s="125"/>
      <c r="D73" s="126"/>
      <c r="E73" s="130" t="s">
        <v>10</v>
      </c>
      <c r="F73" s="131" t="str">
        <f>F51</f>
        <v>Net 2013</v>
      </c>
      <c r="G73" s="132"/>
      <c r="H73" s="133" t="s">
        <v>145</v>
      </c>
      <c r="I73" s="133" t="s">
        <v>145</v>
      </c>
    </row>
    <row r="74" spans="1:10">
      <c r="A74" s="124"/>
      <c r="B74" s="124"/>
      <c r="C74" s="125"/>
      <c r="D74" s="126"/>
      <c r="E74" s="134" t="str">
        <f>E52</f>
        <v>2011 to 2013</v>
      </c>
      <c r="F74" s="130" t="s">
        <v>147</v>
      </c>
      <c r="G74" s="135"/>
      <c r="H74" s="133" t="s">
        <v>148</v>
      </c>
      <c r="I74" s="133" t="s">
        <v>149</v>
      </c>
      <c r="J74" s="133" t="s">
        <v>145</v>
      </c>
    </row>
    <row r="75" spans="1:10">
      <c r="A75" s="136" t="s">
        <v>169</v>
      </c>
      <c r="B75" s="124"/>
      <c r="C75" s="125"/>
      <c r="D75" s="126"/>
      <c r="E75" s="137" t="s">
        <v>151</v>
      </c>
      <c r="F75" s="138" t="s">
        <v>152</v>
      </c>
      <c r="G75" s="139"/>
      <c r="H75" s="138" t="s">
        <v>64</v>
      </c>
      <c r="I75" s="138" t="s">
        <v>64</v>
      </c>
      <c r="J75" s="138" t="s">
        <v>153</v>
      </c>
    </row>
    <row r="76" spans="1:10">
      <c r="A76" s="75"/>
      <c r="B76" s="124"/>
      <c r="C76" s="125"/>
      <c r="D76" s="126"/>
      <c r="E76" s="125"/>
      <c r="F76" s="125"/>
      <c r="G76" s="127"/>
      <c r="H76" s="125"/>
      <c r="I76" s="125"/>
      <c r="J76" s="140"/>
    </row>
    <row r="77" spans="1:10">
      <c r="A77" s="154" t="s">
        <v>80</v>
      </c>
      <c r="B77" s="124"/>
      <c r="C77" s="125"/>
      <c r="D77" s="126"/>
      <c r="E77" s="141">
        <f>'[2]G-ID-ADJ'!N12</f>
        <v>9833</v>
      </c>
      <c r="F77" s="141">
        <f>'[2]G-ID-ADJ'!R12</f>
        <v>-7231</v>
      </c>
      <c r="G77" s="142"/>
      <c r="H77" s="141">
        <f>'[2]G-ID-ADJ'!S12</f>
        <v>10485</v>
      </c>
      <c r="I77" s="141">
        <f>'[2]G-ID-ADJ'!T12</f>
        <v>19403</v>
      </c>
      <c r="J77" s="152">
        <f>I77+H77</f>
        <v>29888</v>
      </c>
    </row>
    <row r="78" spans="1:10">
      <c r="A78" s="154"/>
      <c r="B78" s="124"/>
      <c r="C78" s="125"/>
      <c r="D78" s="126"/>
      <c r="E78" s="141"/>
      <c r="F78" s="141"/>
      <c r="G78" s="142"/>
      <c r="H78" s="141"/>
      <c r="I78" s="141"/>
      <c r="J78" s="155">
        <f>I78+H78</f>
        <v>0</v>
      </c>
    </row>
    <row r="79" spans="1:10">
      <c r="A79" s="156" t="s">
        <v>85</v>
      </c>
      <c r="B79" s="124"/>
      <c r="C79" s="125"/>
      <c r="D79" s="126"/>
      <c r="E79" s="141">
        <f>'[2]G-ID-ADJ'!N17</f>
        <v>90</v>
      </c>
      <c r="F79" s="141">
        <f>'[2]G-ID-ADJ'!R17</f>
        <v>0</v>
      </c>
      <c r="G79" s="142"/>
      <c r="H79" s="141">
        <f>'[2]G-ID-ADJ'!S17</f>
        <v>89</v>
      </c>
      <c r="I79" s="141">
        <f>'[2]G-ID-ADJ'!T17</f>
        <v>0</v>
      </c>
      <c r="J79" s="152">
        <f>I79+H79</f>
        <v>89</v>
      </c>
    </row>
    <row r="80" spans="1:10">
      <c r="A80" s="75"/>
      <c r="B80" s="124"/>
      <c r="C80" s="125"/>
      <c r="D80" s="126"/>
      <c r="J80" s="152"/>
    </row>
    <row r="81" spans="1:10">
      <c r="A81" s="75" t="s">
        <v>87</v>
      </c>
      <c r="B81" s="124"/>
      <c r="C81" s="125"/>
      <c r="D81" s="126"/>
      <c r="E81" s="141">
        <f>'[2]G-ID-ADJ'!N39</f>
        <v>101580</v>
      </c>
      <c r="F81" s="141">
        <f>'[2]G-ID-ADJ'!R39</f>
        <v>0</v>
      </c>
      <c r="G81" s="142"/>
      <c r="H81" s="141">
        <f>'[2]G-ID-ADJ'!S39</f>
        <v>96591</v>
      </c>
      <c r="I81" s="141">
        <f>'[2]G-ID-ADJ'!T39</f>
        <v>0</v>
      </c>
      <c r="J81" s="152">
        <f>I81+H81</f>
        <v>96591</v>
      </c>
    </row>
    <row r="82" spans="1:10">
      <c r="A82" s="75"/>
      <c r="B82" s="124"/>
      <c r="C82" s="125"/>
      <c r="D82" s="126"/>
      <c r="J82" s="152"/>
    </row>
    <row r="83" spans="1:10">
      <c r="A83" s="75" t="s">
        <v>166</v>
      </c>
      <c r="B83" s="124"/>
      <c r="C83" s="125"/>
      <c r="D83" s="126"/>
      <c r="E83" s="141">
        <f>'[2]G-ID-ADJ'!N46</f>
        <v>43468</v>
      </c>
      <c r="F83" s="141">
        <f>'[2]G-ID-ADJ'!R46</f>
        <v>0</v>
      </c>
      <c r="G83" s="142"/>
      <c r="H83" s="141">
        <f>'[2]G-ID-ADJ'!S46</f>
        <v>42805</v>
      </c>
      <c r="I83" s="141">
        <f>'[2]G-ID-ADJ'!T46</f>
        <v>0</v>
      </c>
      <c r="J83" s="152">
        <f t="shared" ref="J83:J89" si="1">I83+H83</f>
        <v>42805</v>
      </c>
    </row>
    <row r="84" spans="1:10">
      <c r="A84" s="75" t="s">
        <v>158</v>
      </c>
      <c r="B84" s="124"/>
      <c r="C84" s="125"/>
      <c r="D84" s="126"/>
      <c r="E84" s="141">
        <f>'[2]G-ID-ADJ'!N52</f>
        <v>5912</v>
      </c>
      <c r="F84" s="141">
        <f>'[2]G-ID-ADJ'!R52</f>
        <v>0</v>
      </c>
      <c r="G84" s="142"/>
      <c r="H84" s="141">
        <f>'[2]G-ID-ADJ'!S52</f>
        <v>5858</v>
      </c>
      <c r="I84" s="141">
        <f>'[2]G-ID-ADJ'!T52</f>
        <v>0</v>
      </c>
      <c r="J84" s="152">
        <f t="shared" si="1"/>
        <v>5858</v>
      </c>
    </row>
    <row r="85" spans="1:10">
      <c r="A85" s="75" t="s">
        <v>159</v>
      </c>
      <c r="B85" s="124"/>
      <c r="C85" s="125"/>
      <c r="D85" s="126"/>
      <c r="E85" s="141">
        <f>'[2]G-ID-ADJ'!N59</f>
        <v>47</v>
      </c>
      <c r="F85" s="141">
        <f>'[2]G-ID-ADJ'!R59</f>
        <v>0</v>
      </c>
      <c r="G85" s="142"/>
      <c r="H85" s="141">
        <f>'[2]G-ID-ADJ'!S59</f>
        <v>47</v>
      </c>
      <c r="I85" s="141">
        <f>'[2]G-ID-ADJ'!T59</f>
        <v>0</v>
      </c>
      <c r="J85" s="152">
        <f t="shared" si="1"/>
        <v>47</v>
      </c>
    </row>
    <row r="86" spans="1:10">
      <c r="A86" s="75"/>
      <c r="B86" s="124"/>
      <c r="C86" s="125"/>
      <c r="D86" s="126"/>
      <c r="J86" s="152">
        <f t="shared" si="1"/>
        <v>0</v>
      </c>
    </row>
    <row r="87" spans="1:10">
      <c r="A87" s="75" t="s">
        <v>167</v>
      </c>
      <c r="B87" s="124"/>
      <c r="C87" s="125"/>
      <c r="D87" s="126"/>
      <c r="E87" s="141">
        <f>'[2]G-ID-ADJ'!N71</f>
        <v>53325</v>
      </c>
      <c r="F87" s="141">
        <f>'[2]G-ID-ADJ'!R71</f>
        <v>-78700</v>
      </c>
      <c r="G87" s="142"/>
      <c r="H87" s="141">
        <f>'[2]G-ID-ADJ'!S71</f>
        <v>60549</v>
      </c>
      <c r="I87" s="141">
        <f>'[2]G-ID-ADJ'!T71</f>
        <v>206817</v>
      </c>
      <c r="J87" s="153">
        <f t="shared" si="1"/>
        <v>267366</v>
      </c>
    </row>
    <row r="88" spans="1:10">
      <c r="A88" s="75"/>
      <c r="B88" s="124"/>
      <c r="C88" s="125"/>
      <c r="D88" s="126"/>
      <c r="E88" s="147"/>
      <c r="F88" s="147"/>
      <c r="H88" s="147"/>
      <c r="I88" s="147"/>
      <c r="J88" s="152">
        <f t="shared" si="1"/>
        <v>0</v>
      </c>
    </row>
    <row r="89" spans="1:10" ht="13.5" thickBot="1">
      <c r="A89" s="75" t="s">
        <v>170</v>
      </c>
      <c r="B89" s="124"/>
      <c r="C89" s="125"/>
      <c r="D89" s="126"/>
      <c r="E89" s="141">
        <f>SUM(E77:E87)</f>
        <v>214255</v>
      </c>
      <c r="F89" s="141">
        <f>SUM(F77:F87)</f>
        <v>-85931</v>
      </c>
      <c r="G89" s="142"/>
      <c r="H89" s="141">
        <f>SUM(H77:H87)</f>
        <v>216424</v>
      </c>
      <c r="I89" s="141">
        <f>SUM(I77:I87)</f>
        <v>226220</v>
      </c>
      <c r="J89" s="150">
        <f t="shared" si="1"/>
        <v>442644</v>
      </c>
    </row>
    <row r="90" spans="1:10" ht="13.5" thickTop="1">
      <c r="A90" s="75"/>
      <c r="B90" s="124"/>
      <c r="C90" s="125"/>
      <c r="D90" s="126"/>
      <c r="E90" s="151"/>
      <c r="F90" s="151"/>
      <c r="H90" s="151"/>
      <c r="I90" s="151"/>
      <c r="J90" s="128"/>
    </row>
    <row r="91" spans="1:10">
      <c r="A91" s="123" t="s">
        <v>141</v>
      </c>
      <c r="B91" s="124"/>
      <c r="C91" s="125"/>
      <c r="D91" s="126"/>
      <c r="E91" s="125"/>
      <c r="F91" s="125"/>
      <c r="G91" s="127"/>
      <c r="H91" s="125"/>
      <c r="I91" s="125"/>
      <c r="J91" s="128"/>
    </row>
    <row r="92" spans="1:10">
      <c r="A92" s="123" t="s">
        <v>142</v>
      </c>
      <c r="B92" s="124"/>
      <c r="C92" s="125"/>
      <c r="D92" s="126"/>
      <c r="E92" s="125"/>
      <c r="F92" s="125"/>
      <c r="G92" s="127"/>
      <c r="H92" s="125"/>
      <c r="I92" s="125"/>
      <c r="J92" s="128"/>
    </row>
    <row r="93" spans="1:10">
      <c r="A93" s="124" t="str">
        <f>A25</f>
        <v>Twelve Months Ended December 31, 2011</v>
      </c>
      <c r="B93" s="124"/>
      <c r="C93" s="125"/>
      <c r="D93" s="126"/>
      <c r="E93" s="125"/>
      <c r="F93" s="125"/>
      <c r="G93" s="127"/>
      <c r="H93" s="125"/>
      <c r="I93" s="125"/>
      <c r="J93" s="128"/>
    </row>
    <row r="94" spans="1:10">
      <c r="A94" s="124"/>
      <c r="B94" s="124"/>
      <c r="C94" s="125"/>
      <c r="D94" s="126"/>
      <c r="E94" s="125"/>
      <c r="F94" s="125"/>
      <c r="G94" s="127"/>
      <c r="H94" s="125"/>
      <c r="I94" s="125"/>
    </row>
    <row r="95" spans="1:10">
      <c r="A95" s="124"/>
      <c r="B95" s="124"/>
      <c r="C95" s="125"/>
      <c r="D95" s="126"/>
      <c r="E95" s="130" t="s">
        <v>10</v>
      </c>
      <c r="F95" s="131" t="str">
        <f>F73</f>
        <v>Net 2013</v>
      </c>
      <c r="G95" s="132"/>
      <c r="H95" s="133" t="s">
        <v>145</v>
      </c>
      <c r="I95" s="133" t="s">
        <v>145</v>
      </c>
    </row>
    <row r="96" spans="1:10">
      <c r="A96" s="124"/>
      <c r="B96" s="124"/>
      <c r="C96" s="125"/>
      <c r="D96" s="126"/>
      <c r="E96" s="134" t="s">
        <v>171</v>
      </c>
      <c r="F96" s="130" t="s">
        <v>147</v>
      </c>
      <c r="G96" s="135"/>
      <c r="H96" s="133" t="s">
        <v>148</v>
      </c>
      <c r="I96" s="133" t="s">
        <v>149</v>
      </c>
      <c r="J96" s="133" t="s">
        <v>145</v>
      </c>
    </row>
    <row r="97" spans="1:10">
      <c r="A97" s="136" t="s">
        <v>172</v>
      </c>
      <c r="B97" s="124"/>
      <c r="C97" s="125"/>
      <c r="D97" s="126"/>
      <c r="E97" s="137" t="s">
        <v>151</v>
      </c>
      <c r="F97" s="138" t="s">
        <v>152</v>
      </c>
      <c r="G97" s="139"/>
      <c r="H97" s="138" t="s">
        <v>64</v>
      </c>
      <c r="I97" s="138" t="s">
        <v>64</v>
      </c>
      <c r="J97" s="138" t="s">
        <v>153</v>
      </c>
    </row>
    <row r="98" spans="1:10">
      <c r="A98" s="75"/>
      <c r="B98" s="124"/>
      <c r="C98" s="125"/>
      <c r="D98" s="126"/>
      <c r="E98" s="125"/>
      <c r="F98" s="125"/>
      <c r="G98" s="127"/>
      <c r="H98" s="125"/>
      <c r="I98" s="125"/>
      <c r="J98" s="140"/>
    </row>
    <row r="99" spans="1:10">
      <c r="A99" s="154" t="s">
        <v>80</v>
      </c>
      <c r="B99" s="124"/>
      <c r="C99" s="125"/>
      <c r="D99" s="126"/>
      <c r="E99" s="141">
        <f>'[2]G-OR-ADJ'!N12</f>
        <v>16257</v>
      </c>
      <c r="F99" s="141">
        <f>'[2]G-OR-ADJ'!Q12</f>
        <v>-9534</v>
      </c>
      <c r="G99" s="142"/>
      <c r="H99" s="141">
        <f>'[2]G-OR-ADJ'!R12</f>
        <v>13353</v>
      </c>
      <c r="I99" s="141">
        <f>'[2]G-OR-ADJ'!S12</f>
        <v>10927</v>
      </c>
      <c r="J99" s="152">
        <f>I99+H99</f>
        <v>24280</v>
      </c>
    </row>
    <row r="100" spans="1:10">
      <c r="A100" s="154"/>
      <c r="B100" s="124"/>
      <c r="C100" s="125"/>
      <c r="D100" s="126"/>
      <c r="E100" s="142"/>
      <c r="F100" s="142"/>
      <c r="G100" s="142"/>
      <c r="H100" s="142"/>
      <c r="I100" s="142"/>
      <c r="J100" s="155"/>
    </row>
    <row r="101" spans="1:10">
      <c r="A101" s="156" t="s">
        <v>85</v>
      </c>
      <c r="B101" s="124"/>
      <c r="C101" s="125"/>
      <c r="D101" s="126"/>
      <c r="E101" s="141">
        <f>'[2]G-OR-ADJ'!N17</f>
        <v>0</v>
      </c>
      <c r="F101" s="141">
        <f>'[2]G-OR-ADJ'!Q17</f>
        <v>0</v>
      </c>
      <c r="G101" s="142"/>
      <c r="H101" s="141">
        <f>'[2]G-OR-ADJ'!R17</f>
        <v>0</v>
      </c>
      <c r="I101" s="141">
        <f>'[2]G-OR-ADJ'!S17</f>
        <v>0</v>
      </c>
      <c r="J101" s="152">
        <f>I101+H101</f>
        <v>0</v>
      </c>
    </row>
    <row r="102" spans="1:10">
      <c r="A102" s="75"/>
      <c r="B102" s="124"/>
      <c r="C102" s="125"/>
      <c r="D102" s="126"/>
      <c r="J102" s="152"/>
    </row>
    <row r="103" spans="1:10">
      <c r="A103" s="75" t="s">
        <v>87</v>
      </c>
      <c r="B103" s="124"/>
      <c r="C103" s="125"/>
      <c r="D103" s="126"/>
      <c r="E103" s="158">
        <f>'[2]G-OR-ADJ'!N41</f>
        <v>188926</v>
      </c>
      <c r="F103" s="141">
        <f>'[2]G-OR-ADJ'!Q41</f>
        <v>0</v>
      </c>
      <c r="G103" s="142"/>
      <c r="H103" s="141">
        <f>'[2]G-OR-ADJ'!R41</f>
        <v>121059</v>
      </c>
      <c r="I103" s="141">
        <f>'[2]G-OR-ADJ'!S41</f>
        <v>157907</v>
      </c>
      <c r="J103" s="152">
        <f>I103+H103</f>
        <v>278966</v>
      </c>
    </row>
    <row r="104" spans="1:10">
      <c r="A104" s="75"/>
      <c r="B104" s="124"/>
      <c r="C104" s="125"/>
      <c r="D104" s="126"/>
      <c r="J104" s="152"/>
    </row>
    <row r="105" spans="1:10">
      <c r="A105" s="75" t="s">
        <v>166</v>
      </c>
      <c r="B105" s="124"/>
      <c r="C105" s="125"/>
      <c r="D105" s="126"/>
      <c r="E105" s="141">
        <f>'[2]G-OR-ADJ'!N48</f>
        <v>77221</v>
      </c>
      <c r="F105" s="141">
        <f>'[2]G-OR-ADJ'!Q48</f>
        <v>0</v>
      </c>
      <c r="G105" s="142"/>
      <c r="H105" s="141">
        <f>'[2]G-OR-ADJ'!R48</f>
        <v>57770</v>
      </c>
      <c r="I105" s="141">
        <f>'[2]G-OR-ADJ'!S48</f>
        <v>53366</v>
      </c>
      <c r="J105" s="152">
        <f t="shared" ref="J105:J111" si="2">I105+H105</f>
        <v>111136</v>
      </c>
    </row>
    <row r="106" spans="1:10">
      <c r="A106" s="75" t="s">
        <v>158</v>
      </c>
      <c r="B106" s="124"/>
      <c r="C106" s="125"/>
      <c r="D106" s="126"/>
      <c r="E106" s="158">
        <f>'[2]G-OR-ADJ'!N55</f>
        <v>8132</v>
      </c>
      <c r="F106" s="158">
        <f>'[2]G-OR-ADJ'!Q55</f>
        <v>0</v>
      </c>
      <c r="G106" s="142"/>
      <c r="H106" s="141">
        <f>'[2]G-OR-ADJ'!R55</f>
        <v>6199</v>
      </c>
      <c r="I106" s="141">
        <f>'[2]G-OR-ADJ'!S55</f>
        <v>5459</v>
      </c>
      <c r="J106" s="152">
        <f t="shared" si="2"/>
        <v>11658</v>
      </c>
    </row>
    <row r="107" spans="1:10">
      <c r="A107" s="75" t="s">
        <v>159</v>
      </c>
      <c r="B107" s="124"/>
      <c r="C107" s="125"/>
      <c r="D107" s="126"/>
      <c r="E107" s="141">
        <f>'[2]G-OR-ADJ'!N62</f>
        <v>0</v>
      </c>
      <c r="F107" s="141">
        <f>'[2]G-OR-ADJ'!Q62</f>
        <v>0</v>
      </c>
      <c r="G107" s="142"/>
      <c r="H107" s="141">
        <f>'[2]G-OR-ADJ'!R62</f>
        <v>0</v>
      </c>
      <c r="I107" s="141">
        <f>'[2]G-OR-ADJ'!S62</f>
        <v>0</v>
      </c>
      <c r="J107" s="152">
        <f t="shared" si="2"/>
        <v>0</v>
      </c>
    </row>
    <row r="108" spans="1:10">
      <c r="A108" s="75"/>
      <c r="B108" s="124"/>
      <c r="C108" s="125"/>
      <c r="D108" s="126"/>
      <c r="J108" s="152">
        <f t="shared" si="2"/>
        <v>0</v>
      </c>
    </row>
    <row r="109" spans="1:10">
      <c r="A109" s="75" t="s">
        <v>167</v>
      </c>
      <c r="B109" s="124"/>
      <c r="C109" s="125"/>
      <c r="D109" s="126"/>
      <c r="E109" s="141">
        <f>'[2]G-OR-ADJ'!N76</f>
        <v>82628</v>
      </c>
      <c r="F109" s="141">
        <f>'[2]G-OR-ADJ'!Q76</f>
        <v>-115443</v>
      </c>
      <c r="G109" s="142"/>
      <c r="H109" s="141">
        <f>'[2]G-OR-ADJ'!R76</f>
        <v>73261</v>
      </c>
      <c r="I109" s="141">
        <f>'[2]G-OR-ADJ'!S76</f>
        <v>56283</v>
      </c>
      <c r="J109" s="153">
        <f t="shared" si="2"/>
        <v>129544</v>
      </c>
    </row>
    <row r="110" spans="1:10">
      <c r="A110" s="75"/>
      <c r="B110" s="124"/>
      <c r="C110" s="125"/>
      <c r="D110" s="126"/>
      <c r="E110" s="147"/>
      <c r="F110" s="147"/>
      <c r="H110" s="147"/>
      <c r="I110" s="147"/>
      <c r="J110" s="152">
        <f t="shared" si="2"/>
        <v>0</v>
      </c>
    </row>
    <row r="111" spans="1:10" ht="13.5" thickBot="1">
      <c r="A111" s="75" t="s">
        <v>173</v>
      </c>
      <c r="B111" s="124"/>
      <c r="C111" s="125"/>
      <c r="D111" s="126"/>
      <c r="E111" s="159">
        <f>SUM(E99:E109)</f>
        <v>373164</v>
      </c>
      <c r="F111" s="159">
        <f>SUM(F99:F109)</f>
        <v>-124977</v>
      </c>
      <c r="G111" s="142"/>
      <c r="H111" s="159">
        <f>SUM(H99:H109)</f>
        <v>271642</v>
      </c>
      <c r="I111" s="159">
        <f>SUM(I99:I109)</f>
        <v>283942</v>
      </c>
      <c r="J111" s="150">
        <f t="shared" si="2"/>
        <v>555584</v>
      </c>
    </row>
    <row r="112" spans="1:10" ht="13.5" thickTop="1"/>
    <row r="113" spans="5:9">
      <c r="E113" s="141">
        <f>E111+E89+E67+E43+E21</f>
        <v>3283749</v>
      </c>
      <c r="F113" s="141" t="e">
        <f>F111+F89+F67+F43+F21</f>
        <v>#VALUE!</v>
      </c>
      <c r="H113" s="141">
        <f>H21+H43+H67+H89+H111</f>
        <v>3341280</v>
      </c>
      <c r="I113" s="141">
        <f>I21+I43+I67+I89+I111</f>
        <v>3492555</v>
      </c>
    </row>
    <row r="114" spans="5:9">
      <c r="H114" s="161">
        <f>'[2]PEB-1'!G33</f>
        <v>3341271</v>
      </c>
      <c r="I114" s="161">
        <f>'[2]PEB-1'!H33</f>
        <v>3492557</v>
      </c>
    </row>
  </sheetData>
  <pageMargins left="0.61" right="0.75" top="1" bottom="1" header="0.5" footer="0.5"/>
  <pageSetup scale="95" orientation="portrait" r:id="rId1"/>
  <headerFooter alignWithMargins="0">
    <oddHeader>&amp;RExhibit No. ___ (JH-5)
Dockets UE-120436 &amp;&amp; UG-120437
Page 3 of &amp; 4</oddHeader>
  </headerFooter>
  <rowBreaks count="5" manualBreakCount="5">
    <brk id="22" max="16383" man="1"/>
    <brk id="46" max="16383" man="1"/>
    <brk id="68" max="16383" man="1"/>
    <brk id="89" max="8" man="1"/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59"/>
  <sheetViews>
    <sheetView workbookViewId="0">
      <selection activeCell="F50" sqref="F50"/>
    </sheetView>
  </sheetViews>
  <sheetFormatPr defaultColWidth="13.33203125" defaultRowHeight="12.75"/>
  <cols>
    <col min="1" max="1" width="13.33203125" style="91" customWidth="1"/>
    <col min="2" max="2" width="20.83203125" style="91" customWidth="1"/>
    <col min="3" max="3" width="17.1640625" style="91" customWidth="1"/>
    <col min="4" max="5" width="13.33203125" style="91"/>
    <col min="6" max="6" width="0" style="91" hidden="1" customWidth="1"/>
    <col min="7" max="16384" width="13.33203125" style="91"/>
  </cols>
  <sheetData>
    <row r="1" spans="1:6">
      <c r="A1" s="90" t="str">
        <f>[2]Summary!A1</f>
        <v>AVISTA UTILITIES</v>
      </c>
    </row>
    <row r="2" spans="1:6">
      <c r="A2" s="91" t="s">
        <v>114</v>
      </c>
    </row>
    <row r="3" spans="1:6">
      <c r="A3" s="92" t="s">
        <v>115</v>
      </c>
    </row>
    <row r="4" spans="1:6">
      <c r="A4" s="92"/>
    </row>
    <row r="5" spans="1:6">
      <c r="D5" s="93" t="s">
        <v>116</v>
      </c>
      <c r="E5" s="93" t="s">
        <v>117</v>
      </c>
      <c r="F5" s="93" t="s">
        <v>118</v>
      </c>
    </row>
    <row r="6" spans="1:6">
      <c r="A6" s="94" t="s">
        <v>119</v>
      </c>
      <c r="D6" s="95"/>
      <c r="E6" s="95"/>
      <c r="F6" s="96" t="s">
        <v>120</v>
      </c>
    </row>
    <row r="7" spans="1:6">
      <c r="A7" s="90"/>
    </row>
    <row r="8" spans="1:6">
      <c r="A8" s="97" t="s">
        <v>121</v>
      </c>
      <c r="D8" s="98">
        <v>0.03</v>
      </c>
      <c r="E8" s="98">
        <v>0.03</v>
      </c>
    </row>
    <row r="9" spans="1:6">
      <c r="A9" s="97" t="s">
        <v>122</v>
      </c>
      <c r="B9" s="99"/>
      <c r="C9" s="99"/>
    </row>
    <row r="10" spans="1:6">
      <c r="C10" s="100" t="str">
        <f xml:space="preserve"> "85/365 ="</f>
        <v>85/365 =</v>
      </c>
      <c r="D10" s="101">
        <f>ROUND(85/365,3)</f>
        <v>0.23300000000000001</v>
      </c>
      <c r="E10" s="101">
        <v>0.23300000000000001</v>
      </c>
    </row>
    <row r="11" spans="1:6" ht="13.5" thickBot="1">
      <c r="A11" s="92" t="s">
        <v>123</v>
      </c>
      <c r="D11" s="102">
        <f>ROUND(D8*D10,5)</f>
        <v>6.9899999999999997E-3</v>
      </c>
      <c r="E11" s="102">
        <v>6.9899999999999997E-3</v>
      </c>
    </row>
    <row r="12" spans="1:6" ht="13.5" thickTop="1"/>
    <row r="13" spans="1:6" ht="13.5" thickBot="1">
      <c r="A13" s="92" t="s">
        <v>124</v>
      </c>
      <c r="B13" s="103"/>
      <c r="D13" s="104">
        <v>0.03</v>
      </c>
      <c r="E13" s="104">
        <v>0.03</v>
      </c>
    </row>
    <row r="14" spans="1:6" ht="13.5" thickTop="1">
      <c r="D14" s="105"/>
      <c r="E14" s="105"/>
    </row>
    <row r="15" spans="1:6">
      <c r="A15" s="92" t="s">
        <v>125</v>
      </c>
      <c r="D15" s="106">
        <v>0.03</v>
      </c>
      <c r="E15" s="106">
        <v>0.03</v>
      </c>
      <c r="F15" s="106">
        <v>0.03</v>
      </c>
    </row>
    <row r="16" spans="1:6">
      <c r="D16" s="105"/>
      <c r="E16" s="105"/>
      <c r="F16" s="105"/>
    </row>
    <row r="17" spans="1:7">
      <c r="A17" s="92" t="s">
        <v>126</v>
      </c>
    </row>
    <row r="18" spans="1:7">
      <c r="A18" s="92"/>
      <c r="B18" s="92" t="s">
        <v>127</v>
      </c>
      <c r="C18" s="100" t="str">
        <f>"279/365="</f>
        <v>279/365=</v>
      </c>
      <c r="D18" s="107">
        <f>ROUND(279/365,3)</f>
        <v>0.76400000000000001</v>
      </c>
      <c r="F18" s="107">
        <f>ROUND(279/365,3)</f>
        <v>0.76400000000000001</v>
      </c>
    </row>
    <row r="19" spans="1:7">
      <c r="A19" s="92"/>
      <c r="B19" s="92" t="s">
        <v>128</v>
      </c>
      <c r="C19" s="100" t="str">
        <f>"86/365="</f>
        <v>86/365=</v>
      </c>
      <c r="D19" s="101"/>
      <c r="E19" s="101">
        <f>ROUND(86/365,3)</f>
        <v>0.23599999999999999</v>
      </c>
      <c r="F19" s="101"/>
    </row>
    <row r="20" spans="1:7" ht="13.5" thickBot="1">
      <c r="A20" s="92" t="s">
        <v>129</v>
      </c>
      <c r="D20" s="102">
        <f>D15*D18</f>
        <v>2.2919999999999999E-2</v>
      </c>
      <c r="E20" s="108">
        <f>E15*E19</f>
        <v>7.0799999999999995E-3</v>
      </c>
      <c r="F20" s="102">
        <f>F15*F18</f>
        <v>2.2919999999999999E-2</v>
      </c>
    </row>
    <row r="21" spans="1:7" ht="13.5" thickTop="1">
      <c r="A21" s="92"/>
      <c r="D21" s="109"/>
      <c r="E21" s="90"/>
    </row>
    <row r="22" spans="1:7">
      <c r="A22" s="110" t="s">
        <v>130</v>
      </c>
      <c r="B22" s="111"/>
      <c r="C22" s="110"/>
      <c r="D22" s="112"/>
      <c r="E22" s="113"/>
    </row>
    <row r="23" spans="1:7">
      <c r="A23" s="110"/>
      <c r="B23" s="110"/>
      <c r="C23" s="114" t="str">
        <f>"95/365="</f>
        <v>95/365=</v>
      </c>
      <c r="D23" s="115">
        <f>ROUND(95/365,3)</f>
        <v>0.26</v>
      </c>
      <c r="E23" s="113"/>
      <c r="F23" s="91">
        <f>+ROUND([2]Summary!E55/1000,0)</f>
        <v>18</v>
      </c>
    </row>
    <row r="24" spans="1:7">
      <c r="A24" s="110" t="s">
        <v>129</v>
      </c>
      <c r="B24" s="110"/>
      <c r="C24" s="110"/>
      <c r="D24" s="116">
        <f>D15*D23</f>
        <v>7.7999999999999996E-3</v>
      </c>
      <c r="E24" s="113" t="s">
        <v>131</v>
      </c>
    </row>
    <row r="25" spans="1:7">
      <c r="E25" s="90"/>
    </row>
    <row r="26" spans="1:7">
      <c r="E26" s="117"/>
      <c r="F26" s="117"/>
      <c r="G26" s="117"/>
    </row>
    <row r="27" spans="1:7">
      <c r="A27" s="94" t="s">
        <v>132</v>
      </c>
      <c r="E27" s="117"/>
      <c r="F27" s="117"/>
      <c r="G27" s="117"/>
    </row>
    <row r="28" spans="1:7">
      <c r="A28" s="90"/>
      <c r="E28" s="117"/>
      <c r="F28" s="117"/>
      <c r="G28" s="117"/>
    </row>
    <row r="29" spans="1:7">
      <c r="A29" s="92" t="s">
        <v>133</v>
      </c>
      <c r="D29" s="98">
        <v>2.8000000000000001E-2</v>
      </c>
      <c r="E29" s="98">
        <v>2.8000000000000001E-2</v>
      </c>
      <c r="F29" s="98"/>
      <c r="G29" s="117"/>
    </row>
    <row r="30" spans="1:7" ht="14.25" customHeight="1">
      <c r="A30" s="97" t="s">
        <v>134</v>
      </c>
      <c r="B30" s="99"/>
      <c r="C30" s="99"/>
      <c r="G30" s="117"/>
    </row>
    <row r="31" spans="1:7">
      <c r="C31" s="100" t="str">
        <f>"59/365="</f>
        <v>59/365=</v>
      </c>
      <c r="D31" s="101">
        <f>ROUND(59/365,3)</f>
        <v>0.16200000000000001</v>
      </c>
      <c r="E31" s="101">
        <f>ROUND(59/365,3)</f>
        <v>0.16200000000000001</v>
      </c>
      <c r="F31" s="101"/>
      <c r="G31" s="117"/>
    </row>
    <row r="32" spans="1:7" ht="13.5" thickBot="1">
      <c r="A32" s="92" t="s">
        <v>123</v>
      </c>
      <c r="D32" s="102">
        <f>ROUND(D31*D29,6)</f>
        <v>4.5360000000000001E-3</v>
      </c>
      <c r="E32" s="102">
        <f>ROUND(E31*E29,6)</f>
        <v>4.5360000000000001E-3</v>
      </c>
      <c r="F32" s="102"/>
      <c r="G32" s="117"/>
    </row>
    <row r="33" spans="1:7" ht="13.5" thickTop="1">
      <c r="G33" s="117"/>
    </row>
    <row r="34" spans="1:7" ht="13.5" thickBot="1">
      <c r="A34" s="92" t="s">
        <v>124</v>
      </c>
      <c r="D34" s="104">
        <v>0.03</v>
      </c>
      <c r="E34" s="104">
        <v>0.03</v>
      </c>
      <c r="F34" s="104">
        <f>+(ROUND([2]Summary!E59/1000,0))</f>
        <v>185</v>
      </c>
    </row>
    <row r="35" spans="1:7" ht="13.5" thickTop="1">
      <c r="D35" s="118"/>
      <c r="E35" s="118"/>
      <c r="F35" s="118"/>
    </row>
    <row r="36" spans="1:7">
      <c r="A36" s="92" t="s">
        <v>125</v>
      </c>
      <c r="D36" s="98">
        <v>2.5000000000000001E-2</v>
      </c>
      <c r="E36" s="119">
        <v>2.5000000000000001E-2</v>
      </c>
      <c r="F36" s="98">
        <v>2.5000000000000001E-2</v>
      </c>
    </row>
    <row r="37" spans="1:7">
      <c r="D37" s="118"/>
      <c r="E37" s="118"/>
      <c r="F37" s="118"/>
    </row>
    <row r="38" spans="1:7">
      <c r="A38" s="92" t="s">
        <v>126</v>
      </c>
    </row>
    <row r="39" spans="1:7">
      <c r="A39" s="92"/>
      <c r="B39" s="92" t="s">
        <v>135</v>
      </c>
      <c r="C39" s="100" t="str">
        <f>"305/365="</f>
        <v>305/365=</v>
      </c>
      <c r="D39" s="107">
        <f>ROUND(305/365,3)</f>
        <v>0.83599999999999997</v>
      </c>
      <c r="F39" s="107">
        <f>+ROUND([2]Summary!E61/1000,0)</f>
        <v>105</v>
      </c>
    </row>
    <row r="40" spans="1:7">
      <c r="A40" s="92"/>
      <c r="B40" s="92" t="s">
        <v>136</v>
      </c>
      <c r="C40" s="100" t="str">
        <f>"60/365="</f>
        <v>60/365=</v>
      </c>
      <c r="D40" s="101"/>
      <c r="E40" s="101">
        <f>ROUND(60/365,3)</f>
        <v>0.16400000000000001</v>
      </c>
      <c r="F40" s="95">
        <f>+ROUND([2]Summary!E62/1000,0)</f>
        <v>9</v>
      </c>
    </row>
    <row r="41" spans="1:7" ht="13.5" thickBot="1">
      <c r="A41" s="92" t="s">
        <v>129</v>
      </c>
      <c r="D41" s="120">
        <f>D36*D39</f>
        <v>2.0900000000000002E-2</v>
      </c>
      <c r="E41" s="121">
        <f>E36*E40</f>
        <v>4.1000000000000003E-3</v>
      </c>
      <c r="F41" s="120">
        <f>F36*F39</f>
        <v>2.625</v>
      </c>
    </row>
    <row r="42" spans="1:7" ht="13.5" thickTop="1">
      <c r="A42" s="110"/>
      <c r="B42" s="110"/>
      <c r="C42" s="110"/>
      <c r="D42" s="116"/>
      <c r="E42" s="113"/>
    </row>
    <row r="43" spans="1:7">
      <c r="A43" s="110" t="s">
        <v>137</v>
      </c>
      <c r="B43" s="111"/>
      <c r="C43" s="110"/>
      <c r="D43" s="112"/>
      <c r="E43" s="113"/>
    </row>
    <row r="44" spans="1:7">
      <c r="A44" s="110"/>
      <c r="B44" s="110"/>
      <c r="C44" s="114" t="str">
        <f>"122/365="</f>
        <v>122/365=</v>
      </c>
      <c r="D44" s="115">
        <f>ROUND(122/365,3)</f>
        <v>0.33400000000000002</v>
      </c>
      <c r="E44" s="113"/>
      <c r="F44" s="91">
        <f>+ROUND([2]Summary!E65/1000,0)</f>
        <v>100</v>
      </c>
    </row>
    <row r="45" spans="1:7">
      <c r="A45" s="110" t="s">
        <v>129</v>
      </c>
      <c r="B45" s="110"/>
      <c r="C45" s="110"/>
      <c r="D45" s="116">
        <f>D36*D44</f>
        <v>8.3500000000000015E-3</v>
      </c>
      <c r="E45" s="113" t="s">
        <v>131</v>
      </c>
    </row>
    <row r="47" spans="1:7" ht="13.5" customHeight="1">
      <c r="A47" s="91" t="s">
        <v>138</v>
      </c>
    </row>
    <row r="49" spans="1:6">
      <c r="A49" s="90" t="s">
        <v>139</v>
      </c>
      <c r="B49" s="122" t="s">
        <v>140</v>
      </c>
      <c r="F49" s="162">
        <f>F21+F25+F31+F37+F39+F40+F41+F48</f>
        <v>116.625</v>
      </c>
    </row>
    <row r="54" spans="1:6">
      <c r="F54" s="91">
        <f>ROUND(F51*0.35,0)</f>
        <v>0</v>
      </c>
    </row>
    <row r="59" spans="1:6">
      <c r="F59" s="91">
        <f>ROUND(F51-SUM(F54:F57),0)</f>
        <v>0</v>
      </c>
    </row>
  </sheetData>
  <pageMargins left="0.61" right="0.75" top="1" bottom="1" header="0.5" footer="0.5"/>
  <pageSetup scale="73" orientation="portrait" r:id="rId1"/>
  <headerFooter alignWithMargins="0">
    <oddHeader>&amp;RExhibit No. ___ (JH-5)
Dockets UE-120436 &amp;&amp; UG-120437
Page 4 of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5650E2A-5912-42C1-A5A7-004129ADAF3B}"/>
</file>

<file path=customXml/itemProps2.xml><?xml version="1.0" encoding="utf-8"?>
<ds:datastoreItem xmlns:ds="http://schemas.openxmlformats.org/officeDocument/2006/customXml" ds:itemID="{F6EA031D-430F-443A-B8FF-B7BD6DC0B572}"/>
</file>

<file path=customXml/itemProps3.xml><?xml version="1.0" encoding="utf-8"?>
<ds:datastoreItem xmlns:ds="http://schemas.openxmlformats.org/officeDocument/2006/customXml" ds:itemID="{54E355BC-8DEE-49B9-8350-1A455B632076}"/>
</file>

<file path=customXml/itemProps4.xml><?xml version="1.0" encoding="utf-8"?>
<ds:datastoreItem xmlns:ds="http://schemas.openxmlformats.org/officeDocument/2006/customXml" ds:itemID="{3DB9D28E-CC1D-4E17-B14D-4B6DFA5DB0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Cover-Ele</vt:lpstr>
      <vt:lpstr>Cover-Gas</vt:lpstr>
      <vt:lpstr>Summary</vt:lpstr>
      <vt:lpstr>E-PLN-6</vt:lpstr>
      <vt:lpstr>Sheet1</vt:lpstr>
      <vt:lpstr>'Cover-Ele'!Print_Area</vt:lpstr>
      <vt:lpstr>'Cover-Gas'!Print_Area</vt:lpstr>
      <vt:lpstr>'E-PLN-6'!Print_Area</vt:lpstr>
      <vt:lpstr>Summary!Print_Area</vt:lpstr>
      <vt:lpstr>Summary!Print_Titles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DeMarco, Betsy (UTC)</cp:lastModifiedBy>
  <cp:lastPrinted>2012-09-18T15:09:24Z</cp:lastPrinted>
  <dcterms:created xsi:type="dcterms:W3CDTF">2012-09-11T17:36:48Z</dcterms:created>
  <dcterms:modified xsi:type="dcterms:W3CDTF">2012-09-18T15:09:40Z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