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5300" windowHeight="8610" activeTab="3"/>
  </bookViews>
  <sheets>
    <sheet name="Electric" sheetId="5" r:id="rId1"/>
    <sheet name="Gas" sheetId="6" r:id="rId2"/>
    <sheet name="Adjustment" sheetId="2" r:id="rId3"/>
    <sheet name="Summary of Incentive" sheetId="3" r:id="rId4"/>
    <sheet name="Sheet1" sheetId="7" r:id="rId5"/>
  </sheets>
  <externalReferences>
    <externalReference r:id="rId6"/>
    <externalReference r:id="rId7"/>
    <externalReference r:id="rId8"/>
  </externalReferences>
  <definedNames>
    <definedName name="ID_Elec" localSheetId="1">[1]DebtCalc!#REF!</definedName>
    <definedName name="ID_Elec">[1]DebtCalc!#REF!</definedName>
    <definedName name="ID_Gas" localSheetId="0">'[2]DEBT CALC'!#REF!</definedName>
    <definedName name="ID_Gas" localSheetId="1">'[2]DEBT CALC'!#REF!</definedName>
    <definedName name="ID_Gas">[1]DebtCalc!#REF!</definedName>
    <definedName name="_xlnm.Print_Area" localSheetId="2">Adjustment!$A$1:$D$24</definedName>
    <definedName name="_xlnm.Print_Area" localSheetId="3">'Summary of Incentive'!$A$1:$O$57</definedName>
    <definedName name="Print_for_Checking" localSheetId="0">'[2]ADJ SUMMARY'!#REF!:'[2]ADJ SUMMARY'!#REF!</definedName>
    <definedName name="Print_for_Checking" localSheetId="1">'[2]ADJ SUMMARY'!#REF!:'[2]ADJ SUMMARY'!#REF!</definedName>
    <definedName name="Print_for_Checking">[3]PFRstmtSheet!$A$1:[3]PFRstmtSheet!#REF!</definedName>
    <definedName name="_xlnm.Print_Titles" localSheetId="0">Electric!$A:$D,Electric!$2:$9</definedName>
    <definedName name="_xlnm.Print_Titles" localSheetId="1">Gas!$A:$D,Gas!$3:$10</definedName>
    <definedName name="Summary" localSheetId="0">#REF!</definedName>
    <definedName name="Summary" localSheetId="1">#REF!</definedName>
    <definedName name="Summary">#REF!</definedName>
    <definedName name="WA_Elec" localSheetId="1">[1]DebtCalc!#REF!</definedName>
    <definedName name="WA_Elec">[1]DebtCalc!#REF!</definedName>
    <definedName name="WA_Gas" localSheetId="0">'[2]DEBT CALC'!#REF!</definedName>
    <definedName name="WA_Gas" localSheetId="1">'[2]DEBT CALC'!#REF!</definedName>
    <definedName name="WA_Gas">[3]DebtCalc!#REF!</definedName>
    <definedName name="Z_6E1B8C45_B07F_11D2_B0DC_0000832CDFF0_.wvu.Cols" localSheetId="0" hidden="1">Electric!#REF!,Electric!#REF!</definedName>
    <definedName name="Z_6E1B8C45_B07F_11D2_B0DC_0000832CDFF0_.wvu.Cols" localSheetId="1" hidden="1">Gas!#REF!,Gas!#REF!</definedName>
    <definedName name="Z_6E1B8C45_B07F_11D2_B0DC_0000832CDFF0_.wvu.PrintArea" localSheetId="0" hidden="1">Electric!$E:$E</definedName>
    <definedName name="Z_6E1B8C45_B07F_11D2_B0DC_0000832CDFF0_.wvu.PrintArea" localSheetId="1" hidden="1">Gas!$E:$E</definedName>
    <definedName name="Z_6E1B8C45_B07F_11D2_B0DC_0000832CDFF0_.wvu.PrintTitles" localSheetId="0" hidden="1">Electric!$A:$D,Electric!$2:$9</definedName>
    <definedName name="Z_6E1B8C45_B07F_11D2_B0DC_0000832CDFF0_.wvu.PrintTitles" localSheetId="1" hidden="1">Gas!$A:$D,Gas!$3:$10</definedName>
    <definedName name="Z_A15D1962_B049_11D2_8670_0000832CEEE8_.wvu.Cols" localSheetId="0" hidden="1">Electric!#REF!</definedName>
    <definedName name="Z_A15D1962_B049_11D2_8670_0000832CEEE8_.wvu.Cols" localSheetId="1" hidden="1">Gas!#REF!</definedName>
  </definedNames>
  <calcPr calcId="145621"/>
</workbook>
</file>

<file path=xl/calcChain.xml><?xml version="1.0" encoding="utf-8"?>
<calcChain xmlns="http://schemas.openxmlformats.org/spreadsheetml/2006/main">
  <c r="F71" i="3" l="1"/>
  <c r="F70" i="3"/>
  <c r="F69" i="3"/>
  <c r="F68" i="3"/>
  <c r="F67" i="3"/>
  <c r="F66" i="3"/>
  <c r="F65" i="3"/>
  <c r="F64" i="3"/>
  <c r="F63" i="3"/>
  <c r="N49" i="3" l="1"/>
  <c r="N50" i="3"/>
  <c r="C62" i="3" l="1"/>
  <c r="C63" i="3"/>
  <c r="C64" i="3"/>
  <c r="C65" i="3"/>
  <c r="C66" i="3"/>
  <c r="C67" i="3"/>
  <c r="C68" i="3"/>
  <c r="C69" i="3"/>
  <c r="C61" i="3"/>
  <c r="L42" i="3" l="1"/>
  <c r="L43" i="3"/>
  <c r="L41" i="3"/>
  <c r="E42" i="3"/>
  <c r="J42" i="3" s="1"/>
  <c r="E43" i="3"/>
  <c r="J43" i="3" s="1"/>
  <c r="E41" i="3"/>
  <c r="J41" i="3" s="1"/>
  <c r="E78" i="5" l="1"/>
  <c r="B78" i="5"/>
  <c r="A78" i="5"/>
  <c r="E77" i="5"/>
  <c r="E76" i="5"/>
  <c r="B76" i="5"/>
  <c r="A76" i="5"/>
  <c r="E75" i="5"/>
  <c r="B75" i="5"/>
  <c r="A75" i="5"/>
  <c r="E74" i="5"/>
  <c r="C74" i="5"/>
  <c r="A74" i="5"/>
  <c r="E73" i="5"/>
  <c r="B73" i="5"/>
  <c r="A73" i="5"/>
  <c r="E71" i="5"/>
  <c r="B71" i="5"/>
  <c r="A71" i="5"/>
  <c r="E70" i="5"/>
  <c r="B70" i="5"/>
  <c r="A70" i="5"/>
  <c r="E69" i="5"/>
  <c r="C69" i="5"/>
  <c r="A69" i="5"/>
  <c r="E68" i="5"/>
  <c r="C68" i="5"/>
  <c r="A68" i="5"/>
  <c r="E67" i="5"/>
  <c r="C67" i="5"/>
  <c r="A67" i="5"/>
  <c r="E66" i="5"/>
  <c r="C66" i="5"/>
  <c r="A66" i="5"/>
  <c r="E65" i="5"/>
  <c r="C65" i="5"/>
  <c r="A65" i="5"/>
  <c r="B64" i="5"/>
  <c r="E63" i="5"/>
  <c r="B63" i="5"/>
  <c r="A63" i="5"/>
  <c r="E62" i="5"/>
  <c r="C62" i="5"/>
  <c r="A62" i="5"/>
  <c r="E61" i="5"/>
  <c r="C61" i="5"/>
  <c r="A61" i="5"/>
  <c r="E60" i="5"/>
  <c r="C60" i="5"/>
  <c r="A60" i="5"/>
  <c r="E59" i="5"/>
  <c r="C59" i="5"/>
  <c r="A59" i="5"/>
  <c r="E58" i="5"/>
  <c r="C58" i="5"/>
  <c r="A58" i="5"/>
  <c r="B57" i="5"/>
  <c r="B56" i="5"/>
  <c r="B54" i="5"/>
  <c r="A54" i="5"/>
  <c r="E52" i="5"/>
  <c r="B52" i="5"/>
  <c r="A52" i="5"/>
  <c r="E51" i="5"/>
  <c r="B51" i="5"/>
  <c r="A51" i="5"/>
  <c r="E50" i="5"/>
  <c r="B50" i="5"/>
  <c r="A50" i="5"/>
  <c r="B49" i="5"/>
  <c r="A49" i="5"/>
  <c r="E48" i="5"/>
  <c r="B48" i="5"/>
  <c r="B46" i="5"/>
  <c r="A46" i="5"/>
  <c r="B44" i="5"/>
  <c r="A44" i="5"/>
  <c r="B43" i="5"/>
  <c r="A43" i="5"/>
  <c r="E42" i="5"/>
  <c r="C42" i="5"/>
  <c r="A42" i="5"/>
  <c r="E41" i="5"/>
  <c r="C41" i="5"/>
  <c r="A41" i="5"/>
  <c r="C40" i="5"/>
  <c r="A40" i="5"/>
  <c r="B39" i="5"/>
  <c r="E37" i="5"/>
  <c r="B37" i="5"/>
  <c r="A37" i="5"/>
  <c r="E36" i="5"/>
  <c r="B36" i="5"/>
  <c r="A36" i="5"/>
  <c r="E35" i="5"/>
  <c r="B35" i="5"/>
  <c r="A35" i="5"/>
  <c r="E33" i="5"/>
  <c r="B33" i="5"/>
  <c r="A33" i="5"/>
  <c r="E32" i="5"/>
  <c r="C32" i="5"/>
  <c r="A32" i="5"/>
  <c r="E31" i="5"/>
  <c r="C31" i="5"/>
  <c r="A31" i="5"/>
  <c r="E30" i="5"/>
  <c r="C30" i="5"/>
  <c r="A30" i="5"/>
  <c r="B29" i="5"/>
  <c r="E27" i="5"/>
  <c r="B27" i="5"/>
  <c r="A27" i="5"/>
  <c r="E26" i="5"/>
  <c r="C26" i="5"/>
  <c r="A26" i="5"/>
  <c r="E25" i="5"/>
  <c r="C25" i="5"/>
  <c r="A25" i="5"/>
  <c r="E24" i="5"/>
  <c r="C24" i="5"/>
  <c r="A24" i="5"/>
  <c r="E23" i="5"/>
  <c r="C23" i="5"/>
  <c r="A23" i="5"/>
  <c r="E22" i="5"/>
  <c r="C22" i="5"/>
  <c r="A22" i="5"/>
  <c r="B21" i="5"/>
  <c r="B20" i="5"/>
  <c r="E18" i="5"/>
  <c r="B18" i="5"/>
  <c r="A18" i="5"/>
  <c r="E17" i="5"/>
  <c r="B17" i="5"/>
  <c r="A17" i="5"/>
  <c r="E16" i="5"/>
  <c r="B16" i="5"/>
  <c r="A16" i="5"/>
  <c r="E15" i="5"/>
  <c r="B15" i="5"/>
  <c r="A15" i="5"/>
  <c r="E14" i="5"/>
  <c r="B14" i="5"/>
  <c r="A14" i="5"/>
  <c r="E13" i="5"/>
  <c r="B13" i="5"/>
  <c r="A13" i="5"/>
  <c r="B12" i="5"/>
  <c r="E10" i="5"/>
  <c r="E9" i="5"/>
  <c r="E8" i="5"/>
  <c r="A8" i="5"/>
  <c r="E7" i="5"/>
  <c r="A7" i="5"/>
  <c r="A5" i="5"/>
  <c r="A4" i="5"/>
  <c r="A3" i="5"/>
  <c r="L50" i="3" l="1"/>
  <c r="L49" i="3"/>
  <c r="O49" i="3" s="1"/>
  <c r="L33" i="3"/>
  <c r="E33" i="3"/>
  <c r="L19" i="3"/>
  <c r="E19" i="3"/>
  <c r="J19" i="3" s="1"/>
  <c r="O50" i="3" l="1"/>
  <c r="O55" i="3"/>
  <c r="L18" i="3"/>
  <c r="L16" i="3"/>
  <c r="L15" i="3"/>
  <c r="L14" i="3"/>
  <c r="L13" i="3"/>
  <c r="H32" i="3" l="1"/>
  <c r="D32" i="3"/>
  <c r="C32" i="3"/>
  <c r="B32" i="3"/>
  <c r="H31" i="3"/>
  <c r="C31" i="3"/>
  <c r="C48" i="3" s="1"/>
  <c r="B31" i="3"/>
  <c r="B48" i="3" s="1"/>
  <c r="H30" i="3"/>
  <c r="D30" i="3"/>
  <c r="D47" i="3" s="1"/>
  <c r="N47" i="3" s="1"/>
  <c r="H29" i="3"/>
  <c r="D29" i="3"/>
  <c r="D46" i="3" s="1"/>
  <c r="N46" i="3" s="1"/>
  <c r="C29" i="3"/>
  <c r="C46" i="3" s="1"/>
  <c r="B29" i="3"/>
  <c r="B46" i="3" s="1"/>
  <c r="H28" i="3"/>
  <c r="D28" i="3"/>
  <c r="D45" i="3" s="1"/>
  <c r="N45" i="3" s="1"/>
  <c r="C28" i="3"/>
  <c r="C45" i="3" s="1"/>
  <c r="B28" i="3"/>
  <c r="B45" i="3" s="1"/>
  <c r="H27" i="3"/>
  <c r="D27" i="3"/>
  <c r="D44" i="3" s="1"/>
  <c r="N44" i="3" s="1"/>
  <c r="C27" i="3"/>
  <c r="B27" i="3"/>
  <c r="B44" i="3" s="1"/>
  <c r="H26" i="3"/>
  <c r="D26" i="3"/>
  <c r="D40" i="3" s="1"/>
  <c r="C26" i="3"/>
  <c r="C40" i="3" s="1"/>
  <c r="B26" i="3"/>
  <c r="B40" i="3" s="1"/>
  <c r="H25" i="3"/>
  <c r="D25" i="3"/>
  <c r="D39" i="3" s="1"/>
  <c r="C25" i="3"/>
  <c r="C39" i="3" s="1"/>
  <c r="B25" i="3"/>
  <c r="B39" i="3" s="1"/>
  <c r="H24" i="3"/>
  <c r="D24" i="3"/>
  <c r="D38" i="3" s="1"/>
  <c r="C24" i="3"/>
  <c r="C38" i="3" s="1"/>
  <c r="B24" i="3"/>
  <c r="E18" i="3"/>
  <c r="J18" i="3" s="1"/>
  <c r="D17" i="3"/>
  <c r="L17" i="3" s="1"/>
  <c r="C16" i="3"/>
  <c r="B16" i="3"/>
  <c r="E15" i="3"/>
  <c r="J15" i="3" s="1"/>
  <c r="M15" i="3" s="1"/>
  <c r="E14" i="3"/>
  <c r="J14" i="3" s="1"/>
  <c r="M14" i="3" s="1"/>
  <c r="E13" i="3"/>
  <c r="J13" i="3" s="1"/>
  <c r="M13" i="3" s="1"/>
  <c r="L12" i="3"/>
  <c r="E12" i="3"/>
  <c r="J12" i="3" s="1"/>
  <c r="L11" i="3"/>
  <c r="E11" i="3"/>
  <c r="J11" i="3" s="1"/>
  <c r="L10" i="3"/>
  <c r="E10" i="3"/>
  <c r="J10" i="3" s="1"/>
  <c r="A32" i="2"/>
  <c r="A31" i="2"/>
  <c r="A30" i="2"/>
  <c r="A20" i="2"/>
  <c r="A16" i="2"/>
  <c r="L27" i="3" l="1"/>
  <c r="L29" i="3"/>
  <c r="L30" i="3"/>
  <c r="M10" i="3"/>
  <c r="L28" i="3"/>
  <c r="M11" i="3"/>
  <c r="M12" i="3"/>
  <c r="H48" i="3"/>
  <c r="L32" i="3"/>
  <c r="L25" i="3"/>
  <c r="L26" i="3"/>
  <c r="C30" i="3"/>
  <c r="C47" i="3" s="1"/>
  <c r="D31" i="3"/>
  <c r="L31" i="3" s="1"/>
  <c r="H38" i="3"/>
  <c r="E39" i="3"/>
  <c r="E26" i="3"/>
  <c r="J26" i="3" s="1"/>
  <c r="E45" i="3"/>
  <c r="E46" i="3"/>
  <c r="B30" i="3"/>
  <c r="E16" i="3"/>
  <c r="J16" i="3" s="1"/>
  <c r="E17" i="3"/>
  <c r="J17" i="3" s="1"/>
  <c r="E24" i="3"/>
  <c r="J24" i="3" s="1"/>
  <c r="B38" i="3"/>
  <c r="L24" i="3"/>
  <c r="E25" i="3"/>
  <c r="J25" i="3" s="1"/>
  <c r="E40" i="3"/>
  <c r="C44" i="3"/>
  <c r="E27" i="3"/>
  <c r="J27" i="3" s="1"/>
  <c r="E50" i="3"/>
  <c r="E28" i="3"/>
  <c r="J28" i="3" s="1"/>
  <c r="E29" i="3"/>
  <c r="J29" i="3" s="1"/>
  <c r="E32" i="3"/>
  <c r="J32" i="3" s="1"/>
  <c r="H39" i="3"/>
  <c r="H40" i="3"/>
  <c r="H44" i="3"/>
  <c r="L44" i="3" s="1"/>
  <c r="O44" i="3" s="1"/>
  <c r="H45" i="3"/>
  <c r="L45" i="3" s="1"/>
  <c r="O45" i="3" s="1"/>
  <c r="H46" i="3"/>
  <c r="L46" i="3" s="1"/>
  <c r="O46" i="3" s="1"/>
  <c r="H47" i="3"/>
  <c r="L47" i="3" s="1"/>
  <c r="O47" i="3" s="1"/>
  <c r="E31" i="3"/>
  <c r="J31" i="3" s="1"/>
  <c r="M28" i="3" l="1"/>
  <c r="M27" i="3"/>
  <c r="M26" i="3"/>
  <c r="M29" i="3"/>
  <c r="M25" i="3"/>
  <c r="E30" i="3"/>
  <c r="J30" i="3" s="1"/>
  <c r="D48" i="3"/>
  <c r="N48" i="3" s="1"/>
  <c r="J50" i="3"/>
  <c r="J46" i="3"/>
  <c r="M46" i="3" s="1"/>
  <c r="J39" i="3"/>
  <c r="L39" i="3"/>
  <c r="E38" i="3"/>
  <c r="J38" i="3" s="1"/>
  <c r="B47" i="3"/>
  <c r="E44" i="3"/>
  <c r="J44" i="3" s="1"/>
  <c r="L38" i="3"/>
  <c r="J45" i="3"/>
  <c r="M45" i="3" s="1"/>
  <c r="J40" i="3"/>
  <c r="L40" i="3"/>
  <c r="M39" i="3" l="1"/>
  <c r="E48" i="3"/>
  <c r="J48" i="3" s="1"/>
  <c r="L48" i="3"/>
  <c r="O48" i="3" s="1"/>
  <c r="O53" i="3" s="1"/>
  <c r="O57" i="3" s="1"/>
  <c r="C5" i="2" s="1"/>
  <c r="M38" i="3"/>
  <c r="M40" i="3"/>
  <c r="E47" i="3"/>
  <c r="J47" i="3" s="1"/>
  <c r="M44" i="3"/>
  <c r="C24" i="2" l="1"/>
  <c r="D24" i="2" s="1"/>
  <c r="C21" i="2"/>
  <c r="D21" i="2" s="1"/>
  <c r="C13" i="2"/>
  <c r="E44" i="6" s="1"/>
  <c r="E48" i="6" s="1"/>
  <c r="E49" i="6" s="1"/>
  <c r="E51" i="6" s="1"/>
  <c r="E54" i="6" s="1"/>
  <c r="E59" i="6" s="1"/>
  <c r="C9" i="2"/>
  <c r="C17" i="2"/>
  <c r="D17" i="2" s="1"/>
  <c r="D5" i="2"/>
  <c r="D13" i="2" l="1"/>
  <c r="C26" i="2"/>
  <c r="D9" i="2"/>
  <c r="E40" i="5" s="1"/>
  <c r="E43" i="5" s="1"/>
  <c r="E44" i="5" s="1"/>
  <c r="E46" i="5" s="1"/>
  <c r="E49" i="5" s="1"/>
  <c r="E54" i="5" s="1"/>
</calcChain>
</file>

<file path=xl/comments1.xml><?xml version="1.0" encoding="utf-8"?>
<comments xmlns="http://schemas.openxmlformats.org/spreadsheetml/2006/main">
  <authors>
    <author>Huang, Joanna (UTC)</author>
  </authors>
  <commentList>
    <comment ref="L41" authorId="0">
      <text>
        <r>
          <rPr>
            <b/>
            <sz val="9"/>
            <color indexed="81"/>
            <rFont val="Tahoma"/>
            <family val="2"/>
          </rPr>
          <t xml:space="preserve">PC 285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<sst xmlns="http://schemas.openxmlformats.org/spreadsheetml/2006/main" count="155" uniqueCount="106">
  <si>
    <t>Avista Utilities</t>
  </si>
  <si>
    <t>Adjusts Incentives to 6-Year Average</t>
  </si>
  <si>
    <t xml:space="preserve">Total Adjustment </t>
  </si>
  <si>
    <t>Allocated toWashington Electric</t>
  </si>
  <si>
    <t>Note 7</t>
  </si>
  <si>
    <t>Note 4</t>
  </si>
  <si>
    <t>Allocated to Washington Gas</t>
  </si>
  <si>
    <t>Allocated to Idaho Electric</t>
  </si>
  <si>
    <t>Allocated to Idaho Gas</t>
  </si>
  <si>
    <t>Allocated to Oregon</t>
  </si>
  <si>
    <t>Incentives Based on YE Accruals Under Approved Plan</t>
  </si>
  <si>
    <t>Officer</t>
  </si>
  <si>
    <t>Non - Officer</t>
  </si>
  <si>
    <t>Total Incentive Accrual</t>
  </si>
  <si>
    <t>Total O&amp;M Incentive</t>
  </si>
  <si>
    <t>Corp EPS</t>
  </si>
  <si>
    <t>Utility EPS</t>
  </si>
  <si>
    <t>O&amp;M</t>
  </si>
  <si>
    <t>Total</t>
  </si>
  <si>
    <t>Payroll Taxes on Incentives Based on YE Accruals Under Approved Plan</t>
  </si>
  <si>
    <t>Incentives including Payroll Taxes Based on YE Accruals Under Approved Plan</t>
  </si>
  <si>
    <t>DESCRIPTION</t>
  </si>
  <si>
    <t>Staff Adjustment:</t>
  </si>
  <si>
    <t xml:space="preserve"> (a)</t>
  </si>
  <si>
    <t>(b)</t>
  </si>
  <si>
    <t>(d)=(a)+b)+(c)</t>
  </si>
  <si>
    <t>(c)</t>
  </si>
  <si>
    <t xml:space="preserve">     12/31/11 Test Year Incentives (incl. officers)</t>
  </si>
  <si>
    <t>(f)</t>
  </si>
  <si>
    <t>(g)=(d) + (f)</t>
  </si>
  <si>
    <t>(h)=©+(f)</t>
  </si>
  <si>
    <t>Cost per Customer</t>
  </si>
  <si>
    <t>Target</t>
  </si>
  <si>
    <t>Increase to 2011 Incentives</t>
  </si>
  <si>
    <t xml:space="preserve">Adjustment Number </t>
  </si>
  <si>
    <t>Workpaper Reference</t>
  </si>
  <si>
    <t>Staff adjusted total O&amp;M Incentive</t>
  </si>
  <si>
    <t>Data source: UE-080416</t>
  </si>
  <si>
    <t>6-Year (exclduing 2010)Average without CPI adjusted</t>
  </si>
  <si>
    <t>Line</t>
  </si>
  <si>
    <t>No.</t>
  </si>
  <si>
    <t>Adjsutment Number</t>
  </si>
  <si>
    <t>REVENUES</t>
  </si>
  <si>
    <t>Total General Business</t>
  </si>
  <si>
    <t>Total Transportation</t>
  </si>
  <si>
    <t>Other Revenues</t>
  </si>
  <si>
    <t>Total Gas Revenues</t>
  </si>
  <si>
    <t>EXPENSES</t>
  </si>
  <si>
    <t>Production 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</si>
  <si>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</si>
  <si>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</si>
  <si>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</si>
  <si>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</si>
  <si>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</si>
  <si>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</si>
  <si>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Depreciation/Amortization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</si>
  <si>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</si>
  <si>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</si>
  <si>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</si>
  <si>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</si>
  <si>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</si>
  <si>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</si>
  <si>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</si>
  <si>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</si>
  <si>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</si>
  <si>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</si>
  <si>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</si>
  <si>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</si>
  <si>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</si>
  <si>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</si>
  <si>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Debt Interest</t>
  </si>
  <si>
    <t>Deferred FIT</t>
  </si>
  <si>
    <t>Amort ITC</t>
  </si>
  <si>
    <t>NET OPERATING INCOME</t>
  </si>
  <si>
    <t>RATE BASE</t>
  </si>
  <si>
    <t>PLANT IN SERVICE</t>
  </si>
  <si>
    <t>Distribution Plant</t>
  </si>
  <si>
    <t>General Plant</t>
  </si>
  <si>
    <t>Total Plant in Service</t>
  </si>
  <si>
    <t>ACCUMULATED DEPRECIATION/AMORT</t>
  </si>
  <si>
    <t>Total Accumulated Depreciation/Amortization</t>
  </si>
  <si>
    <t>NET PLANT</t>
  </si>
  <si>
    <t>DEFERRED TAXES</t>
  </si>
  <si>
    <t>Net Plant After DFIT</t>
  </si>
  <si>
    <t>GAS INVENTORY</t>
  </si>
  <si>
    <t>GAIN ON SALE OF BUILDING</t>
  </si>
  <si>
    <t>OTHER</t>
  </si>
  <si>
    <t xml:space="preserve">WORKING CAPITAL </t>
  </si>
  <si>
    <t>TOTAL RATE BASE</t>
  </si>
  <si>
    <t>RATE OF RETURN</t>
  </si>
  <si>
    <t>REVENUE REQUIREMENT</t>
  </si>
  <si>
    <t>Pro Forma Rate of Return</t>
  </si>
  <si>
    <t>Revenue Conversion Factor</t>
  </si>
  <si>
    <t>NOI Requirement</t>
  </si>
  <si>
    <t>Revenue Requirement</t>
  </si>
  <si>
    <t>Restating</t>
  </si>
  <si>
    <t>Incentive</t>
  </si>
  <si>
    <t>Adjustment</t>
  </si>
  <si>
    <t>G-RI</t>
  </si>
  <si>
    <t>Adjust 2011 Incentives</t>
  </si>
  <si>
    <t>AVISTA UTILITIES</t>
  </si>
  <si>
    <t xml:space="preserve">WASHINGTON NATURAL GAS RESULTS </t>
  </si>
  <si>
    <t>TWELVE MONTHS ENDED DECEMBER 31, 2011</t>
  </si>
  <si>
    <t xml:space="preserve">(000'S OF DOLLARS)   </t>
  </si>
  <si>
    <t>Data Sources: Avista witness Elizabeth Andrews’ electric workpaper for Restate Incentive Adjustments, page 2.15-2 and  workpaper from UE-110877.</t>
  </si>
  <si>
    <t xml:space="preserve">Removed portion of Officer's O&amp;M Incentive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</si>
</sst>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"/>
    <numFmt numFmtId="167" formatCode="_(&quot;$&quot;#,###_);_(&quot;$&quot;\ \(#,###\);_(* _);_(@_)"/>
    <numFmt numFmtId="168" formatCode="#,###_);\(#,###\)"/>
    <numFmt numFmtId="169" formatCode="_(* #,##0.0_);_(* \(#,##0.0\);_(* &quot;-&quot;??_);_(@_)"/>
    <numFmt numFmtId="170" formatCode="0.000000"/>
  </numFmts>
  <fonts count="35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u/>
      <sz val="7.5"/>
      <color theme="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i/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10"/>
      <name val="Times New Roman"/>
      <family val="1"/>
    </font>
    <font>
      <sz val="10"/>
      <name val="Arial"/>
      <family val="2"/>
    </font>
    <font>
      <sz val="10"/>
      <name val="Geneva"/>
      <family val="2"/>
    </font>
    <font>
      <b/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rgb="FFC00000"/>
      <name val="Times New Roman"/>
      <family val="1"/>
    </font>
    <font>
      <b/>
      <sz val="9"/>
      <color rgb="FFFF0000"/>
      <name val="Times New Roman"/>
      <family val="1"/>
    </font>
    <font>
      <b/>
      <sz val="9"/>
      <color rgb="FF0033CC"/>
      <name val="Times New Roman"/>
      <family val="1"/>
    </font>
    <font>
      <sz val="9"/>
      <color rgb="FF0033CC"/>
      <name val="Times New Roman"/>
      <family val="1"/>
    </font>
    <font>
      <b/>
      <sz val="9"/>
      <name val="Courier New"/>
      <family val="3"/>
    </font>
    <font>
      <sz val="9"/>
      <name val="Courier New"/>
      <family val="3"/>
    </font>
    <font>
      <b/>
      <sz val="9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Times New Roman"/>
      <family val="1"/>
    </font>
    <font>
      <sz val="9"/>
      <color rgb="FF0000FF"/>
      <name val="Times New Roman"/>
      <family val="1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1" fontId="14" fillId="3" borderId="0" applyBorder="0" applyAlignment="0" applyProtection="0"/>
    <xf numFmtId="0" fontId="14" fillId="3" borderId="0"/>
    <xf numFmtId="9" fontId="12" fillId="0" borderId="0" applyFont="0" applyFill="0" applyBorder="0" applyAlignment="0" applyProtection="0"/>
    <xf numFmtId="0" fontId="15" fillId="0" borderId="0"/>
    <xf numFmtId="0" fontId="16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270">
    <xf numFmtId="0" fontId="0" fillId="0" borderId="0" xfId="0"/>
    <xf numFmtId="0" fontId="6" fillId="0" borderId="0" xfId="4" applyFont="1"/>
    <xf numFmtId="0" fontId="7" fillId="0" borderId="0" xfId="4" applyFont="1"/>
    <xf numFmtId="0" fontId="8" fillId="0" borderId="0" xfId="4" applyFont="1"/>
    <xf numFmtId="0" fontId="5" fillId="0" borderId="0" xfId="4" applyAlignment="1">
      <alignment horizontal="right"/>
    </xf>
    <xf numFmtId="0" fontId="5" fillId="0" borderId="0" xfId="4"/>
    <xf numFmtId="164" fontId="7" fillId="0" borderId="0" xfId="4" applyNumberFormat="1" applyFont="1"/>
    <xf numFmtId="0" fontId="9" fillId="0" borderId="0" xfId="4" applyFont="1" applyAlignment="1">
      <alignment horizontal="right"/>
    </xf>
    <xf numFmtId="165" fontId="10" fillId="0" borderId="2" xfId="5" applyNumberFormat="1" applyFont="1" applyBorder="1"/>
    <xf numFmtId="165" fontId="5" fillId="0" borderId="2" xfId="4" applyNumberFormat="1" applyBorder="1"/>
    <xf numFmtId="0" fontId="10" fillId="0" borderId="0" xfId="4" applyFont="1"/>
    <xf numFmtId="165" fontId="5" fillId="0" borderId="0" xfId="4" applyNumberFormat="1"/>
    <xf numFmtId="165" fontId="10" fillId="0" borderId="0" xfId="5" applyNumberFormat="1" applyFont="1" applyBorder="1"/>
    <xf numFmtId="0" fontId="9" fillId="0" borderId="0" xfId="4" applyFont="1" applyBorder="1" applyAlignment="1">
      <alignment horizontal="right"/>
    </xf>
    <xf numFmtId="0" fontId="5" fillId="0" borderId="0" xfId="4" applyBorder="1"/>
    <xf numFmtId="0" fontId="5" fillId="0" borderId="0" xfId="4" applyFill="1" applyBorder="1" applyAlignment="1">
      <alignment horizontal="right"/>
    </xf>
    <xf numFmtId="0" fontId="5" fillId="0" borderId="0" xfId="4" applyBorder="1" applyAlignment="1">
      <alignment horizontal="right"/>
    </xf>
    <xf numFmtId="164" fontId="11" fillId="0" borderId="0" xfId="6" applyNumberFormat="1" applyFont="1" applyBorder="1"/>
    <xf numFmtId="166" fontId="5" fillId="0" borderId="0" xfId="4" applyNumberFormat="1"/>
    <xf numFmtId="0" fontId="12" fillId="0" borderId="0" xfId="7"/>
    <xf numFmtId="0" fontId="13" fillId="0" borderId="3" xfId="7" applyFont="1" applyBorder="1" applyAlignment="1">
      <alignment horizontal="centerContinuous"/>
    </xf>
    <xf numFmtId="0" fontId="12" fillId="2" borderId="0" xfId="7" applyFill="1"/>
    <xf numFmtId="43" fontId="0" fillId="0" borderId="0" xfId="8" applyFont="1"/>
    <xf numFmtId="164" fontId="12" fillId="0" borderId="0" xfId="7" applyNumberFormat="1"/>
    <xf numFmtId="164" fontId="0" fillId="0" borderId="0" xfId="8" applyNumberFormat="1" applyFont="1"/>
    <xf numFmtId="43" fontId="12" fillId="0" borderId="0" xfId="7" applyNumberFormat="1"/>
    <xf numFmtId="43" fontId="0" fillId="2" borderId="0" xfId="8" applyFont="1" applyFill="1"/>
    <xf numFmtId="3" fontId="1" fillId="0" borderId="0" xfId="16" applyNumberFormat="1" applyFont="1" applyAlignment="1">
      <alignment horizontal="center"/>
    </xf>
    <xf numFmtId="1" fontId="1" fillId="0" borderId="0" xfId="16" applyNumberFormat="1" applyFont="1" applyAlignment="1">
      <alignment horizontal="center"/>
    </xf>
    <xf numFmtId="0" fontId="13" fillId="0" borderId="0" xfId="7" applyFont="1"/>
    <xf numFmtId="0" fontId="12" fillId="0" borderId="0" xfId="7" applyBorder="1"/>
    <xf numFmtId="0" fontId="12" fillId="0" borderId="0" xfId="7" applyFont="1"/>
    <xf numFmtId="0" fontId="12" fillId="0" borderId="6" xfId="7" applyFont="1" applyBorder="1"/>
    <xf numFmtId="0" fontId="12" fillId="0" borderId="9" xfId="7" applyFont="1" applyBorder="1"/>
    <xf numFmtId="0" fontId="12" fillId="0" borderId="10" xfId="7" applyFont="1" applyBorder="1"/>
    <xf numFmtId="43" fontId="18" fillId="0" borderId="0" xfId="8" applyFont="1"/>
    <xf numFmtId="43" fontId="18" fillId="0" borderId="0" xfId="8" applyFont="1" applyBorder="1" applyAlignment="1">
      <alignment horizontal="center"/>
    </xf>
    <xf numFmtId="43" fontId="18" fillId="0" borderId="0" xfId="8" applyFont="1" applyBorder="1"/>
    <xf numFmtId="43" fontId="0" fillId="0" borderId="0" xfId="8" applyFont="1" applyBorder="1"/>
    <xf numFmtId="43" fontId="12" fillId="0" borderId="0" xfId="7" applyNumberFormat="1" applyBorder="1"/>
    <xf numFmtId="0" fontId="12" fillId="0" borderId="0" xfId="7" applyNumberFormat="1"/>
    <xf numFmtId="2" fontId="12" fillId="0" borderId="0" xfId="7" applyNumberFormat="1"/>
    <xf numFmtId="0" fontId="1" fillId="0" borderId="0" xfId="19" applyNumberFormat="1" applyFont="1" applyAlignment="1">
      <alignment horizontal="center"/>
    </xf>
    <xf numFmtId="0" fontId="1" fillId="0" borderId="0" xfId="19" applyFont="1"/>
    <xf numFmtId="41" fontId="1" fillId="0" borderId="0" xfId="19" applyNumberFormat="1" applyFont="1" applyFill="1"/>
    <xf numFmtId="0" fontId="1" fillId="0" borderId="0" xfId="19" applyFont="1" applyBorder="1"/>
    <xf numFmtId="3" fontId="1" fillId="0" borderId="0" xfId="19" applyNumberFormat="1" applyFont="1" applyFill="1" applyBorder="1"/>
    <xf numFmtId="0" fontId="4" fillId="0" borderId="0" xfId="17"/>
    <xf numFmtId="41" fontId="1" fillId="0" borderId="0" xfId="19" applyNumberFormat="1" applyFont="1"/>
    <xf numFmtId="0" fontId="1" fillId="0" borderId="0" xfId="19" applyNumberFormat="1" applyFont="1" applyAlignment="1">
      <alignment horizontal="left"/>
    </xf>
    <xf numFmtId="41" fontId="20" fillId="0" borderId="0" xfId="19" applyNumberFormat="1" applyFont="1"/>
    <xf numFmtId="41" fontId="2" fillId="0" borderId="0" xfId="19" applyNumberFormat="1" applyFont="1"/>
    <xf numFmtId="3" fontId="2" fillId="0" borderId="0" xfId="19" applyNumberFormat="1" applyFont="1" applyFill="1" applyBorder="1" applyAlignment="1">
      <alignment horizontal="center"/>
    </xf>
    <xf numFmtId="0" fontId="2" fillId="0" borderId="0" xfId="19" applyFont="1" applyAlignment="1">
      <alignment horizontal="center"/>
    </xf>
    <xf numFmtId="0" fontId="2" fillId="0" borderId="0" xfId="19" applyNumberFormat="1" applyFont="1" applyAlignment="1">
      <alignment horizontal="center"/>
    </xf>
    <xf numFmtId="41" fontId="1" fillId="0" borderId="0" xfId="20" applyNumberFormat="1" applyFont="1" applyAlignment="1">
      <alignment horizontal="center"/>
    </xf>
    <xf numFmtId="0" fontId="2" fillId="0" borderId="0" xfId="19" applyFont="1" applyBorder="1" applyAlignment="1">
      <alignment horizontal="center"/>
    </xf>
    <xf numFmtId="0" fontId="2" fillId="0" borderId="0" xfId="19" applyNumberFormat="1" applyFont="1" applyBorder="1" applyAlignment="1">
      <alignment horizontal="center"/>
    </xf>
    <xf numFmtId="41" fontId="21" fillId="0" borderId="0" xfId="19" applyNumberFormat="1" applyFont="1" applyBorder="1" applyAlignment="1">
      <alignment horizontal="center"/>
    </xf>
    <xf numFmtId="167" fontId="2" fillId="0" borderId="0" xfId="21" applyNumberFormat="1" applyFont="1" applyFill="1" applyBorder="1" applyAlignment="1">
      <alignment horizontal="center"/>
    </xf>
    <xf numFmtId="2" fontId="2" fillId="0" borderId="0" xfId="19" applyNumberFormat="1" applyFont="1" applyAlignment="1">
      <alignment horizontal="center"/>
    </xf>
    <xf numFmtId="2" fontId="1" fillId="0" borderId="0" xfId="19" applyNumberFormat="1" applyFont="1" applyAlignment="1">
      <alignment horizontal="left"/>
    </xf>
    <xf numFmtId="2" fontId="22" fillId="0" borderId="0" xfId="1" applyNumberFormat="1" applyFont="1" applyAlignment="1" applyProtection="1">
      <alignment horizontal="center"/>
    </xf>
    <xf numFmtId="2" fontId="2" fillId="0" borderId="0" xfId="19" applyNumberFormat="1" applyFont="1" applyBorder="1" applyAlignment="1">
      <alignment horizontal="center"/>
    </xf>
    <xf numFmtId="2" fontId="2" fillId="0" borderId="0" xfId="19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 applyProtection="1">
      <alignment horizontal="center"/>
    </xf>
    <xf numFmtId="2" fontId="2" fillId="0" borderId="1" xfId="19" applyNumberFormat="1" applyFont="1" applyBorder="1" applyAlignment="1">
      <alignment horizontal="center"/>
    </xf>
    <xf numFmtId="2" fontId="1" fillId="0" borderId="1" xfId="19" applyNumberFormat="1" applyFont="1" applyBorder="1" applyAlignment="1">
      <alignment horizontal="left"/>
    </xf>
    <xf numFmtId="2" fontId="2" fillId="0" borderId="1" xfId="1" applyNumberFormat="1" applyFont="1" applyBorder="1" applyAlignment="1" applyProtection="1">
      <alignment horizontal="center"/>
    </xf>
    <xf numFmtId="2" fontId="2" fillId="0" borderId="0" xfId="1" applyNumberFormat="1" applyFont="1" applyAlignment="1" applyProtection="1">
      <alignment horizontal="center"/>
    </xf>
    <xf numFmtId="37" fontId="1" fillId="0" borderId="0" xfId="19" applyNumberFormat="1" applyFont="1" applyAlignment="1">
      <alignment horizontal="center"/>
    </xf>
    <xf numFmtId="5" fontId="1" fillId="0" borderId="0" xfId="19" applyNumberFormat="1" applyFont="1"/>
    <xf numFmtId="167" fontId="1" fillId="0" borderId="0" xfId="21" applyNumberFormat="1" applyFont="1" applyFill="1" applyBorder="1"/>
    <xf numFmtId="37" fontId="1" fillId="0" borderId="0" xfId="19" applyNumberFormat="1" applyFont="1"/>
    <xf numFmtId="41" fontId="23" fillId="0" borderId="0" xfId="19" applyNumberFormat="1" applyFont="1"/>
    <xf numFmtId="37" fontId="1" fillId="0" borderId="0" xfId="19" applyNumberFormat="1" applyFont="1" applyBorder="1"/>
    <xf numFmtId="168" fontId="1" fillId="0" borderId="0" xfId="19" applyNumberFormat="1" applyFont="1" applyFill="1" applyBorder="1"/>
    <xf numFmtId="41" fontId="23" fillId="0" borderId="1" xfId="19" applyNumberFormat="1" applyFont="1" applyBorder="1"/>
    <xf numFmtId="37" fontId="1" fillId="0" borderId="0" xfId="19" applyNumberFormat="1" applyFont="1" applyFill="1" applyBorder="1"/>
    <xf numFmtId="37" fontId="1" fillId="0" borderId="0" xfId="19" applyNumberFormat="1" applyFont="1" applyFill="1"/>
    <xf numFmtId="41" fontId="23" fillId="0" borderId="0" xfId="19" applyNumberFormat="1" applyFont="1" applyFill="1"/>
    <xf numFmtId="0" fontId="25" fillId="0" borderId="0" xfId="17" applyFont="1" applyBorder="1" applyAlignment="1">
      <alignment horizontal="center"/>
    </xf>
    <xf numFmtId="0" fontId="25" fillId="0" borderId="0" xfId="17" applyFont="1"/>
    <xf numFmtId="37" fontId="1" fillId="0" borderId="0" xfId="19" applyNumberFormat="1" applyFont="1" applyFill="1" applyAlignment="1">
      <alignment horizontal="center"/>
    </xf>
    <xf numFmtId="5" fontId="1" fillId="0" borderId="0" xfId="19" applyNumberFormat="1" applyFont="1" applyFill="1"/>
    <xf numFmtId="5" fontId="1" fillId="0" borderId="0" xfId="19" applyNumberFormat="1" applyFont="1" applyBorder="1"/>
    <xf numFmtId="5" fontId="1" fillId="0" borderId="0" xfId="19" applyNumberFormat="1" applyFont="1" applyFill="1" applyBorder="1"/>
    <xf numFmtId="3" fontId="1" fillId="0" borderId="0" xfId="16" applyNumberFormat="1" applyFont="1" applyFill="1" applyAlignment="1">
      <alignment horizontal="center"/>
    </xf>
    <xf numFmtId="5" fontId="23" fillId="0" borderId="0" xfId="19" applyNumberFormat="1" applyFont="1"/>
    <xf numFmtId="167" fontId="1" fillId="0" borderId="0" xfId="19" applyNumberFormat="1" applyFont="1" applyFill="1" applyBorder="1"/>
    <xf numFmtId="41" fontId="1" fillId="0" borderId="5" xfId="19" applyNumberFormat="1" applyFont="1" applyFill="1" applyBorder="1"/>
    <xf numFmtId="41" fontId="1" fillId="0" borderId="0" xfId="19" applyNumberFormat="1" applyFont="1" applyFill="1" applyBorder="1"/>
    <xf numFmtId="5" fontId="1" fillId="0" borderId="2" xfId="19" applyNumberFormat="1" applyFont="1" applyFill="1" applyBorder="1"/>
    <xf numFmtId="10" fontId="1" fillId="0" borderId="0" xfId="22" applyNumberFormat="1" applyFont="1" applyFill="1"/>
    <xf numFmtId="0" fontId="12" fillId="0" borderId="0" xfId="7" applyFont="1" applyBorder="1" applyAlignment="1">
      <alignment horizontal="center"/>
    </xf>
    <xf numFmtId="0" fontId="12" fillId="0" borderId="0" xfId="7" applyFont="1" applyBorder="1"/>
    <xf numFmtId="0" fontId="12" fillId="0" borderId="13" xfId="7" applyFont="1" applyBorder="1" applyAlignment="1">
      <alignment horizontal="center"/>
    </xf>
    <xf numFmtId="43" fontId="18" fillId="0" borderId="13" xfId="8" applyFont="1" applyBorder="1"/>
    <xf numFmtId="164" fontId="12" fillId="0" borderId="0" xfId="7" applyNumberFormat="1" applyFont="1" applyFill="1" applyBorder="1"/>
    <xf numFmtId="0" fontId="13" fillId="0" borderId="14" xfId="7" applyFont="1" applyBorder="1" applyAlignment="1">
      <alignment horizontal="centerContinuous"/>
    </xf>
    <xf numFmtId="43" fontId="18" fillId="0" borderId="13" xfId="8" applyFont="1" applyBorder="1" applyAlignment="1">
      <alignment horizontal="center"/>
    </xf>
    <xf numFmtId="0" fontId="13" fillId="0" borderId="11" xfId="7" applyFont="1" applyBorder="1" applyAlignment="1">
      <alignment horizontal="centerContinuous"/>
    </xf>
    <xf numFmtId="0" fontId="13" fillId="0" borderId="16" xfId="7" applyFont="1" applyBorder="1" applyAlignment="1">
      <alignment horizontal="centerContinuous"/>
    </xf>
    <xf numFmtId="0" fontId="12" fillId="0" borderId="13" xfId="7" applyBorder="1"/>
    <xf numFmtId="43" fontId="12" fillId="0" borderId="13" xfId="7" applyNumberFormat="1" applyBorder="1"/>
    <xf numFmtId="43" fontId="13" fillId="0" borderId="0" xfId="7" applyNumberFormat="1" applyFont="1" applyFill="1" applyBorder="1"/>
    <xf numFmtId="0" fontId="12" fillId="0" borderId="0" xfId="7" applyFill="1" applyBorder="1"/>
    <xf numFmtId="0" fontId="29" fillId="0" borderId="0" xfId="20" applyNumberFormat="1" applyFont="1" applyAlignment="1">
      <alignment horizontal="center"/>
    </xf>
    <xf numFmtId="0" fontId="29" fillId="0" borderId="0" xfId="20" applyFont="1"/>
    <xf numFmtId="0" fontId="26" fillId="0" borderId="0" xfId="20" applyNumberFormat="1" applyFont="1" applyAlignment="1">
      <alignment horizontal="center"/>
    </xf>
    <xf numFmtId="0" fontId="26" fillId="0" borderId="0" xfId="20" applyFont="1" applyAlignment="1">
      <alignment horizontal="center"/>
    </xf>
    <xf numFmtId="0" fontId="26" fillId="0" borderId="20" xfId="20" applyNumberFormat="1" applyFont="1" applyBorder="1" applyAlignment="1">
      <alignment horizontal="center"/>
    </xf>
    <xf numFmtId="0" fontId="26" fillId="0" borderId="21" xfId="20" applyFont="1" applyBorder="1" applyAlignment="1">
      <alignment horizontal="center"/>
    </xf>
    <xf numFmtId="0" fontId="26" fillId="0" borderId="0" xfId="20" applyFont="1" applyBorder="1" applyAlignment="1">
      <alignment horizontal="center"/>
    </xf>
    <xf numFmtId="0" fontId="29" fillId="0" borderId="22" xfId="20" applyFont="1" applyBorder="1"/>
    <xf numFmtId="0" fontId="26" fillId="0" borderId="23" xfId="20" applyNumberFormat="1" applyFont="1" applyBorder="1" applyAlignment="1">
      <alignment horizontal="center"/>
    </xf>
    <xf numFmtId="0" fontId="26" fillId="0" borderId="24" xfId="20" applyFont="1" applyBorder="1" applyAlignment="1">
      <alignment horizontal="center"/>
    </xf>
    <xf numFmtId="0" fontId="26" fillId="0" borderId="1" xfId="20" applyFont="1" applyBorder="1" applyAlignment="1">
      <alignment horizontal="center"/>
    </xf>
    <xf numFmtId="0" fontId="26" fillId="0" borderId="25" xfId="20" applyFont="1" applyBorder="1" applyAlignment="1">
      <alignment horizontal="center"/>
    </xf>
    <xf numFmtId="0" fontId="29" fillId="0" borderId="0" xfId="20" applyFont="1" applyAlignment="1">
      <alignment horizontal="left"/>
    </xf>
    <xf numFmtId="5" fontId="29" fillId="0" borderId="0" xfId="20" applyNumberFormat="1" applyFont="1"/>
    <xf numFmtId="37" fontId="29" fillId="0" borderId="0" xfId="20" applyNumberFormat="1" applyFont="1"/>
    <xf numFmtId="0" fontId="29" fillId="0" borderId="0" xfId="20" applyNumberFormat="1" applyFont="1" applyBorder="1" applyAlignment="1">
      <alignment horizontal="center"/>
    </xf>
    <xf numFmtId="37" fontId="29" fillId="0" borderId="0" xfId="20" applyNumberFormat="1" applyFont="1" applyBorder="1"/>
    <xf numFmtId="5" fontId="26" fillId="0" borderId="0" xfId="20" applyNumberFormat="1" applyFont="1"/>
    <xf numFmtId="0" fontId="29" fillId="0" borderId="0" xfId="20" applyNumberFormat="1" applyFont="1" applyFill="1" applyAlignment="1">
      <alignment horizontal="left"/>
    </xf>
    <xf numFmtId="0" fontId="29" fillId="0" borderId="0" xfId="20" applyFont="1" applyFill="1"/>
    <xf numFmtId="0" fontId="29" fillId="0" borderId="0" xfId="19" applyFont="1" applyFill="1"/>
    <xf numFmtId="0" fontId="29" fillId="0" borderId="0" xfId="20" applyNumberFormat="1" applyFont="1" applyFill="1" applyAlignment="1">
      <alignment horizontal="center"/>
    </xf>
    <xf numFmtId="0" fontId="29" fillId="0" borderId="0" xfId="19" applyFont="1" applyFill="1" applyAlignment="1">
      <alignment horizontal="right"/>
    </xf>
    <xf numFmtId="3" fontId="29" fillId="0" borderId="0" xfId="20" applyNumberFormat="1" applyFont="1" applyFill="1"/>
    <xf numFmtId="3" fontId="26" fillId="0" borderId="0" xfId="20" applyNumberFormat="1" applyFont="1" applyFill="1" applyAlignment="1">
      <alignment horizontal="center"/>
    </xf>
    <xf numFmtId="3" fontId="26" fillId="0" borderId="20" xfId="20" applyNumberFormat="1" applyFont="1" applyFill="1" applyBorder="1" applyAlignment="1">
      <alignment horizontal="center"/>
    </xf>
    <xf numFmtId="3" fontId="26" fillId="0" borderId="23" xfId="20" applyNumberFormat="1" applyFont="1" applyFill="1" applyBorder="1" applyAlignment="1">
      <alignment horizontal="center"/>
    </xf>
    <xf numFmtId="4" fontId="26" fillId="0" borderId="0" xfId="20" applyNumberFormat="1" applyFont="1" applyAlignment="1">
      <alignment horizontal="center"/>
    </xf>
    <xf numFmtId="42" fontId="30" fillId="0" borderId="0" xfId="21" applyNumberFormat="1" applyFont="1" applyFill="1"/>
    <xf numFmtId="41" fontId="30" fillId="0" borderId="0" xfId="21" applyNumberFormat="1" applyFont="1" applyFill="1"/>
    <xf numFmtId="41" fontId="30" fillId="0" borderId="1" xfId="21" applyNumberFormat="1" applyFont="1" applyFill="1" applyBorder="1"/>
    <xf numFmtId="41" fontId="29" fillId="0" borderId="0" xfId="21" applyNumberFormat="1" applyFont="1" applyFill="1"/>
    <xf numFmtId="41" fontId="29" fillId="0" borderId="0" xfId="20" applyNumberFormat="1" applyFont="1" applyFill="1"/>
    <xf numFmtId="41" fontId="30" fillId="0" borderId="0" xfId="21" applyNumberFormat="1" applyFont="1" applyFill="1" applyBorder="1"/>
    <xf numFmtId="42" fontId="29" fillId="0" borderId="2" xfId="20" applyNumberFormat="1" applyFont="1" applyFill="1" applyBorder="1"/>
    <xf numFmtId="41" fontId="29" fillId="0" borderId="26" xfId="20" applyNumberFormat="1" applyFont="1" applyFill="1" applyBorder="1"/>
    <xf numFmtId="41" fontId="29" fillId="0" borderId="0" xfId="20" applyNumberFormat="1" applyFont="1" applyBorder="1"/>
    <xf numFmtId="42" fontId="26" fillId="0" borderId="2" xfId="20" applyNumberFormat="1" applyFont="1" applyBorder="1"/>
    <xf numFmtId="3" fontId="29" fillId="0" borderId="0" xfId="20" applyNumberFormat="1" applyFont="1"/>
    <xf numFmtId="41" fontId="29" fillId="0" borderId="0" xfId="19" applyNumberFormat="1" applyFont="1" applyFill="1"/>
    <xf numFmtId="3" fontId="29" fillId="0" borderId="0" xfId="19" applyNumberFormat="1" applyFont="1" applyFill="1"/>
    <xf numFmtId="169" fontId="1" fillId="0" borderId="2" xfId="19" applyNumberFormat="1" applyFont="1" applyBorder="1"/>
    <xf numFmtId="10" fontId="12" fillId="0" borderId="0" xfId="23" applyNumberFormat="1" applyFont="1"/>
    <xf numFmtId="0" fontId="32" fillId="0" borderId="0" xfId="7" applyFont="1"/>
    <xf numFmtId="0" fontId="33" fillId="0" borderId="0" xfId="4" applyFont="1"/>
    <xf numFmtId="0" fontId="34" fillId="0" borderId="0" xfId="20" applyNumberFormat="1" applyFont="1" applyAlignment="1">
      <alignment horizontal="center"/>
    </xf>
    <xf numFmtId="0" fontId="34" fillId="0" borderId="0" xfId="20" applyFont="1"/>
    <xf numFmtId="0" fontId="32" fillId="0" borderId="0" xfId="19" applyNumberFormat="1" applyFont="1" applyAlignment="1">
      <alignment horizontal="center"/>
    </xf>
    <xf numFmtId="0" fontId="32" fillId="0" borderId="0" xfId="19" applyFont="1"/>
    <xf numFmtId="0" fontId="32" fillId="0" borderId="0" xfId="19" applyNumberFormat="1" applyFont="1" applyAlignment="1">
      <alignment horizontal="left"/>
    </xf>
    <xf numFmtId="0" fontId="18" fillId="0" borderId="0" xfId="20" applyNumberFormat="1" applyFont="1" applyAlignment="1">
      <alignment horizontal="left"/>
    </xf>
    <xf numFmtId="0" fontId="18" fillId="0" borderId="0" xfId="20" applyFont="1"/>
    <xf numFmtId="0" fontId="5" fillId="0" borderId="0" xfId="0" applyFont="1"/>
    <xf numFmtId="0" fontId="5" fillId="5" borderId="0" xfId="4" applyFill="1"/>
    <xf numFmtId="37" fontId="1" fillId="5" borderId="0" xfId="19" applyNumberFormat="1" applyFont="1" applyFill="1"/>
    <xf numFmtId="43" fontId="18" fillId="5" borderId="4" xfId="8" applyFont="1" applyFill="1" applyBorder="1" applyAlignment="1">
      <alignment horizontal="center" wrapText="1"/>
    </xf>
    <xf numFmtId="43" fontId="18" fillId="5" borderId="15" xfId="8" applyFont="1" applyFill="1" applyBorder="1" applyAlignment="1">
      <alignment horizontal="center" wrapText="1"/>
    </xf>
    <xf numFmtId="0" fontId="29" fillId="5" borderId="0" xfId="20" applyFont="1" applyFill="1"/>
    <xf numFmtId="37" fontId="29" fillId="5" borderId="0" xfId="20" applyNumberFormat="1" applyFont="1" applyFill="1"/>
    <xf numFmtId="41" fontId="30" fillId="5" borderId="1" xfId="21" applyNumberFormat="1" applyFont="1" applyFill="1" applyBorder="1"/>
    <xf numFmtId="0" fontId="25" fillId="5" borderId="0" xfId="17" applyFont="1" applyFill="1" applyBorder="1" applyAlignment="1">
      <alignment horizontal="center"/>
    </xf>
    <xf numFmtId="0" fontId="25" fillId="5" borderId="0" xfId="17" applyFont="1" applyFill="1"/>
    <xf numFmtId="168" fontId="1" fillId="5" borderId="0" xfId="19" applyNumberFormat="1" applyFont="1" applyFill="1" applyBorder="1"/>
    <xf numFmtId="41" fontId="23" fillId="5" borderId="0" xfId="19" applyNumberFormat="1" applyFont="1" applyFill="1"/>
    <xf numFmtId="37" fontId="1" fillId="5" borderId="0" xfId="19" applyNumberFormat="1" applyFont="1" applyFill="1" applyBorder="1"/>
    <xf numFmtId="164" fontId="18" fillId="0" borderId="0" xfId="8" applyNumberFormat="1" applyFont="1" applyBorder="1" applyAlignment="1">
      <alignment horizontal="center"/>
    </xf>
    <xf numFmtId="164" fontId="18" fillId="0" borderId="0" xfId="8" applyNumberFormat="1" applyFont="1" applyBorder="1"/>
    <xf numFmtId="164" fontId="0" fillId="0" borderId="0" xfId="8" applyNumberFormat="1" applyFont="1" applyBorder="1"/>
    <xf numFmtId="164" fontId="12" fillId="0" borderId="0" xfId="7" applyNumberFormat="1" applyBorder="1"/>
    <xf numFmtId="164" fontId="12" fillId="0" borderId="13" xfId="7" applyNumberFormat="1" applyBorder="1"/>
    <xf numFmtId="164" fontId="18" fillId="0" borderId="0" xfId="8" applyNumberFormat="1" applyFont="1" applyFill="1" applyBorder="1" applyAlignment="1">
      <alignment horizontal="center"/>
    </xf>
    <xf numFmtId="164" fontId="18" fillId="0" borderId="0" xfId="8" applyNumberFormat="1" applyFont="1" applyFill="1" applyBorder="1"/>
    <xf numFmtId="164" fontId="12" fillId="0" borderId="0" xfId="8" applyNumberFormat="1" applyFont="1" applyFill="1" applyBorder="1" applyAlignment="1">
      <alignment horizontal="center"/>
    </xf>
    <xf numFmtId="164" fontId="12" fillId="0" borderId="0" xfId="8" applyNumberFormat="1" applyFont="1" applyFill="1" applyBorder="1"/>
    <xf numFmtId="164" fontId="17" fillId="4" borderId="0" xfId="8" applyNumberFormat="1" applyFont="1" applyFill="1" applyBorder="1"/>
    <xf numFmtId="164" fontId="12" fillId="0" borderId="3" xfId="8" applyNumberFormat="1" applyFont="1" applyFill="1" applyBorder="1" applyAlignment="1">
      <alignment horizontal="center"/>
    </xf>
    <xf numFmtId="164" fontId="12" fillId="0" borderId="3" xfId="8" applyNumberFormat="1" applyFont="1" applyFill="1" applyBorder="1"/>
    <xf numFmtId="164" fontId="12" fillId="0" borderId="14" xfId="8" applyNumberFormat="1" applyFont="1" applyFill="1" applyBorder="1"/>
    <xf numFmtId="164" fontId="12" fillId="0" borderId="1" xfId="7" applyNumberFormat="1" applyBorder="1"/>
    <xf numFmtId="164" fontId="13" fillId="5" borderId="27" xfId="7" applyNumberFormat="1" applyFont="1" applyFill="1" applyBorder="1"/>
    <xf numFmtId="164" fontId="19" fillId="0" borderId="0" xfId="8" applyNumberFormat="1" applyFont="1" applyBorder="1"/>
    <xf numFmtId="164" fontId="19" fillId="0" borderId="13" xfId="8" applyNumberFormat="1" applyFont="1" applyBorder="1"/>
    <xf numFmtId="164" fontId="19" fillId="0" borderId="0" xfId="8" applyNumberFormat="1" applyFont="1" applyFill="1" applyBorder="1"/>
    <xf numFmtId="164" fontId="13" fillId="0" borderId="0" xfId="8" applyNumberFormat="1" applyFont="1" applyFill="1" applyBorder="1"/>
    <xf numFmtId="164" fontId="13" fillId="0" borderId="3" xfId="8" applyNumberFormat="1" applyFont="1" applyFill="1" applyBorder="1"/>
    <xf numFmtId="164" fontId="18" fillId="0" borderId="3" xfId="8" applyNumberFormat="1" applyFont="1" applyBorder="1"/>
    <xf numFmtId="164" fontId="19" fillId="0" borderId="14" xfId="8" applyNumberFormat="1" applyFont="1" applyBorder="1"/>
    <xf numFmtId="164" fontId="5" fillId="0" borderId="0" xfId="4" applyNumberFormat="1"/>
    <xf numFmtId="164" fontId="5" fillId="5" borderId="0" xfId="4" applyNumberFormat="1" applyFill="1"/>
    <xf numFmtId="164" fontId="10" fillId="0" borderId="2" xfId="5" applyNumberFormat="1" applyFont="1" applyBorder="1"/>
    <xf numFmtId="164" fontId="10" fillId="0" borderId="0" xfId="4" applyNumberFormat="1" applyFont="1"/>
    <xf numFmtId="164" fontId="5" fillId="0" borderId="2" xfId="4" applyNumberFormat="1" applyBorder="1"/>
    <xf numFmtId="164" fontId="29" fillId="0" borderId="0" xfId="20" applyNumberFormat="1" applyFont="1"/>
    <xf numFmtId="164" fontId="30" fillId="0" borderId="0" xfId="21" applyNumberFormat="1" applyFont="1" applyFill="1"/>
    <xf numFmtId="164" fontId="1" fillId="0" borderId="0" xfId="19" applyNumberFormat="1" applyFont="1" applyBorder="1"/>
    <xf numFmtId="164" fontId="1" fillId="0" borderId="0" xfId="19" applyNumberFormat="1" applyFont="1"/>
    <xf numFmtId="164" fontId="1" fillId="0" borderId="0" xfId="19" applyNumberFormat="1" applyFont="1" applyFill="1" applyBorder="1"/>
    <xf numFmtId="164" fontId="1" fillId="5" borderId="0" xfId="19" applyNumberFormat="1" applyFont="1" applyFill="1"/>
    <xf numFmtId="164" fontId="1" fillId="0" borderId="0" xfId="0" applyNumberFormat="1" applyFont="1"/>
    <xf numFmtId="164" fontId="30" fillId="0" borderId="1" xfId="21" applyNumberFormat="1" applyFont="1" applyFill="1" applyBorder="1"/>
    <xf numFmtId="164" fontId="29" fillId="0" borderId="1" xfId="20" applyNumberFormat="1" applyFont="1" applyFill="1" applyBorder="1"/>
    <xf numFmtId="164" fontId="29" fillId="0" borderId="1" xfId="20" applyNumberFormat="1" applyFont="1" applyBorder="1"/>
    <xf numFmtId="164" fontId="29" fillId="0" borderId="0" xfId="20" applyNumberFormat="1" applyFont="1" applyFill="1"/>
    <xf numFmtId="164" fontId="29" fillId="0" borderId="0" xfId="21" applyNumberFormat="1" applyFont="1" applyFill="1"/>
    <xf numFmtId="164" fontId="24" fillId="0" borderId="0" xfId="17" applyNumberFormat="1" applyFont="1" applyBorder="1" applyAlignment="1">
      <alignment horizontal="centerContinuous"/>
    </xf>
    <xf numFmtId="164" fontId="24" fillId="0" borderId="0" xfId="17" applyNumberFormat="1" applyFont="1" applyAlignment="1">
      <alignment horizontal="centerContinuous"/>
    </xf>
    <xf numFmtId="164" fontId="1" fillId="0" borderId="0" xfId="21" applyNumberFormat="1" applyFont="1" applyFill="1" applyBorder="1"/>
    <xf numFmtId="164" fontId="23" fillId="0" borderId="0" xfId="19" applyNumberFormat="1" applyFont="1"/>
    <xf numFmtId="164" fontId="23" fillId="0" borderId="1" xfId="19" applyNumberFormat="1" applyFont="1" applyBorder="1"/>
    <xf numFmtId="164" fontId="1" fillId="0" borderId="1" xfId="19" applyNumberFormat="1" applyFont="1" applyBorder="1"/>
    <xf numFmtId="164" fontId="1" fillId="0" borderId="0" xfId="19" applyNumberFormat="1" applyFont="1" applyFill="1"/>
    <xf numFmtId="164" fontId="23" fillId="0" borderId="0" xfId="21" applyNumberFormat="1" applyFont="1" applyFill="1" applyBorder="1"/>
    <xf numFmtId="0" fontId="12" fillId="5" borderId="11" xfId="7" applyFont="1" applyFill="1" applyBorder="1" applyAlignment="1">
      <alignment horizontal="centerContinuous"/>
    </xf>
    <xf numFmtId="0" fontId="12" fillId="5" borderId="11" xfId="7" applyFont="1" applyFill="1" applyBorder="1"/>
    <xf numFmtId="0" fontId="12" fillId="5" borderId="11" xfId="7" applyFont="1" applyFill="1" applyBorder="1" applyAlignment="1">
      <alignment horizontal="center"/>
    </xf>
    <xf numFmtId="0" fontId="12" fillId="5" borderId="11" xfId="7" applyFont="1" applyFill="1" applyBorder="1" applyAlignment="1">
      <alignment horizontal="center" wrapText="1"/>
    </xf>
    <xf numFmtId="0" fontId="12" fillId="5" borderId="12" xfId="7" applyFont="1" applyFill="1" applyBorder="1" applyAlignment="1">
      <alignment wrapText="1"/>
    </xf>
    <xf numFmtId="0" fontId="12" fillId="5" borderId="3" xfId="7" applyFont="1" applyFill="1" applyBorder="1" applyAlignment="1">
      <alignment horizontal="center"/>
    </xf>
    <xf numFmtId="0" fontId="12" fillId="5" borderId="3" xfId="7" quotePrefix="1" applyFont="1" applyFill="1" applyBorder="1" applyAlignment="1">
      <alignment horizontal="center"/>
    </xf>
    <xf numFmtId="0" fontId="12" fillId="5" borderId="14" xfId="7" applyFont="1" applyFill="1" applyBorder="1" applyAlignment="1">
      <alignment horizontal="center"/>
    </xf>
    <xf numFmtId="43" fontId="18" fillId="5" borderId="7" xfId="8" applyFont="1" applyFill="1" applyBorder="1" applyAlignment="1">
      <alignment horizontal="centerContinuous"/>
    </xf>
    <xf numFmtId="43" fontId="18" fillId="5" borderId="7" xfId="8" applyFont="1" applyFill="1" applyBorder="1"/>
    <xf numFmtId="43" fontId="18" fillId="5" borderId="7" xfId="8" applyFont="1" applyFill="1" applyBorder="1" applyAlignment="1">
      <alignment horizontal="center"/>
    </xf>
    <xf numFmtId="43" fontId="18" fillId="5" borderId="7" xfId="8" applyFont="1" applyFill="1" applyBorder="1" applyAlignment="1">
      <alignment horizontal="center" wrapText="1"/>
    </xf>
    <xf numFmtId="43" fontId="18" fillId="5" borderId="8" xfId="8" applyFont="1" applyFill="1" applyBorder="1" applyAlignment="1">
      <alignment wrapText="1"/>
    </xf>
    <xf numFmtId="165" fontId="10" fillId="5" borderId="0" xfId="5" applyNumberFormat="1" applyFont="1" applyFill="1" applyBorder="1"/>
    <xf numFmtId="165" fontId="5" fillId="5" borderId="0" xfId="4" applyNumberFormat="1" applyFill="1"/>
    <xf numFmtId="0" fontId="26" fillId="5" borderId="0" xfId="20" applyFont="1" applyFill="1" applyAlignment="1">
      <alignment horizontal="center"/>
    </xf>
    <xf numFmtId="3" fontId="26" fillId="5" borderId="0" xfId="20" applyNumberFormat="1" applyFont="1" applyFill="1" applyAlignment="1">
      <alignment horizontal="center"/>
    </xf>
    <xf numFmtId="0" fontId="2" fillId="5" borderId="0" xfId="19" applyFont="1" applyFill="1" applyBorder="1" applyAlignment="1">
      <alignment horizontal="center"/>
    </xf>
    <xf numFmtId="0" fontId="2" fillId="5" borderId="0" xfId="19" applyFont="1" applyFill="1" applyAlignment="1">
      <alignment horizontal="center"/>
    </xf>
    <xf numFmtId="167" fontId="2" fillId="5" borderId="0" xfId="21" applyNumberFormat="1" applyFont="1" applyFill="1" applyBorder="1" applyAlignment="1">
      <alignment horizontal="center"/>
    </xf>
    <xf numFmtId="0" fontId="26" fillId="5" borderId="18" xfId="20" applyFont="1" applyFill="1" applyBorder="1" applyAlignment="1">
      <alignment horizontal="center"/>
    </xf>
    <xf numFmtId="0" fontId="26" fillId="5" borderId="5" xfId="20" applyFont="1" applyFill="1" applyBorder="1" applyAlignment="1">
      <alignment horizontal="center"/>
    </xf>
    <xf numFmtId="0" fontId="29" fillId="5" borderId="19" xfId="20" applyFont="1" applyFill="1" applyBorder="1"/>
    <xf numFmtId="3" fontId="26" fillId="5" borderId="17" xfId="20" applyNumberFormat="1" applyFont="1" applyFill="1" applyBorder="1" applyAlignment="1">
      <alignment horizontal="center"/>
    </xf>
    <xf numFmtId="3" fontId="2" fillId="5" borderId="0" xfId="19" applyNumberFormat="1" applyFont="1" applyFill="1" applyBorder="1" applyAlignment="1">
      <alignment horizontal="center"/>
    </xf>
    <xf numFmtId="41" fontId="30" fillId="5" borderId="0" xfId="21" applyNumberFormat="1" applyFont="1" applyFill="1"/>
    <xf numFmtId="41" fontId="26" fillId="5" borderId="0" xfId="19" applyNumberFormat="1" applyFont="1" applyFill="1" applyBorder="1" applyAlignment="1">
      <alignment horizontal="center"/>
    </xf>
    <xf numFmtId="0" fontId="2" fillId="5" borderId="1" xfId="19" applyFont="1" applyFill="1" applyBorder="1" applyAlignment="1">
      <alignment horizontal="center"/>
    </xf>
    <xf numFmtId="0" fontId="2" fillId="5" borderId="1" xfId="19" applyFont="1" applyFill="1" applyBorder="1" applyAlignment="1">
      <alignment horizontal="left"/>
    </xf>
    <xf numFmtId="41" fontId="26" fillId="5" borderId="1" xfId="19" applyNumberFormat="1" applyFont="1" applyFill="1" applyBorder="1" applyAlignment="1">
      <alignment horizontal="center"/>
    </xf>
    <xf numFmtId="170" fontId="5" fillId="0" borderId="3" xfId="4" applyNumberFormat="1" applyBorder="1" applyAlignment="1">
      <alignment horizontal="right"/>
    </xf>
    <xf numFmtId="0" fontId="26" fillId="0" borderId="28" xfId="20" applyNumberFormat="1" applyFont="1" applyBorder="1" applyAlignment="1">
      <alignment horizontal="center"/>
    </xf>
    <xf numFmtId="0" fontId="2" fillId="0" borderId="3" xfId="19" applyNumberFormat="1" applyFont="1" applyBorder="1" applyAlignment="1">
      <alignment horizontal="center"/>
    </xf>
    <xf numFmtId="0" fontId="5" fillId="0" borderId="3" xfId="4" applyBorder="1" applyAlignment="1">
      <alignment horizontal="right"/>
    </xf>
    <xf numFmtId="0" fontId="29" fillId="0" borderId="3" xfId="20" applyNumberFormat="1" applyFont="1" applyBorder="1" applyAlignment="1">
      <alignment horizontal="center"/>
    </xf>
    <xf numFmtId="37" fontId="1" fillId="0" borderId="3" xfId="19" applyNumberFormat="1" applyFont="1" applyBorder="1" applyAlignment="1">
      <alignment horizontal="center"/>
    </xf>
    <xf numFmtId="0" fontId="5" fillId="5" borderId="0" xfId="4" applyFill="1" applyAlignment="1">
      <alignment horizontal="center" wrapText="1"/>
    </xf>
    <xf numFmtId="168" fontId="1" fillId="5" borderId="0" xfId="19" applyNumberFormat="1" applyFont="1" applyFill="1" applyBorder="1" applyAlignment="1">
      <alignment horizontal="center" wrapText="1"/>
    </xf>
    <xf numFmtId="165" fontId="7" fillId="5" borderId="0" xfId="4" applyNumberFormat="1" applyFont="1" applyFill="1"/>
    <xf numFmtId="165" fontId="5" fillId="0" borderId="2" xfId="4" applyNumberFormat="1" applyFont="1" applyBorder="1"/>
    <xf numFmtId="165" fontId="5" fillId="0" borderId="0" xfId="4" applyNumberFormat="1" applyFont="1"/>
    <xf numFmtId="164" fontId="5" fillId="0" borderId="2" xfId="4" applyNumberFormat="1" applyFont="1" applyBorder="1"/>
    <xf numFmtId="0" fontId="12" fillId="0" borderId="29" xfId="7" applyFont="1" applyBorder="1"/>
    <xf numFmtId="0" fontId="12" fillId="0" borderId="11" xfId="7" applyFont="1" applyBorder="1" applyAlignment="1">
      <alignment horizontal="centerContinuous"/>
    </xf>
    <xf numFmtId="0" fontId="12" fillId="0" borderId="12" xfId="7" applyFont="1" applyBorder="1" applyAlignment="1">
      <alignment horizontal="centerContinuous"/>
    </xf>
    <xf numFmtId="164" fontId="12" fillId="5" borderId="13" xfId="8" applyNumberFormat="1" applyFont="1" applyFill="1" applyBorder="1"/>
    <xf numFmtId="164" fontId="12" fillId="5" borderId="27" xfId="8" applyNumberFormat="1" applyFont="1" applyFill="1" applyBorder="1"/>
    <xf numFmtId="164" fontId="12" fillId="5" borderId="14" xfId="8" applyNumberFormat="1" applyFont="1" applyFill="1" applyBorder="1"/>
    <xf numFmtId="43" fontId="18" fillId="5" borderId="8" xfId="8" applyFont="1" applyFill="1" applyBorder="1" applyAlignment="1">
      <alignment horizontal="center" wrapText="1"/>
    </xf>
    <xf numFmtId="164" fontId="12" fillId="5" borderId="27" xfId="7" applyNumberFormat="1" applyFont="1" applyFill="1" applyBorder="1"/>
    <xf numFmtId="164" fontId="12" fillId="0" borderId="3" xfId="7" applyNumberFormat="1" applyBorder="1"/>
  </cellXfs>
  <cellStyles count="24">
    <cellStyle name="Comma [0] 2" xfId="9"/>
    <cellStyle name="Comma 2" xfId="8"/>
    <cellStyle name="Comma 3" xfId="6"/>
    <cellStyle name="Currency [0] 2" xfId="10"/>
    <cellStyle name="Currency 2" xfId="11"/>
    <cellStyle name="Currency 3" xfId="5"/>
    <cellStyle name="Followed Hyperlink 2" xfId="1"/>
    <cellStyle name="Hyperlink 2" xfId="2"/>
    <cellStyle name="Manual Input" xfId="12"/>
    <cellStyle name="Manual-Input" xfId="13"/>
    <cellStyle name="Normal" xfId="0" builtinId="0"/>
    <cellStyle name="Normal 2" xfId="7"/>
    <cellStyle name="Normal 2 2" xfId="17"/>
    <cellStyle name="Normal 2 3" xfId="18"/>
    <cellStyle name="Normal 3" xfId="4"/>
    <cellStyle name="Normal 4" xfId="15"/>
    <cellStyle name="Normal 6" xfId="3"/>
    <cellStyle name="Normal_DFIT-WaEle_SUM" xfId="16"/>
    <cellStyle name="Normal_IDGas6_97" xfId="21"/>
    <cellStyle name="Normal_WAElec6_97" xfId="19"/>
    <cellStyle name="Normal_WAGas6_97" xfId="20"/>
    <cellStyle name="Percent" xfId="23" builtinId="5"/>
    <cellStyle name="Percent 2" xfId="14"/>
    <cellStyle name="Percent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</xdr:row>
      <xdr:rowOff>19050</xdr:rowOff>
    </xdr:from>
    <xdr:to>
      <xdr:col>2</xdr:col>
      <xdr:colOff>76200</xdr:colOff>
      <xdr:row>27</xdr:row>
      <xdr:rowOff>57150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116580" y="491871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Avista\UE-110876%20GRC\Company's%20Workpaper\J.%20%20UE___%20Andrews%20-%20Gas%20WP's%20(AVA-May2011)\Andrews-WA%20Gas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OPEN%20RATECASES/Avista%20GRC%202012%20UE-120436%20&amp;%20UG-120437/Company/Company%20Workpapers/N.%20UE__Andrews%20Electric%20WPs%20(AVA-Apr2012)/2012%20WA%20Electric%20RR%20Mode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Avista\UE-110876%20GRC\Company's%20Workpaper\J.%20%20UE___%20Andrews%20-%20Electric%20WP's%20(AVA-May2011)\Andrews-WA%20ELEC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-WA"/>
      <sheetName val="RevReqEx-WA"/>
      <sheetName val="ConverFac_Exh-WA"/>
      <sheetName val="WAGas_09"/>
      <sheetName val="PFRstmtSheet"/>
      <sheetName val="ResultSumGas"/>
      <sheetName val="DFIT"/>
      <sheetName val="BldGain"/>
      <sheetName val="GasInv"/>
      <sheetName val="CustAdv"/>
      <sheetName val="CustDep"/>
      <sheetName val="Res_Capital"/>
      <sheetName val="Working Capital"/>
      <sheetName val="WeatherGas"/>
      <sheetName val="BandO"/>
      <sheetName val="PropTax"/>
      <sheetName val="UncollExp"/>
      <sheetName val="RegExp"/>
      <sheetName val="InjDam"/>
      <sheetName val="FIT"/>
      <sheetName val="GainsLosses"/>
      <sheetName val="ElimAR"/>
      <sheetName val="SubSpace"/>
      <sheetName val="ExciseTax"/>
      <sheetName val="MiscReState"/>
      <sheetName val="Rest_Incent"/>
      <sheetName val="WznDSM"/>
      <sheetName val="DebtInt"/>
      <sheetName val="DebtCalc"/>
      <sheetName val="Inputs"/>
      <sheetName val="PFNon-Exec"/>
      <sheetName val="PF-Exec"/>
      <sheetName val="PFJPStorage11"/>
      <sheetName val="SurvRplct"/>
      <sheetName val="PFEmpBen"/>
      <sheetName val="PFInsur"/>
      <sheetName val="PFAtmos_Test"/>
      <sheetName val="NotUsed"/>
      <sheetName val="Recap Summary-for sttlmt disc"/>
      <sheetName val="Open 8"/>
      <sheetName val="PFOpen"/>
      <sheetName val="PFOpen1"/>
      <sheetName val="open"/>
      <sheetName val="OPEN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DETAIL-INPUT"/>
      <sheetName val="LEAD SHEETS-DO NOT ENTER"/>
      <sheetName val="ADJ SUMMARY"/>
      <sheetName val="ROO INPUT"/>
      <sheetName val="DEBT CALC"/>
      <sheetName val="RETAIL REVENUE CREDIT"/>
      <sheetName val="COMPARISON -SETTLEMENT"/>
    </sheetNames>
    <sheetDataSet>
      <sheetData sheetId="0"/>
      <sheetData sheetId="1"/>
      <sheetData sheetId="2"/>
      <sheetData sheetId="3">
        <row r="2">
          <cell r="A2" t="str">
            <v xml:space="preserve">AVISTA UTILITIES  </v>
          </cell>
        </row>
        <row r="3">
          <cell r="A3" t="str">
            <v xml:space="preserve">WASHINGTON ELECTRIC RESULTS  </v>
          </cell>
        </row>
        <row r="5">
          <cell r="A5" t="str">
            <v xml:space="preserve">(000'S OF DOLLARS)  </v>
          </cell>
        </row>
        <row r="8">
          <cell r="A8" t="str">
            <v>Line</v>
          </cell>
          <cell r="W8" t="str">
            <v>Restate</v>
          </cell>
        </row>
        <row r="9">
          <cell r="A9" t="str">
            <v>No.</v>
          </cell>
          <cell r="W9" t="str">
            <v>Incentives</v>
          </cell>
        </row>
        <row r="10">
          <cell r="W10">
            <v>2.1499999999999968</v>
          </cell>
        </row>
        <row r="11">
          <cell r="W11" t="str">
            <v>E-RI</v>
          </cell>
        </row>
        <row r="13">
          <cell r="B13" t="str">
            <v xml:space="preserve">REVENUES  </v>
          </cell>
        </row>
        <row r="14">
          <cell r="A14">
            <v>1</v>
          </cell>
          <cell r="B14" t="str">
            <v xml:space="preserve">Total General Business  </v>
          </cell>
          <cell r="W14">
            <v>0</v>
          </cell>
        </row>
        <row r="15">
          <cell r="A15">
            <v>2</v>
          </cell>
          <cell r="B15" t="str">
            <v xml:space="preserve">Interdepartmental Sales  </v>
          </cell>
          <cell r="W15">
            <v>0</v>
          </cell>
        </row>
        <row r="16">
          <cell r="A16">
            <v>3</v>
          </cell>
          <cell r="B16" t="str">
            <v xml:space="preserve">Sales for Resale  </v>
          </cell>
          <cell r="W16">
            <v>0</v>
          </cell>
        </row>
        <row r="17">
          <cell r="A17">
            <v>4</v>
          </cell>
          <cell r="B17" t="str">
            <v xml:space="preserve">Total Sales of Electricity  </v>
          </cell>
          <cell r="W17">
            <v>0</v>
          </cell>
        </row>
        <row r="18">
          <cell r="A18">
            <v>5</v>
          </cell>
          <cell r="B18" t="str">
            <v xml:space="preserve">Other Revenue  </v>
          </cell>
          <cell r="W18">
            <v>0</v>
          </cell>
        </row>
        <row r="19">
          <cell r="A19">
            <v>6</v>
          </cell>
          <cell r="B19" t="str">
            <v xml:space="preserve">Total Electric Revenue  </v>
          </cell>
          <cell r="W19">
            <v>0</v>
          </cell>
        </row>
        <row r="21">
          <cell r="B21" t="str">
            <v xml:space="preserve">EXPENSES  </v>
          </cell>
        </row>
        <row r="22">
          <cell r="B22" t="str">
            <v xml:space="preserve">Production and Transmission  </v>
          </cell>
        </row>
        <row r="23">
          <cell r="A23">
            <v>7</v>
          </cell>
          <cell r="C23" t="str">
            <v xml:space="preserve">Operating Expenses  </v>
          </cell>
          <cell r="W23">
            <v>0</v>
          </cell>
        </row>
        <row r="24">
          <cell r="A24">
            <v>8</v>
          </cell>
          <cell r="C24" t="str">
            <v xml:space="preserve">Purchased Power  </v>
          </cell>
          <cell r="W24">
            <v>0</v>
          </cell>
        </row>
        <row r="25">
          <cell r="A25">
            <v>9</v>
          </cell>
          <cell r="C25" t="str">
            <v xml:space="preserve">Depreciation/Amortization  </v>
          </cell>
          <cell r="W25">
            <v>0</v>
          </cell>
        </row>
        <row r="26">
          <cell r="A26">
            <v>10</v>
          </cell>
          <cell r="C26" t="str">
            <v>Regulatory Amortization</v>
          </cell>
          <cell r="W26">
            <v>0</v>
          </cell>
        </row>
        <row r="27">
          <cell r="A27">
            <v>11</v>
          </cell>
          <cell r="C27" t="str">
            <v xml:space="preserve">Taxes  </v>
          </cell>
          <cell r="W27">
            <v>0</v>
          </cell>
        </row>
        <row r="28">
          <cell r="A28">
            <v>12</v>
          </cell>
          <cell r="B28" t="str">
            <v xml:space="preserve">Total Production &amp; Transmission  </v>
          </cell>
          <cell r="W28">
            <v>0</v>
          </cell>
        </row>
        <row r="30">
          <cell r="B30" t="str">
            <v xml:space="preserve">Distribution  </v>
          </cell>
        </row>
        <row r="31">
          <cell r="A31">
            <v>13</v>
          </cell>
          <cell r="C31" t="str">
            <v xml:space="preserve">Operating Expenses  </v>
          </cell>
          <cell r="W31">
            <v>0</v>
          </cell>
        </row>
        <row r="32">
          <cell r="A32">
            <v>14</v>
          </cell>
          <cell r="C32" t="str">
            <v>Depreciation/Amortization</v>
          </cell>
          <cell r="W32">
            <v>0</v>
          </cell>
        </row>
        <row r="33">
          <cell r="A33">
            <v>15</v>
          </cell>
          <cell r="C33" t="str">
            <v xml:space="preserve">Taxes  </v>
          </cell>
          <cell r="W33">
            <v>0</v>
          </cell>
        </row>
        <row r="34">
          <cell r="A34">
            <v>16</v>
          </cell>
          <cell r="B34" t="str">
            <v xml:space="preserve">Total Distribution  </v>
          </cell>
          <cell r="W34">
            <v>0</v>
          </cell>
        </row>
        <row r="36">
          <cell r="A36">
            <v>17</v>
          </cell>
          <cell r="B36" t="str">
            <v xml:space="preserve">Customer Accounting  </v>
          </cell>
          <cell r="W36">
            <v>0</v>
          </cell>
        </row>
        <row r="37">
          <cell r="A37">
            <v>18</v>
          </cell>
          <cell r="B37" t="str">
            <v xml:space="preserve">Customer Service &amp; Information  </v>
          </cell>
          <cell r="W37">
            <v>0</v>
          </cell>
        </row>
        <row r="38">
          <cell r="A38">
            <v>19</v>
          </cell>
          <cell r="B38" t="str">
            <v xml:space="preserve">Sales Expenses  </v>
          </cell>
          <cell r="W38">
            <v>0</v>
          </cell>
        </row>
        <row r="40">
          <cell r="B40" t="str">
            <v xml:space="preserve">Administrative &amp; General  </v>
          </cell>
        </row>
        <row r="41">
          <cell r="A41">
            <v>20</v>
          </cell>
          <cell r="C41" t="str">
            <v xml:space="preserve">Operating Expenses  </v>
          </cell>
        </row>
        <row r="42">
          <cell r="A42">
            <v>21</v>
          </cell>
          <cell r="C42" t="str">
            <v>Depreciation/Amortization</v>
          </cell>
          <cell r="W42">
            <v>0</v>
          </cell>
        </row>
        <row r="43">
          <cell r="A43">
            <v>22</v>
          </cell>
          <cell r="C43" t="str">
            <v xml:space="preserve">Taxes  </v>
          </cell>
          <cell r="W43">
            <v>0</v>
          </cell>
        </row>
        <row r="44">
          <cell r="A44">
            <v>23</v>
          </cell>
          <cell r="B44" t="str">
            <v xml:space="preserve">Total Admin. &amp; General  </v>
          </cell>
        </row>
        <row r="45">
          <cell r="A45">
            <v>24</v>
          </cell>
          <cell r="B45" t="str">
            <v xml:space="preserve">Total Electric Expenses  </v>
          </cell>
        </row>
        <row r="47">
          <cell r="A47">
            <v>25</v>
          </cell>
          <cell r="B47" t="str">
            <v xml:space="preserve">OPERATING INCOME BEFORE FIT  </v>
          </cell>
        </row>
        <row r="49">
          <cell r="B49" t="str">
            <v xml:space="preserve">FEDERAL INCOME TAX  </v>
          </cell>
          <cell r="W49">
            <v>0</v>
          </cell>
        </row>
        <row r="50">
          <cell r="A50">
            <v>26</v>
          </cell>
          <cell r="B50" t="str">
            <v xml:space="preserve">Current Accrual </v>
          </cell>
        </row>
        <row r="51">
          <cell r="A51">
            <v>27</v>
          </cell>
          <cell r="B51" t="str">
            <v>Debt Interest</v>
          </cell>
          <cell r="W51">
            <v>0</v>
          </cell>
        </row>
        <row r="52">
          <cell r="A52">
            <v>28</v>
          </cell>
          <cell r="B52" t="str">
            <v xml:space="preserve">Deferred Income Taxes  </v>
          </cell>
          <cell r="W52">
            <v>0</v>
          </cell>
        </row>
        <row r="53">
          <cell r="A53">
            <v>29</v>
          </cell>
          <cell r="B53" t="str">
            <v>Amortized ITC - Noxon</v>
          </cell>
          <cell r="W53">
            <v>0</v>
          </cell>
        </row>
        <row r="55">
          <cell r="A55">
            <v>30</v>
          </cell>
          <cell r="B55" t="str">
            <v xml:space="preserve">NET OPERATING INCOME  </v>
          </cell>
        </row>
        <row r="57">
          <cell r="B57" t="str">
            <v xml:space="preserve">RATE BASE  </v>
          </cell>
        </row>
        <row r="58">
          <cell r="B58" t="str">
            <v xml:space="preserve">PLANT IN SERVICE  </v>
          </cell>
        </row>
        <row r="59">
          <cell r="A59">
            <v>31</v>
          </cell>
          <cell r="C59" t="str">
            <v xml:space="preserve">Intangible  </v>
          </cell>
          <cell r="W59">
            <v>0</v>
          </cell>
        </row>
        <row r="60">
          <cell r="A60">
            <v>32</v>
          </cell>
          <cell r="C60" t="str">
            <v xml:space="preserve">Production  </v>
          </cell>
          <cell r="W60">
            <v>0</v>
          </cell>
        </row>
        <row r="61">
          <cell r="A61">
            <v>33</v>
          </cell>
          <cell r="C61" t="str">
            <v xml:space="preserve">Transmission  </v>
          </cell>
          <cell r="W61">
            <v>0</v>
          </cell>
        </row>
        <row r="62">
          <cell r="A62">
            <v>34</v>
          </cell>
          <cell r="C62" t="str">
            <v xml:space="preserve">Distribution  </v>
          </cell>
          <cell r="W62">
            <v>0</v>
          </cell>
        </row>
        <row r="63">
          <cell r="A63">
            <v>35</v>
          </cell>
          <cell r="C63" t="str">
            <v xml:space="preserve">General  </v>
          </cell>
          <cell r="W63">
            <v>0</v>
          </cell>
        </row>
        <row r="64">
          <cell r="A64">
            <v>36</v>
          </cell>
          <cell r="B64" t="str">
            <v xml:space="preserve">Total Plant in Service  </v>
          </cell>
          <cell r="W64">
            <v>0</v>
          </cell>
        </row>
        <row r="65">
          <cell r="B65" t="str">
            <v>ACCUMULATED DEPRECIATION/AMORT</v>
          </cell>
        </row>
        <row r="66">
          <cell r="A66">
            <v>37</v>
          </cell>
          <cell r="C66" t="str">
            <v xml:space="preserve">Intangible  </v>
          </cell>
          <cell r="W66">
            <v>0</v>
          </cell>
        </row>
        <row r="67">
          <cell r="A67">
            <v>38</v>
          </cell>
          <cell r="C67" t="str">
            <v xml:space="preserve">Production  </v>
          </cell>
          <cell r="W67">
            <v>0</v>
          </cell>
        </row>
        <row r="68">
          <cell r="A68">
            <v>39</v>
          </cell>
          <cell r="C68" t="str">
            <v xml:space="preserve">Transmission  </v>
          </cell>
          <cell r="W68">
            <v>0</v>
          </cell>
        </row>
        <row r="69">
          <cell r="A69">
            <v>40</v>
          </cell>
          <cell r="C69" t="str">
            <v xml:space="preserve">Distribution  </v>
          </cell>
          <cell r="W69">
            <v>0</v>
          </cell>
        </row>
        <row r="70">
          <cell r="A70">
            <v>41</v>
          </cell>
          <cell r="C70" t="str">
            <v xml:space="preserve">General  </v>
          </cell>
          <cell r="W70">
            <v>0</v>
          </cell>
        </row>
        <row r="71">
          <cell r="A71">
            <v>42</v>
          </cell>
          <cell r="B71" t="str">
            <v>Total Accumulated Depreciation</v>
          </cell>
          <cell r="W71">
            <v>0</v>
          </cell>
        </row>
        <row r="72">
          <cell r="A72">
            <v>43</v>
          </cell>
          <cell r="B72" t="str">
            <v xml:space="preserve">NET PLANT </v>
          </cell>
          <cell r="W72">
            <v>0</v>
          </cell>
        </row>
        <row r="74">
          <cell r="A74">
            <v>44</v>
          </cell>
          <cell r="B74" t="str">
            <v xml:space="preserve">DEFERRED TAXES  </v>
          </cell>
          <cell r="W74">
            <v>0</v>
          </cell>
        </row>
        <row r="75">
          <cell r="A75">
            <v>45</v>
          </cell>
          <cell r="C75" t="str">
            <v>Net Plant After DFIT</v>
          </cell>
          <cell r="W75">
            <v>0</v>
          </cell>
        </row>
        <row r="76">
          <cell r="A76">
            <v>46</v>
          </cell>
          <cell r="B76" t="str">
            <v xml:space="preserve">DEFERRED DEBITS AND CREDITS </v>
          </cell>
          <cell r="W76">
            <v>0</v>
          </cell>
        </row>
        <row r="77">
          <cell r="A77">
            <v>47</v>
          </cell>
          <cell r="B77" t="str">
            <v xml:space="preserve">WORKING CAPITAL </v>
          </cell>
          <cell r="W77">
            <v>0</v>
          </cell>
        </row>
        <row r="78">
          <cell r="W78">
            <v>0</v>
          </cell>
        </row>
        <row r="79">
          <cell r="A79">
            <v>48</v>
          </cell>
          <cell r="B79" t="str">
            <v xml:space="preserve">TOTAL RATE BASE  </v>
          </cell>
          <cell r="W79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-WA"/>
      <sheetName val="RevReq_Exh_WA"/>
      <sheetName val="ConverFac_Exh-WA"/>
      <sheetName val="WAElec_09"/>
      <sheetName val="PFRstmtSheet"/>
      <sheetName val="ResultSumEl"/>
      <sheetName val="Retail Revenue Credit"/>
      <sheetName val="DFITAMA"/>
      <sheetName val="BldGain"/>
      <sheetName val="ColstripAFUDC"/>
      <sheetName val="ColstripCommon"/>
      <sheetName val="KF-BP_Summ"/>
      <sheetName val="CustAdv"/>
      <sheetName val="CustDep"/>
      <sheetName val="WA-SettleEx"/>
      <sheetName val="CDA"/>
      <sheetName val="Def_CDA"/>
      <sheetName val="CDA_CDR"/>
      <sheetName val="Def_SR"/>
      <sheetName val="SR_PME_DEF"/>
      <sheetName val="MoLease"/>
      <sheetName val="Res_Lancaster"/>
      <sheetName val="Res_Capital"/>
      <sheetName val="BandO"/>
      <sheetName val="PropTax"/>
      <sheetName val="UncollExp"/>
      <sheetName val="RegExp"/>
      <sheetName val="InjDam"/>
      <sheetName val="FIT"/>
      <sheetName val="ElimPowerCost"/>
      <sheetName val="NezPerce"/>
      <sheetName val="GainsLoss"/>
      <sheetName val="ElimAR"/>
      <sheetName val="SubSpace"/>
      <sheetName val="ExciseTax"/>
      <sheetName val="RevNormalztn"/>
      <sheetName val="MiscRestate"/>
      <sheetName val="Res_Incen"/>
      <sheetName val="BCKaBlck"/>
      <sheetName val="WrkgCap"/>
      <sheetName val="DebtInt"/>
      <sheetName val="DebtCalc"/>
      <sheetName val="PFPSWA"/>
      <sheetName val="PFLoad"/>
      <sheetName val="PFLabor"/>
      <sheetName val="PFExec"/>
      <sheetName val="PFTrans"/>
      <sheetName val="PFCapx2011"/>
      <sheetName val="PFNoxon"/>
      <sheetName val="PFVegMgmt"/>
      <sheetName val="PFEmpBen"/>
      <sheetName val="PFInsur"/>
      <sheetName val="Revised Comparison-For sttlmnt"/>
      <sheetName val="Open"/>
      <sheetName val="Open1"/>
      <sheetName val="PFOpen"/>
      <sheetName val="PF-OPEN1"/>
      <sheetName val="Inputs"/>
      <sheetName val="not-used"/>
      <sheetName val="PFProdFctr-WA-not used-formula"/>
      <sheetName val="PFProdFctr-WA calc"/>
      <sheetName val="Res_Capital (2)"/>
    </sheetNames>
    <sheetDataSet>
      <sheetData sheetId="0"/>
      <sheetData sheetId="1"/>
      <sheetData sheetId="2"/>
      <sheetData sheetId="3"/>
      <sheetData sheetId="4">
        <row r="1">
          <cell r="A1" t="str">
            <v xml:space="preserve">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zoomScaleNormal="100" zoomScaleSheetLayoutView="90" workbookViewId="0">
      <pane xSplit="4" ySplit="9" topLeftCell="E55" activePane="bottomRight" state="frozen"/>
      <selection activeCell="J70" sqref="J70"/>
      <selection pane="topRight" activeCell="J70" sqref="J70"/>
      <selection pane="bottomLeft" activeCell="J70" sqref="J70"/>
      <selection pane="bottomRight" activeCell="E78" sqref="A1:E78"/>
    </sheetView>
  </sheetViews>
  <sheetFormatPr defaultColWidth="10.7109375" defaultRowHeight="12.75"/>
  <cols>
    <col min="1" max="1" width="4.7109375" style="42" customWidth="1"/>
    <col min="2" max="3" width="1.7109375" style="43" customWidth="1"/>
    <col min="4" max="4" width="33.7109375" style="43" customWidth="1"/>
    <col min="5" max="5" width="14.140625" style="48" bestFit="1" customWidth="1"/>
    <col min="6" max="6" width="20.42578125" style="45" customWidth="1"/>
    <col min="7" max="7" width="2.85546875" style="43" customWidth="1"/>
    <col min="8" max="8" width="2.7109375" style="43" customWidth="1"/>
    <col min="9" max="9" width="10.7109375" style="43" customWidth="1"/>
    <col min="10" max="10" width="17.140625" style="46" customWidth="1"/>
    <col min="11" max="11" width="6.85546875" style="43" customWidth="1"/>
    <col min="12" max="12" width="10.7109375" style="43"/>
    <col min="13" max="13" width="10.7109375" style="47"/>
    <col min="14" max="14" width="16.7109375" style="46" customWidth="1"/>
    <col min="15" max="16384" width="10.7109375" style="43"/>
  </cols>
  <sheetData>
    <row r="1" spans="1:14" ht="18.75">
      <c r="A1" s="154"/>
      <c r="B1" s="155"/>
      <c r="C1" s="155"/>
      <c r="E1" s="44"/>
    </row>
    <row r="2" spans="1:14" ht="5.25" customHeight="1">
      <c r="A2" s="154"/>
      <c r="B2" s="155"/>
      <c r="C2" s="155"/>
      <c r="D2" s="42"/>
    </row>
    <row r="3" spans="1:14" ht="18.75">
      <c r="A3" s="156" t="str">
        <f>'[2]ADJ DETAIL-INPUT'!A2</f>
        <v xml:space="preserve">AVISTA UTILITIES  </v>
      </c>
      <c r="B3" s="155"/>
      <c r="C3" s="155"/>
      <c r="D3" s="42"/>
      <c r="E3" s="50"/>
    </row>
    <row r="4" spans="1:14">
      <c r="A4" s="49" t="str">
        <f>'[2]ADJ DETAIL-INPUT'!A3</f>
        <v xml:space="preserve">WASHINGTON ELECTRIC RESULTS  </v>
      </c>
      <c r="D4" s="42"/>
      <c r="E4" s="51"/>
    </row>
    <row r="5" spans="1:14" s="53" customFormat="1" ht="12">
      <c r="A5" s="49" t="str">
        <f>'[2]ADJ DETAIL-INPUT'!A5</f>
        <v xml:space="preserve">(000'S OF DOLLARS)  </v>
      </c>
      <c r="D5" s="54"/>
      <c r="E5" s="55"/>
      <c r="F5" s="56"/>
      <c r="J5" s="52"/>
      <c r="N5" s="52"/>
    </row>
    <row r="6" spans="1:14" s="53" customFormat="1" ht="12" customHeight="1">
      <c r="A6" s="57"/>
      <c r="B6" s="56"/>
      <c r="C6" s="56"/>
      <c r="D6" s="56"/>
      <c r="E6" s="58"/>
      <c r="F6" s="56"/>
      <c r="J6" s="59"/>
      <c r="N6" s="59"/>
    </row>
    <row r="7" spans="1:14" s="53" customFormat="1" ht="12">
      <c r="A7" s="57" t="str">
        <f>'[2]ADJ DETAIL-INPUT'!A8</f>
        <v>Line</v>
      </c>
      <c r="B7" s="236"/>
      <c r="C7" s="236"/>
      <c r="D7" s="236"/>
      <c r="E7" s="245" t="str">
        <f>'[2]ADJ DETAIL-INPUT'!W8</f>
        <v>Restate</v>
      </c>
      <c r="F7" s="236"/>
      <c r="G7" s="237"/>
      <c r="H7" s="237"/>
      <c r="I7" s="237"/>
      <c r="J7" s="243"/>
      <c r="K7" s="237"/>
      <c r="L7" s="237"/>
      <c r="N7" s="52"/>
    </row>
    <row r="8" spans="1:14" s="53" customFormat="1" ht="11.25" customHeight="1" thickBot="1">
      <c r="A8" s="251" t="str">
        <f>'[2]ADJ DETAIL-INPUT'!A9</f>
        <v>No.</v>
      </c>
      <c r="B8" s="246"/>
      <c r="C8" s="247" t="s">
        <v>21</v>
      </c>
      <c r="D8" s="246"/>
      <c r="E8" s="248" t="str">
        <f>'[2]ADJ DETAIL-INPUT'!W9</f>
        <v>Incentives</v>
      </c>
      <c r="F8" s="236"/>
      <c r="G8" s="237"/>
      <c r="H8" s="237"/>
      <c r="I8" s="237"/>
      <c r="J8" s="243"/>
      <c r="K8" s="237"/>
      <c r="L8" s="237"/>
      <c r="N8" s="52"/>
    </row>
    <row r="9" spans="1:14" s="60" customFormat="1" ht="12">
      <c r="B9" s="61" t="s">
        <v>34</v>
      </c>
      <c r="E9" s="62">
        <f>'[2]ADJ DETAIL-INPUT'!W10</f>
        <v>2.1499999999999968</v>
      </c>
      <c r="F9" s="63"/>
      <c r="J9" s="64"/>
      <c r="N9" s="65"/>
    </row>
    <row r="10" spans="1:14" s="60" customFormat="1" ht="12">
      <c r="A10" s="66"/>
      <c r="B10" s="67" t="s">
        <v>35</v>
      </c>
      <c r="C10" s="66"/>
      <c r="D10" s="66"/>
      <c r="E10" s="68" t="str">
        <f>'[2]ADJ DETAIL-INPUT'!W11</f>
        <v>E-RI</v>
      </c>
      <c r="F10" s="63"/>
      <c r="J10" s="64"/>
      <c r="N10" s="65"/>
    </row>
    <row r="11" spans="1:14" s="60" customFormat="1" ht="6" customHeight="1">
      <c r="B11" s="61"/>
      <c r="E11" s="69"/>
      <c r="F11" s="63"/>
      <c r="J11" s="64"/>
      <c r="N11" s="65"/>
    </row>
    <row r="12" spans="1:14">
      <c r="B12" s="43" t="str">
        <f>'[2]ADJ DETAIL-INPUT'!B13</f>
        <v xml:space="preserve">REVENUES  </v>
      </c>
    </row>
    <row r="13" spans="1:14" s="71" customFormat="1">
      <c r="A13" s="70">
        <f>'[2]ADJ DETAIL-INPUT'!A14</f>
        <v>1</v>
      </c>
      <c r="B13" s="202" t="str">
        <f>'[2]ADJ DETAIL-INPUT'!B14</f>
        <v xml:space="preserve">Total General Business  </v>
      </c>
      <c r="C13" s="202"/>
      <c r="D13" s="202"/>
      <c r="E13" s="218">
        <f>'[2]ADJ DETAIL-INPUT'!W14</f>
        <v>0</v>
      </c>
      <c r="F13" s="211"/>
      <c r="G13" s="212"/>
      <c r="H13" s="202"/>
      <c r="I13" s="202"/>
      <c r="J13" s="213"/>
      <c r="K13" s="202"/>
      <c r="L13" s="202"/>
      <c r="N13" s="72"/>
    </row>
    <row r="14" spans="1:14" s="73" customFormat="1" ht="12">
      <c r="A14" s="70">
        <f>'[2]ADJ DETAIL-INPUT'!A15</f>
        <v>2</v>
      </c>
      <c r="B14" s="202" t="str">
        <f>'[2]ADJ DETAIL-INPUT'!B15</f>
        <v xml:space="preserve">Interdepartmental Sales  </v>
      </c>
      <c r="C14" s="202"/>
      <c r="D14" s="202"/>
      <c r="E14" s="214">
        <f>'[2]ADJ DETAIL-INPUT'!W15</f>
        <v>0</v>
      </c>
      <c r="F14" s="201"/>
      <c r="G14" s="202"/>
      <c r="H14" s="202"/>
      <c r="I14" s="202"/>
      <c r="J14" s="203"/>
      <c r="K14" s="202"/>
      <c r="L14" s="202"/>
      <c r="N14" s="76"/>
    </row>
    <row r="15" spans="1:14" s="73" customFormat="1" ht="12">
      <c r="A15" s="70">
        <f>'[2]ADJ DETAIL-INPUT'!A16</f>
        <v>3</v>
      </c>
      <c r="B15" s="202" t="str">
        <f>'[2]ADJ DETAIL-INPUT'!B16</f>
        <v xml:space="preserve">Sales for Resale  </v>
      </c>
      <c r="C15" s="202"/>
      <c r="D15" s="202"/>
      <c r="E15" s="215">
        <f>'[2]ADJ DETAIL-INPUT'!W16</f>
        <v>0</v>
      </c>
      <c r="F15" s="201"/>
      <c r="G15" s="202"/>
      <c r="H15" s="202"/>
      <c r="I15" s="202"/>
      <c r="J15" s="203"/>
      <c r="K15" s="202"/>
      <c r="L15" s="202"/>
      <c r="N15" s="76"/>
    </row>
    <row r="16" spans="1:14" s="73" customFormat="1" ht="12">
      <c r="A16" s="70">
        <f>'[2]ADJ DETAIL-INPUT'!A17</f>
        <v>4</v>
      </c>
      <c r="B16" s="202" t="str">
        <f>'[2]ADJ DETAIL-INPUT'!B17</f>
        <v xml:space="preserve">Total Sales of Electricity  </v>
      </c>
      <c r="C16" s="202"/>
      <c r="D16" s="202"/>
      <c r="E16" s="202">
        <f>'[2]ADJ DETAIL-INPUT'!W17</f>
        <v>0</v>
      </c>
      <c r="F16" s="201"/>
      <c r="G16" s="202"/>
      <c r="H16" s="202"/>
      <c r="I16" s="202"/>
      <c r="J16" s="203"/>
      <c r="K16" s="202"/>
      <c r="L16" s="202"/>
      <c r="N16" s="78"/>
    </row>
    <row r="17" spans="1:14" s="73" customFormat="1" ht="12">
      <c r="A17" s="70">
        <f>'[2]ADJ DETAIL-INPUT'!A18</f>
        <v>5</v>
      </c>
      <c r="B17" s="202" t="str">
        <f>'[2]ADJ DETAIL-INPUT'!B18</f>
        <v xml:space="preserve">Other Revenue  </v>
      </c>
      <c r="C17" s="202"/>
      <c r="D17" s="202"/>
      <c r="E17" s="215">
        <f>'[2]ADJ DETAIL-INPUT'!W18</f>
        <v>0</v>
      </c>
      <c r="F17" s="201"/>
      <c r="G17" s="202"/>
      <c r="H17" s="202"/>
      <c r="I17" s="202"/>
      <c r="J17" s="203"/>
      <c r="K17" s="202"/>
      <c r="L17" s="202"/>
      <c r="N17" s="76"/>
    </row>
    <row r="18" spans="1:14" s="73" customFormat="1" ht="12">
      <c r="A18" s="70">
        <f>'[2]ADJ DETAIL-INPUT'!A19</f>
        <v>6</v>
      </c>
      <c r="B18" s="202" t="str">
        <f>'[2]ADJ DETAIL-INPUT'!B19</f>
        <v xml:space="preserve">Total Electric Revenue  </v>
      </c>
      <c r="C18" s="202"/>
      <c r="D18" s="202"/>
      <c r="E18" s="202">
        <f>'[2]ADJ DETAIL-INPUT'!W19</f>
        <v>0</v>
      </c>
      <c r="F18" s="201"/>
      <c r="G18" s="202"/>
      <c r="H18" s="202"/>
      <c r="I18" s="202"/>
      <c r="J18" s="203"/>
      <c r="K18" s="202"/>
      <c r="L18" s="202"/>
      <c r="N18" s="78"/>
    </row>
    <row r="19" spans="1:14" s="73" customFormat="1" ht="6.75" customHeight="1">
      <c r="A19" s="70"/>
      <c r="B19" s="202"/>
      <c r="C19" s="202"/>
      <c r="D19" s="202"/>
      <c r="E19" s="202"/>
      <c r="F19" s="201"/>
      <c r="G19" s="202"/>
      <c r="H19" s="202"/>
      <c r="I19" s="202"/>
      <c r="J19" s="203"/>
      <c r="K19" s="202"/>
      <c r="L19" s="202"/>
      <c r="N19" s="76"/>
    </row>
    <row r="20" spans="1:14" s="73" customFormat="1" ht="12">
      <c r="A20" s="70"/>
      <c r="B20" s="73" t="str">
        <f>'[2]ADJ DETAIL-INPUT'!B21</f>
        <v xml:space="preserve">EXPENSES  </v>
      </c>
      <c r="E20" s="48"/>
      <c r="F20" s="75"/>
      <c r="J20" s="76"/>
      <c r="N20" s="76"/>
    </row>
    <row r="21" spans="1:14" s="73" customFormat="1" ht="12">
      <c r="A21" s="70"/>
      <c r="B21" s="73" t="str">
        <f>'[2]ADJ DETAIL-INPUT'!B22</f>
        <v xml:space="preserve">Production and Transmission  </v>
      </c>
      <c r="E21" s="48"/>
      <c r="F21" s="75"/>
      <c r="J21" s="76"/>
      <c r="N21" s="76"/>
    </row>
    <row r="22" spans="1:14" s="73" customFormat="1" thickBot="1">
      <c r="A22" s="254">
        <f>'[2]ADJ DETAIL-INPUT'!A23</f>
        <v>7</v>
      </c>
      <c r="B22" s="161"/>
      <c r="C22" s="161" t="str">
        <f>'[2]ADJ DETAIL-INPUT'!C23</f>
        <v xml:space="preserve">Operating Expenses  </v>
      </c>
      <c r="D22" s="161"/>
      <c r="E22" s="170">
        <f>'[2]ADJ DETAIL-INPUT'!W23</f>
        <v>0</v>
      </c>
      <c r="F22" s="171"/>
      <c r="G22" s="161"/>
      <c r="H22" s="161"/>
      <c r="I22" s="161"/>
      <c r="J22" s="169"/>
      <c r="K22" s="161"/>
      <c r="L22" s="161"/>
      <c r="N22" s="76"/>
    </row>
    <row r="23" spans="1:14" s="73" customFormat="1" ht="12">
      <c r="A23" s="70">
        <f>'[2]ADJ DETAIL-INPUT'!A24</f>
        <v>8</v>
      </c>
      <c r="C23" s="73" t="str">
        <f>'[2]ADJ DETAIL-INPUT'!C24</f>
        <v xml:space="preserve">Purchased Power  </v>
      </c>
      <c r="E23" s="74">
        <f>'[2]ADJ DETAIL-INPUT'!W24</f>
        <v>0</v>
      </c>
      <c r="F23" s="75"/>
      <c r="J23" s="76"/>
      <c r="N23" s="76"/>
    </row>
    <row r="24" spans="1:14" s="73" customFormat="1" ht="12">
      <c r="A24" s="70">
        <f>'[2]ADJ DETAIL-INPUT'!A25</f>
        <v>9</v>
      </c>
      <c r="C24" s="73" t="str">
        <f>'[2]ADJ DETAIL-INPUT'!C25</f>
        <v xml:space="preserve">Depreciation/Amortization  </v>
      </c>
      <c r="E24" s="74">
        <f>'[2]ADJ DETAIL-INPUT'!W25</f>
        <v>0</v>
      </c>
      <c r="F24" s="75"/>
      <c r="J24" s="76"/>
      <c r="N24" s="76"/>
    </row>
    <row r="25" spans="1:14" s="73" customFormat="1" ht="12">
      <c r="A25" s="70">
        <f>'[2]ADJ DETAIL-INPUT'!A26</f>
        <v>10</v>
      </c>
      <c r="C25" s="79" t="str">
        <f>'[2]ADJ DETAIL-INPUT'!C26</f>
        <v>Regulatory Amortization</v>
      </c>
      <c r="D25" s="79"/>
      <c r="E25" s="80">
        <f>'[2]ADJ DETAIL-INPUT'!W26</f>
        <v>0</v>
      </c>
      <c r="F25" s="75"/>
      <c r="J25" s="76"/>
      <c r="N25" s="76"/>
    </row>
    <row r="26" spans="1:14" s="73" customFormat="1" ht="12">
      <c r="A26" s="70">
        <f>'[2]ADJ DETAIL-INPUT'!A27</f>
        <v>11</v>
      </c>
      <c r="C26" s="73" t="str">
        <f>'[2]ADJ DETAIL-INPUT'!C27</f>
        <v xml:space="preserve">Taxes  </v>
      </c>
      <c r="E26" s="77">
        <f>'[2]ADJ DETAIL-INPUT'!W27</f>
        <v>0</v>
      </c>
      <c r="F26" s="75"/>
      <c r="J26" s="76"/>
      <c r="N26" s="76"/>
    </row>
    <row r="27" spans="1:14" s="73" customFormat="1" ht="12">
      <c r="A27" s="70">
        <f>'[2]ADJ DETAIL-INPUT'!A28</f>
        <v>12</v>
      </c>
      <c r="B27" s="202" t="str">
        <f>'[2]ADJ DETAIL-INPUT'!B28</f>
        <v xml:space="preserve">Total Production &amp; Transmission  </v>
      </c>
      <c r="C27" s="202"/>
      <c r="D27" s="202"/>
      <c r="E27" s="202">
        <f>'[2]ADJ DETAIL-INPUT'!W28</f>
        <v>0</v>
      </c>
      <c r="F27" s="201"/>
      <c r="G27" s="202"/>
      <c r="H27" s="202"/>
      <c r="I27" s="202"/>
      <c r="J27" s="203"/>
      <c r="K27" s="202"/>
      <c r="L27" s="202"/>
      <c r="N27" s="78"/>
    </row>
    <row r="28" spans="1:14" s="73" customFormat="1" ht="6.75" customHeight="1">
      <c r="A28" s="70"/>
      <c r="B28" s="202"/>
      <c r="C28" s="202"/>
      <c r="D28" s="202"/>
      <c r="E28" s="202"/>
      <c r="F28" s="201"/>
      <c r="G28" s="202"/>
      <c r="H28" s="202"/>
      <c r="I28" s="202"/>
      <c r="J28" s="203"/>
      <c r="K28" s="202"/>
      <c r="L28" s="202"/>
      <c r="N28" s="76"/>
    </row>
    <row r="29" spans="1:14" s="73" customFormat="1" ht="12">
      <c r="A29" s="70"/>
      <c r="B29" s="202" t="str">
        <f>'[2]ADJ DETAIL-INPUT'!B30</f>
        <v xml:space="preserve">Distribution  </v>
      </c>
      <c r="C29" s="202"/>
      <c r="D29" s="202"/>
      <c r="E29" s="202"/>
      <c r="F29" s="201"/>
      <c r="G29" s="202"/>
      <c r="H29" s="202"/>
      <c r="I29" s="202"/>
      <c r="J29" s="203"/>
      <c r="K29" s="202"/>
      <c r="L29" s="202"/>
      <c r="N29" s="76"/>
    </row>
    <row r="30" spans="1:14" s="73" customFormat="1" ht="12">
      <c r="A30" s="70">
        <f>'[2]ADJ DETAIL-INPUT'!A31</f>
        <v>13</v>
      </c>
      <c r="B30" s="202"/>
      <c r="C30" s="202" t="str">
        <f>'[2]ADJ DETAIL-INPUT'!C31</f>
        <v xml:space="preserve">Operating Expenses  </v>
      </c>
      <c r="D30" s="202"/>
      <c r="E30" s="214">
        <f>'[2]ADJ DETAIL-INPUT'!W31</f>
        <v>0</v>
      </c>
      <c r="F30" s="201"/>
      <c r="G30" s="202"/>
      <c r="H30" s="202"/>
      <c r="I30" s="202"/>
      <c r="J30" s="203"/>
      <c r="K30" s="202"/>
      <c r="L30" s="202"/>
      <c r="N30" s="76"/>
    </row>
    <row r="31" spans="1:14" s="73" customFormat="1" ht="12">
      <c r="A31" s="70">
        <f>'[2]ADJ DETAIL-INPUT'!A32</f>
        <v>14</v>
      </c>
      <c r="B31" s="202"/>
      <c r="C31" s="202" t="str">
        <f>'[2]ADJ DETAIL-INPUT'!C32</f>
        <v>Depreciation/Amortization</v>
      </c>
      <c r="D31" s="202"/>
      <c r="E31" s="214">
        <f>'[2]ADJ DETAIL-INPUT'!W32</f>
        <v>0</v>
      </c>
      <c r="F31" s="201"/>
      <c r="G31" s="202"/>
      <c r="H31" s="202"/>
      <c r="I31" s="202"/>
      <c r="J31" s="203"/>
      <c r="K31" s="202"/>
      <c r="L31" s="202"/>
      <c r="N31" s="76"/>
    </row>
    <row r="32" spans="1:14" s="73" customFormat="1" ht="12">
      <c r="A32" s="70">
        <f>'[2]ADJ DETAIL-INPUT'!A33</f>
        <v>15</v>
      </c>
      <c r="B32" s="202"/>
      <c r="C32" s="202" t="str">
        <f>'[2]ADJ DETAIL-INPUT'!C33</f>
        <v xml:space="preserve">Taxes  </v>
      </c>
      <c r="D32" s="202"/>
      <c r="E32" s="215">
        <f>'[2]ADJ DETAIL-INPUT'!W33</f>
        <v>0</v>
      </c>
      <c r="F32" s="201"/>
      <c r="G32" s="202"/>
      <c r="H32" s="202"/>
      <c r="I32" s="202"/>
      <c r="J32" s="203"/>
      <c r="K32" s="202"/>
      <c r="L32" s="202"/>
      <c r="N32" s="76"/>
    </row>
    <row r="33" spans="1:15" s="73" customFormat="1" ht="12">
      <c r="A33" s="70">
        <f>'[2]ADJ DETAIL-INPUT'!A34</f>
        <v>16</v>
      </c>
      <c r="B33" s="202" t="str">
        <f>'[2]ADJ DETAIL-INPUT'!B34</f>
        <v xml:space="preserve">Total Distribution  </v>
      </c>
      <c r="C33" s="202"/>
      <c r="D33" s="202"/>
      <c r="E33" s="202">
        <f>'[2]ADJ DETAIL-INPUT'!W34</f>
        <v>0</v>
      </c>
      <c r="F33" s="201"/>
      <c r="G33" s="202"/>
      <c r="H33" s="202"/>
      <c r="I33" s="202"/>
      <c r="J33" s="203"/>
      <c r="K33" s="202"/>
      <c r="L33" s="202"/>
      <c r="N33" s="78"/>
    </row>
    <row r="34" spans="1:15" s="73" customFormat="1" ht="6" customHeight="1">
      <c r="E34" s="48"/>
      <c r="F34" s="75"/>
      <c r="J34" s="76"/>
      <c r="N34" s="76"/>
    </row>
    <row r="35" spans="1:15" s="73" customFormat="1" ht="12">
      <c r="A35" s="70">
        <f>'[2]ADJ DETAIL-INPUT'!A36</f>
        <v>17</v>
      </c>
      <c r="B35" s="73" t="str">
        <f>'[2]ADJ DETAIL-INPUT'!B36</f>
        <v xml:space="preserve">Customer Accounting  </v>
      </c>
      <c r="E35" s="74">
        <f>'[2]ADJ DETAIL-INPUT'!W36</f>
        <v>0</v>
      </c>
      <c r="F35" s="81"/>
      <c r="G35" s="82"/>
      <c r="J35" s="76"/>
      <c r="N35" s="76"/>
    </row>
    <row r="36" spans="1:15" s="73" customFormat="1" ht="36">
      <c r="A36" s="70">
        <f>'[2]ADJ DETAIL-INPUT'!A37</f>
        <v>18</v>
      </c>
      <c r="B36" s="161" t="str">
        <f>'[2]ADJ DETAIL-INPUT'!B37</f>
        <v xml:space="preserve">Customer Service &amp; Information  </v>
      </c>
      <c r="C36" s="161"/>
      <c r="D36" s="161"/>
      <c r="E36" s="170">
        <f>'[2]ADJ DETAIL-INPUT'!W37</f>
        <v>0</v>
      </c>
      <c r="F36" s="171"/>
      <c r="G36" s="161"/>
      <c r="H36" s="161"/>
      <c r="I36" s="161"/>
      <c r="J36" s="169"/>
      <c r="K36" s="161"/>
      <c r="L36" s="161"/>
      <c r="M36" s="161"/>
      <c r="N36" s="256" t="s">
        <v>105</v>
      </c>
      <c r="O36" s="161"/>
    </row>
    <row r="37" spans="1:15" s="73" customFormat="1" ht="12">
      <c r="A37" s="70">
        <f>'[2]ADJ DETAIL-INPUT'!A38</f>
        <v>19</v>
      </c>
      <c r="B37" s="73" t="str">
        <f>'[2]ADJ DETAIL-INPUT'!B38</f>
        <v xml:space="preserve">Sales Expenses  </v>
      </c>
      <c r="E37" s="74">
        <f>'[2]ADJ DETAIL-INPUT'!W38</f>
        <v>0</v>
      </c>
      <c r="F37" s="75"/>
      <c r="J37" s="76"/>
      <c r="N37" s="76"/>
    </row>
    <row r="38" spans="1:15" s="73" customFormat="1" ht="6" customHeight="1">
      <c r="A38" s="70"/>
      <c r="E38" s="74"/>
      <c r="F38" s="75"/>
      <c r="J38" s="76"/>
      <c r="N38" s="76"/>
    </row>
    <row r="39" spans="1:15" s="73" customFormat="1" ht="12">
      <c r="B39" s="73" t="str">
        <f>'[2]ADJ DETAIL-INPUT'!B40</f>
        <v xml:space="preserve">Administrative &amp; General  </v>
      </c>
      <c r="E39" s="74"/>
      <c r="F39" s="75"/>
      <c r="J39" s="76"/>
      <c r="N39" s="76"/>
    </row>
    <row r="40" spans="1:15" s="73" customFormat="1" ht="12">
      <c r="A40" s="70">
        <f>'[2]ADJ DETAIL-INPUT'!A41</f>
        <v>20</v>
      </c>
      <c r="C40" s="73" t="str">
        <f>'[2]ADJ DETAIL-INPUT'!C41</f>
        <v xml:space="preserve">Operating Expenses  </v>
      </c>
      <c r="E40" s="74">
        <f>+Adjustment!D9/1000</f>
        <v>243.43899999999999</v>
      </c>
      <c r="F40" s="75"/>
      <c r="J40" s="76"/>
      <c r="N40" s="76"/>
    </row>
    <row r="41" spans="1:15" s="73" customFormat="1" ht="12">
      <c r="A41" s="70">
        <f>'[2]ADJ DETAIL-INPUT'!A42</f>
        <v>21</v>
      </c>
      <c r="B41" s="202"/>
      <c r="C41" s="202" t="str">
        <f>'[2]ADJ DETAIL-INPUT'!C42</f>
        <v>Depreciation/Amortization</v>
      </c>
      <c r="D41" s="202"/>
      <c r="E41" s="214">
        <f>'[2]ADJ DETAIL-INPUT'!W42</f>
        <v>0</v>
      </c>
      <c r="F41" s="201"/>
      <c r="G41" s="202"/>
      <c r="H41" s="202"/>
      <c r="I41" s="202"/>
      <c r="J41" s="203"/>
      <c r="K41" s="202"/>
      <c r="L41" s="204"/>
      <c r="M41" s="202"/>
      <c r="N41" s="203"/>
      <c r="O41" s="202"/>
    </row>
    <row r="42" spans="1:15" s="73" customFormat="1" ht="12">
      <c r="A42" s="83">
        <f>'[2]ADJ DETAIL-INPUT'!A43</f>
        <v>22</v>
      </c>
      <c r="B42" s="202"/>
      <c r="C42" s="202" t="str">
        <f>'[2]ADJ DETAIL-INPUT'!C43</f>
        <v xml:space="preserve">Taxes  </v>
      </c>
      <c r="D42" s="202"/>
      <c r="E42" s="215">
        <f>'[2]ADJ DETAIL-INPUT'!W43</f>
        <v>0</v>
      </c>
      <c r="F42" s="201"/>
      <c r="G42" s="202"/>
      <c r="H42" s="202"/>
      <c r="I42" s="202"/>
      <c r="J42" s="203"/>
      <c r="K42" s="202"/>
      <c r="L42" s="204"/>
      <c r="M42" s="202"/>
      <c r="N42" s="203"/>
      <c r="O42" s="202"/>
    </row>
    <row r="43" spans="1:15" s="73" customFormat="1" ht="12">
      <c r="A43" s="70">
        <f>'[2]ADJ DETAIL-INPUT'!A44</f>
        <v>23</v>
      </c>
      <c r="B43" s="202" t="str">
        <f>'[2]ADJ DETAIL-INPUT'!B44</f>
        <v xml:space="preserve">Total Admin. &amp; General  </v>
      </c>
      <c r="C43" s="202"/>
      <c r="D43" s="202"/>
      <c r="E43" s="216">
        <f>SUM(E40:E42)</f>
        <v>243.43899999999999</v>
      </c>
      <c r="F43" s="201"/>
      <c r="G43" s="202"/>
      <c r="H43" s="202"/>
      <c r="I43" s="202"/>
      <c r="J43" s="203"/>
      <c r="K43" s="202"/>
      <c r="L43" s="204"/>
      <c r="M43" s="202"/>
      <c r="N43" s="203"/>
      <c r="O43" s="202"/>
    </row>
    <row r="44" spans="1:15" s="73" customFormat="1" ht="12">
      <c r="A44" s="70">
        <f>'[2]ADJ DETAIL-INPUT'!A45</f>
        <v>24</v>
      </c>
      <c r="B44" s="202" t="str">
        <f>'[2]ADJ DETAIL-INPUT'!B45</f>
        <v xml:space="preserve">Total Electric Expenses  </v>
      </c>
      <c r="C44" s="202"/>
      <c r="D44" s="202"/>
      <c r="E44" s="216">
        <f>+E43</f>
        <v>243.43899999999999</v>
      </c>
      <c r="F44" s="201"/>
      <c r="G44" s="202"/>
      <c r="H44" s="202"/>
      <c r="I44" s="202"/>
      <c r="J44" s="203"/>
      <c r="K44" s="202"/>
      <c r="L44" s="204"/>
      <c r="M44" s="202"/>
      <c r="N44" s="203"/>
      <c r="O44" s="202"/>
    </row>
    <row r="45" spans="1:15" s="73" customFormat="1" ht="6.75" customHeight="1">
      <c r="B45" s="202"/>
      <c r="C45" s="202"/>
      <c r="D45" s="202"/>
      <c r="E45" s="202"/>
      <c r="F45" s="201"/>
      <c r="G45" s="202"/>
      <c r="H45" s="202"/>
      <c r="I45" s="202"/>
      <c r="J45" s="203"/>
      <c r="K45" s="202"/>
      <c r="L45" s="204"/>
      <c r="M45" s="202"/>
      <c r="N45" s="203"/>
      <c r="O45" s="202"/>
    </row>
    <row r="46" spans="1:15" s="73" customFormat="1" ht="12">
      <c r="A46" s="70">
        <f>'[2]ADJ DETAIL-INPUT'!A47</f>
        <v>25</v>
      </c>
      <c r="B46" s="202" t="str">
        <f>'[2]ADJ DETAIL-INPUT'!B47</f>
        <v xml:space="preserve">OPERATING INCOME BEFORE FIT  </v>
      </c>
      <c r="C46" s="202"/>
      <c r="D46" s="202"/>
      <c r="E46" s="202">
        <f>-E44</f>
        <v>-243.43899999999999</v>
      </c>
      <c r="F46" s="201"/>
      <c r="G46" s="202"/>
      <c r="H46" s="202"/>
      <c r="I46" s="202"/>
      <c r="J46" s="203"/>
      <c r="K46" s="202"/>
      <c r="L46" s="204"/>
      <c r="M46" s="202"/>
      <c r="N46" s="203"/>
      <c r="O46" s="202"/>
    </row>
    <row r="47" spans="1:15" s="73" customFormat="1" ht="6.75" customHeight="1">
      <c r="A47" s="70"/>
      <c r="B47" s="202"/>
      <c r="C47" s="202"/>
      <c r="D47" s="202"/>
      <c r="E47" s="202"/>
      <c r="F47" s="201"/>
      <c r="G47" s="202"/>
      <c r="H47" s="202"/>
      <c r="I47" s="202"/>
      <c r="J47" s="203"/>
      <c r="K47" s="202"/>
      <c r="L47" s="204"/>
      <c r="M47" s="202"/>
      <c r="N47" s="203"/>
      <c r="O47" s="202"/>
    </row>
    <row r="48" spans="1:15" s="73" customFormat="1" ht="12">
      <c r="A48" s="28"/>
      <c r="B48" s="202" t="str">
        <f>'[2]ADJ DETAIL-INPUT'!B49</f>
        <v xml:space="preserve">FEDERAL INCOME TAX  </v>
      </c>
      <c r="C48" s="202"/>
      <c r="D48" s="202"/>
      <c r="E48" s="202">
        <f>'[2]ADJ DETAIL-INPUT'!W49</f>
        <v>0</v>
      </c>
      <c r="F48" s="201"/>
      <c r="G48" s="202"/>
      <c r="H48" s="202"/>
      <c r="I48" s="202"/>
      <c r="J48" s="203"/>
      <c r="K48" s="202"/>
      <c r="L48" s="204"/>
      <c r="M48" s="202"/>
      <c r="N48" s="203"/>
      <c r="O48" s="202"/>
    </row>
    <row r="49" spans="1:15" s="73" customFormat="1" ht="12">
      <c r="A49" s="83">
        <f>'[2]ADJ DETAIL-INPUT'!A50</f>
        <v>26</v>
      </c>
      <c r="B49" s="202" t="str">
        <f>'[2]ADJ DETAIL-INPUT'!B50</f>
        <v xml:space="preserve">Current Accrual </v>
      </c>
      <c r="C49" s="202"/>
      <c r="D49" s="202"/>
      <c r="E49" s="202">
        <f>E46*0.35</f>
        <v>-85.203649999999996</v>
      </c>
      <c r="F49" s="201"/>
      <c r="G49" s="202"/>
      <c r="H49" s="202"/>
      <c r="I49" s="202"/>
      <c r="J49" s="203"/>
      <c r="K49" s="202"/>
      <c r="L49" s="204"/>
      <c r="M49" s="202"/>
      <c r="N49" s="203"/>
      <c r="O49" s="204"/>
    </row>
    <row r="50" spans="1:15" s="79" customFormat="1" ht="12">
      <c r="A50" s="70">
        <f>'[2]ADJ DETAIL-INPUT'!A51</f>
        <v>27</v>
      </c>
      <c r="B50" s="217" t="str">
        <f>'[2]ADJ DETAIL-INPUT'!B51</f>
        <v>Debt Interest</v>
      </c>
      <c r="C50" s="217"/>
      <c r="D50" s="217"/>
      <c r="E50" s="217">
        <f>'[2]ADJ DETAIL-INPUT'!W51</f>
        <v>0</v>
      </c>
      <c r="F50" s="203"/>
      <c r="G50" s="217"/>
      <c r="H50" s="217"/>
      <c r="I50" s="217"/>
      <c r="J50" s="203"/>
      <c r="K50" s="217"/>
      <c r="L50" s="204"/>
      <c r="M50" s="217"/>
      <c r="N50" s="203"/>
      <c r="O50" s="217"/>
    </row>
    <row r="51" spans="1:15" s="73" customFormat="1" ht="12">
      <c r="A51" s="70">
        <f>'[2]ADJ DETAIL-INPUT'!A52</f>
        <v>28</v>
      </c>
      <c r="B51" s="73" t="str">
        <f>'[2]ADJ DETAIL-INPUT'!B52</f>
        <v xml:space="preserve">Deferred Income Taxes  </v>
      </c>
      <c r="E51" s="74">
        <f>'[2]ADJ DETAIL-INPUT'!W52</f>
        <v>0</v>
      </c>
      <c r="F51" s="75"/>
      <c r="H51" s="43"/>
      <c r="J51" s="76"/>
      <c r="N51" s="76"/>
    </row>
    <row r="52" spans="1:15" s="73" customFormat="1" ht="12">
      <c r="A52" s="28">
        <f>'[2]ADJ DETAIL-INPUT'!A53</f>
        <v>29</v>
      </c>
      <c r="B52" s="73" t="str">
        <f>'[2]ADJ DETAIL-INPUT'!B53</f>
        <v>Amortized ITC - Noxon</v>
      </c>
      <c r="E52" s="77">
        <f>'[2]ADJ DETAIL-INPUT'!W53</f>
        <v>0</v>
      </c>
      <c r="F52" s="75"/>
      <c r="H52" s="43"/>
      <c r="J52" s="76"/>
      <c r="N52" s="76"/>
    </row>
    <row r="53" spans="1:15" ht="6.75" customHeight="1">
      <c r="O53" s="202"/>
    </row>
    <row r="54" spans="1:15" s="71" customFormat="1" thickBot="1">
      <c r="A54" s="27">
        <f>'[2]ADJ DETAIL-INPUT'!A55</f>
        <v>30</v>
      </c>
      <c r="B54" s="71" t="str">
        <f>'[2]ADJ DETAIL-INPUT'!B55</f>
        <v xml:space="preserve">NET OPERATING INCOME  </v>
      </c>
      <c r="E54" s="148">
        <f>ROUND(E46-SUM(E49:E52),0)</f>
        <v>-158</v>
      </c>
      <c r="F54" s="85"/>
      <c r="H54" s="43"/>
      <c r="J54" s="86"/>
      <c r="N54" s="86"/>
      <c r="O54" s="202"/>
    </row>
    <row r="55" spans="1:15" ht="8.25" customHeight="1" thickTop="1">
      <c r="A55" s="27"/>
      <c r="O55" s="202"/>
    </row>
    <row r="56" spans="1:15">
      <c r="A56" s="27"/>
      <c r="B56" s="43" t="str">
        <f>'[2]ADJ DETAIL-INPUT'!B57</f>
        <v xml:space="preserve">RATE BASE  </v>
      </c>
      <c r="O56" s="202"/>
    </row>
    <row r="57" spans="1:15">
      <c r="B57" s="43" t="str">
        <f>'[2]ADJ DETAIL-INPUT'!B58</f>
        <v xml:space="preserve">PLANT IN SERVICE  </v>
      </c>
      <c r="O57" s="204"/>
    </row>
    <row r="58" spans="1:15" s="71" customFormat="1" ht="12">
      <c r="A58" s="87">
        <f>'[2]ADJ DETAIL-INPUT'!A59</f>
        <v>31</v>
      </c>
      <c r="C58" s="71" t="str">
        <f>'[2]ADJ DETAIL-INPUT'!C59</f>
        <v xml:space="preserve">Intangible  </v>
      </c>
      <c r="E58" s="88">
        <f>'[2]ADJ DETAIL-INPUT'!W59</f>
        <v>0</v>
      </c>
      <c r="F58" s="85"/>
      <c r="H58" s="43"/>
      <c r="J58" s="89"/>
      <c r="N58" s="89"/>
    </row>
    <row r="59" spans="1:15" s="73" customFormat="1" ht="12">
      <c r="A59" s="27">
        <f>'[2]ADJ DETAIL-INPUT'!A60</f>
        <v>32</v>
      </c>
      <c r="C59" s="73" t="str">
        <f>'[2]ADJ DETAIL-INPUT'!C60</f>
        <v xml:space="preserve">Production  </v>
      </c>
      <c r="E59" s="74">
        <f>'[2]ADJ DETAIL-INPUT'!W60</f>
        <v>0</v>
      </c>
      <c r="F59" s="75"/>
      <c r="H59" s="43"/>
      <c r="J59" s="76"/>
      <c r="N59" s="76"/>
    </row>
    <row r="60" spans="1:15" s="73" customFormat="1" ht="12">
      <c r="A60" s="27">
        <f>'[2]ADJ DETAIL-INPUT'!A61</f>
        <v>33</v>
      </c>
      <c r="C60" s="73" t="str">
        <f>'[2]ADJ DETAIL-INPUT'!C61</f>
        <v xml:space="preserve">Transmission  </v>
      </c>
      <c r="E60" s="74">
        <f>'[2]ADJ DETAIL-INPUT'!W61</f>
        <v>0</v>
      </c>
      <c r="F60" s="75"/>
      <c r="H60" s="43"/>
      <c r="J60" s="76"/>
      <c r="N60" s="76"/>
    </row>
    <row r="61" spans="1:15" s="73" customFormat="1" ht="12">
      <c r="A61" s="27">
        <f>'[2]ADJ DETAIL-INPUT'!A62</f>
        <v>34</v>
      </c>
      <c r="C61" s="73" t="str">
        <f>'[2]ADJ DETAIL-INPUT'!C62</f>
        <v xml:space="preserve">Distribution  </v>
      </c>
      <c r="E61" s="74">
        <f>'[2]ADJ DETAIL-INPUT'!W62</f>
        <v>0</v>
      </c>
      <c r="F61" s="75"/>
      <c r="H61" s="43"/>
      <c r="J61" s="76"/>
      <c r="N61" s="76"/>
    </row>
    <row r="62" spans="1:15" s="73" customFormat="1" ht="12">
      <c r="A62" s="27">
        <f>'[2]ADJ DETAIL-INPUT'!A63</f>
        <v>35</v>
      </c>
      <c r="C62" s="73" t="str">
        <f>'[2]ADJ DETAIL-INPUT'!C63</f>
        <v xml:space="preserve">General  </v>
      </c>
      <c r="E62" s="77">
        <f>'[2]ADJ DETAIL-INPUT'!W63</f>
        <v>0</v>
      </c>
      <c r="F62" s="75"/>
      <c r="H62" s="43"/>
      <c r="J62" s="76"/>
      <c r="N62" s="76"/>
    </row>
    <row r="63" spans="1:15" s="73" customFormat="1" ht="12">
      <c r="A63" s="27">
        <f>'[2]ADJ DETAIL-INPUT'!A64</f>
        <v>36</v>
      </c>
      <c r="B63" s="73" t="str">
        <f>'[2]ADJ DETAIL-INPUT'!B64</f>
        <v xml:space="preserve">Total Plant in Service  </v>
      </c>
      <c r="E63" s="48">
        <f>'[2]ADJ DETAIL-INPUT'!W64</f>
        <v>0</v>
      </c>
      <c r="F63" s="75"/>
      <c r="H63" s="43"/>
      <c r="J63" s="78"/>
      <c r="N63" s="78"/>
    </row>
    <row r="64" spans="1:15" s="73" customFormat="1" ht="12">
      <c r="A64" s="27"/>
      <c r="B64" s="73" t="str">
        <f>'[2]ADJ DETAIL-INPUT'!B65</f>
        <v>ACCUMULATED DEPRECIATION/AMORT</v>
      </c>
      <c r="E64" s="74"/>
      <c r="F64" s="75"/>
      <c r="H64" s="43"/>
      <c r="J64" s="76"/>
      <c r="N64" s="76"/>
    </row>
    <row r="65" spans="1:14" s="73" customFormat="1" ht="12">
      <c r="A65" s="27">
        <f>'[2]ADJ DETAIL-INPUT'!A66</f>
        <v>37</v>
      </c>
      <c r="C65" s="71" t="str">
        <f>'[2]ADJ DETAIL-INPUT'!C66</f>
        <v xml:space="preserve">Intangible  </v>
      </c>
      <c r="E65" s="74">
        <f>'[2]ADJ DETAIL-INPUT'!W66</f>
        <v>0</v>
      </c>
      <c r="F65" s="75"/>
      <c r="H65" s="43"/>
      <c r="J65" s="76"/>
      <c r="N65" s="76"/>
    </row>
    <row r="66" spans="1:14" s="73" customFormat="1" ht="12">
      <c r="A66" s="27">
        <f>'[2]ADJ DETAIL-INPUT'!A67</f>
        <v>38</v>
      </c>
      <c r="C66" s="73" t="str">
        <f>'[2]ADJ DETAIL-INPUT'!C67</f>
        <v xml:space="preserve">Production  </v>
      </c>
      <c r="E66" s="74">
        <f>'[2]ADJ DETAIL-INPUT'!W67</f>
        <v>0</v>
      </c>
      <c r="F66" s="75"/>
      <c r="H66" s="43"/>
      <c r="J66" s="76"/>
      <c r="N66" s="76"/>
    </row>
    <row r="67" spans="1:14" s="73" customFormat="1" ht="12">
      <c r="A67" s="27">
        <f>'[2]ADJ DETAIL-INPUT'!A68</f>
        <v>39</v>
      </c>
      <c r="C67" s="73" t="str">
        <f>'[2]ADJ DETAIL-INPUT'!C68</f>
        <v xml:space="preserve">Transmission  </v>
      </c>
      <c r="E67" s="74">
        <f>'[2]ADJ DETAIL-INPUT'!W68</f>
        <v>0</v>
      </c>
      <c r="F67" s="75"/>
      <c r="H67" s="43"/>
      <c r="J67" s="76"/>
      <c r="N67" s="76"/>
    </row>
    <row r="68" spans="1:14" s="73" customFormat="1" ht="12">
      <c r="A68" s="27">
        <f>'[2]ADJ DETAIL-INPUT'!A69</f>
        <v>40</v>
      </c>
      <c r="C68" s="73" t="str">
        <f>'[2]ADJ DETAIL-INPUT'!C69</f>
        <v xml:space="preserve">Distribution  </v>
      </c>
      <c r="E68" s="74">
        <f>'[2]ADJ DETAIL-INPUT'!W69</f>
        <v>0</v>
      </c>
      <c r="F68" s="75"/>
      <c r="H68" s="43"/>
      <c r="J68" s="76"/>
      <c r="N68" s="76"/>
    </row>
    <row r="69" spans="1:14" s="73" customFormat="1" ht="12">
      <c r="A69" s="27">
        <f>'[2]ADJ DETAIL-INPUT'!A70</f>
        <v>41</v>
      </c>
      <c r="C69" s="73" t="str">
        <f>'[2]ADJ DETAIL-INPUT'!C70</f>
        <v xml:space="preserve">General  </v>
      </c>
      <c r="E69" s="74">
        <f>'[2]ADJ DETAIL-INPUT'!W70</f>
        <v>0</v>
      </c>
      <c r="F69" s="75"/>
      <c r="H69" s="43"/>
      <c r="J69" s="76"/>
      <c r="N69" s="76"/>
    </row>
    <row r="70" spans="1:14" s="73" customFormat="1" ht="12">
      <c r="A70" s="27">
        <f>'[2]ADJ DETAIL-INPUT'!A71</f>
        <v>42</v>
      </c>
      <c r="B70" s="73" t="str">
        <f>'[2]ADJ DETAIL-INPUT'!B71</f>
        <v>Total Accumulated Depreciation</v>
      </c>
      <c r="E70" s="90">
        <f>'[2]ADJ DETAIL-INPUT'!W71</f>
        <v>0</v>
      </c>
      <c r="F70" s="75"/>
      <c r="H70" s="43"/>
      <c r="J70" s="76"/>
      <c r="N70" s="76"/>
    </row>
    <row r="71" spans="1:14" s="73" customFormat="1" ht="12">
      <c r="A71" s="27">
        <f>'[2]ADJ DETAIL-INPUT'!A72</f>
        <v>43</v>
      </c>
      <c r="B71" s="73" t="str">
        <f>'[2]ADJ DETAIL-INPUT'!B72</f>
        <v xml:space="preserve">NET PLANT </v>
      </c>
      <c r="E71" s="90">
        <f>'[2]ADJ DETAIL-INPUT'!W72</f>
        <v>0</v>
      </c>
      <c r="F71" s="75"/>
      <c r="H71" s="43"/>
      <c r="J71" s="76"/>
      <c r="N71" s="76"/>
    </row>
    <row r="72" spans="1:14" s="73" customFormat="1" ht="6.75" customHeight="1">
      <c r="A72" s="27"/>
      <c r="E72" s="91"/>
      <c r="F72" s="75"/>
      <c r="H72" s="43"/>
      <c r="J72" s="76"/>
      <c r="N72" s="76"/>
    </row>
    <row r="73" spans="1:14" s="73" customFormat="1" ht="12">
      <c r="A73" s="28">
        <f>'[2]ADJ DETAIL-INPUT'!A74</f>
        <v>44</v>
      </c>
      <c r="B73" s="73" t="str">
        <f>'[2]ADJ DETAIL-INPUT'!B74</f>
        <v xml:space="preserve">DEFERRED TAXES  </v>
      </c>
      <c r="E73" s="77">
        <f>'[2]ADJ DETAIL-INPUT'!W74</f>
        <v>0</v>
      </c>
      <c r="F73" s="75"/>
      <c r="H73" s="43"/>
      <c r="J73" s="76"/>
      <c r="N73" s="76"/>
    </row>
    <row r="74" spans="1:14" s="73" customFormat="1" ht="12">
      <c r="A74" s="28">
        <f>'[2]ADJ DETAIL-INPUT'!A75</f>
        <v>45</v>
      </c>
      <c r="C74" s="73" t="str">
        <f>'[2]ADJ DETAIL-INPUT'!C75</f>
        <v>Net Plant After DFIT</v>
      </c>
      <c r="E74" s="91">
        <f>'[2]ADJ DETAIL-INPUT'!W75</f>
        <v>0</v>
      </c>
      <c r="F74" s="75"/>
      <c r="H74" s="43"/>
      <c r="J74" s="76"/>
      <c r="N74" s="76"/>
    </row>
    <row r="75" spans="1:14" s="73" customFormat="1" ht="12">
      <c r="A75" s="27">
        <f>'[2]ADJ DETAIL-INPUT'!A76</f>
        <v>46</v>
      </c>
      <c r="B75" s="73" t="str">
        <f>'[2]ADJ DETAIL-INPUT'!B76</f>
        <v xml:space="preserve">DEFERRED DEBITS AND CREDITS </v>
      </c>
      <c r="E75" s="74">
        <f>'[2]ADJ DETAIL-INPUT'!W76</f>
        <v>0</v>
      </c>
      <c r="F75" s="75"/>
      <c r="H75" s="43"/>
      <c r="J75" s="76"/>
      <c r="N75" s="76"/>
    </row>
    <row r="76" spans="1:14" s="73" customFormat="1" ht="12">
      <c r="A76" s="27">
        <f>'[2]ADJ DETAIL-INPUT'!A77</f>
        <v>47</v>
      </c>
      <c r="B76" s="73" t="str">
        <f>'[2]ADJ DETAIL-INPUT'!B77</f>
        <v xml:space="preserve">WORKING CAPITAL </v>
      </c>
      <c r="E76" s="77">
        <f>'[2]ADJ DETAIL-INPUT'!W77</f>
        <v>0</v>
      </c>
      <c r="F76" s="75"/>
      <c r="H76" s="43"/>
      <c r="J76" s="76"/>
      <c r="N76" s="76"/>
    </row>
    <row r="77" spans="1:14" s="73" customFormat="1" ht="6.75" customHeight="1">
      <c r="A77" s="28"/>
      <c r="E77" s="48">
        <f>'[2]ADJ DETAIL-INPUT'!W78</f>
        <v>0</v>
      </c>
      <c r="F77" s="75"/>
      <c r="H77" s="43"/>
      <c r="J77" s="78"/>
      <c r="N77" s="78"/>
    </row>
    <row r="78" spans="1:14" s="71" customFormat="1" thickBot="1">
      <c r="A78" s="70">
        <f>'[2]ADJ DETAIL-INPUT'!A79</f>
        <v>48</v>
      </c>
      <c r="B78" s="71" t="str">
        <f>'[2]ADJ DETAIL-INPUT'!B79</f>
        <v xml:space="preserve">TOTAL RATE BASE  </v>
      </c>
      <c r="E78" s="92">
        <f>'[2]ADJ DETAIL-INPUT'!W79</f>
        <v>0</v>
      </c>
      <c r="F78" s="85"/>
      <c r="H78" s="43"/>
      <c r="J78" s="86"/>
      <c r="N78" s="86"/>
    </row>
    <row r="79" spans="1:14" ht="13.5" thickTop="1">
      <c r="D79" s="93"/>
    </row>
  </sheetData>
  <sheetProtection formatCells="0" formatColumns="0" formatRows="0" insertColumns="0" insertRows="0" insertHyperlinks="0" deleteColumns="0" deleteRows="0" sort="0" autoFilter="0" pivotTables="0"/>
  <pageMargins left="1.25" right="0.51" top="0.4" bottom="0.5" header="0.27" footer="0.5"/>
  <pageSetup scale="71" firstPageNumber="4" fitToWidth="0" orientation="portrait" r:id="rId1"/>
  <headerFooter scaleWithDoc="0" alignWithMargins="0">
    <oddHeader>&amp;RExhibit No. ___ (JH-4)
Dockets UE-120436 &amp;&amp; UG-120437
Page 1 of &amp; 4</oddHeader>
  </headerFooter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view="pageBreakPreview" zoomScale="90" zoomScaleNormal="100" zoomScaleSheetLayoutView="90" workbookViewId="0">
      <pane xSplit="4" ySplit="10" topLeftCell="E11" activePane="bottomRight" state="frozen"/>
      <selection activeCell="J70" sqref="J70"/>
      <selection pane="topRight" activeCell="J70" sqref="J70"/>
      <selection pane="bottomLeft" activeCell="J70" sqref="J70"/>
      <selection pane="bottomRight" activeCell="E81" sqref="A1:E81"/>
    </sheetView>
  </sheetViews>
  <sheetFormatPr defaultColWidth="10.7109375" defaultRowHeight="12.75"/>
  <cols>
    <col min="1" max="1" width="5.7109375" style="107" customWidth="1"/>
    <col min="2" max="3" width="1.7109375" style="108" customWidth="1"/>
    <col min="4" max="4" width="28.7109375" style="108" customWidth="1"/>
    <col min="5" max="5" width="18.7109375" style="130" customWidth="1"/>
    <col min="6" max="6" width="20.42578125" style="45" customWidth="1"/>
    <col min="7" max="7" width="2.85546875" style="43" customWidth="1"/>
    <col min="8" max="8" width="2.7109375" style="43" customWidth="1"/>
    <col min="9" max="9" width="10.7109375" style="43" customWidth="1"/>
    <col min="10" max="10" width="17.140625" style="46" customWidth="1"/>
    <col min="11" max="11" width="6.85546875" style="43" customWidth="1"/>
    <col min="12" max="12" width="10.7109375" style="43"/>
    <col min="13" max="13" width="10.7109375" style="47"/>
    <col min="14" max="14" width="16.7109375" style="46" customWidth="1"/>
    <col min="15" max="16384" width="10.7109375" style="43"/>
  </cols>
  <sheetData>
    <row r="1" spans="1:14" ht="12" customHeight="1">
      <c r="A1" s="152"/>
      <c r="B1" s="153"/>
      <c r="C1" s="153"/>
    </row>
    <row r="2" spans="1:14" ht="12" customHeight="1">
      <c r="A2" s="157" t="s">
        <v>100</v>
      </c>
      <c r="B2" s="158"/>
      <c r="C2" s="153"/>
    </row>
    <row r="3" spans="1:14" ht="12" customHeight="1">
      <c r="A3" s="157" t="s">
        <v>101</v>
      </c>
      <c r="B3" s="158"/>
      <c r="C3" s="153"/>
    </row>
    <row r="4" spans="1:14" ht="12" customHeight="1">
      <c r="A4" s="157" t="s">
        <v>102</v>
      </c>
      <c r="B4" s="158"/>
      <c r="C4" s="153"/>
    </row>
    <row r="5" spans="1:14" ht="12" customHeight="1">
      <c r="A5" s="157" t="s">
        <v>103</v>
      </c>
      <c r="B5" s="158"/>
    </row>
    <row r="6" spans="1:14" s="53" customFormat="1" ht="12" customHeight="1">
      <c r="C6" s="108"/>
      <c r="D6" s="108"/>
      <c r="E6" s="130"/>
      <c r="F6" s="56"/>
      <c r="J6" s="52"/>
      <c r="N6" s="52"/>
    </row>
    <row r="7" spans="1:14" s="53" customFormat="1" ht="12" customHeight="1">
      <c r="A7" s="109"/>
      <c r="B7" s="234"/>
      <c r="C7" s="234"/>
      <c r="D7" s="234"/>
      <c r="E7" s="235"/>
      <c r="F7" s="236"/>
      <c r="G7" s="237"/>
      <c r="H7" s="237"/>
      <c r="I7" s="237"/>
      <c r="J7" s="238"/>
      <c r="K7" s="237"/>
      <c r="L7" s="237"/>
      <c r="N7" s="59"/>
    </row>
    <row r="8" spans="1:14" s="53" customFormat="1" ht="12" customHeight="1" thickBot="1">
      <c r="A8" s="250"/>
      <c r="B8" s="239"/>
      <c r="C8" s="240"/>
      <c r="D8" s="241"/>
      <c r="E8" s="242" t="s">
        <v>95</v>
      </c>
      <c r="F8" s="236"/>
      <c r="G8" s="237"/>
      <c r="H8" s="237"/>
      <c r="I8" s="237"/>
      <c r="J8" s="243"/>
      <c r="K8" s="237"/>
      <c r="L8" s="237"/>
      <c r="N8" s="52"/>
    </row>
    <row r="9" spans="1:14" s="53" customFormat="1" ht="12" customHeight="1">
      <c r="A9" s="111" t="s">
        <v>39</v>
      </c>
      <c r="B9" s="112"/>
      <c r="C9" s="113"/>
      <c r="D9" s="114"/>
      <c r="E9" s="132" t="s">
        <v>96</v>
      </c>
      <c r="F9" s="56"/>
      <c r="J9" s="52"/>
      <c r="N9" s="52"/>
    </row>
    <row r="10" spans="1:14" s="60" customFormat="1" ht="12" customHeight="1">
      <c r="A10" s="115" t="s">
        <v>40</v>
      </c>
      <c r="B10" s="116"/>
      <c r="C10" s="117"/>
      <c r="D10" s="118" t="s">
        <v>21</v>
      </c>
      <c r="E10" s="133" t="s">
        <v>97</v>
      </c>
      <c r="F10" s="63"/>
      <c r="J10" s="64"/>
      <c r="N10" s="65"/>
    </row>
    <row r="11" spans="1:14" s="60" customFormat="1" ht="12" customHeight="1">
      <c r="A11" s="109"/>
      <c r="B11" s="119" t="s">
        <v>41</v>
      </c>
      <c r="C11" s="110"/>
      <c r="D11" s="110"/>
      <c r="E11" s="134">
        <v>2.1199999999999974</v>
      </c>
      <c r="F11" s="63"/>
      <c r="J11" s="64"/>
      <c r="N11" s="65"/>
    </row>
    <row r="12" spans="1:14" s="60" customFormat="1" ht="12" customHeight="1">
      <c r="A12" s="109"/>
      <c r="B12" s="119" t="s">
        <v>35</v>
      </c>
      <c r="C12" s="110"/>
      <c r="D12" s="110"/>
      <c r="E12" s="131" t="s">
        <v>98</v>
      </c>
      <c r="F12" s="63"/>
      <c r="J12" s="64"/>
      <c r="N12" s="65"/>
    </row>
    <row r="13" spans="1:14" ht="12" customHeight="1">
      <c r="B13" s="199"/>
      <c r="C13" s="199"/>
      <c r="D13" s="199"/>
      <c r="E13" s="209"/>
      <c r="F13" s="201"/>
      <c r="G13" s="202"/>
      <c r="H13" s="202"/>
      <c r="I13" s="202"/>
      <c r="J13" s="203"/>
      <c r="K13" s="202"/>
      <c r="L13" s="202"/>
    </row>
    <row r="14" spans="1:14" s="71" customFormat="1" ht="12" customHeight="1">
      <c r="A14" s="107"/>
      <c r="B14" s="199" t="s">
        <v>42</v>
      </c>
      <c r="C14" s="199"/>
      <c r="D14" s="199"/>
      <c r="E14" s="209"/>
      <c r="F14" s="211"/>
      <c r="G14" s="212"/>
      <c r="H14" s="202"/>
      <c r="I14" s="202"/>
      <c r="J14" s="213"/>
      <c r="K14" s="202"/>
      <c r="L14" s="202"/>
      <c r="N14" s="72"/>
    </row>
    <row r="15" spans="1:14" s="73" customFormat="1" ht="12" customHeight="1">
      <c r="A15" s="107">
        <v>1</v>
      </c>
      <c r="B15" s="199" t="s">
        <v>43</v>
      </c>
      <c r="C15" s="199"/>
      <c r="D15" s="199"/>
      <c r="E15" s="200">
        <v>0</v>
      </c>
      <c r="F15" s="201"/>
      <c r="G15" s="202"/>
      <c r="H15" s="202"/>
      <c r="I15" s="202"/>
      <c r="J15" s="203"/>
      <c r="K15" s="202"/>
      <c r="L15" s="202"/>
      <c r="N15" s="76"/>
    </row>
    <row r="16" spans="1:14" s="73" customFormat="1" ht="12" customHeight="1">
      <c r="A16" s="107">
        <v>2</v>
      </c>
      <c r="B16" s="199" t="s">
        <v>44</v>
      </c>
      <c r="C16" s="199"/>
      <c r="D16" s="199"/>
      <c r="E16" s="200">
        <v>0</v>
      </c>
      <c r="F16" s="201"/>
      <c r="G16" s="202"/>
      <c r="H16" s="202"/>
      <c r="I16" s="202"/>
      <c r="J16" s="203"/>
      <c r="K16" s="202"/>
      <c r="L16" s="202"/>
      <c r="N16" s="76"/>
    </row>
    <row r="17" spans="1:14" s="73" customFormat="1" ht="12" customHeight="1">
      <c r="A17" s="107">
        <v>3</v>
      </c>
      <c r="B17" s="199" t="s">
        <v>45</v>
      </c>
      <c r="C17" s="199"/>
      <c r="D17" s="199"/>
      <c r="E17" s="206">
        <v>0</v>
      </c>
      <c r="F17" s="201"/>
      <c r="G17" s="202"/>
      <c r="H17" s="202"/>
      <c r="I17" s="202"/>
      <c r="J17" s="203"/>
      <c r="K17" s="202"/>
      <c r="L17" s="202"/>
      <c r="N17" s="78"/>
    </row>
    <row r="18" spans="1:14" s="73" customFormat="1" ht="12" customHeight="1">
      <c r="A18" s="107">
        <v>4</v>
      </c>
      <c r="B18" s="199" t="s">
        <v>46</v>
      </c>
      <c r="C18" s="199"/>
      <c r="D18" s="199"/>
      <c r="E18" s="199">
        <v>0</v>
      </c>
      <c r="F18" s="201"/>
      <c r="G18" s="202"/>
      <c r="H18" s="202"/>
      <c r="I18" s="202"/>
      <c r="J18" s="203"/>
      <c r="K18" s="202"/>
      <c r="L18" s="202"/>
      <c r="N18" s="76"/>
    </row>
    <row r="19" spans="1:14" s="73" customFormat="1" ht="12" customHeight="1">
      <c r="A19" s="107"/>
      <c r="B19" s="199"/>
      <c r="C19" s="199"/>
      <c r="D19" s="199"/>
      <c r="E19" s="210"/>
      <c r="F19" s="201"/>
      <c r="G19" s="202"/>
      <c r="H19" s="202"/>
      <c r="I19" s="202"/>
      <c r="J19" s="203"/>
      <c r="K19" s="202"/>
      <c r="L19" s="202"/>
      <c r="N19" s="78"/>
    </row>
    <row r="20" spans="1:14" s="73" customFormat="1" ht="12" customHeight="1">
      <c r="A20" s="107"/>
      <c r="B20" s="108" t="s">
        <v>47</v>
      </c>
      <c r="C20" s="121"/>
      <c r="D20" s="121"/>
      <c r="E20" s="138"/>
      <c r="F20" s="75"/>
      <c r="J20" s="76"/>
      <c r="N20" s="76"/>
    </row>
    <row r="21" spans="1:14" s="73" customFormat="1" ht="12" customHeight="1">
      <c r="A21" s="107"/>
      <c r="B21" s="121" t="s">
        <v>48</v>
      </c>
      <c r="C21" s="108"/>
      <c r="D21" s="121"/>
      <c r="E21" s="138"/>
      <c r="F21" s="75"/>
      <c r="J21" s="76"/>
      <c r="N21" s="76"/>
    </row>
    <row r="22" spans="1:14" s="73" customFormat="1" ht="12" customHeight="1" thickBot="1">
      <c r="A22" s="253">
        <v>5</v>
      </c>
      <c r="B22" s="164"/>
      <c r="C22" s="165" t="s">
        <v>49</v>
      </c>
      <c r="D22" s="165"/>
      <c r="E22" s="244">
        <v>0</v>
      </c>
      <c r="F22" s="171"/>
      <c r="G22" s="161"/>
      <c r="H22" s="161"/>
      <c r="I22" s="161"/>
      <c r="J22" s="169"/>
      <c r="K22" s="161"/>
      <c r="L22" s="161"/>
      <c r="N22" s="76"/>
    </row>
    <row r="23" spans="1:14" s="73" customFormat="1" ht="12" customHeight="1">
      <c r="A23" s="107">
        <v>6</v>
      </c>
      <c r="B23" s="108"/>
      <c r="C23" s="121" t="s">
        <v>50</v>
      </c>
      <c r="D23" s="121"/>
      <c r="E23" s="136">
        <v>0</v>
      </c>
      <c r="F23" s="75"/>
      <c r="J23" s="76"/>
      <c r="N23" s="76"/>
    </row>
    <row r="24" spans="1:14" s="73" customFormat="1" ht="12" customHeight="1">
      <c r="A24" s="107">
        <v>7</v>
      </c>
      <c r="B24" s="108"/>
      <c r="C24" s="121" t="s">
        <v>51</v>
      </c>
      <c r="D24" s="121"/>
      <c r="E24" s="137">
        <v>0</v>
      </c>
      <c r="F24" s="75"/>
      <c r="J24" s="76"/>
      <c r="N24" s="76"/>
    </row>
    <row r="25" spans="1:14" s="73" customFormat="1" ht="12" customHeight="1">
      <c r="A25" s="107">
        <v>8</v>
      </c>
      <c r="B25" s="121" t="s">
        <v>52</v>
      </c>
      <c r="C25" s="121"/>
      <c r="D25" s="108"/>
      <c r="E25" s="139">
        <v>0</v>
      </c>
      <c r="F25" s="75"/>
      <c r="J25" s="76"/>
      <c r="N25" s="76"/>
    </row>
    <row r="26" spans="1:14" s="73" customFormat="1" ht="12" customHeight="1">
      <c r="A26" s="107"/>
      <c r="B26" s="121"/>
      <c r="C26" s="121"/>
      <c r="D26" s="108"/>
      <c r="E26" s="139"/>
      <c r="F26" s="75"/>
      <c r="J26" s="76"/>
      <c r="N26" s="76"/>
    </row>
    <row r="27" spans="1:14" s="73" customFormat="1" ht="12" customHeight="1">
      <c r="A27" s="107"/>
      <c r="B27" s="199" t="s">
        <v>53</v>
      </c>
      <c r="C27" s="199"/>
      <c r="D27" s="199"/>
      <c r="E27" s="210"/>
      <c r="F27" s="201"/>
      <c r="G27" s="202"/>
      <c r="H27" s="202"/>
      <c r="I27" s="202"/>
      <c r="J27" s="203"/>
      <c r="K27" s="202"/>
      <c r="L27" s="202"/>
      <c r="N27" s="76"/>
    </row>
    <row r="28" spans="1:14" s="73" customFormat="1" ht="12" customHeight="1">
      <c r="A28" s="107">
        <v>9</v>
      </c>
      <c r="B28" s="199"/>
      <c r="C28" s="199" t="s">
        <v>54</v>
      </c>
      <c r="D28" s="199"/>
      <c r="E28" s="200">
        <v>0</v>
      </c>
      <c r="F28" s="201"/>
      <c r="G28" s="202"/>
      <c r="H28" s="202"/>
      <c r="I28" s="202"/>
      <c r="J28" s="203"/>
      <c r="K28" s="202"/>
      <c r="L28" s="202"/>
      <c r="N28" s="78"/>
    </row>
    <row r="29" spans="1:14" s="73" customFormat="1" ht="12" customHeight="1">
      <c r="A29" s="107">
        <v>10</v>
      </c>
      <c r="B29" s="199"/>
      <c r="C29" s="199" t="s">
        <v>55</v>
      </c>
      <c r="D29" s="199"/>
      <c r="E29" s="200">
        <v>0</v>
      </c>
      <c r="F29" s="201"/>
      <c r="G29" s="202"/>
      <c r="H29" s="202"/>
      <c r="I29" s="202"/>
      <c r="J29" s="203"/>
      <c r="K29" s="202"/>
      <c r="L29" s="202"/>
      <c r="N29" s="76"/>
    </row>
    <row r="30" spans="1:14" s="73" customFormat="1" ht="12" customHeight="1">
      <c r="A30" s="107">
        <v>11</v>
      </c>
      <c r="B30" s="199"/>
      <c r="C30" s="199" t="s">
        <v>56</v>
      </c>
      <c r="D30" s="199"/>
      <c r="E30" s="206">
        <v>0</v>
      </c>
      <c r="F30" s="201"/>
      <c r="G30" s="202"/>
      <c r="H30" s="202"/>
      <c r="I30" s="202"/>
      <c r="J30" s="203"/>
      <c r="K30" s="202"/>
      <c r="L30" s="202"/>
      <c r="N30" s="76"/>
    </row>
    <row r="31" spans="1:14" s="73" customFormat="1" ht="12" customHeight="1">
      <c r="A31" s="107">
        <v>12</v>
      </c>
      <c r="B31" s="199" t="s">
        <v>57</v>
      </c>
      <c r="C31" s="199"/>
      <c r="D31" s="199"/>
      <c r="E31" s="209">
        <v>0</v>
      </c>
      <c r="F31" s="201"/>
      <c r="G31" s="202"/>
      <c r="H31" s="202"/>
      <c r="I31" s="202"/>
      <c r="J31" s="203"/>
      <c r="K31" s="202"/>
      <c r="L31" s="202"/>
      <c r="N31" s="76"/>
    </row>
    <row r="32" spans="1:14" s="73" customFormat="1" ht="12" customHeight="1">
      <c r="A32" s="107"/>
      <c r="B32" s="199"/>
      <c r="C32" s="199"/>
      <c r="D32" s="199"/>
      <c r="E32" s="209"/>
      <c r="F32" s="201"/>
      <c r="G32" s="202"/>
      <c r="H32" s="202"/>
      <c r="I32" s="202"/>
      <c r="J32" s="203"/>
      <c r="K32" s="202"/>
      <c r="L32" s="202"/>
      <c r="N32" s="76"/>
    </row>
    <row r="33" spans="1:15" s="73" customFormat="1" ht="12" customHeight="1">
      <c r="A33" s="107"/>
      <c r="B33" s="199" t="s">
        <v>58</v>
      </c>
      <c r="C33" s="199"/>
      <c r="D33" s="199"/>
      <c r="E33" s="210"/>
      <c r="F33" s="201"/>
      <c r="G33" s="202"/>
      <c r="H33" s="202"/>
      <c r="I33" s="202"/>
      <c r="J33" s="203"/>
      <c r="K33" s="202"/>
      <c r="L33" s="202"/>
      <c r="N33" s="76"/>
    </row>
    <row r="34" spans="1:15" s="73" customFormat="1" ht="12" customHeight="1">
      <c r="A34" s="107">
        <v>13</v>
      </c>
      <c r="B34" s="108"/>
      <c r="C34" s="121" t="s">
        <v>54</v>
      </c>
      <c r="D34" s="121"/>
      <c r="E34" s="136">
        <v>0</v>
      </c>
      <c r="F34" s="75"/>
      <c r="J34" s="78"/>
      <c r="N34" s="78"/>
    </row>
    <row r="35" spans="1:15" s="73" customFormat="1" ht="12" customHeight="1">
      <c r="A35" s="107">
        <v>14</v>
      </c>
      <c r="B35" s="108"/>
      <c r="C35" s="121" t="s">
        <v>55</v>
      </c>
      <c r="D35" s="121"/>
      <c r="E35" s="136">
        <v>0</v>
      </c>
      <c r="F35" s="75"/>
      <c r="J35" s="76"/>
      <c r="N35" s="76"/>
    </row>
    <row r="36" spans="1:15" s="73" customFormat="1" ht="12" customHeight="1">
      <c r="A36" s="107">
        <v>15</v>
      </c>
      <c r="B36" s="164"/>
      <c r="C36" s="165" t="s">
        <v>56</v>
      </c>
      <c r="D36" s="165"/>
      <c r="E36" s="166">
        <v>0</v>
      </c>
      <c r="F36" s="167"/>
      <c r="G36" s="168"/>
      <c r="H36" s="161"/>
      <c r="I36" s="161"/>
      <c r="J36" s="169"/>
      <c r="K36" s="161"/>
      <c r="L36" s="161"/>
      <c r="M36" s="161"/>
      <c r="N36" s="256" t="s">
        <v>105</v>
      </c>
      <c r="O36" s="161"/>
    </row>
    <row r="37" spans="1:15" s="73" customFormat="1" ht="12" customHeight="1">
      <c r="A37" s="107">
        <v>16</v>
      </c>
      <c r="B37" s="121" t="s">
        <v>59</v>
      </c>
      <c r="C37" s="121"/>
      <c r="D37" s="108"/>
      <c r="E37" s="139">
        <v>0</v>
      </c>
      <c r="F37" s="75"/>
      <c r="J37" s="76"/>
      <c r="N37" s="76"/>
    </row>
    <row r="38" spans="1:15" s="73" customFormat="1" ht="12" customHeight="1">
      <c r="A38" s="107"/>
      <c r="B38" s="108"/>
      <c r="C38" s="121"/>
      <c r="D38" s="121"/>
      <c r="E38" s="139"/>
      <c r="F38" s="75"/>
      <c r="J38" s="76"/>
      <c r="N38" s="76"/>
    </row>
    <row r="39" spans="1:15" s="73" customFormat="1" ht="12" customHeight="1">
      <c r="A39" s="107">
        <v>17</v>
      </c>
      <c r="B39" s="108" t="s">
        <v>60</v>
      </c>
      <c r="C39" s="121"/>
      <c r="D39" s="121"/>
      <c r="E39" s="140">
        <v>0</v>
      </c>
      <c r="F39" s="75"/>
      <c r="J39" s="76"/>
      <c r="N39" s="76"/>
    </row>
    <row r="40" spans="1:15" s="73" customFormat="1" ht="12" customHeight="1">
      <c r="A40" s="107">
        <v>18</v>
      </c>
      <c r="B40" s="108" t="s">
        <v>61</v>
      </c>
      <c r="C40" s="121"/>
      <c r="D40" s="121"/>
      <c r="E40" s="136">
        <v>0</v>
      </c>
      <c r="F40" s="75"/>
      <c r="J40" s="76"/>
      <c r="N40" s="76"/>
    </row>
    <row r="41" spans="1:15" s="73" customFormat="1" ht="12" customHeight="1">
      <c r="A41" s="107">
        <v>19</v>
      </c>
      <c r="B41" s="199" t="s">
        <v>62</v>
      </c>
      <c r="C41" s="199"/>
      <c r="D41" s="199"/>
      <c r="E41" s="200">
        <v>0</v>
      </c>
      <c r="F41" s="201"/>
      <c r="G41" s="202"/>
      <c r="H41" s="202"/>
      <c r="I41" s="202"/>
      <c r="J41" s="203"/>
      <c r="K41" s="202"/>
      <c r="L41" s="204"/>
      <c r="M41" s="202"/>
      <c r="N41" s="203"/>
      <c r="O41" s="202"/>
    </row>
    <row r="42" spans="1:15" s="73" customFormat="1" ht="12" customHeight="1">
      <c r="A42" s="107"/>
      <c r="B42" s="199"/>
      <c r="C42" s="199"/>
      <c r="D42" s="199"/>
      <c r="E42" s="200"/>
      <c r="F42" s="201"/>
      <c r="G42" s="202"/>
      <c r="H42" s="202"/>
      <c r="I42" s="202"/>
      <c r="J42" s="203"/>
      <c r="K42" s="202"/>
      <c r="L42" s="204"/>
      <c r="M42" s="202"/>
      <c r="N42" s="203"/>
      <c r="O42" s="202"/>
    </row>
    <row r="43" spans="1:15" s="73" customFormat="1" ht="12" customHeight="1">
      <c r="A43" s="107"/>
      <c r="B43" s="199" t="s">
        <v>63</v>
      </c>
      <c r="C43" s="199"/>
      <c r="D43" s="199"/>
      <c r="E43" s="200"/>
      <c r="F43" s="201"/>
      <c r="G43" s="202"/>
      <c r="H43" s="202"/>
      <c r="I43" s="202"/>
      <c r="J43" s="203"/>
      <c r="K43" s="202"/>
      <c r="L43" s="204"/>
      <c r="M43" s="202"/>
      <c r="N43" s="203"/>
      <c r="O43" s="202"/>
    </row>
    <row r="44" spans="1:15" s="73" customFormat="1" ht="12" customHeight="1">
      <c r="A44" s="107">
        <v>20</v>
      </c>
      <c r="B44" s="199"/>
      <c r="C44" s="199" t="s">
        <v>54</v>
      </c>
      <c r="D44" s="199"/>
      <c r="E44" s="200">
        <f>+Adjustment!C13/1000</f>
        <v>66.057000000000002</v>
      </c>
      <c r="F44" s="201"/>
      <c r="G44" s="202"/>
      <c r="H44" s="202"/>
      <c r="I44" s="202"/>
      <c r="J44" s="203"/>
      <c r="K44" s="202"/>
      <c r="L44" s="204"/>
      <c r="M44" s="202"/>
      <c r="N44" s="203"/>
      <c r="O44" s="202"/>
    </row>
    <row r="45" spans="1:15" s="73" customFormat="1" ht="12" customHeight="1">
      <c r="A45" s="107">
        <v>21</v>
      </c>
      <c r="B45" s="199"/>
      <c r="C45" s="199" t="s">
        <v>55</v>
      </c>
      <c r="D45" s="199"/>
      <c r="E45" s="200">
        <v>0</v>
      </c>
      <c r="F45" s="201"/>
      <c r="G45" s="202"/>
      <c r="H45" s="202"/>
      <c r="I45" s="202"/>
      <c r="J45" s="203"/>
      <c r="K45" s="202"/>
      <c r="L45" s="204"/>
      <c r="M45" s="202"/>
      <c r="N45" s="203"/>
      <c r="O45" s="202"/>
    </row>
    <row r="46" spans="1:15" s="73" customFormat="1" ht="12" customHeight="1">
      <c r="A46" s="107">
        <v>22</v>
      </c>
      <c r="B46" s="199"/>
      <c r="C46" s="205" t="s">
        <v>64</v>
      </c>
      <c r="D46" s="199"/>
      <c r="E46" s="200"/>
      <c r="F46" s="201"/>
      <c r="G46" s="202"/>
      <c r="H46" s="202"/>
      <c r="I46" s="202"/>
      <c r="J46" s="203"/>
      <c r="K46" s="202"/>
      <c r="L46" s="204"/>
      <c r="M46" s="202"/>
      <c r="N46" s="203"/>
      <c r="O46" s="202"/>
    </row>
    <row r="47" spans="1:15" s="73" customFormat="1" ht="12" customHeight="1">
      <c r="A47" s="107">
        <v>23</v>
      </c>
      <c r="B47" s="199"/>
      <c r="C47" s="199" t="s">
        <v>56</v>
      </c>
      <c r="D47" s="199"/>
      <c r="E47" s="206">
        <v>0</v>
      </c>
      <c r="F47" s="201"/>
      <c r="G47" s="202"/>
      <c r="H47" s="202"/>
      <c r="I47" s="202"/>
      <c r="J47" s="203"/>
      <c r="K47" s="202"/>
      <c r="L47" s="204"/>
      <c r="M47" s="202"/>
      <c r="N47" s="203"/>
      <c r="O47" s="202"/>
    </row>
    <row r="48" spans="1:15" s="73" customFormat="1" ht="12" customHeight="1">
      <c r="A48" s="107">
        <v>24</v>
      </c>
      <c r="B48" s="199" t="s">
        <v>65</v>
      </c>
      <c r="C48" s="199"/>
      <c r="D48" s="199"/>
      <c r="E48" s="207">
        <f>SUM(E44:E47)</f>
        <v>66.057000000000002</v>
      </c>
      <c r="F48" s="201"/>
      <c r="G48" s="202"/>
      <c r="H48" s="202"/>
      <c r="I48" s="202"/>
      <c r="J48" s="203"/>
      <c r="K48" s="202"/>
      <c r="L48" s="204"/>
      <c r="M48" s="202"/>
      <c r="N48" s="203"/>
      <c r="O48" s="202"/>
    </row>
    <row r="49" spans="1:15" s="73" customFormat="1" ht="12" customHeight="1">
      <c r="A49" s="107">
        <v>25</v>
      </c>
      <c r="B49" s="199" t="s">
        <v>66</v>
      </c>
      <c r="C49" s="199"/>
      <c r="D49" s="199"/>
      <c r="E49" s="208">
        <f>+E48</f>
        <v>66.057000000000002</v>
      </c>
      <c r="F49" s="201"/>
      <c r="G49" s="202"/>
      <c r="H49" s="202"/>
      <c r="I49" s="202"/>
      <c r="J49" s="203"/>
      <c r="K49" s="202"/>
      <c r="L49" s="204"/>
      <c r="M49" s="202"/>
      <c r="N49" s="203"/>
      <c r="O49" s="204"/>
    </row>
    <row r="50" spans="1:15" s="73" customFormat="1" ht="12" customHeight="1">
      <c r="A50" s="107"/>
      <c r="B50" s="199"/>
      <c r="C50" s="199"/>
      <c r="D50" s="199"/>
      <c r="E50" s="209"/>
      <c r="F50" s="201"/>
      <c r="G50" s="202"/>
      <c r="H50" s="202"/>
      <c r="I50" s="202"/>
      <c r="J50" s="203"/>
      <c r="K50" s="202"/>
      <c r="L50" s="204"/>
      <c r="M50" s="202"/>
      <c r="N50" s="203"/>
      <c r="O50" s="202"/>
    </row>
    <row r="51" spans="1:15" s="79" customFormat="1" ht="12" customHeight="1">
      <c r="A51" s="107">
        <v>26</v>
      </c>
      <c r="B51" s="108" t="s">
        <v>67</v>
      </c>
      <c r="C51" s="121"/>
      <c r="D51" s="121"/>
      <c r="E51" s="139">
        <f>-E49</f>
        <v>-66.057000000000002</v>
      </c>
      <c r="F51" s="78"/>
      <c r="H51" s="84"/>
      <c r="J51" s="76"/>
      <c r="N51" s="76"/>
    </row>
    <row r="52" spans="1:15" s="73" customFormat="1" ht="12" customHeight="1">
      <c r="A52" s="107"/>
      <c r="B52" s="108"/>
      <c r="C52" s="121"/>
      <c r="D52" s="121"/>
      <c r="E52" s="139"/>
      <c r="F52" s="75"/>
      <c r="H52" s="43"/>
      <c r="J52" s="76"/>
      <c r="N52" s="76"/>
    </row>
    <row r="53" spans="1:15" s="73" customFormat="1" ht="12" customHeight="1">
      <c r="A53" s="107"/>
      <c r="B53" s="108" t="s">
        <v>68</v>
      </c>
      <c r="C53" s="121"/>
      <c r="D53" s="121"/>
      <c r="E53" s="138"/>
      <c r="F53" s="75"/>
      <c r="H53" s="43"/>
      <c r="J53" s="76"/>
      <c r="N53" s="76"/>
      <c r="O53" s="202"/>
    </row>
    <row r="54" spans="1:15" ht="12" customHeight="1">
      <c r="A54" s="107">
        <v>27</v>
      </c>
      <c r="B54" s="121" t="s">
        <v>69</v>
      </c>
      <c r="D54" s="121"/>
      <c r="E54" s="138">
        <f>-E51*35%</f>
        <v>23.119949999999999</v>
      </c>
      <c r="O54" s="202"/>
    </row>
    <row r="55" spans="1:15" s="71" customFormat="1" ht="12" customHeight="1">
      <c r="A55" s="107">
        <v>28</v>
      </c>
      <c r="B55" s="121" t="s">
        <v>70</v>
      </c>
      <c r="C55" s="108"/>
      <c r="D55" s="121"/>
      <c r="E55" s="138">
        <v>0</v>
      </c>
      <c r="F55" s="85"/>
      <c r="H55" s="43"/>
      <c r="J55" s="86"/>
      <c r="N55" s="86"/>
      <c r="O55" s="202"/>
    </row>
    <row r="56" spans="1:15" ht="12" customHeight="1">
      <c r="A56" s="107">
        <v>29</v>
      </c>
      <c r="B56" s="121" t="s">
        <v>71</v>
      </c>
      <c r="D56" s="121"/>
      <c r="E56" s="136">
        <v>0</v>
      </c>
      <c r="O56" s="202"/>
    </row>
    <row r="57" spans="1:15" ht="12" customHeight="1">
      <c r="A57" s="107">
        <v>30</v>
      </c>
      <c r="B57" s="121" t="s">
        <v>72</v>
      </c>
      <c r="D57" s="121"/>
      <c r="E57" s="137">
        <v>0</v>
      </c>
      <c r="O57" s="204"/>
    </row>
    <row r="58" spans="1:15" ht="12" customHeight="1">
      <c r="E58" s="139"/>
    </row>
    <row r="59" spans="1:15" s="71" customFormat="1" ht="12" customHeight="1" thickBot="1">
      <c r="A59" s="107">
        <v>31</v>
      </c>
      <c r="B59" s="120" t="s">
        <v>73</v>
      </c>
      <c r="C59" s="120"/>
      <c r="D59" s="120"/>
      <c r="E59" s="141">
        <f>+E51+SUM(E54:E58)</f>
        <v>-42.937049999999999</v>
      </c>
      <c r="F59" s="85"/>
      <c r="H59" s="43"/>
      <c r="J59" s="89"/>
      <c r="N59" s="89"/>
    </row>
    <row r="60" spans="1:15" s="73" customFormat="1" ht="12" customHeight="1" thickTop="1">
      <c r="A60" s="107"/>
      <c r="B60" s="108"/>
      <c r="C60" s="108"/>
      <c r="D60" s="108"/>
      <c r="E60" s="139"/>
      <c r="F60" s="75"/>
      <c r="H60" s="43"/>
      <c r="J60" s="76"/>
      <c r="N60" s="76"/>
    </row>
    <row r="61" spans="1:15" s="73" customFormat="1" ht="12" customHeight="1">
      <c r="A61" s="107"/>
      <c r="B61" s="108" t="s">
        <v>74</v>
      </c>
      <c r="C61" s="108"/>
      <c r="D61" s="108"/>
      <c r="E61" s="139"/>
      <c r="F61" s="75"/>
      <c r="H61" s="43"/>
      <c r="J61" s="76"/>
      <c r="N61" s="76"/>
    </row>
    <row r="62" spans="1:15" s="73" customFormat="1" ht="12" customHeight="1">
      <c r="A62" s="107"/>
      <c r="B62" s="108" t="s">
        <v>75</v>
      </c>
      <c r="C62" s="108"/>
      <c r="D62" s="108"/>
      <c r="E62" s="138"/>
      <c r="F62" s="75"/>
      <c r="H62" s="43"/>
      <c r="J62" s="76"/>
      <c r="N62" s="76"/>
    </row>
    <row r="63" spans="1:15" s="73" customFormat="1" ht="12" customHeight="1">
      <c r="A63" s="107">
        <v>32</v>
      </c>
      <c r="B63" s="121"/>
      <c r="C63" s="121" t="s">
        <v>53</v>
      </c>
      <c r="D63" s="121"/>
      <c r="E63" s="135">
        <v>0</v>
      </c>
      <c r="F63" s="75"/>
      <c r="H63" s="43"/>
      <c r="J63" s="76"/>
      <c r="N63" s="76"/>
    </row>
    <row r="64" spans="1:15" s="73" customFormat="1" ht="12" customHeight="1">
      <c r="A64" s="107">
        <v>33</v>
      </c>
      <c r="B64" s="121"/>
      <c r="C64" s="121" t="s">
        <v>76</v>
      </c>
      <c r="D64" s="121"/>
      <c r="E64" s="136">
        <v>0</v>
      </c>
      <c r="F64" s="75"/>
      <c r="H64" s="43"/>
      <c r="J64" s="78"/>
      <c r="N64" s="78"/>
    </row>
    <row r="65" spans="1:14" s="73" customFormat="1" ht="12" customHeight="1">
      <c r="A65" s="107">
        <v>34</v>
      </c>
      <c r="B65" s="121"/>
      <c r="C65" s="121" t="s">
        <v>77</v>
      </c>
      <c r="D65" s="121"/>
      <c r="E65" s="137">
        <v>0</v>
      </c>
      <c r="F65" s="75"/>
      <c r="H65" s="43"/>
      <c r="J65" s="76"/>
      <c r="N65" s="76"/>
    </row>
    <row r="66" spans="1:14" s="73" customFormat="1" ht="12" customHeight="1">
      <c r="A66" s="107">
        <v>35</v>
      </c>
      <c r="B66" s="121" t="s">
        <v>78</v>
      </c>
      <c r="C66" s="121"/>
      <c r="D66" s="108"/>
      <c r="E66" s="139">
        <v>0</v>
      </c>
      <c r="F66" s="75"/>
      <c r="H66" s="43"/>
      <c r="J66" s="76"/>
      <c r="N66" s="76"/>
    </row>
    <row r="67" spans="1:14" s="73" customFormat="1" ht="12" customHeight="1">
      <c r="A67" s="107"/>
      <c r="B67" s="121"/>
      <c r="C67" s="121"/>
      <c r="D67" s="108"/>
      <c r="E67" s="139"/>
      <c r="F67" s="75"/>
      <c r="H67" s="43"/>
      <c r="J67" s="76"/>
      <c r="N67" s="76"/>
    </row>
    <row r="68" spans="1:14" s="73" customFormat="1" ht="12" customHeight="1">
      <c r="A68" s="107"/>
      <c r="B68" s="121" t="s">
        <v>79</v>
      </c>
      <c r="C68" s="121"/>
      <c r="D68" s="121"/>
      <c r="E68" s="138"/>
      <c r="F68" s="75"/>
      <c r="H68" s="43"/>
      <c r="J68" s="76"/>
      <c r="N68" s="76"/>
    </row>
    <row r="69" spans="1:14" s="73" customFormat="1" ht="12" customHeight="1">
      <c r="A69" s="107">
        <v>36</v>
      </c>
      <c r="B69" s="121"/>
      <c r="C69" s="121" t="s">
        <v>53</v>
      </c>
      <c r="D69" s="121"/>
      <c r="E69" s="136">
        <v>0</v>
      </c>
      <c r="F69" s="75"/>
      <c r="H69" s="43"/>
      <c r="J69" s="76"/>
      <c r="N69" s="76"/>
    </row>
    <row r="70" spans="1:14" s="73" customFormat="1" ht="12" customHeight="1">
      <c r="A70" s="107">
        <v>37</v>
      </c>
      <c r="B70" s="121"/>
      <c r="C70" s="121" t="s">
        <v>76</v>
      </c>
      <c r="D70" s="121"/>
      <c r="E70" s="136">
        <v>0</v>
      </c>
      <c r="F70" s="75"/>
      <c r="H70" s="43"/>
      <c r="J70" s="76"/>
      <c r="N70" s="76"/>
    </row>
    <row r="71" spans="1:14" s="73" customFormat="1" ht="12" customHeight="1">
      <c r="A71" s="107">
        <v>38</v>
      </c>
      <c r="B71" s="121"/>
      <c r="C71" s="121" t="s">
        <v>77</v>
      </c>
      <c r="D71" s="121"/>
      <c r="E71" s="136">
        <v>0</v>
      </c>
      <c r="F71" s="75"/>
      <c r="H71" s="43"/>
      <c r="J71" s="76"/>
      <c r="N71" s="76"/>
    </row>
    <row r="72" spans="1:14" s="73" customFormat="1" ht="12" customHeight="1">
      <c r="A72" s="107">
        <v>39</v>
      </c>
      <c r="B72" s="121" t="s">
        <v>80</v>
      </c>
      <c r="C72" s="121"/>
      <c r="D72" s="108"/>
      <c r="E72" s="142">
        <v>0</v>
      </c>
      <c r="F72" s="75"/>
      <c r="H72" s="43"/>
      <c r="J72" s="76"/>
      <c r="N72" s="76"/>
    </row>
    <row r="73" spans="1:14" s="73" customFormat="1" ht="12" customHeight="1">
      <c r="A73" s="107">
        <v>40</v>
      </c>
      <c r="B73" s="121" t="s">
        <v>81</v>
      </c>
      <c r="C73" s="121"/>
      <c r="D73" s="121"/>
      <c r="E73" s="143">
        <v>0</v>
      </c>
      <c r="F73" s="75"/>
      <c r="H73" s="43"/>
      <c r="J73" s="76"/>
      <c r="N73" s="76"/>
    </row>
    <row r="74" spans="1:14" s="73" customFormat="1" ht="12" customHeight="1">
      <c r="A74" s="122">
        <v>41</v>
      </c>
      <c r="B74" s="123" t="s">
        <v>82</v>
      </c>
      <c r="C74" s="123"/>
      <c r="D74" s="123"/>
      <c r="E74" s="137">
        <v>0</v>
      </c>
      <c r="F74" s="75"/>
      <c r="H74" s="43"/>
      <c r="J74" s="76"/>
      <c r="N74" s="76"/>
    </row>
    <row r="75" spans="1:14" s="73" customFormat="1" ht="12" customHeight="1">
      <c r="A75" s="122">
        <v>42</v>
      </c>
      <c r="B75" s="123" t="s">
        <v>83</v>
      </c>
      <c r="C75" s="123"/>
      <c r="D75" s="123"/>
      <c r="E75" s="143">
        <v>0</v>
      </c>
      <c r="F75" s="75"/>
      <c r="H75" s="43"/>
      <c r="J75" s="76"/>
      <c r="N75" s="76"/>
    </row>
    <row r="76" spans="1:14" s="73" customFormat="1" ht="12" customHeight="1">
      <c r="A76" s="107">
        <v>43</v>
      </c>
      <c r="B76" s="121" t="s">
        <v>84</v>
      </c>
      <c r="C76" s="121"/>
      <c r="D76" s="121"/>
      <c r="E76" s="136">
        <v>0</v>
      </c>
      <c r="F76" s="75"/>
      <c r="H76" s="43"/>
      <c r="J76" s="76"/>
      <c r="N76" s="76"/>
    </row>
    <row r="77" spans="1:14" s="73" customFormat="1" ht="12" customHeight="1">
      <c r="A77" s="122">
        <v>44</v>
      </c>
      <c r="B77" s="123" t="s">
        <v>85</v>
      </c>
      <c r="C77" s="123"/>
      <c r="D77" s="123"/>
      <c r="E77" s="140">
        <v>0</v>
      </c>
      <c r="F77" s="75"/>
      <c r="H77" s="43"/>
      <c r="J77" s="76"/>
      <c r="N77" s="76"/>
    </row>
    <row r="78" spans="1:14" s="73" customFormat="1" ht="12" customHeight="1">
      <c r="A78" s="122">
        <v>45</v>
      </c>
      <c r="B78" s="123" t="s">
        <v>86</v>
      </c>
      <c r="C78" s="123"/>
      <c r="D78" s="123"/>
      <c r="E78" s="140"/>
      <c r="F78" s="75"/>
      <c r="H78" s="43"/>
      <c r="J78" s="78"/>
      <c r="N78" s="78"/>
    </row>
    <row r="79" spans="1:14" s="71" customFormat="1" ht="12" customHeight="1">
      <c r="A79" s="107">
        <v>46</v>
      </c>
      <c r="B79" s="121" t="s">
        <v>87</v>
      </c>
      <c r="C79" s="121"/>
      <c r="D79" s="121"/>
      <c r="E79" s="137">
        <v>0</v>
      </c>
      <c r="F79" s="85"/>
      <c r="H79" s="43"/>
      <c r="J79" s="86"/>
      <c r="N79" s="86"/>
    </row>
    <row r="80" spans="1:14" ht="12" customHeight="1"/>
    <row r="81" spans="1:5" ht="12" customHeight="1" thickBot="1">
      <c r="A81" s="109">
        <v>47</v>
      </c>
      <c r="B81" s="124" t="s">
        <v>88</v>
      </c>
      <c r="C81" s="124"/>
      <c r="D81" s="124"/>
      <c r="E81" s="144">
        <v>0</v>
      </c>
    </row>
    <row r="82" spans="1:5" ht="12" customHeight="1" thickTop="1">
      <c r="A82" s="107">
        <v>48</v>
      </c>
      <c r="B82" s="108" t="s">
        <v>89</v>
      </c>
      <c r="E82" s="139"/>
    </row>
    <row r="83" spans="1:5" ht="12" customHeight="1">
      <c r="A83" s="107">
        <v>49</v>
      </c>
      <c r="B83" s="108" t="s">
        <v>90</v>
      </c>
      <c r="E83" s="145">
        <v>212.49698043320717</v>
      </c>
    </row>
    <row r="84" spans="1:5" ht="12" customHeight="1">
      <c r="E84" s="139"/>
    </row>
    <row r="85" spans="1:5" ht="12" customHeight="1">
      <c r="A85" s="125"/>
      <c r="B85" s="126"/>
      <c r="C85" s="126"/>
      <c r="D85" s="127" t="s">
        <v>91</v>
      </c>
      <c r="E85" s="139"/>
    </row>
    <row r="86" spans="1:5" ht="12" customHeight="1">
      <c r="A86" s="128"/>
      <c r="B86" s="126"/>
      <c r="C86" s="126"/>
      <c r="D86" s="127" t="s">
        <v>92</v>
      </c>
      <c r="E86" s="139"/>
    </row>
    <row r="87" spans="1:5" ht="12" customHeight="1">
      <c r="A87" s="128"/>
      <c r="B87" s="126"/>
      <c r="C87" s="126"/>
      <c r="D87" s="127"/>
      <c r="E87" s="139"/>
    </row>
    <row r="88" spans="1:5" ht="12" customHeight="1">
      <c r="A88" s="128"/>
      <c r="B88" s="126"/>
      <c r="C88" s="126"/>
      <c r="D88" s="127" t="s">
        <v>93</v>
      </c>
      <c r="E88" s="146">
        <v>131.94999999999999</v>
      </c>
    </row>
    <row r="89" spans="1:5" ht="12" customHeight="1">
      <c r="A89" s="128"/>
      <c r="B89" s="126"/>
      <c r="C89" s="126"/>
      <c r="D89" s="127" t="s">
        <v>94</v>
      </c>
      <c r="E89" s="146">
        <v>212.49698043320717</v>
      </c>
    </row>
    <row r="90" spans="1:5">
      <c r="A90" s="128"/>
      <c r="B90" s="126"/>
      <c r="C90" s="126"/>
      <c r="D90" s="127"/>
      <c r="E90" s="147"/>
    </row>
    <row r="91" spans="1:5">
      <c r="A91" s="125"/>
      <c r="B91" s="126"/>
      <c r="C91" s="126"/>
      <c r="D91" s="127"/>
      <c r="E91" s="147"/>
    </row>
    <row r="92" spans="1:5">
      <c r="A92" s="128"/>
      <c r="B92" s="126"/>
      <c r="C92" s="126"/>
      <c r="D92" s="126"/>
      <c r="E92" s="147"/>
    </row>
    <row r="93" spans="1:5">
      <c r="A93" s="128"/>
      <c r="B93" s="126"/>
      <c r="C93" s="126"/>
      <c r="D93" s="127"/>
      <c r="E93" s="147"/>
    </row>
    <row r="94" spans="1:5">
      <c r="A94" s="128"/>
      <c r="B94" s="126"/>
      <c r="C94" s="126"/>
      <c r="D94" s="127"/>
      <c r="E94" s="147"/>
    </row>
    <row r="95" spans="1:5">
      <c r="A95" s="128"/>
      <c r="B95" s="126"/>
      <c r="C95" s="126"/>
      <c r="D95" s="129"/>
      <c r="E95" s="147"/>
    </row>
    <row r="96" spans="1:5">
      <c r="A96" s="128"/>
      <c r="B96" s="126"/>
      <c r="C96" s="126"/>
      <c r="D96" s="126"/>
    </row>
    <row r="97" spans="1:4">
      <c r="A97" s="128"/>
      <c r="B97" s="126"/>
      <c r="C97" s="126"/>
      <c r="D97" s="126"/>
    </row>
  </sheetData>
  <sheetProtection formatCells="0" formatColumns="0" formatRows="0" insertColumns="0" insertRows="0" insertHyperlinks="0" deleteColumns="0" deleteRows="0" sort="0" autoFilter="0" pivotTables="0"/>
  <pageMargins left="1.25" right="0.51" top="0.4" bottom="0.5" header="0.27" footer="0.5"/>
  <pageSetup scale="65" firstPageNumber="4" fitToWidth="0" orientation="portrait" r:id="rId1"/>
  <headerFooter scaleWithDoc="0" alignWithMargins="0">
    <oddHeader>&amp;RExhibit No. ___ (JH-4)
Dockets UE-120436 &amp;&amp; UG-120437
Page 2 of &amp; 4</oddHeader>
  </headerFooter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zoomScaleNormal="100" workbookViewId="0">
      <selection activeCell="G5" sqref="G5"/>
    </sheetView>
  </sheetViews>
  <sheetFormatPr defaultRowHeight="12.75"/>
  <cols>
    <col min="1" max="1" width="35" style="5" customWidth="1"/>
    <col min="2" max="2" width="10.42578125" style="5" customWidth="1"/>
    <col min="3" max="3" width="11.7109375" style="5" customWidth="1"/>
    <col min="4" max="4" width="16.140625" style="5" customWidth="1"/>
    <col min="5" max="256" width="8.85546875" style="5"/>
    <col min="257" max="257" width="35" style="5" customWidth="1"/>
    <col min="258" max="258" width="10.42578125" style="5" customWidth="1"/>
    <col min="259" max="259" width="10.28515625" style="5" customWidth="1"/>
    <col min="260" max="260" width="10.7109375" style="5" bestFit="1" customWidth="1"/>
    <col min="261" max="512" width="8.85546875" style="5"/>
    <col min="513" max="513" width="35" style="5" customWidth="1"/>
    <col min="514" max="514" width="10.42578125" style="5" customWidth="1"/>
    <col min="515" max="515" width="10.28515625" style="5" customWidth="1"/>
    <col min="516" max="516" width="10.7109375" style="5" bestFit="1" customWidth="1"/>
    <col min="517" max="768" width="8.85546875" style="5"/>
    <col min="769" max="769" width="35" style="5" customWidth="1"/>
    <col min="770" max="770" width="10.42578125" style="5" customWidth="1"/>
    <col min="771" max="771" width="10.28515625" style="5" customWidth="1"/>
    <col min="772" max="772" width="10.7109375" style="5" bestFit="1" customWidth="1"/>
    <col min="773" max="1024" width="8.85546875" style="5"/>
    <col min="1025" max="1025" width="35" style="5" customWidth="1"/>
    <col min="1026" max="1026" width="10.42578125" style="5" customWidth="1"/>
    <col min="1027" max="1027" width="10.28515625" style="5" customWidth="1"/>
    <col min="1028" max="1028" width="10.7109375" style="5" bestFit="1" customWidth="1"/>
    <col min="1029" max="1280" width="8.85546875" style="5"/>
    <col min="1281" max="1281" width="35" style="5" customWidth="1"/>
    <col min="1282" max="1282" width="10.42578125" style="5" customWidth="1"/>
    <col min="1283" max="1283" width="10.28515625" style="5" customWidth="1"/>
    <col min="1284" max="1284" width="10.7109375" style="5" bestFit="1" customWidth="1"/>
    <col min="1285" max="1536" width="8.85546875" style="5"/>
    <col min="1537" max="1537" width="35" style="5" customWidth="1"/>
    <col min="1538" max="1538" width="10.42578125" style="5" customWidth="1"/>
    <col min="1539" max="1539" width="10.28515625" style="5" customWidth="1"/>
    <col min="1540" max="1540" width="10.7109375" style="5" bestFit="1" customWidth="1"/>
    <col min="1541" max="1792" width="8.85546875" style="5"/>
    <col min="1793" max="1793" width="35" style="5" customWidth="1"/>
    <col min="1794" max="1794" width="10.42578125" style="5" customWidth="1"/>
    <col min="1795" max="1795" width="10.28515625" style="5" customWidth="1"/>
    <col min="1796" max="1796" width="10.7109375" style="5" bestFit="1" customWidth="1"/>
    <col min="1797" max="2048" width="8.85546875" style="5"/>
    <col min="2049" max="2049" width="35" style="5" customWidth="1"/>
    <col min="2050" max="2050" width="10.42578125" style="5" customWidth="1"/>
    <col min="2051" max="2051" width="10.28515625" style="5" customWidth="1"/>
    <col min="2052" max="2052" width="10.7109375" style="5" bestFit="1" customWidth="1"/>
    <col min="2053" max="2304" width="8.85546875" style="5"/>
    <col min="2305" max="2305" width="35" style="5" customWidth="1"/>
    <col min="2306" max="2306" width="10.42578125" style="5" customWidth="1"/>
    <col min="2307" max="2307" width="10.28515625" style="5" customWidth="1"/>
    <col min="2308" max="2308" width="10.7109375" style="5" bestFit="1" customWidth="1"/>
    <col min="2309" max="2560" width="8.85546875" style="5"/>
    <col min="2561" max="2561" width="35" style="5" customWidth="1"/>
    <col min="2562" max="2562" width="10.42578125" style="5" customWidth="1"/>
    <col min="2563" max="2563" width="10.28515625" style="5" customWidth="1"/>
    <col min="2564" max="2564" width="10.7109375" style="5" bestFit="1" customWidth="1"/>
    <col min="2565" max="2816" width="8.85546875" style="5"/>
    <col min="2817" max="2817" width="35" style="5" customWidth="1"/>
    <col min="2818" max="2818" width="10.42578125" style="5" customWidth="1"/>
    <col min="2819" max="2819" width="10.28515625" style="5" customWidth="1"/>
    <col min="2820" max="2820" width="10.7109375" style="5" bestFit="1" customWidth="1"/>
    <col min="2821" max="3072" width="8.85546875" style="5"/>
    <col min="3073" max="3073" width="35" style="5" customWidth="1"/>
    <col min="3074" max="3074" width="10.42578125" style="5" customWidth="1"/>
    <col min="3075" max="3075" width="10.28515625" style="5" customWidth="1"/>
    <col min="3076" max="3076" width="10.7109375" style="5" bestFit="1" customWidth="1"/>
    <col min="3077" max="3328" width="8.85546875" style="5"/>
    <col min="3329" max="3329" width="35" style="5" customWidth="1"/>
    <col min="3330" max="3330" width="10.42578125" style="5" customWidth="1"/>
    <col min="3331" max="3331" width="10.28515625" style="5" customWidth="1"/>
    <col min="3332" max="3332" width="10.7109375" style="5" bestFit="1" customWidth="1"/>
    <col min="3333" max="3584" width="8.85546875" style="5"/>
    <col min="3585" max="3585" width="35" style="5" customWidth="1"/>
    <col min="3586" max="3586" width="10.42578125" style="5" customWidth="1"/>
    <col min="3587" max="3587" width="10.28515625" style="5" customWidth="1"/>
    <col min="3588" max="3588" width="10.7109375" style="5" bestFit="1" customWidth="1"/>
    <col min="3589" max="3840" width="8.85546875" style="5"/>
    <col min="3841" max="3841" width="35" style="5" customWidth="1"/>
    <col min="3842" max="3842" width="10.42578125" style="5" customWidth="1"/>
    <col min="3843" max="3843" width="10.28515625" style="5" customWidth="1"/>
    <col min="3844" max="3844" width="10.7109375" style="5" bestFit="1" customWidth="1"/>
    <col min="3845" max="4096" width="8.85546875" style="5"/>
    <col min="4097" max="4097" width="35" style="5" customWidth="1"/>
    <col min="4098" max="4098" width="10.42578125" style="5" customWidth="1"/>
    <col min="4099" max="4099" width="10.28515625" style="5" customWidth="1"/>
    <col min="4100" max="4100" width="10.7109375" style="5" bestFit="1" customWidth="1"/>
    <col min="4101" max="4352" width="8.85546875" style="5"/>
    <col min="4353" max="4353" width="35" style="5" customWidth="1"/>
    <col min="4354" max="4354" width="10.42578125" style="5" customWidth="1"/>
    <col min="4355" max="4355" width="10.28515625" style="5" customWidth="1"/>
    <col min="4356" max="4356" width="10.7109375" style="5" bestFit="1" customWidth="1"/>
    <col min="4357" max="4608" width="8.85546875" style="5"/>
    <col min="4609" max="4609" width="35" style="5" customWidth="1"/>
    <col min="4610" max="4610" width="10.42578125" style="5" customWidth="1"/>
    <col min="4611" max="4611" width="10.28515625" style="5" customWidth="1"/>
    <col min="4612" max="4612" width="10.7109375" style="5" bestFit="1" customWidth="1"/>
    <col min="4613" max="4864" width="8.85546875" style="5"/>
    <col min="4865" max="4865" width="35" style="5" customWidth="1"/>
    <col min="4866" max="4866" width="10.42578125" style="5" customWidth="1"/>
    <col min="4867" max="4867" width="10.28515625" style="5" customWidth="1"/>
    <col min="4868" max="4868" width="10.7109375" style="5" bestFit="1" customWidth="1"/>
    <col min="4869" max="5120" width="8.85546875" style="5"/>
    <col min="5121" max="5121" width="35" style="5" customWidth="1"/>
    <col min="5122" max="5122" width="10.42578125" style="5" customWidth="1"/>
    <col min="5123" max="5123" width="10.28515625" style="5" customWidth="1"/>
    <col min="5124" max="5124" width="10.7109375" style="5" bestFit="1" customWidth="1"/>
    <col min="5125" max="5376" width="8.85546875" style="5"/>
    <col min="5377" max="5377" width="35" style="5" customWidth="1"/>
    <col min="5378" max="5378" width="10.42578125" style="5" customWidth="1"/>
    <col min="5379" max="5379" width="10.28515625" style="5" customWidth="1"/>
    <col min="5380" max="5380" width="10.7109375" style="5" bestFit="1" customWidth="1"/>
    <col min="5381" max="5632" width="8.85546875" style="5"/>
    <col min="5633" max="5633" width="35" style="5" customWidth="1"/>
    <col min="5634" max="5634" width="10.42578125" style="5" customWidth="1"/>
    <col min="5635" max="5635" width="10.28515625" style="5" customWidth="1"/>
    <col min="5636" max="5636" width="10.7109375" style="5" bestFit="1" customWidth="1"/>
    <col min="5637" max="5888" width="8.85546875" style="5"/>
    <col min="5889" max="5889" width="35" style="5" customWidth="1"/>
    <col min="5890" max="5890" width="10.42578125" style="5" customWidth="1"/>
    <col min="5891" max="5891" width="10.28515625" style="5" customWidth="1"/>
    <col min="5892" max="5892" width="10.7109375" style="5" bestFit="1" customWidth="1"/>
    <col min="5893" max="6144" width="8.85546875" style="5"/>
    <col min="6145" max="6145" width="35" style="5" customWidth="1"/>
    <col min="6146" max="6146" width="10.42578125" style="5" customWidth="1"/>
    <col min="6147" max="6147" width="10.28515625" style="5" customWidth="1"/>
    <col min="6148" max="6148" width="10.7109375" style="5" bestFit="1" customWidth="1"/>
    <col min="6149" max="6400" width="8.85546875" style="5"/>
    <col min="6401" max="6401" width="35" style="5" customWidth="1"/>
    <col min="6402" max="6402" width="10.42578125" style="5" customWidth="1"/>
    <col min="6403" max="6403" width="10.28515625" style="5" customWidth="1"/>
    <col min="6404" max="6404" width="10.7109375" style="5" bestFit="1" customWidth="1"/>
    <col min="6405" max="6656" width="8.85546875" style="5"/>
    <col min="6657" max="6657" width="35" style="5" customWidth="1"/>
    <col min="6658" max="6658" width="10.42578125" style="5" customWidth="1"/>
    <col min="6659" max="6659" width="10.28515625" style="5" customWidth="1"/>
    <col min="6660" max="6660" width="10.7109375" style="5" bestFit="1" customWidth="1"/>
    <col min="6661" max="6912" width="8.85546875" style="5"/>
    <col min="6913" max="6913" width="35" style="5" customWidth="1"/>
    <col min="6914" max="6914" width="10.42578125" style="5" customWidth="1"/>
    <col min="6915" max="6915" width="10.28515625" style="5" customWidth="1"/>
    <col min="6916" max="6916" width="10.7109375" style="5" bestFit="1" customWidth="1"/>
    <col min="6917" max="7168" width="8.85546875" style="5"/>
    <col min="7169" max="7169" width="35" style="5" customWidth="1"/>
    <col min="7170" max="7170" width="10.42578125" style="5" customWidth="1"/>
    <col min="7171" max="7171" width="10.28515625" style="5" customWidth="1"/>
    <col min="7172" max="7172" width="10.7109375" style="5" bestFit="1" customWidth="1"/>
    <col min="7173" max="7424" width="8.85546875" style="5"/>
    <col min="7425" max="7425" width="35" style="5" customWidth="1"/>
    <col min="7426" max="7426" width="10.42578125" style="5" customWidth="1"/>
    <col min="7427" max="7427" width="10.28515625" style="5" customWidth="1"/>
    <col min="7428" max="7428" width="10.7109375" style="5" bestFit="1" customWidth="1"/>
    <col min="7429" max="7680" width="8.85546875" style="5"/>
    <col min="7681" max="7681" width="35" style="5" customWidth="1"/>
    <col min="7682" max="7682" width="10.42578125" style="5" customWidth="1"/>
    <col min="7683" max="7683" width="10.28515625" style="5" customWidth="1"/>
    <col min="7684" max="7684" width="10.7109375" style="5" bestFit="1" customWidth="1"/>
    <col min="7685" max="7936" width="8.85546875" style="5"/>
    <col min="7937" max="7937" width="35" style="5" customWidth="1"/>
    <col min="7938" max="7938" width="10.42578125" style="5" customWidth="1"/>
    <col min="7939" max="7939" width="10.28515625" style="5" customWidth="1"/>
    <col min="7940" max="7940" width="10.7109375" style="5" bestFit="1" customWidth="1"/>
    <col min="7941" max="8192" width="8.85546875" style="5"/>
    <col min="8193" max="8193" width="35" style="5" customWidth="1"/>
    <col min="8194" max="8194" width="10.42578125" style="5" customWidth="1"/>
    <col min="8195" max="8195" width="10.28515625" style="5" customWidth="1"/>
    <col min="8196" max="8196" width="10.7109375" style="5" bestFit="1" customWidth="1"/>
    <col min="8197" max="8448" width="8.85546875" style="5"/>
    <col min="8449" max="8449" width="35" style="5" customWidth="1"/>
    <col min="8450" max="8450" width="10.42578125" style="5" customWidth="1"/>
    <col min="8451" max="8451" width="10.28515625" style="5" customWidth="1"/>
    <col min="8452" max="8452" width="10.7109375" style="5" bestFit="1" customWidth="1"/>
    <col min="8453" max="8704" width="8.85546875" style="5"/>
    <col min="8705" max="8705" width="35" style="5" customWidth="1"/>
    <col min="8706" max="8706" width="10.42578125" style="5" customWidth="1"/>
    <col min="8707" max="8707" width="10.28515625" style="5" customWidth="1"/>
    <col min="8708" max="8708" width="10.7109375" style="5" bestFit="1" customWidth="1"/>
    <col min="8709" max="8960" width="8.85546875" style="5"/>
    <col min="8961" max="8961" width="35" style="5" customWidth="1"/>
    <col min="8962" max="8962" width="10.42578125" style="5" customWidth="1"/>
    <col min="8963" max="8963" width="10.28515625" style="5" customWidth="1"/>
    <col min="8964" max="8964" width="10.7109375" style="5" bestFit="1" customWidth="1"/>
    <col min="8965" max="9216" width="8.85546875" style="5"/>
    <col min="9217" max="9217" width="35" style="5" customWidth="1"/>
    <col min="9218" max="9218" width="10.42578125" style="5" customWidth="1"/>
    <col min="9219" max="9219" width="10.28515625" style="5" customWidth="1"/>
    <col min="9220" max="9220" width="10.7109375" style="5" bestFit="1" customWidth="1"/>
    <col min="9221" max="9472" width="8.85546875" style="5"/>
    <col min="9473" max="9473" width="35" style="5" customWidth="1"/>
    <col min="9474" max="9474" width="10.42578125" style="5" customWidth="1"/>
    <col min="9475" max="9475" width="10.28515625" style="5" customWidth="1"/>
    <col min="9476" max="9476" width="10.7109375" style="5" bestFit="1" customWidth="1"/>
    <col min="9477" max="9728" width="8.85546875" style="5"/>
    <col min="9729" max="9729" width="35" style="5" customWidth="1"/>
    <col min="9730" max="9730" width="10.42578125" style="5" customWidth="1"/>
    <col min="9731" max="9731" width="10.28515625" style="5" customWidth="1"/>
    <col min="9732" max="9732" width="10.7109375" style="5" bestFit="1" customWidth="1"/>
    <col min="9733" max="9984" width="8.85546875" style="5"/>
    <col min="9985" max="9985" width="35" style="5" customWidth="1"/>
    <col min="9986" max="9986" width="10.42578125" style="5" customWidth="1"/>
    <col min="9987" max="9987" width="10.28515625" style="5" customWidth="1"/>
    <col min="9988" max="9988" width="10.7109375" style="5" bestFit="1" customWidth="1"/>
    <col min="9989" max="10240" width="8.85546875" style="5"/>
    <col min="10241" max="10241" width="35" style="5" customWidth="1"/>
    <col min="10242" max="10242" width="10.42578125" style="5" customWidth="1"/>
    <col min="10243" max="10243" width="10.28515625" style="5" customWidth="1"/>
    <col min="10244" max="10244" width="10.7109375" style="5" bestFit="1" customWidth="1"/>
    <col min="10245" max="10496" width="8.85546875" style="5"/>
    <col min="10497" max="10497" width="35" style="5" customWidth="1"/>
    <col min="10498" max="10498" width="10.42578125" style="5" customWidth="1"/>
    <col min="10499" max="10499" width="10.28515625" style="5" customWidth="1"/>
    <col min="10500" max="10500" width="10.7109375" style="5" bestFit="1" customWidth="1"/>
    <col min="10501" max="10752" width="8.85546875" style="5"/>
    <col min="10753" max="10753" width="35" style="5" customWidth="1"/>
    <col min="10754" max="10754" width="10.42578125" style="5" customWidth="1"/>
    <col min="10755" max="10755" width="10.28515625" style="5" customWidth="1"/>
    <col min="10756" max="10756" width="10.7109375" style="5" bestFit="1" customWidth="1"/>
    <col min="10757" max="11008" width="8.85546875" style="5"/>
    <col min="11009" max="11009" width="35" style="5" customWidth="1"/>
    <col min="11010" max="11010" width="10.42578125" style="5" customWidth="1"/>
    <col min="11011" max="11011" width="10.28515625" style="5" customWidth="1"/>
    <col min="11012" max="11012" width="10.7109375" style="5" bestFit="1" customWidth="1"/>
    <col min="11013" max="11264" width="8.85546875" style="5"/>
    <col min="11265" max="11265" width="35" style="5" customWidth="1"/>
    <col min="11266" max="11266" width="10.42578125" style="5" customWidth="1"/>
    <col min="11267" max="11267" width="10.28515625" style="5" customWidth="1"/>
    <col min="11268" max="11268" width="10.7109375" style="5" bestFit="1" customWidth="1"/>
    <col min="11269" max="11520" width="8.85546875" style="5"/>
    <col min="11521" max="11521" width="35" style="5" customWidth="1"/>
    <col min="11522" max="11522" width="10.42578125" style="5" customWidth="1"/>
    <col min="11523" max="11523" width="10.28515625" style="5" customWidth="1"/>
    <col min="11524" max="11524" width="10.7109375" style="5" bestFit="1" customWidth="1"/>
    <col min="11525" max="11776" width="8.85546875" style="5"/>
    <col min="11777" max="11777" width="35" style="5" customWidth="1"/>
    <col min="11778" max="11778" width="10.42578125" style="5" customWidth="1"/>
    <col min="11779" max="11779" width="10.28515625" style="5" customWidth="1"/>
    <col min="11780" max="11780" width="10.7109375" style="5" bestFit="1" customWidth="1"/>
    <col min="11781" max="12032" width="8.85546875" style="5"/>
    <col min="12033" max="12033" width="35" style="5" customWidth="1"/>
    <col min="12034" max="12034" width="10.42578125" style="5" customWidth="1"/>
    <col min="12035" max="12035" width="10.28515625" style="5" customWidth="1"/>
    <col min="12036" max="12036" width="10.7109375" style="5" bestFit="1" customWidth="1"/>
    <col min="12037" max="12288" width="8.85546875" style="5"/>
    <col min="12289" max="12289" width="35" style="5" customWidth="1"/>
    <col min="12290" max="12290" width="10.42578125" style="5" customWidth="1"/>
    <col min="12291" max="12291" width="10.28515625" style="5" customWidth="1"/>
    <col min="12292" max="12292" width="10.7109375" style="5" bestFit="1" customWidth="1"/>
    <col min="12293" max="12544" width="8.85546875" style="5"/>
    <col min="12545" max="12545" width="35" style="5" customWidth="1"/>
    <col min="12546" max="12546" width="10.42578125" style="5" customWidth="1"/>
    <col min="12547" max="12547" width="10.28515625" style="5" customWidth="1"/>
    <col min="12548" max="12548" width="10.7109375" style="5" bestFit="1" customWidth="1"/>
    <col min="12549" max="12800" width="8.85546875" style="5"/>
    <col min="12801" max="12801" width="35" style="5" customWidth="1"/>
    <col min="12802" max="12802" width="10.42578125" style="5" customWidth="1"/>
    <col min="12803" max="12803" width="10.28515625" style="5" customWidth="1"/>
    <col min="12804" max="12804" width="10.7109375" style="5" bestFit="1" customWidth="1"/>
    <col min="12805" max="13056" width="8.85546875" style="5"/>
    <col min="13057" max="13057" width="35" style="5" customWidth="1"/>
    <col min="13058" max="13058" width="10.42578125" style="5" customWidth="1"/>
    <col min="13059" max="13059" width="10.28515625" style="5" customWidth="1"/>
    <col min="13060" max="13060" width="10.7109375" style="5" bestFit="1" customWidth="1"/>
    <col min="13061" max="13312" width="8.85546875" style="5"/>
    <col min="13313" max="13313" width="35" style="5" customWidth="1"/>
    <col min="13314" max="13314" width="10.42578125" style="5" customWidth="1"/>
    <col min="13315" max="13315" width="10.28515625" style="5" customWidth="1"/>
    <col min="13316" max="13316" width="10.7109375" style="5" bestFit="1" customWidth="1"/>
    <col min="13317" max="13568" width="8.85546875" style="5"/>
    <col min="13569" max="13569" width="35" style="5" customWidth="1"/>
    <col min="13570" max="13570" width="10.42578125" style="5" customWidth="1"/>
    <col min="13571" max="13571" width="10.28515625" style="5" customWidth="1"/>
    <col min="13572" max="13572" width="10.7109375" style="5" bestFit="1" customWidth="1"/>
    <col min="13573" max="13824" width="8.85546875" style="5"/>
    <col min="13825" max="13825" width="35" style="5" customWidth="1"/>
    <col min="13826" max="13826" width="10.42578125" style="5" customWidth="1"/>
    <col min="13827" max="13827" width="10.28515625" style="5" customWidth="1"/>
    <col min="13828" max="13828" width="10.7109375" style="5" bestFit="1" customWidth="1"/>
    <col min="13829" max="14080" width="8.85546875" style="5"/>
    <col min="14081" max="14081" width="35" style="5" customWidth="1"/>
    <col min="14082" max="14082" width="10.42578125" style="5" customWidth="1"/>
    <col min="14083" max="14083" width="10.28515625" style="5" customWidth="1"/>
    <col min="14084" max="14084" width="10.7109375" style="5" bestFit="1" customWidth="1"/>
    <col min="14085" max="14336" width="8.85546875" style="5"/>
    <col min="14337" max="14337" width="35" style="5" customWidth="1"/>
    <col min="14338" max="14338" width="10.42578125" style="5" customWidth="1"/>
    <col min="14339" max="14339" width="10.28515625" style="5" customWidth="1"/>
    <col min="14340" max="14340" width="10.7109375" style="5" bestFit="1" customWidth="1"/>
    <col min="14341" max="14592" width="8.85546875" style="5"/>
    <col min="14593" max="14593" width="35" style="5" customWidth="1"/>
    <col min="14594" max="14594" width="10.42578125" style="5" customWidth="1"/>
    <col min="14595" max="14595" width="10.28515625" style="5" customWidth="1"/>
    <col min="14596" max="14596" width="10.7109375" style="5" bestFit="1" customWidth="1"/>
    <col min="14597" max="14848" width="8.85546875" style="5"/>
    <col min="14849" max="14849" width="35" style="5" customWidth="1"/>
    <col min="14850" max="14850" width="10.42578125" style="5" customWidth="1"/>
    <col min="14851" max="14851" width="10.28515625" style="5" customWidth="1"/>
    <col min="14852" max="14852" width="10.7109375" style="5" bestFit="1" customWidth="1"/>
    <col min="14853" max="15104" width="8.85546875" style="5"/>
    <col min="15105" max="15105" width="35" style="5" customWidth="1"/>
    <col min="15106" max="15106" width="10.42578125" style="5" customWidth="1"/>
    <col min="15107" max="15107" width="10.28515625" style="5" customWidth="1"/>
    <col min="15108" max="15108" width="10.7109375" style="5" bestFit="1" customWidth="1"/>
    <col min="15109" max="15360" width="8.85546875" style="5"/>
    <col min="15361" max="15361" width="35" style="5" customWidth="1"/>
    <col min="15362" max="15362" width="10.42578125" style="5" customWidth="1"/>
    <col min="15363" max="15363" width="10.28515625" style="5" customWidth="1"/>
    <col min="15364" max="15364" width="10.7109375" style="5" bestFit="1" customWidth="1"/>
    <col min="15365" max="15616" width="8.85546875" style="5"/>
    <col min="15617" max="15617" width="35" style="5" customWidth="1"/>
    <col min="15618" max="15618" width="10.42578125" style="5" customWidth="1"/>
    <col min="15619" max="15619" width="10.28515625" style="5" customWidth="1"/>
    <col min="15620" max="15620" width="10.7109375" style="5" bestFit="1" customWidth="1"/>
    <col min="15621" max="15872" width="8.85546875" style="5"/>
    <col min="15873" max="15873" width="35" style="5" customWidth="1"/>
    <col min="15874" max="15874" width="10.42578125" style="5" customWidth="1"/>
    <col min="15875" max="15875" width="10.28515625" style="5" customWidth="1"/>
    <col min="15876" max="15876" width="10.7109375" style="5" bestFit="1" customWidth="1"/>
    <col min="15877" max="16128" width="8.85546875" style="5"/>
    <col min="16129" max="16129" width="35" style="5" customWidth="1"/>
    <col min="16130" max="16130" width="10.42578125" style="5" customWidth="1"/>
    <col min="16131" max="16131" width="10.28515625" style="5" customWidth="1"/>
    <col min="16132" max="16132" width="10.7109375" style="5" bestFit="1" customWidth="1"/>
    <col min="16133" max="16384" width="8.85546875" style="5"/>
  </cols>
  <sheetData>
    <row r="1" spans="1:12" s="1" customFormat="1" ht="18.75">
      <c r="A1" s="1" t="s">
        <v>0</v>
      </c>
    </row>
    <row r="2" spans="1:12" s="2" customFormat="1" ht="18.75">
      <c r="A2" s="1" t="s">
        <v>99</v>
      </c>
      <c r="B2" s="1"/>
      <c r="C2" s="1"/>
    </row>
    <row r="3" spans="1:12" s="2" customFormat="1" ht="19.5">
      <c r="A3" s="151" t="s">
        <v>1</v>
      </c>
      <c r="B3" s="1"/>
      <c r="C3" s="1"/>
    </row>
    <row r="4" spans="1:12" s="2" customFormat="1" ht="13.5">
      <c r="A4" s="3"/>
    </row>
    <row r="5" spans="1:12" ht="18.75" customHeight="1">
      <c r="A5" s="4" t="s">
        <v>2</v>
      </c>
      <c r="C5" s="6">
        <f>+'Summary of Incentive'!O57</f>
        <v>501799.73605498346</v>
      </c>
      <c r="D5" s="257">
        <f>SUM(C5:C5)</f>
        <v>501799.73605498346</v>
      </c>
    </row>
    <row r="7" spans="1:12">
      <c r="A7" s="7" t="s">
        <v>3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</row>
    <row r="8" spans="1:12" ht="13.5" thickBot="1">
      <c r="A8" s="249">
        <v>0.72382999999999997</v>
      </c>
      <c r="B8" s="160" t="s">
        <v>4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</row>
    <row r="9" spans="1:12" ht="13.5" thickBot="1">
      <c r="A9" s="4">
        <v>0.67022899999999996</v>
      </c>
      <c r="B9" s="5" t="s">
        <v>5</v>
      </c>
      <c r="C9" s="8">
        <f>ROUND((C5)*$A$8*$A$9,0)</f>
        <v>243439</v>
      </c>
      <c r="D9" s="258">
        <f>SUM(C9:C9)</f>
        <v>243439</v>
      </c>
    </row>
    <row r="10" spans="1:12" ht="6.75" customHeight="1" thickTop="1">
      <c r="C10" s="10"/>
      <c r="D10" s="259"/>
    </row>
    <row r="11" spans="1:12">
      <c r="A11" s="7" t="s">
        <v>6</v>
      </c>
      <c r="C11" s="10"/>
      <c r="D11" s="259"/>
    </row>
    <row r="12" spans="1:12">
      <c r="A12" s="4">
        <v>0.19477</v>
      </c>
      <c r="B12" s="5" t="s">
        <v>4</v>
      </c>
      <c r="C12" s="10"/>
      <c r="D12" s="259"/>
    </row>
    <row r="13" spans="1:12" ht="13.5" thickBot="1">
      <c r="A13" s="4">
        <v>0.67586999999999997</v>
      </c>
      <c r="B13" s="194" t="s">
        <v>5</v>
      </c>
      <c r="C13" s="196">
        <f>ROUND((C5)*$A$12*$A$13,0)</f>
        <v>66057</v>
      </c>
      <c r="D13" s="260">
        <f>SUM(C13:C13)</f>
        <v>66057</v>
      </c>
      <c r="E13" s="194"/>
      <c r="F13" s="194"/>
      <c r="G13" s="194"/>
      <c r="H13" s="194"/>
      <c r="I13" s="194"/>
      <c r="J13" s="194"/>
      <c r="K13" s="194"/>
      <c r="L13" s="194"/>
    </row>
    <row r="14" spans="1:12" ht="13.5" thickTop="1">
      <c r="B14" s="194"/>
      <c r="C14" s="197"/>
      <c r="D14" s="194"/>
      <c r="E14" s="194"/>
      <c r="F14" s="194"/>
      <c r="G14" s="194"/>
      <c r="H14" s="194"/>
      <c r="I14" s="194"/>
      <c r="J14" s="194"/>
      <c r="K14" s="194"/>
      <c r="L14" s="194"/>
    </row>
    <row r="15" spans="1:12">
      <c r="A15" s="7" t="s">
        <v>7</v>
      </c>
      <c r="B15" s="194"/>
      <c r="C15" s="197"/>
      <c r="D15" s="194"/>
      <c r="E15" s="194"/>
      <c r="F15" s="194"/>
      <c r="G15" s="194"/>
      <c r="H15" s="194"/>
      <c r="I15" s="194"/>
      <c r="J15" s="194"/>
      <c r="K15" s="194"/>
      <c r="L15" s="194"/>
    </row>
    <row r="16" spans="1:12">
      <c r="A16" s="4">
        <f>A8</f>
        <v>0.72382999999999997</v>
      </c>
      <c r="B16" s="194" t="s">
        <v>4</v>
      </c>
      <c r="C16" s="197"/>
      <c r="D16" s="194"/>
      <c r="E16" s="194"/>
      <c r="F16" s="194"/>
      <c r="G16" s="194"/>
      <c r="H16" s="194"/>
      <c r="I16" s="194"/>
      <c r="J16" s="194"/>
      <c r="K16" s="194"/>
      <c r="L16" s="194"/>
    </row>
    <row r="17" spans="1:12" ht="13.5" thickBot="1">
      <c r="A17" s="4">
        <v>0.32971</v>
      </c>
      <c r="B17" s="194" t="s">
        <v>5</v>
      </c>
      <c r="C17" s="196">
        <f>ROUND((C5)*$A$16*$A$17,0)</f>
        <v>119757</v>
      </c>
      <c r="D17" s="198">
        <f>SUM(C17:C17)</f>
        <v>119757</v>
      </c>
      <c r="E17" s="194"/>
      <c r="F17" s="194"/>
      <c r="G17" s="194"/>
      <c r="H17" s="194"/>
      <c r="I17" s="194"/>
      <c r="J17" s="194"/>
      <c r="K17" s="194"/>
      <c r="L17" s="194"/>
    </row>
    <row r="18" spans="1:12" ht="6.75" customHeight="1" thickTop="1">
      <c r="B18" s="194"/>
      <c r="C18" s="197"/>
      <c r="D18" s="194"/>
      <c r="E18" s="194"/>
      <c r="F18" s="194"/>
      <c r="G18" s="194"/>
      <c r="H18" s="194"/>
      <c r="I18" s="194"/>
      <c r="J18" s="194"/>
      <c r="K18" s="194"/>
      <c r="L18" s="194"/>
    </row>
    <row r="19" spans="1:12">
      <c r="A19" s="7" t="s">
        <v>8</v>
      </c>
      <c r="B19" s="194"/>
      <c r="C19" s="197"/>
      <c r="D19" s="194"/>
      <c r="E19" s="194"/>
      <c r="F19" s="194"/>
      <c r="G19" s="194"/>
      <c r="H19" s="194"/>
      <c r="I19" s="194"/>
      <c r="J19" s="194"/>
      <c r="K19" s="194"/>
      <c r="L19" s="194"/>
    </row>
    <row r="20" spans="1:12">
      <c r="A20" s="4">
        <f>A12</f>
        <v>0.19477</v>
      </c>
      <c r="B20" s="5" t="s">
        <v>4</v>
      </c>
      <c r="C20" s="10"/>
      <c r="D20" s="11"/>
    </row>
    <row r="21" spans="1:12" ht="13.5" thickBot="1">
      <c r="A21" s="4">
        <v>0.32586999999999999</v>
      </c>
      <c r="B21" s="5" t="s">
        <v>5</v>
      </c>
      <c r="C21" s="8">
        <f>ROUND((C5)*$A$20*$A$21,0)</f>
        <v>31849</v>
      </c>
      <c r="D21" s="9">
        <f>SUM(C21:C21)</f>
        <v>31849</v>
      </c>
    </row>
    <row r="22" spans="1:12" ht="14.25" thickTop="1" thickBot="1">
      <c r="A22" s="252"/>
      <c r="B22" s="160"/>
      <c r="C22" s="232"/>
      <c r="D22" s="233"/>
      <c r="E22" s="160"/>
      <c r="F22" s="160"/>
      <c r="G22" s="160"/>
      <c r="H22" s="160"/>
      <c r="I22" s="160"/>
      <c r="J22" s="160"/>
      <c r="K22" s="160"/>
      <c r="L22" s="160"/>
    </row>
    <row r="23" spans="1:12" s="14" customFormat="1">
      <c r="A23" s="13" t="s">
        <v>9</v>
      </c>
      <c r="C23" s="12"/>
      <c r="D23" s="11"/>
    </row>
    <row r="24" spans="1:12" s="14" customFormat="1" ht="13.5" thickBot="1">
      <c r="A24" s="15">
        <v>8.4099999999999994E-2</v>
      </c>
      <c r="B24" s="14" t="s">
        <v>4</v>
      </c>
      <c r="C24" s="8">
        <f>ROUND((C5)*$A$24,0)</f>
        <v>42201</v>
      </c>
      <c r="D24" s="9">
        <f>SUM(C24:C24)</f>
        <v>42201</v>
      </c>
    </row>
    <row r="25" spans="1:12" s="14" customFormat="1" ht="13.5" thickTop="1">
      <c r="A25" s="16"/>
    </row>
    <row r="26" spans="1:12" s="14" customFormat="1">
      <c r="A26" s="16"/>
      <c r="C26" s="17">
        <f>C9+C13+C17+C21+C24-C5</f>
        <v>1503.2639450165443</v>
      </c>
    </row>
    <row r="27" spans="1:12"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</row>
    <row r="28" spans="1:12"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</row>
    <row r="29" spans="1:12"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</row>
    <row r="30" spans="1:12">
      <c r="A30" s="18">
        <f>SUM(A8,A12,A24)</f>
        <v>1.0026999999999999</v>
      </c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</row>
    <row r="31" spans="1:12">
      <c r="A31" s="18">
        <f>SUM(A9,A17)</f>
        <v>0.99993899999999991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</row>
    <row r="32" spans="1:12">
      <c r="A32" s="18">
        <f>SUM(A13,A21)</f>
        <v>1.0017399999999999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</row>
    <row r="33" spans="2:15"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</row>
    <row r="36" spans="2:15" ht="63.75"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255" t="s">
        <v>105</v>
      </c>
      <c r="O36" s="160"/>
    </row>
    <row r="41" spans="2:15"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5"/>
      <c r="M41" s="194"/>
      <c r="N41" s="194"/>
      <c r="O41" s="194"/>
    </row>
    <row r="42" spans="2:15"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5"/>
      <c r="M42" s="194"/>
      <c r="N42" s="194"/>
      <c r="O42" s="194"/>
    </row>
    <row r="43" spans="2:15"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5"/>
      <c r="M43" s="194"/>
      <c r="N43" s="194"/>
      <c r="O43" s="194"/>
    </row>
    <row r="44" spans="2:15"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5"/>
      <c r="M44" s="194"/>
      <c r="N44" s="194"/>
      <c r="O44" s="194"/>
    </row>
    <row r="45" spans="2:15"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5"/>
      <c r="M45" s="194"/>
      <c r="N45" s="194"/>
      <c r="O45" s="194"/>
    </row>
    <row r="46" spans="2:15"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5"/>
      <c r="M46" s="194"/>
      <c r="N46" s="194"/>
      <c r="O46" s="194"/>
    </row>
    <row r="47" spans="2:15"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5"/>
      <c r="M47" s="194"/>
      <c r="N47" s="194"/>
      <c r="O47" s="194"/>
    </row>
    <row r="48" spans="2:15"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5"/>
      <c r="M48" s="194"/>
      <c r="N48" s="194"/>
      <c r="O48" s="194"/>
    </row>
    <row r="49" spans="2:15"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5"/>
      <c r="M49" s="194"/>
      <c r="N49" s="194"/>
      <c r="O49" s="195"/>
    </row>
    <row r="50" spans="2:15"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5"/>
      <c r="M50" s="194"/>
      <c r="N50" s="194"/>
      <c r="O50" s="194"/>
    </row>
    <row r="53" spans="2:15">
      <c r="O53" s="194"/>
    </row>
    <row r="54" spans="2:15">
      <c r="O54" s="194"/>
    </row>
    <row r="55" spans="2:15">
      <c r="O55" s="194"/>
    </row>
    <row r="56" spans="2:15">
      <c r="O56" s="194"/>
    </row>
    <row r="57" spans="2:15">
      <c r="O57" s="195"/>
    </row>
  </sheetData>
  <pageMargins left="1.25" right="0.51" top="0.4" bottom="0.5" header="0.27" footer="0.5"/>
  <pageSetup fitToWidth="0" orientation="portrait" r:id="rId1"/>
  <headerFooter scaleWithDoc="0" alignWithMargins="0">
    <oddHeader>&amp;RExhibit No. ___ (JH-4)
Dockets UE-120436 &amp;&amp; UG-120437
Page 3 of &amp; 4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tabSelected="1" topLeftCell="A22" zoomScale="75" zoomScaleNormal="75" workbookViewId="0">
      <selection activeCell="N33" sqref="N33"/>
    </sheetView>
  </sheetViews>
  <sheetFormatPr defaultColWidth="8.85546875" defaultRowHeight="15.75"/>
  <cols>
    <col min="1" max="1" width="10.140625" style="19" bestFit="1" customWidth="1"/>
    <col min="2" max="3" width="14" style="19" customWidth="1"/>
    <col min="4" max="4" width="15.28515625" style="19" customWidth="1"/>
    <col min="5" max="5" width="17.140625" style="19" customWidth="1"/>
    <col min="6" max="6" width="1.140625" style="19" customWidth="1"/>
    <col min="7" max="7" width="2.85546875" style="19" hidden="1" customWidth="1"/>
    <col min="8" max="8" width="18.85546875" style="19" customWidth="1"/>
    <col min="9" max="9" width="1.28515625" style="19" customWidth="1"/>
    <col min="10" max="10" width="20.5703125" style="19" customWidth="1"/>
    <col min="11" max="11" width="1" style="19" customWidth="1"/>
    <col min="12" max="12" width="15.7109375" style="19" bestFit="1" customWidth="1"/>
    <col min="13" max="13" width="10.140625" style="19" hidden="1" customWidth="1"/>
    <col min="14" max="14" width="22.28515625" style="19" customWidth="1"/>
    <col min="15" max="15" width="15.140625" style="19" bestFit="1" customWidth="1"/>
    <col min="16" max="16" width="12.7109375" style="19" bestFit="1" customWidth="1"/>
    <col min="17" max="17" width="14.42578125" style="19" bestFit="1" customWidth="1"/>
    <col min="18" max="18" width="11.7109375" style="19" bestFit="1" customWidth="1"/>
    <col min="19" max="16384" width="8.85546875" style="19"/>
  </cols>
  <sheetData>
    <row r="1" spans="1:18" ht="18.75">
      <c r="A1" s="1" t="s">
        <v>0</v>
      </c>
      <c r="B1" s="150"/>
      <c r="C1" s="150"/>
    </row>
    <row r="2" spans="1:18" ht="18.75">
      <c r="A2" s="1" t="s">
        <v>99</v>
      </c>
      <c r="B2" s="150"/>
      <c r="C2" s="150"/>
    </row>
    <row r="3" spans="1:18" ht="19.5">
      <c r="A3" s="151" t="s">
        <v>1</v>
      </c>
      <c r="B3" s="150"/>
      <c r="C3" s="150"/>
    </row>
    <row r="6" spans="1:18" ht="16.5" thickBot="1">
      <c r="A6" s="31"/>
      <c r="B6" s="20" t="s">
        <v>10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8" ht="31.5">
      <c r="A7" s="32"/>
      <c r="B7" s="219" t="s">
        <v>11</v>
      </c>
      <c r="C7" s="219"/>
      <c r="D7" s="219"/>
      <c r="E7" s="219"/>
      <c r="F7" s="220"/>
      <c r="G7" s="220"/>
      <c r="H7" s="221" t="s">
        <v>12</v>
      </c>
      <c r="I7" s="220"/>
      <c r="J7" s="222" t="s">
        <v>13</v>
      </c>
      <c r="K7" s="220"/>
      <c r="L7" s="223" t="s">
        <v>14</v>
      </c>
      <c r="M7" s="21"/>
    </row>
    <row r="8" spans="1:18" ht="16.5" thickBot="1">
      <c r="A8" s="34"/>
      <c r="B8" s="224" t="s">
        <v>23</v>
      </c>
      <c r="C8" s="224" t="s">
        <v>24</v>
      </c>
      <c r="D8" s="225" t="s">
        <v>26</v>
      </c>
      <c r="E8" s="224" t="s">
        <v>25</v>
      </c>
      <c r="F8" s="224"/>
      <c r="G8" s="224"/>
      <c r="H8" s="224" t="s">
        <v>28</v>
      </c>
      <c r="I8" s="224"/>
      <c r="J8" s="224" t="s">
        <v>29</v>
      </c>
      <c r="K8" s="224"/>
      <c r="L8" s="226" t="s">
        <v>30</v>
      </c>
      <c r="M8" s="21"/>
    </row>
    <row r="9" spans="1:18">
      <c r="A9" s="33"/>
      <c r="B9" s="94" t="s">
        <v>15</v>
      </c>
      <c r="C9" s="94" t="s">
        <v>16</v>
      </c>
      <c r="D9" s="94" t="s">
        <v>17</v>
      </c>
      <c r="E9" s="94" t="s">
        <v>18</v>
      </c>
      <c r="F9" s="95"/>
      <c r="G9" s="95"/>
      <c r="H9" s="94" t="s">
        <v>17</v>
      </c>
      <c r="I9" s="95"/>
      <c r="J9" s="94" t="s">
        <v>18</v>
      </c>
      <c r="K9" s="95"/>
      <c r="L9" s="96"/>
      <c r="N9" s="40"/>
    </row>
    <row r="10" spans="1:18" hidden="1">
      <c r="A10" s="33">
        <v>2002</v>
      </c>
      <c r="B10" s="36"/>
      <c r="C10" s="36">
        <v>60536</v>
      </c>
      <c r="D10" s="36">
        <v>242144</v>
      </c>
      <c r="E10" s="37">
        <f t="shared" ref="E10:E19" si="0">+SUM(B10:D10)</f>
        <v>302680</v>
      </c>
      <c r="F10" s="37"/>
      <c r="G10" s="37"/>
      <c r="H10" s="36">
        <v>2749916.11</v>
      </c>
      <c r="I10" s="37"/>
      <c r="J10" s="37">
        <f>+H10+E10</f>
        <v>3052596.11</v>
      </c>
      <c r="K10" s="37"/>
      <c r="L10" s="97">
        <f>+H10+D10</f>
        <v>2992060.11</v>
      </c>
      <c r="M10" s="22">
        <f t="shared" ref="M10:M15" si="1">+L10/J10</f>
        <v>0.98016901096031339</v>
      </c>
      <c r="N10" s="40"/>
      <c r="R10" s="23"/>
    </row>
    <row r="11" spans="1:18" hidden="1">
      <c r="A11" s="33">
        <v>2003</v>
      </c>
      <c r="B11" s="37">
        <v>332805.96000000002</v>
      </c>
      <c r="C11" s="37">
        <v>168083.82</v>
      </c>
      <c r="D11" s="37">
        <v>254107.5</v>
      </c>
      <c r="E11" s="37">
        <f t="shared" si="0"/>
        <v>754997.28</v>
      </c>
      <c r="F11" s="37"/>
      <c r="G11" s="37"/>
      <c r="H11" s="37">
        <v>2419056.1</v>
      </c>
      <c r="I11" s="37"/>
      <c r="J11" s="37">
        <f t="shared" ref="J11:J19" si="2">+H11+E11</f>
        <v>3174053.38</v>
      </c>
      <c r="K11" s="37"/>
      <c r="L11" s="97">
        <f t="shared" ref="L11:L19" si="3">+H11+D11</f>
        <v>2673163.6</v>
      </c>
      <c r="M11" s="22">
        <f t="shared" si="1"/>
        <v>0.8421923893416059</v>
      </c>
      <c r="N11" s="40"/>
      <c r="R11" s="23"/>
    </row>
    <row r="12" spans="1:18" hidden="1">
      <c r="A12" s="33">
        <v>2004</v>
      </c>
      <c r="B12" s="37"/>
      <c r="C12" s="37">
        <v>416154.35</v>
      </c>
      <c r="D12" s="37">
        <v>204845</v>
      </c>
      <c r="E12" s="37">
        <f t="shared" si="0"/>
        <v>620999.35</v>
      </c>
      <c r="F12" s="37"/>
      <c r="G12" s="37"/>
      <c r="H12" s="37">
        <v>2805721</v>
      </c>
      <c r="I12" s="37"/>
      <c r="J12" s="37">
        <f t="shared" si="2"/>
        <v>3426720.35</v>
      </c>
      <c r="K12" s="37"/>
      <c r="L12" s="97">
        <f t="shared" si="3"/>
        <v>3010566</v>
      </c>
      <c r="M12" s="22">
        <f t="shared" si="1"/>
        <v>0.87855608059758949</v>
      </c>
      <c r="N12" s="40"/>
      <c r="R12" s="23"/>
    </row>
    <row r="13" spans="1:18">
      <c r="A13" s="33">
        <v>2005</v>
      </c>
      <c r="B13" s="173">
        <v>0</v>
      </c>
      <c r="C13" s="173">
        <v>837817.39</v>
      </c>
      <c r="D13" s="187">
        <v>562796.61</v>
      </c>
      <c r="E13" s="173">
        <f t="shared" si="0"/>
        <v>1400614</v>
      </c>
      <c r="F13" s="173"/>
      <c r="G13" s="173"/>
      <c r="H13" s="187">
        <v>4587283</v>
      </c>
      <c r="I13" s="173"/>
      <c r="J13" s="173">
        <f t="shared" si="2"/>
        <v>5987897</v>
      </c>
      <c r="K13" s="173"/>
      <c r="L13" s="188">
        <f t="shared" si="3"/>
        <v>5150079.6100000003</v>
      </c>
      <c r="M13" s="22">
        <f t="shared" si="1"/>
        <v>0.86008152945850613</v>
      </c>
      <c r="N13" s="40"/>
      <c r="R13" s="23"/>
    </row>
    <row r="14" spans="1:18">
      <c r="A14" s="33">
        <v>2006</v>
      </c>
      <c r="B14" s="178">
        <v>756012.02</v>
      </c>
      <c r="C14" s="178">
        <v>1008016.02</v>
      </c>
      <c r="D14" s="189">
        <v>486252.72</v>
      </c>
      <c r="E14" s="178">
        <f t="shared" si="0"/>
        <v>2250280.7599999998</v>
      </c>
      <c r="F14" s="178"/>
      <c r="G14" s="178"/>
      <c r="H14" s="189">
        <v>3564913.46</v>
      </c>
      <c r="I14" s="178"/>
      <c r="J14" s="173">
        <f t="shared" si="2"/>
        <v>5815194.2199999997</v>
      </c>
      <c r="K14" s="178"/>
      <c r="L14" s="188">
        <f t="shared" si="3"/>
        <v>4051166.1799999997</v>
      </c>
      <c r="M14" s="22">
        <f t="shared" si="1"/>
        <v>0.69665191337323895</v>
      </c>
      <c r="N14" s="40"/>
      <c r="R14" s="23"/>
    </row>
    <row r="15" spans="1:18">
      <c r="A15" s="33">
        <v>2007</v>
      </c>
      <c r="B15" s="178">
        <v>0</v>
      </c>
      <c r="C15" s="178">
        <v>0</v>
      </c>
      <c r="D15" s="189">
        <v>324182</v>
      </c>
      <c r="E15" s="178">
        <f t="shared" si="0"/>
        <v>324182</v>
      </c>
      <c r="F15" s="178"/>
      <c r="G15" s="178"/>
      <c r="H15" s="189">
        <v>2668976</v>
      </c>
      <c r="I15" s="178"/>
      <c r="J15" s="173">
        <f t="shared" si="2"/>
        <v>2993158</v>
      </c>
      <c r="K15" s="178"/>
      <c r="L15" s="188">
        <f t="shared" si="3"/>
        <v>2993158</v>
      </c>
      <c r="M15" s="22">
        <f t="shared" si="1"/>
        <v>1</v>
      </c>
      <c r="N15" s="40"/>
      <c r="Q15" s="24"/>
    </row>
    <row r="16" spans="1:18">
      <c r="A16" s="33">
        <v>2008</v>
      </c>
      <c r="B16" s="178">
        <f>(1054000+286200)*6.8/67.01</f>
        <v>136000</v>
      </c>
      <c r="C16" s="178">
        <f>(1054000+286200)*45.9/67.01</f>
        <v>917999.99999999988</v>
      </c>
      <c r="D16" s="189">
        <v>286200</v>
      </c>
      <c r="E16" s="178">
        <f t="shared" si="0"/>
        <v>1340200</v>
      </c>
      <c r="F16" s="178"/>
      <c r="G16" s="178"/>
      <c r="H16" s="189">
        <v>2342158</v>
      </c>
      <c r="I16" s="178"/>
      <c r="J16" s="173">
        <f t="shared" si="2"/>
        <v>3682358</v>
      </c>
      <c r="K16" s="178"/>
      <c r="L16" s="188">
        <f t="shared" si="3"/>
        <v>2628358</v>
      </c>
      <c r="M16" s="22"/>
      <c r="N16" s="40"/>
      <c r="Q16" s="24"/>
    </row>
    <row r="17" spans="1:18">
      <c r="A17" s="33">
        <v>2009</v>
      </c>
      <c r="B17" s="98"/>
      <c r="C17" s="178">
        <v>1401375</v>
      </c>
      <c r="D17" s="189">
        <f>372902+113863+37954</f>
        <v>524719</v>
      </c>
      <c r="E17" s="178">
        <f t="shared" si="0"/>
        <v>1926094</v>
      </c>
      <c r="F17" s="178"/>
      <c r="G17" s="178"/>
      <c r="H17" s="189">
        <v>4127585.4376839404</v>
      </c>
      <c r="I17" s="178"/>
      <c r="J17" s="173">
        <f t="shared" si="2"/>
        <v>6053679.4376839399</v>
      </c>
      <c r="K17" s="178"/>
      <c r="L17" s="188">
        <f t="shared" si="3"/>
        <v>4652304.4376839399</v>
      </c>
      <c r="M17" s="22"/>
      <c r="N17" s="40"/>
      <c r="O17" s="25"/>
      <c r="P17" s="25"/>
      <c r="Q17" s="24"/>
    </row>
    <row r="18" spans="1:18">
      <c r="A18" s="33">
        <v>2010</v>
      </c>
      <c r="B18" s="98">
        <v>232366.07999999999</v>
      </c>
      <c r="C18" s="178">
        <v>995522.33</v>
      </c>
      <c r="D18" s="189">
        <v>926301.78</v>
      </c>
      <c r="E18" s="178">
        <f t="shared" si="0"/>
        <v>2154190.19</v>
      </c>
      <c r="F18" s="178"/>
      <c r="G18" s="178"/>
      <c r="H18" s="189">
        <v>7698671.2199999997</v>
      </c>
      <c r="I18" s="178"/>
      <c r="J18" s="173">
        <f t="shared" si="2"/>
        <v>9852861.4100000001</v>
      </c>
      <c r="K18" s="178"/>
      <c r="L18" s="188">
        <f t="shared" si="3"/>
        <v>8624973</v>
      </c>
      <c r="M18" s="22"/>
      <c r="N18" s="40"/>
      <c r="O18" s="25"/>
      <c r="P18" s="25"/>
      <c r="Q18" s="24"/>
    </row>
    <row r="19" spans="1:18">
      <c r="A19" s="33">
        <v>2011</v>
      </c>
      <c r="B19" s="98">
        <v>198220</v>
      </c>
      <c r="C19" s="178">
        <v>1098114.81</v>
      </c>
      <c r="D19" s="189">
        <v>485333.25</v>
      </c>
      <c r="E19" s="178">
        <f t="shared" si="0"/>
        <v>1781668.06</v>
      </c>
      <c r="F19" s="178"/>
      <c r="G19" s="178"/>
      <c r="H19" s="189">
        <v>2674301.7599999998</v>
      </c>
      <c r="I19" s="178"/>
      <c r="J19" s="173">
        <f t="shared" si="2"/>
        <v>4455969.82</v>
      </c>
      <c r="K19" s="178"/>
      <c r="L19" s="188">
        <f t="shared" si="3"/>
        <v>3159635.01</v>
      </c>
      <c r="M19" s="22"/>
      <c r="N19" s="40"/>
      <c r="O19" s="25"/>
      <c r="P19" s="25"/>
      <c r="Q19" s="24"/>
    </row>
    <row r="20" spans="1:18">
      <c r="A20" s="33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97"/>
      <c r="M20" s="22"/>
      <c r="N20" s="40"/>
      <c r="Q20" s="24"/>
    </row>
    <row r="21" spans="1:18" ht="16.5" thickBot="1">
      <c r="A21" s="34"/>
      <c r="B21" s="20" t="s">
        <v>19</v>
      </c>
      <c r="C21" s="20"/>
      <c r="D21" s="20"/>
      <c r="E21" s="20"/>
      <c r="F21" s="20"/>
      <c r="G21" s="20"/>
      <c r="H21" s="20"/>
      <c r="I21" s="20"/>
      <c r="J21" s="20"/>
      <c r="K21" s="20"/>
      <c r="L21" s="99"/>
      <c r="M21" s="20"/>
    </row>
    <row r="22" spans="1:18" ht="32.25" thickBot="1">
      <c r="A22" s="34"/>
      <c r="B22" s="227" t="s">
        <v>11</v>
      </c>
      <c r="C22" s="227"/>
      <c r="D22" s="227"/>
      <c r="E22" s="227"/>
      <c r="F22" s="228"/>
      <c r="G22" s="228"/>
      <c r="H22" s="229" t="s">
        <v>12</v>
      </c>
      <c r="I22" s="228"/>
      <c r="J22" s="230" t="s">
        <v>13</v>
      </c>
      <c r="K22" s="228"/>
      <c r="L22" s="231" t="s">
        <v>14</v>
      </c>
      <c r="M22" s="26"/>
    </row>
    <row r="23" spans="1:18">
      <c r="A23" s="33"/>
      <c r="B23" s="36" t="s">
        <v>15</v>
      </c>
      <c r="C23" s="36" t="s">
        <v>16</v>
      </c>
      <c r="D23" s="36" t="s">
        <v>17</v>
      </c>
      <c r="E23" s="36" t="s">
        <v>18</v>
      </c>
      <c r="F23" s="37"/>
      <c r="G23" s="37"/>
      <c r="H23" s="36" t="s">
        <v>17</v>
      </c>
      <c r="I23" s="37"/>
      <c r="J23" s="36" t="s">
        <v>18</v>
      </c>
      <c r="K23" s="37"/>
      <c r="L23" s="100"/>
      <c r="M23" s="22"/>
    </row>
    <row r="24" spans="1:18" hidden="1">
      <c r="A24" s="33">
        <v>2002</v>
      </c>
      <c r="B24" s="37">
        <f t="shared" ref="B24:D25" si="4">B10*0.105</f>
        <v>0</v>
      </c>
      <c r="C24" s="37">
        <f t="shared" si="4"/>
        <v>6356.28</v>
      </c>
      <c r="D24" s="37">
        <f t="shared" si="4"/>
        <v>25425.119999999999</v>
      </c>
      <c r="E24" s="37">
        <f t="shared" ref="E24:E30" si="5">+SUM(B24:D24)</f>
        <v>31781.399999999998</v>
      </c>
      <c r="F24" s="37"/>
      <c r="G24" s="37"/>
      <c r="H24" s="37">
        <f>H10*0.105</f>
        <v>288741.19154999999</v>
      </c>
      <c r="I24" s="37"/>
      <c r="J24" s="37">
        <f t="shared" ref="J24" si="6">+H24+E24</f>
        <v>320522.59155000001</v>
      </c>
      <c r="K24" s="37"/>
      <c r="L24" s="97">
        <f t="shared" ref="L24" si="7">+H24+D24</f>
        <v>314166.31154999998</v>
      </c>
      <c r="M24" s="22"/>
      <c r="R24" s="23"/>
    </row>
    <row r="25" spans="1:18" hidden="1">
      <c r="A25" s="33">
        <v>2003</v>
      </c>
      <c r="B25" s="37">
        <f t="shared" si="4"/>
        <v>34944.625800000002</v>
      </c>
      <c r="C25" s="37">
        <f t="shared" si="4"/>
        <v>17648.801100000001</v>
      </c>
      <c r="D25" s="37">
        <f t="shared" si="4"/>
        <v>26681.287499999999</v>
      </c>
      <c r="E25" s="37">
        <f>+SUM(B25:D25)</f>
        <v>79274.714399999997</v>
      </c>
      <c r="F25" s="37"/>
      <c r="G25" s="37"/>
      <c r="H25" s="37">
        <f>H11*0.105</f>
        <v>254000.89050000001</v>
      </c>
      <c r="I25" s="37"/>
      <c r="J25" s="37">
        <f>+H25+E25</f>
        <v>333275.60490000003</v>
      </c>
      <c r="K25" s="37"/>
      <c r="L25" s="97">
        <f>+H25+D25</f>
        <v>280682.17800000001</v>
      </c>
      <c r="M25" s="22">
        <f>+L25/J25</f>
        <v>0.84219238934160578</v>
      </c>
      <c r="R25" s="23"/>
    </row>
    <row r="26" spans="1:18" hidden="1">
      <c r="A26" s="33">
        <v>2004</v>
      </c>
      <c r="B26" s="37">
        <f>B12*0.1</f>
        <v>0</v>
      </c>
      <c r="C26" s="37">
        <f>C12*0.1</f>
        <v>41615.434999999998</v>
      </c>
      <c r="D26" s="37">
        <f>D12*0.1</f>
        <v>20484.5</v>
      </c>
      <c r="E26" s="37">
        <f t="shared" si="5"/>
        <v>62099.934999999998</v>
      </c>
      <c r="F26" s="37"/>
      <c r="G26" s="37"/>
      <c r="H26" s="37">
        <f>H12*0.1</f>
        <v>280572.10000000003</v>
      </c>
      <c r="I26" s="37"/>
      <c r="J26" s="37">
        <f t="shared" ref="J26:J32" si="8">+H26+E26</f>
        <v>342672.03500000003</v>
      </c>
      <c r="K26" s="37"/>
      <c r="L26" s="97">
        <f t="shared" ref="L26:L33" si="9">+H26+D26</f>
        <v>301056.60000000003</v>
      </c>
      <c r="M26" s="22">
        <f>+L26/J26</f>
        <v>0.87855608059758949</v>
      </c>
      <c r="N26" s="23"/>
      <c r="R26" s="23"/>
    </row>
    <row r="27" spans="1:18">
      <c r="A27" s="33">
        <v>2005</v>
      </c>
      <c r="B27" s="173">
        <f>B13*0.085</f>
        <v>0</v>
      </c>
      <c r="C27" s="173">
        <f>C13*0.085</f>
        <v>71214.47815000001</v>
      </c>
      <c r="D27" s="187">
        <f>D13*0.085</f>
        <v>47837.71185</v>
      </c>
      <c r="E27" s="173">
        <f t="shared" si="5"/>
        <v>119052.19</v>
      </c>
      <c r="F27" s="173"/>
      <c r="G27" s="173"/>
      <c r="H27" s="187">
        <f>H13*0.085</f>
        <v>389919.05500000005</v>
      </c>
      <c r="I27" s="173"/>
      <c r="J27" s="173">
        <f t="shared" si="8"/>
        <v>508971.24500000005</v>
      </c>
      <c r="K27" s="173"/>
      <c r="L27" s="188">
        <f t="shared" si="9"/>
        <v>437756.76685000007</v>
      </c>
      <c r="M27" s="22">
        <f>+L27/J27</f>
        <v>0.86008152945850613</v>
      </c>
      <c r="R27" s="23"/>
    </row>
    <row r="28" spans="1:18">
      <c r="A28" s="33">
        <v>2006</v>
      </c>
      <c r="B28" s="173">
        <f t="shared" ref="B28:D29" si="10">B14*0.0875</f>
        <v>66151.051749999999</v>
      </c>
      <c r="C28" s="173">
        <f t="shared" si="10"/>
        <v>88201.40174999999</v>
      </c>
      <c r="D28" s="187">
        <f t="shared" si="10"/>
        <v>42547.112999999998</v>
      </c>
      <c r="E28" s="173">
        <f t="shared" si="5"/>
        <v>196899.56650000002</v>
      </c>
      <c r="F28" s="173"/>
      <c r="G28" s="173"/>
      <c r="H28" s="189">
        <f>H14*0.0875</f>
        <v>311929.92774999997</v>
      </c>
      <c r="I28" s="178"/>
      <c r="J28" s="173">
        <f t="shared" si="8"/>
        <v>508829.49424999999</v>
      </c>
      <c r="K28" s="178"/>
      <c r="L28" s="188">
        <f t="shared" si="9"/>
        <v>354477.04074999999</v>
      </c>
      <c r="M28" s="22">
        <f>+L28/J28</f>
        <v>0.69665191337323895</v>
      </c>
      <c r="R28" s="23"/>
    </row>
    <row r="29" spans="1:18">
      <c r="A29" s="33">
        <v>2007</v>
      </c>
      <c r="B29" s="178">
        <f t="shared" si="10"/>
        <v>0</v>
      </c>
      <c r="C29" s="178">
        <f t="shared" si="10"/>
        <v>0</v>
      </c>
      <c r="D29" s="189">
        <f t="shared" si="10"/>
        <v>28365.924999999999</v>
      </c>
      <c r="E29" s="178">
        <f t="shared" si="5"/>
        <v>28365.924999999999</v>
      </c>
      <c r="F29" s="178"/>
      <c r="G29" s="178"/>
      <c r="H29" s="189">
        <f>H15*0.0875</f>
        <v>233535.4</v>
      </c>
      <c r="I29" s="178"/>
      <c r="J29" s="173">
        <f t="shared" si="8"/>
        <v>261901.32499999998</v>
      </c>
      <c r="K29" s="178"/>
      <c r="L29" s="188">
        <f t="shared" si="9"/>
        <v>261901.32499999998</v>
      </c>
      <c r="M29" s="22">
        <f>+L29/J29</f>
        <v>1</v>
      </c>
      <c r="Q29" s="24"/>
    </row>
    <row r="30" spans="1:18">
      <c r="A30" s="33">
        <v>2008</v>
      </c>
      <c r="B30" s="178">
        <f>B16*0.08675</f>
        <v>11798</v>
      </c>
      <c r="C30" s="178">
        <f>C16*0.08675</f>
        <v>79636.499999999985</v>
      </c>
      <c r="D30" s="189">
        <f>D16*0.08675</f>
        <v>24827.85</v>
      </c>
      <c r="E30" s="178">
        <f t="shared" si="5"/>
        <v>116262.34999999998</v>
      </c>
      <c r="F30" s="178"/>
      <c r="G30" s="178"/>
      <c r="H30" s="189">
        <f>H16*0.08675</f>
        <v>203182.20649999997</v>
      </c>
      <c r="I30" s="178"/>
      <c r="J30" s="173">
        <f t="shared" si="8"/>
        <v>319444.55649999995</v>
      </c>
      <c r="K30" s="178"/>
      <c r="L30" s="188">
        <f t="shared" si="9"/>
        <v>228010.05649999998</v>
      </c>
      <c r="M30" s="22"/>
      <c r="Q30" s="24"/>
    </row>
    <row r="31" spans="1:18">
      <c r="A31" s="33">
        <v>2009</v>
      </c>
      <c r="B31" s="180">
        <f t="shared" ref="B31:C31" si="11">B17*0.0875</f>
        <v>0</v>
      </c>
      <c r="C31" s="180">
        <f t="shared" si="11"/>
        <v>122620.31249999999</v>
      </c>
      <c r="D31" s="190">
        <f>D17*0.0875</f>
        <v>45912.912499999999</v>
      </c>
      <c r="E31" s="180">
        <f>+SUM(B31:D31)</f>
        <v>168533.22499999998</v>
      </c>
      <c r="F31" s="180"/>
      <c r="G31" s="180"/>
      <c r="H31" s="190">
        <f>H17*0.0875</f>
        <v>361163.72579734476</v>
      </c>
      <c r="I31" s="180"/>
      <c r="J31" s="173">
        <f t="shared" si="8"/>
        <v>529696.95079734479</v>
      </c>
      <c r="K31" s="180"/>
      <c r="L31" s="188">
        <f t="shared" si="9"/>
        <v>407076.63829734473</v>
      </c>
      <c r="M31" s="22"/>
      <c r="Q31" s="24"/>
    </row>
    <row r="32" spans="1:18">
      <c r="A32" s="33">
        <v>2010</v>
      </c>
      <c r="B32" s="180">
        <f>B18*0.0865</f>
        <v>20099.665919999996</v>
      </c>
      <c r="C32" s="180">
        <f>C18*0.0865</f>
        <v>86112.681544999985</v>
      </c>
      <c r="D32" s="190">
        <f>D18*0.0865</f>
        <v>80125.103969999996</v>
      </c>
      <c r="E32" s="180">
        <f>+SUM(B32:D32)</f>
        <v>186337.451435</v>
      </c>
      <c r="F32" s="180"/>
      <c r="G32" s="180"/>
      <c r="H32" s="190">
        <f>H18*0.0865</f>
        <v>665935.0605299999</v>
      </c>
      <c r="I32" s="180"/>
      <c r="J32" s="173">
        <f t="shared" si="8"/>
        <v>852272.51196499984</v>
      </c>
      <c r="K32" s="180"/>
      <c r="L32" s="188">
        <f t="shared" si="9"/>
        <v>746060.16449999996</v>
      </c>
      <c r="M32" s="22"/>
      <c r="Q32" s="24"/>
    </row>
    <row r="33" spans="1:18" ht="16.5" thickBot="1">
      <c r="A33" s="34">
        <v>2011</v>
      </c>
      <c r="B33" s="183">
        <v>16848.72</v>
      </c>
      <c r="C33" s="183">
        <v>93339.76</v>
      </c>
      <c r="D33" s="191">
        <v>41253.33</v>
      </c>
      <c r="E33" s="183">
        <f>+SUM(B33:D33)</f>
        <v>151441.81</v>
      </c>
      <c r="F33" s="183"/>
      <c r="G33" s="183"/>
      <c r="H33" s="191">
        <v>227315</v>
      </c>
      <c r="I33" s="183"/>
      <c r="J33" s="192">
        <v>378757.45</v>
      </c>
      <c r="K33" s="183"/>
      <c r="L33" s="193">
        <f t="shared" si="9"/>
        <v>268568.33</v>
      </c>
      <c r="M33" s="22"/>
      <c r="Q33" s="24"/>
    </row>
    <row r="34" spans="1:18" ht="16.5" thickBot="1">
      <c r="A34" s="31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22"/>
    </row>
    <row r="35" spans="1:18" ht="16.5" thickBot="1">
      <c r="A35" s="32"/>
      <c r="B35" s="262" t="s">
        <v>20</v>
      </c>
      <c r="C35" s="262"/>
      <c r="D35" s="262"/>
      <c r="E35" s="262"/>
      <c r="F35" s="262"/>
      <c r="G35" s="262"/>
      <c r="H35" s="262"/>
      <c r="I35" s="262"/>
      <c r="J35" s="262"/>
      <c r="K35" s="262"/>
      <c r="L35" s="263"/>
      <c r="M35" s="101"/>
      <c r="N35" s="101"/>
      <c r="O35" s="102"/>
    </row>
    <row r="36" spans="1:18" ht="48" thickBot="1">
      <c r="A36" s="261"/>
      <c r="B36" s="227" t="s">
        <v>11</v>
      </c>
      <c r="C36" s="227"/>
      <c r="D36" s="227"/>
      <c r="E36" s="227"/>
      <c r="F36" s="228"/>
      <c r="G36" s="228"/>
      <c r="H36" s="229" t="s">
        <v>12</v>
      </c>
      <c r="I36" s="228"/>
      <c r="J36" s="230" t="s">
        <v>13</v>
      </c>
      <c r="K36" s="228"/>
      <c r="L36" s="267" t="s">
        <v>14</v>
      </c>
      <c r="M36" s="162"/>
      <c r="N36" s="162" t="s">
        <v>105</v>
      </c>
      <c r="O36" s="163" t="s">
        <v>36</v>
      </c>
    </row>
    <row r="37" spans="1:18">
      <c r="A37" s="33"/>
      <c r="B37" s="36" t="s">
        <v>15</v>
      </c>
      <c r="C37" s="36" t="s">
        <v>16</v>
      </c>
      <c r="D37" s="36" t="s">
        <v>17</v>
      </c>
      <c r="E37" s="36" t="s">
        <v>18</v>
      </c>
      <c r="F37" s="37"/>
      <c r="G37" s="37"/>
      <c r="H37" s="36" t="s">
        <v>17</v>
      </c>
      <c r="I37" s="37"/>
      <c r="J37" s="36" t="s">
        <v>18</v>
      </c>
      <c r="K37" s="37"/>
      <c r="L37" s="100"/>
      <c r="M37" s="38"/>
      <c r="N37" s="30"/>
      <c r="O37" s="103"/>
    </row>
    <row r="38" spans="1:18" hidden="1">
      <c r="A38" s="33">
        <v>2002</v>
      </c>
      <c r="B38" s="36">
        <f t="shared" ref="B38:D40" si="12">SUM(B10,B24)</f>
        <v>0</v>
      </c>
      <c r="C38" s="36">
        <f t="shared" si="12"/>
        <v>66892.28</v>
      </c>
      <c r="D38" s="36">
        <f t="shared" si="12"/>
        <v>267569.12</v>
      </c>
      <c r="E38" s="37">
        <f t="shared" ref="E38:E48" si="13">+SUM(B38:D38)</f>
        <v>334461.40000000002</v>
      </c>
      <c r="F38" s="37"/>
      <c r="G38" s="37"/>
      <c r="H38" s="36">
        <f t="shared" ref="H38:H40" si="14">SUM(H10,H24)</f>
        <v>3038657.30155</v>
      </c>
      <c r="I38" s="37"/>
      <c r="J38" s="37">
        <f>+H38+E38</f>
        <v>3373118.7015499999</v>
      </c>
      <c r="K38" s="37"/>
      <c r="L38" s="97">
        <f t="shared" ref="L38:L40" si="15">+H38+D38</f>
        <v>3306226.4215500001</v>
      </c>
      <c r="M38" s="38">
        <f t="shared" ref="M38:M46" si="16">+L38/J38</f>
        <v>0.98016901096031339</v>
      </c>
      <c r="N38" s="39"/>
      <c r="O38" s="104"/>
      <c r="R38" s="23"/>
    </row>
    <row r="39" spans="1:18" hidden="1">
      <c r="A39" s="33">
        <v>2003</v>
      </c>
      <c r="B39" s="36">
        <f t="shared" si="12"/>
        <v>367750.5858</v>
      </c>
      <c r="C39" s="36">
        <f t="shared" si="12"/>
        <v>185732.62110000002</v>
      </c>
      <c r="D39" s="36">
        <f t="shared" si="12"/>
        <v>280788.78749999998</v>
      </c>
      <c r="E39" s="37">
        <f t="shared" si="13"/>
        <v>834271.99439999997</v>
      </c>
      <c r="F39" s="37"/>
      <c r="G39" s="37"/>
      <c r="H39" s="36">
        <f t="shared" si="14"/>
        <v>2673056.9905000003</v>
      </c>
      <c r="I39" s="37"/>
      <c r="J39" s="37">
        <f t="shared" ref="J39:J48" si="17">+H39+E39</f>
        <v>3507328.9849000005</v>
      </c>
      <c r="K39" s="37"/>
      <c r="L39" s="97">
        <f t="shared" si="15"/>
        <v>2953845.7780000004</v>
      </c>
      <c r="M39" s="38">
        <f t="shared" si="16"/>
        <v>0.84219238934160578</v>
      </c>
      <c r="N39" s="39"/>
      <c r="O39" s="104"/>
      <c r="R39" s="23"/>
    </row>
    <row r="40" spans="1:18" hidden="1">
      <c r="A40" s="33">
        <v>2004</v>
      </c>
      <c r="B40" s="36">
        <f t="shared" si="12"/>
        <v>0</v>
      </c>
      <c r="C40" s="36">
        <f t="shared" si="12"/>
        <v>457769.78499999997</v>
      </c>
      <c r="D40" s="36">
        <f t="shared" si="12"/>
        <v>225329.5</v>
      </c>
      <c r="E40" s="37">
        <f t="shared" si="13"/>
        <v>683099.28499999992</v>
      </c>
      <c r="F40" s="37"/>
      <c r="G40" s="37"/>
      <c r="H40" s="36">
        <f t="shared" si="14"/>
        <v>3086293.1</v>
      </c>
      <c r="I40" s="37"/>
      <c r="J40" s="37">
        <f t="shared" si="17"/>
        <v>3769392.3849999998</v>
      </c>
      <c r="K40" s="37"/>
      <c r="L40" s="97">
        <f t="shared" si="15"/>
        <v>3311622.6</v>
      </c>
      <c r="M40" s="38">
        <f t="shared" si="16"/>
        <v>0.87855608059758949</v>
      </c>
      <c r="N40" s="39"/>
      <c r="O40" s="104"/>
      <c r="R40" s="23"/>
    </row>
    <row r="41" spans="1:18">
      <c r="A41" s="33">
        <v>2002</v>
      </c>
      <c r="B41" s="172"/>
      <c r="C41" s="172">
        <v>60536</v>
      </c>
      <c r="D41" s="172">
        <v>242144</v>
      </c>
      <c r="E41" s="173">
        <f>+C41+B41+D41</f>
        <v>302680</v>
      </c>
      <c r="F41" s="173"/>
      <c r="G41" s="173"/>
      <c r="H41" s="172">
        <v>2749916.11</v>
      </c>
      <c r="I41" s="173"/>
      <c r="J41" s="173">
        <f>+H41+E41</f>
        <v>3052596.11</v>
      </c>
      <c r="K41" s="173"/>
      <c r="L41" s="264">
        <f>+H41+D41</f>
        <v>2992060.11</v>
      </c>
      <c r="M41" s="174"/>
      <c r="N41" s="175"/>
      <c r="O41" s="176"/>
      <c r="P41" s="19" t="s">
        <v>37</v>
      </c>
      <c r="R41" s="23"/>
    </row>
    <row r="42" spans="1:18">
      <c r="A42" s="33">
        <v>2003</v>
      </c>
      <c r="B42" s="172">
        <v>367750.59</v>
      </c>
      <c r="C42" s="172">
        <v>185732.62</v>
      </c>
      <c r="D42" s="172">
        <v>280788.78999999998</v>
      </c>
      <c r="E42" s="173">
        <f t="shared" ref="E42:E43" si="18">+C42+B42+D42</f>
        <v>834272</v>
      </c>
      <c r="F42" s="173"/>
      <c r="G42" s="173"/>
      <c r="H42" s="172">
        <v>2673056.9900000002</v>
      </c>
      <c r="I42" s="173"/>
      <c r="J42" s="173">
        <f t="shared" ref="J42:J43" si="19">+H42+E42</f>
        <v>3507328.99</v>
      </c>
      <c r="K42" s="173"/>
      <c r="L42" s="264">
        <f t="shared" ref="L42:L43" si="20">+H42+D42</f>
        <v>2953845.7800000003</v>
      </c>
      <c r="M42" s="174"/>
      <c r="N42" s="175"/>
      <c r="O42" s="176"/>
      <c r="R42" s="23"/>
    </row>
    <row r="43" spans="1:18">
      <c r="A43" s="33">
        <v>2004</v>
      </c>
      <c r="B43" s="172"/>
      <c r="C43" s="172">
        <v>457769.79</v>
      </c>
      <c r="D43" s="172">
        <v>225329.5</v>
      </c>
      <c r="E43" s="173">
        <f t="shared" si="18"/>
        <v>683099.29</v>
      </c>
      <c r="F43" s="173"/>
      <c r="G43" s="173"/>
      <c r="H43" s="172">
        <v>3086293.1</v>
      </c>
      <c r="I43" s="173"/>
      <c r="J43" s="173">
        <f t="shared" si="19"/>
        <v>3769392.39</v>
      </c>
      <c r="K43" s="173"/>
      <c r="L43" s="264">
        <f t="shared" si="20"/>
        <v>3311622.6</v>
      </c>
      <c r="M43" s="174"/>
      <c r="N43" s="175"/>
      <c r="O43" s="176"/>
      <c r="R43" s="23"/>
    </row>
    <row r="44" spans="1:18">
      <c r="A44" s="33">
        <v>2005</v>
      </c>
      <c r="B44" s="172">
        <f t="shared" ref="B44:D48" si="21">SUM(B13,B27)</f>
        <v>0</v>
      </c>
      <c r="C44" s="172">
        <f t="shared" si="21"/>
        <v>909031.86814999999</v>
      </c>
      <c r="D44" s="172">
        <f t="shared" si="21"/>
        <v>610634.32184999995</v>
      </c>
      <c r="E44" s="173">
        <f t="shared" si="13"/>
        <v>1519666.19</v>
      </c>
      <c r="F44" s="173"/>
      <c r="G44" s="173"/>
      <c r="H44" s="172">
        <f>SUM(H13,H27)</f>
        <v>4977202.0549999997</v>
      </c>
      <c r="I44" s="173"/>
      <c r="J44" s="173">
        <f t="shared" si="17"/>
        <v>6496868.2449999992</v>
      </c>
      <c r="K44" s="173"/>
      <c r="L44" s="264">
        <f>+H44+D44</f>
        <v>5587836.3768499997</v>
      </c>
      <c r="M44" s="174">
        <f t="shared" si="16"/>
        <v>0.86008152945850613</v>
      </c>
      <c r="N44" s="175">
        <f>-D44*34.91%</f>
        <v>-213172.44175783495</v>
      </c>
      <c r="O44" s="176">
        <f>+L44+N44</f>
        <v>5374663.9350921651</v>
      </c>
      <c r="R44" s="23"/>
    </row>
    <row r="45" spans="1:18">
      <c r="A45" s="33">
        <v>2006</v>
      </c>
      <c r="B45" s="172">
        <f t="shared" si="21"/>
        <v>822163.07175</v>
      </c>
      <c r="C45" s="172">
        <f t="shared" si="21"/>
        <v>1096217.42175</v>
      </c>
      <c r="D45" s="172">
        <f t="shared" si="21"/>
        <v>528799.83299999998</v>
      </c>
      <c r="E45" s="173">
        <f t="shared" si="13"/>
        <v>2447180.3265</v>
      </c>
      <c r="F45" s="173"/>
      <c r="G45" s="173"/>
      <c r="H45" s="172">
        <f>SUM(H14,H28)</f>
        <v>3876843.3877499998</v>
      </c>
      <c r="I45" s="173"/>
      <c r="J45" s="173">
        <f t="shared" si="17"/>
        <v>6324023.7142500002</v>
      </c>
      <c r="K45" s="173"/>
      <c r="L45" s="264">
        <f t="shared" ref="L45:L50" si="22">+H45+D45</f>
        <v>4405643.2207499994</v>
      </c>
      <c r="M45" s="174">
        <f t="shared" si="16"/>
        <v>0.69665191337323884</v>
      </c>
      <c r="N45" s="175">
        <f t="shared" ref="N45:N50" si="23">-D45*34.91%</f>
        <v>-184604.02170029999</v>
      </c>
      <c r="O45" s="176">
        <f t="shared" ref="O45:O50" si="24">+L45+N45</f>
        <v>4221039.1990496991</v>
      </c>
      <c r="R45" s="23"/>
    </row>
    <row r="46" spans="1:18">
      <c r="A46" s="33">
        <v>2007</v>
      </c>
      <c r="B46" s="177">
        <f t="shared" si="21"/>
        <v>0</v>
      </c>
      <c r="C46" s="177">
        <f t="shared" si="21"/>
        <v>0</v>
      </c>
      <c r="D46" s="177">
        <f t="shared" si="21"/>
        <v>352547.92499999999</v>
      </c>
      <c r="E46" s="178">
        <f t="shared" si="13"/>
        <v>352547.92499999999</v>
      </c>
      <c r="F46" s="178"/>
      <c r="G46" s="178"/>
      <c r="H46" s="177">
        <f>SUM(H15,H29)</f>
        <v>2902511.4</v>
      </c>
      <c r="I46" s="178"/>
      <c r="J46" s="178">
        <f t="shared" si="17"/>
        <v>3255059.3249999997</v>
      </c>
      <c r="K46" s="178"/>
      <c r="L46" s="264">
        <f t="shared" si="22"/>
        <v>3255059.3249999997</v>
      </c>
      <c r="M46" s="174">
        <f t="shared" si="16"/>
        <v>1</v>
      </c>
      <c r="N46" s="175">
        <f t="shared" si="23"/>
        <v>-123074.48061749998</v>
      </c>
      <c r="O46" s="176">
        <f t="shared" si="24"/>
        <v>3131984.8443824998</v>
      </c>
      <c r="Q46" s="24"/>
    </row>
    <row r="47" spans="1:18">
      <c r="A47" s="33">
        <v>2008</v>
      </c>
      <c r="B47" s="177">
        <f t="shared" si="21"/>
        <v>147798</v>
      </c>
      <c r="C47" s="177">
        <f t="shared" si="21"/>
        <v>997636.49999999988</v>
      </c>
      <c r="D47" s="177">
        <f t="shared" si="21"/>
        <v>311027.84999999998</v>
      </c>
      <c r="E47" s="178">
        <f t="shared" si="13"/>
        <v>1456462.35</v>
      </c>
      <c r="F47" s="178"/>
      <c r="G47" s="178"/>
      <c r="H47" s="177">
        <f>SUM(H16,H30)</f>
        <v>2545340.2064999999</v>
      </c>
      <c r="I47" s="178"/>
      <c r="J47" s="178">
        <f t="shared" si="17"/>
        <v>4001802.5564999999</v>
      </c>
      <c r="K47" s="178"/>
      <c r="L47" s="264">
        <f t="shared" si="22"/>
        <v>2856368.0564999999</v>
      </c>
      <c r="M47" s="174"/>
      <c r="N47" s="175">
        <f t="shared" si="23"/>
        <v>-108579.82243499998</v>
      </c>
      <c r="O47" s="176">
        <f t="shared" si="24"/>
        <v>2747788.234065</v>
      </c>
      <c r="Q47" s="24"/>
    </row>
    <row r="48" spans="1:18" ht="16.5" thickBot="1">
      <c r="A48" s="33">
        <v>2009</v>
      </c>
      <c r="B48" s="179">
        <f t="shared" si="21"/>
        <v>0</v>
      </c>
      <c r="C48" s="179">
        <f t="shared" si="21"/>
        <v>1523995.3125</v>
      </c>
      <c r="D48" s="179">
        <f t="shared" si="21"/>
        <v>570631.91249999998</v>
      </c>
      <c r="E48" s="180">
        <f t="shared" si="13"/>
        <v>2094627.2250000001</v>
      </c>
      <c r="F48" s="180"/>
      <c r="G48" s="180"/>
      <c r="H48" s="179">
        <f>SUM(H17,H31)</f>
        <v>4488749.1634812849</v>
      </c>
      <c r="I48" s="180"/>
      <c r="J48" s="180">
        <f t="shared" si="17"/>
        <v>6583376.3884812854</v>
      </c>
      <c r="K48" s="180"/>
      <c r="L48" s="264">
        <f t="shared" si="22"/>
        <v>5059381.0759812845</v>
      </c>
      <c r="M48" s="174"/>
      <c r="N48" s="175">
        <f t="shared" si="23"/>
        <v>-199207.60065374998</v>
      </c>
      <c r="O48" s="176">
        <f t="shared" si="24"/>
        <v>4860173.4753275346</v>
      </c>
      <c r="Q48" s="24"/>
    </row>
    <row r="49" spans="1:17" ht="16.5" thickBot="1">
      <c r="A49" s="33">
        <v>2010</v>
      </c>
      <c r="B49" s="179">
        <v>252465.74591999999</v>
      </c>
      <c r="C49" s="179">
        <v>1081635.0115449999</v>
      </c>
      <c r="D49" s="179">
        <v>1006426.8839700001</v>
      </c>
      <c r="E49" s="180">
        <v>2340527.6414350001</v>
      </c>
      <c r="F49" s="180"/>
      <c r="G49" s="180"/>
      <c r="H49" s="179">
        <v>8364606.2805300001</v>
      </c>
      <c r="I49" s="180"/>
      <c r="J49" s="180">
        <v>10705133.921964999</v>
      </c>
      <c r="K49" s="180"/>
      <c r="L49" s="265">
        <f t="shared" si="22"/>
        <v>9371033.1645</v>
      </c>
      <c r="M49" s="181">
        <v>9371033.1645</v>
      </c>
      <c r="N49" s="175">
        <f t="shared" si="23"/>
        <v>-351343.62519392697</v>
      </c>
      <c r="O49" s="268">
        <f t="shared" si="24"/>
        <v>9019689.5393060725</v>
      </c>
      <c r="Q49" s="24"/>
    </row>
    <row r="50" spans="1:17" ht="16.5" thickBot="1">
      <c r="A50" s="34">
        <v>2011</v>
      </c>
      <c r="B50" s="182">
        <v>215068.9</v>
      </c>
      <c r="C50" s="182">
        <v>1191454.57</v>
      </c>
      <c r="D50" s="182">
        <v>526586.56999999995</v>
      </c>
      <c r="E50" s="183">
        <f>+SUM(B50:D50)</f>
        <v>1933110.04</v>
      </c>
      <c r="F50" s="183"/>
      <c r="G50" s="183"/>
      <c r="H50" s="182">
        <v>2901617.41</v>
      </c>
      <c r="I50" s="183"/>
      <c r="J50" s="183">
        <f>+H50+E50</f>
        <v>4834727.45</v>
      </c>
      <c r="K50" s="183"/>
      <c r="L50" s="266">
        <f t="shared" si="22"/>
        <v>3428203.98</v>
      </c>
      <c r="M50" s="183"/>
      <c r="N50" s="269">
        <f t="shared" si="23"/>
        <v>-183831.37158699997</v>
      </c>
      <c r="O50" s="184">
        <f t="shared" si="24"/>
        <v>3244372.6084130001</v>
      </c>
      <c r="Q50" s="24"/>
    </row>
    <row r="51" spans="1:17">
      <c r="A51" s="159" t="s">
        <v>104</v>
      </c>
      <c r="L51" s="25"/>
      <c r="M51" s="22"/>
      <c r="N51" s="25"/>
      <c r="O51" s="25"/>
      <c r="Q51" s="24"/>
    </row>
    <row r="53" spans="1:17">
      <c r="E53" s="31" t="s">
        <v>38</v>
      </c>
      <c r="F53" s="31"/>
      <c r="G53" s="31"/>
      <c r="H53" s="31"/>
      <c r="I53" s="31"/>
      <c r="J53" s="31"/>
      <c r="O53" s="23">
        <f>(SUM(O44:O50)-O49)/6</f>
        <v>3930003.7160549834</v>
      </c>
    </row>
    <row r="54" spans="1:17">
      <c r="O54" s="23"/>
    </row>
    <row r="55" spans="1:17">
      <c r="E55" s="19" t="s">
        <v>27</v>
      </c>
      <c r="L55" s="39"/>
      <c r="M55" s="39"/>
      <c r="N55" s="39"/>
      <c r="O55" s="185">
        <f>+L50</f>
        <v>3428203.98</v>
      </c>
    </row>
    <row r="56" spans="1:17" ht="16.5" thickBot="1">
      <c r="O56" s="23"/>
    </row>
    <row r="57" spans="1:17" ht="16.5" thickBot="1">
      <c r="E57" s="29" t="s">
        <v>22</v>
      </c>
      <c r="F57" s="29"/>
      <c r="G57" s="29"/>
      <c r="H57" s="29" t="s">
        <v>33</v>
      </c>
      <c r="I57" s="29"/>
      <c r="J57" s="29"/>
      <c r="K57" s="29"/>
      <c r="L57" s="105"/>
      <c r="M57" s="106"/>
      <c r="N57" s="105"/>
      <c r="O57" s="186">
        <f>+O53-O55</f>
        <v>501799.73605498346</v>
      </c>
    </row>
    <row r="58" spans="1:17">
      <c r="B58" s="19" t="s">
        <v>32</v>
      </c>
      <c r="H58" s="29"/>
    </row>
    <row r="59" spans="1:17">
      <c r="B59" s="19" t="s">
        <v>31</v>
      </c>
    </row>
    <row r="60" spans="1:17">
      <c r="A60" s="19">
        <v>2002</v>
      </c>
      <c r="B60" s="41">
        <v>233.29</v>
      </c>
      <c r="E60" s="19" t="s">
        <v>32</v>
      </c>
    </row>
    <row r="61" spans="1:17">
      <c r="A61" s="19">
        <v>2003</v>
      </c>
      <c r="B61" s="41">
        <v>246.36</v>
      </c>
      <c r="C61" s="149">
        <f>+(B61-B60)/B60</f>
        <v>5.6024690299627165E-2</v>
      </c>
      <c r="E61" s="19" t="s">
        <v>31</v>
      </c>
    </row>
    <row r="62" spans="1:17">
      <c r="A62" s="19">
        <v>2004</v>
      </c>
      <c r="B62" s="41">
        <v>250.22</v>
      </c>
      <c r="C62" s="149">
        <f t="shared" ref="C62:C69" si="25">+(B62-B61)/B61</f>
        <v>1.5668127942847804E-2</v>
      </c>
      <c r="D62" s="19">
        <v>2006</v>
      </c>
      <c r="E62" s="41">
        <v>264.76</v>
      </c>
    </row>
    <row r="63" spans="1:17">
      <c r="A63" s="19">
        <v>2005</v>
      </c>
      <c r="B63" s="41">
        <v>274.58999999999997</v>
      </c>
      <c r="C63" s="149">
        <f t="shared" si="25"/>
        <v>9.7394293022140421E-2</v>
      </c>
      <c r="D63" s="19">
        <v>2007</v>
      </c>
      <c r="E63" s="41">
        <v>269.58</v>
      </c>
      <c r="F63" s="149" t="e">
        <f>+(#REF!-#REF!)/#REF!</f>
        <v>#REF!</v>
      </c>
    </row>
    <row r="64" spans="1:17">
      <c r="A64" s="19">
        <v>2006</v>
      </c>
      <c r="B64" s="41">
        <v>264.76</v>
      </c>
      <c r="C64" s="149">
        <f t="shared" si="25"/>
        <v>-3.5798827342583432E-2</v>
      </c>
      <c r="D64" s="19">
        <v>2008</v>
      </c>
      <c r="E64" s="41">
        <v>285.8</v>
      </c>
      <c r="F64" s="149" t="e">
        <f>+(#REF!-#REF!)/#REF!</f>
        <v>#REF!</v>
      </c>
    </row>
    <row r="65" spans="1:6">
      <c r="A65" s="19">
        <v>2007</v>
      </c>
      <c r="B65" s="41">
        <v>269.58</v>
      </c>
      <c r="C65" s="149">
        <f t="shared" si="25"/>
        <v>1.8205166943647051E-2</v>
      </c>
      <c r="D65" s="19">
        <v>2009</v>
      </c>
      <c r="E65" s="41">
        <v>318.24</v>
      </c>
      <c r="F65" s="149" t="e">
        <f>+(#REF!-#REF!)/#REF!</f>
        <v>#REF!</v>
      </c>
    </row>
    <row r="66" spans="1:6">
      <c r="A66" s="19">
        <v>2008</v>
      </c>
      <c r="B66" s="41">
        <v>285.8</v>
      </c>
      <c r="C66" s="149">
        <f t="shared" si="25"/>
        <v>6.0167668224645851E-2</v>
      </c>
      <c r="D66" s="19">
        <v>2010</v>
      </c>
      <c r="E66" s="41">
        <v>335.69</v>
      </c>
      <c r="F66" s="149" t="e">
        <f>+(E62-#REF!)/#REF!</f>
        <v>#REF!</v>
      </c>
    </row>
    <row r="67" spans="1:6">
      <c r="A67" s="19">
        <v>2009</v>
      </c>
      <c r="B67" s="41">
        <v>318.24</v>
      </c>
      <c r="C67" s="149">
        <f t="shared" si="25"/>
        <v>0.11350594821553532</v>
      </c>
      <c r="D67" s="19">
        <v>2011</v>
      </c>
      <c r="E67" s="41">
        <v>346.85</v>
      </c>
      <c r="F67" s="149">
        <f t="shared" ref="F67:F71" si="26">+(E63-E62)/E62</f>
        <v>1.8205166943647051E-2</v>
      </c>
    </row>
    <row r="68" spans="1:6">
      <c r="A68" s="19">
        <v>2010</v>
      </c>
      <c r="B68" s="41">
        <v>335.69</v>
      </c>
      <c r="C68" s="149">
        <f t="shared" si="25"/>
        <v>5.4832830568124651E-2</v>
      </c>
      <c r="F68" s="149">
        <f t="shared" si="26"/>
        <v>6.0167668224645851E-2</v>
      </c>
    </row>
    <row r="69" spans="1:6">
      <c r="A69" s="19">
        <v>2011</v>
      </c>
      <c r="B69" s="41">
        <v>346.85</v>
      </c>
      <c r="C69" s="149">
        <f t="shared" si="25"/>
        <v>3.3244958145908506E-2</v>
      </c>
      <c r="F69" s="149">
        <f t="shared" si="26"/>
        <v>0.11350594821553532</v>
      </c>
    </row>
    <row r="70" spans="1:6">
      <c r="F70" s="149">
        <f t="shared" si="26"/>
        <v>5.4832830568124651E-2</v>
      </c>
    </row>
    <row r="71" spans="1:6">
      <c r="F71" s="149">
        <f t="shared" si="26"/>
        <v>3.3244958145908506E-2</v>
      </c>
    </row>
  </sheetData>
  <pageMargins left="1.25" right="0.51" top="0.4" bottom="0.5" header="0.27" footer="0.5"/>
  <pageSetup scale="51" orientation="portrait" r:id="rId1"/>
  <headerFooter scaleWithDoc="0" alignWithMargins="0">
    <oddHeader>&amp;RExhibit No. ___ (JH-4)
Dockets UE-120436 &amp;&amp; UG-120437
Page 4 of &amp; 4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E4407E-33FC-4CAC-B00E-94BB11190D79}"/>
</file>

<file path=customXml/itemProps2.xml><?xml version="1.0" encoding="utf-8"?>
<ds:datastoreItem xmlns:ds="http://schemas.openxmlformats.org/officeDocument/2006/customXml" ds:itemID="{1D10B7AB-0567-4550-BE53-43AD82767DBA}"/>
</file>

<file path=customXml/itemProps3.xml><?xml version="1.0" encoding="utf-8"?>
<ds:datastoreItem xmlns:ds="http://schemas.openxmlformats.org/officeDocument/2006/customXml" ds:itemID="{D5501E0E-38CD-4B3E-8649-920D34F2189D}"/>
</file>

<file path=customXml/itemProps4.xml><?xml version="1.0" encoding="utf-8"?>
<ds:datastoreItem xmlns:ds="http://schemas.openxmlformats.org/officeDocument/2006/customXml" ds:itemID="{1DFEA21B-B74B-4340-905E-646B0C3368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Electric</vt:lpstr>
      <vt:lpstr>Gas</vt:lpstr>
      <vt:lpstr>Adjustment</vt:lpstr>
      <vt:lpstr>Summary of Incentive</vt:lpstr>
      <vt:lpstr>Sheet1</vt:lpstr>
      <vt:lpstr>Adjustment!Print_Area</vt:lpstr>
      <vt:lpstr>'Summary of Incentive'!Print_Area</vt:lpstr>
      <vt:lpstr>Electric!Print_Titles</vt:lpstr>
      <vt:lpstr>Gas!Print_Titles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Joanna (UTC)</dc:creator>
  <cp:lastModifiedBy>DeMarco, Betsy (UTC)</cp:lastModifiedBy>
  <cp:lastPrinted>2012-09-17T20:17:27Z</cp:lastPrinted>
  <dcterms:created xsi:type="dcterms:W3CDTF">2011-07-20T22:57:29Z</dcterms:created>
  <dcterms:modified xsi:type="dcterms:W3CDTF">2012-09-17T20:18:22Z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