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13_ncr:1_{767A7872-7F35-4B44-92D5-B340D5AD1B09}" xr6:coauthVersionLast="47" xr6:coauthVersionMax="47" xr10:uidLastSave="{00000000-0000-0000-0000-000000000000}"/>
  <bookViews>
    <workbookView xWindow="240" yWindow="315" windowWidth="25230" windowHeight="13770" xr2:uid="{ACF245DF-04F8-4B11-8AD4-F7B9A59672A3}"/>
  </bookViews>
  <sheets>
    <sheet name="Exh CTM-10 (Page 1)" sheetId="1" r:id="rId1"/>
    <sheet name="Exhibit CTM-10 (Page 2)" sheetId="2" r:id="rId2"/>
    <sheet name="Exhibit CTM-10 (Pages 3-4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T2" i="3" s="1"/>
  <c r="A5" i="3"/>
  <c r="T5" i="3"/>
  <c r="A10" i="3"/>
  <c r="A11" i="3" s="1"/>
  <c r="A12" i="3" s="1"/>
  <c r="B10" i="3"/>
  <c r="U10" i="3" s="1"/>
  <c r="U31" i="3" s="1"/>
  <c r="T10" i="3"/>
  <c r="T11" i="3"/>
  <c r="V11" i="3"/>
  <c r="W11" i="3"/>
  <c r="T12" i="3"/>
  <c r="W12" i="3"/>
  <c r="T13" i="3"/>
  <c r="T14" i="3" s="1"/>
  <c r="T15" i="3" s="1"/>
  <c r="T16" i="3" s="1"/>
  <c r="B14" i="3"/>
  <c r="U14" i="3" s="1"/>
  <c r="U35" i="3" s="1"/>
  <c r="C15" i="3"/>
  <c r="D15" i="3"/>
  <c r="R15" i="3"/>
  <c r="L16" i="3"/>
  <c r="N16" i="3"/>
  <c r="V15" i="3"/>
  <c r="W15" i="3"/>
  <c r="AK15" i="3"/>
  <c r="AE16" i="3"/>
  <c r="AG16" i="3"/>
  <c r="C16" i="3"/>
  <c r="W16" i="3"/>
  <c r="B18" i="3"/>
  <c r="U18" i="3"/>
  <c r="C19" i="3"/>
  <c r="D19" i="3"/>
  <c r="H20" i="3"/>
  <c r="J20" i="3"/>
  <c r="L20" i="3"/>
  <c r="P20" i="3"/>
  <c r="R19" i="3"/>
  <c r="G20" i="3" s="1"/>
  <c r="V19" i="3"/>
  <c r="W19" i="3"/>
  <c r="AA20" i="3"/>
  <c r="AB20" i="3"/>
  <c r="AC20" i="3"/>
  <c r="AD20" i="3"/>
  <c r="AI20" i="3"/>
  <c r="AJ20" i="3"/>
  <c r="AK19" i="3"/>
  <c r="AF20" i="3" s="1"/>
  <c r="C20" i="3"/>
  <c r="K20" i="3"/>
  <c r="W20" i="3"/>
  <c r="AE20" i="3"/>
  <c r="B22" i="3"/>
  <c r="U22" i="3" s="1"/>
  <c r="U43" i="3" s="1"/>
  <c r="C23" i="3"/>
  <c r="D23" i="3"/>
  <c r="R23" i="3"/>
  <c r="N24" i="3"/>
  <c r="V23" i="3"/>
  <c r="W23" i="3"/>
  <c r="AK23" i="3"/>
  <c r="AF24" i="3"/>
  <c r="AG24" i="3"/>
  <c r="C24" i="3"/>
  <c r="W24" i="3"/>
  <c r="B26" i="3"/>
  <c r="U26" i="3"/>
  <c r="U47" i="3" s="1"/>
  <c r="C27" i="3"/>
  <c r="D27" i="3"/>
  <c r="H28" i="3"/>
  <c r="R27" i="3"/>
  <c r="L28" i="3"/>
  <c r="P28" i="3"/>
  <c r="V27" i="3"/>
  <c r="W27" i="3"/>
  <c r="C28" i="3"/>
  <c r="W28" i="3"/>
  <c r="B31" i="3"/>
  <c r="V32" i="3"/>
  <c r="W32" i="3"/>
  <c r="X32" i="3"/>
  <c r="V33" i="3"/>
  <c r="B35" i="3"/>
  <c r="C36" i="3"/>
  <c r="D36" i="3"/>
  <c r="V36" i="3"/>
  <c r="W36" i="3"/>
  <c r="X36" i="3"/>
  <c r="C37" i="3"/>
  <c r="V37" i="3"/>
  <c r="B39" i="3"/>
  <c r="U39" i="3"/>
  <c r="C40" i="3"/>
  <c r="D40" i="3"/>
  <c r="V40" i="3"/>
  <c r="W40" i="3"/>
  <c r="X40" i="3"/>
  <c r="C41" i="3"/>
  <c r="V41" i="3"/>
  <c r="B43" i="3"/>
  <c r="C44" i="3"/>
  <c r="V44" i="3" s="1"/>
  <c r="D44" i="3"/>
  <c r="W44" i="3"/>
  <c r="X44" i="3"/>
  <c r="C45" i="3"/>
  <c r="V45" i="3"/>
  <c r="B47" i="3"/>
  <c r="C48" i="3"/>
  <c r="V48" i="3" s="1"/>
  <c r="D48" i="3"/>
  <c r="W48" i="3"/>
  <c r="X48" i="3"/>
  <c r="C49" i="3"/>
  <c r="V49" i="3"/>
  <c r="A2" i="2"/>
  <c r="A5" i="2"/>
  <c r="E7" i="2"/>
  <c r="F7" i="2"/>
  <c r="G7" i="2"/>
  <c r="H7" i="2"/>
  <c r="I7" i="2"/>
  <c r="E8" i="2"/>
  <c r="E18" i="2" s="1"/>
  <c r="F8" i="2"/>
  <c r="F18" i="2" s="1"/>
  <c r="G8" i="2"/>
  <c r="G18" i="2" s="1"/>
  <c r="H8" i="2"/>
  <c r="I8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11" i="2"/>
  <c r="F13" i="2" s="1"/>
  <c r="B15" i="2"/>
  <c r="E17" i="2"/>
  <c r="F17" i="2"/>
  <c r="G17" i="2"/>
  <c r="H17" i="2"/>
  <c r="I17" i="2"/>
  <c r="H18" i="2"/>
  <c r="I18" i="2"/>
  <c r="C21" i="2"/>
  <c r="C22" i="2"/>
  <c r="A10" i="1"/>
  <c r="A11" i="1" s="1"/>
  <c r="D13" i="1"/>
  <c r="F11" i="1"/>
  <c r="K13" i="1"/>
  <c r="L13" i="1"/>
  <c r="C12" i="1"/>
  <c r="H13" i="1"/>
  <c r="F12" i="1"/>
  <c r="E13" i="1"/>
  <c r="R36" i="3" s="1"/>
  <c r="G13" i="1"/>
  <c r="R44" i="3" s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C22" i="1"/>
  <c r="D24" i="1"/>
  <c r="F22" i="1"/>
  <c r="K24" i="1"/>
  <c r="L24" i="1"/>
  <c r="C23" i="1"/>
  <c r="H24" i="1"/>
  <c r="F23" i="1"/>
  <c r="E24" i="1"/>
  <c r="F21" i="2" s="1"/>
  <c r="F23" i="2" s="1"/>
  <c r="G24" i="1"/>
  <c r="AK44" i="3" s="1"/>
  <c r="AF45" i="3" l="1"/>
  <c r="AJ45" i="3"/>
  <c r="AG45" i="3"/>
  <c r="AC45" i="3"/>
  <c r="AD45" i="3"/>
  <c r="A22" i="2"/>
  <c r="A23" i="2" s="1"/>
  <c r="C23" i="2"/>
  <c r="K16" i="3"/>
  <c r="K37" i="3" s="1"/>
  <c r="M16" i="3"/>
  <c r="G16" i="3"/>
  <c r="O16" i="3"/>
  <c r="O37" i="3" s="1"/>
  <c r="H16" i="3"/>
  <c r="H37" i="3" s="1"/>
  <c r="P16" i="3"/>
  <c r="P37" i="3" s="1"/>
  <c r="I16" i="3"/>
  <c r="I37" i="3" s="1"/>
  <c r="Q16" i="3"/>
  <c r="J16" i="3"/>
  <c r="R48" i="3"/>
  <c r="I11" i="2"/>
  <c r="I13" i="2" s="1"/>
  <c r="Q12" i="3"/>
  <c r="I12" i="3"/>
  <c r="F24" i="1"/>
  <c r="M45" i="3"/>
  <c r="Q45" i="3"/>
  <c r="F45" i="3"/>
  <c r="N45" i="3"/>
  <c r="H45" i="3"/>
  <c r="P45" i="3"/>
  <c r="K45" i="3"/>
  <c r="E11" i="2"/>
  <c r="E13" i="2" s="1"/>
  <c r="R32" i="3"/>
  <c r="G28" i="3"/>
  <c r="O28" i="3"/>
  <c r="I28" i="3"/>
  <c r="Q28" i="3"/>
  <c r="K28" i="3"/>
  <c r="M28" i="3"/>
  <c r="F28" i="3"/>
  <c r="N28" i="3"/>
  <c r="AE24" i="3"/>
  <c r="AE45" i="3" s="1"/>
  <c r="AH16" i="3"/>
  <c r="Z16" i="3"/>
  <c r="AK32" i="3"/>
  <c r="E21" i="2"/>
  <c r="E23" i="2" s="1"/>
  <c r="G37" i="3"/>
  <c r="L37" i="3"/>
  <c r="M37" i="3"/>
  <c r="N37" i="3"/>
  <c r="Q37" i="3"/>
  <c r="J37" i="3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A16" i="3"/>
  <c r="AI16" i="3"/>
  <c r="AB16" i="3"/>
  <c r="AJ16" i="3"/>
  <c r="AC16" i="3"/>
  <c r="AD16" i="3"/>
  <c r="AJ28" i="3"/>
  <c r="AK48" i="3"/>
  <c r="I21" i="2"/>
  <c r="I23" i="2" s="1"/>
  <c r="AC28" i="3"/>
  <c r="P24" i="3"/>
  <c r="H24" i="3"/>
  <c r="AF16" i="3"/>
  <c r="T17" i="3"/>
  <c r="T18" i="3" s="1"/>
  <c r="T19" i="3" s="1"/>
  <c r="T20" i="3" s="1"/>
  <c r="F13" i="1"/>
  <c r="AI28" i="3"/>
  <c r="AA28" i="3"/>
  <c r="K24" i="3"/>
  <c r="M24" i="3"/>
  <c r="G24" i="3"/>
  <c r="G45" i="3" s="1"/>
  <c r="O24" i="3"/>
  <c r="O45" i="3" s="1"/>
  <c r="I24" i="3"/>
  <c r="I45" i="3" s="1"/>
  <c r="Q24" i="3"/>
  <c r="J24" i="3"/>
  <c r="J45" i="3" s="1"/>
  <c r="A13" i="3"/>
  <c r="A14" i="3" s="1"/>
  <c r="A15" i="3" s="1"/>
  <c r="A16" i="3" s="1"/>
  <c r="Z24" i="3"/>
  <c r="Z45" i="3" s="1"/>
  <c r="AH24" i="3"/>
  <c r="AH45" i="3" s="1"/>
  <c r="AA24" i="3"/>
  <c r="AA45" i="3" s="1"/>
  <c r="AI24" i="3"/>
  <c r="AI45" i="3" s="1"/>
  <c r="AB24" i="3"/>
  <c r="AB45" i="3" s="1"/>
  <c r="AJ24" i="3"/>
  <c r="AC24" i="3"/>
  <c r="AD24" i="3"/>
  <c r="L24" i="3"/>
  <c r="L45" i="3" s="1"/>
  <c r="P12" i="3"/>
  <c r="H21" i="2"/>
  <c r="H23" i="2" s="1"/>
  <c r="AK27" i="3"/>
  <c r="J24" i="1"/>
  <c r="J13" i="1"/>
  <c r="C13" i="2"/>
  <c r="AK36" i="3"/>
  <c r="AH20" i="3"/>
  <c r="Z20" i="3"/>
  <c r="N20" i="3"/>
  <c r="F20" i="3"/>
  <c r="H11" i="2"/>
  <c r="H13" i="2" s="1"/>
  <c r="AG20" i="3"/>
  <c r="Y20" i="3"/>
  <c r="M20" i="3"/>
  <c r="AK11" i="3"/>
  <c r="R11" i="3"/>
  <c r="J28" i="3"/>
  <c r="F24" i="3"/>
  <c r="F16" i="3"/>
  <c r="F37" i="3" s="1"/>
  <c r="Y24" i="3"/>
  <c r="AK24" i="3" s="1"/>
  <c r="Q20" i="3"/>
  <c r="I20" i="3"/>
  <c r="Y16" i="3"/>
  <c r="O20" i="3"/>
  <c r="R37" i="3" l="1"/>
  <c r="G12" i="3"/>
  <c r="O12" i="3"/>
  <c r="K12" i="3"/>
  <c r="L12" i="3"/>
  <c r="M12" i="3"/>
  <c r="M33" i="3" s="1"/>
  <c r="F12" i="3"/>
  <c r="R12" i="3" s="1"/>
  <c r="N12" i="3"/>
  <c r="H12" i="3"/>
  <c r="J12" i="3"/>
  <c r="R45" i="3"/>
  <c r="AK16" i="3"/>
  <c r="AA12" i="3"/>
  <c r="AI12" i="3"/>
  <c r="AD12" i="3"/>
  <c r="AD33" i="3" s="1"/>
  <c r="AE12" i="3"/>
  <c r="AE33" i="3" s="1"/>
  <c r="AF12" i="3"/>
  <c r="Y12" i="3"/>
  <c r="AG12" i="3"/>
  <c r="Z12" i="3"/>
  <c r="Z33" i="3" s="1"/>
  <c r="AH12" i="3"/>
  <c r="AG33" i="3"/>
  <c r="AF33" i="3"/>
  <c r="AH33" i="3"/>
  <c r="AA33" i="3"/>
  <c r="AI33" i="3"/>
  <c r="AJ33" i="3"/>
  <c r="Y45" i="3"/>
  <c r="AK45" i="3" s="1"/>
  <c r="AD37" i="3"/>
  <c r="Z37" i="3"/>
  <c r="AH37" i="3"/>
  <c r="AE37" i="3"/>
  <c r="AF37" i="3"/>
  <c r="Y37" i="3"/>
  <c r="AG37" i="3"/>
  <c r="AA37" i="3"/>
  <c r="AI37" i="3"/>
  <c r="AB37" i="3"/>
  <c r="AJ37" i="3"/>
  <c r="AC37" i="3"/>
  <c r="AB12" i="3"/>
  <c r="AB33" i="3" s="1"/>
  <c r="R40" i="3"/>
  <c r="G11" i="2"/>
  <c r="G13" i="2" s="1"/>
  <c r="AA49" i="3"/>
  <c r="AI49" i="3"/>
  <c r="AB49" i="3"/>
  <c r="AJ49" i="3"/>
  <c r="AF49" i="3"/>
  <c r="AC49" i="3"/>
  <c r="A23" i="1"/>
  <c r="A24" i="1" s="1"/>
  <c r="AK20" i="3"/>
  <c r="AJ12" i="3"/>
  <c r="C13" i="1"/>
  <c r="G21" i="2"/>
  <c r="G23" i="2" s="1"/>
  <c r="AK40" i="3"/>
  <c r="T21" i="3"/>
  <c r="T22" i="3" s="1"/>
  <c r="T23" i="3" s="1"/>
  <c r="T24" i="3" s="1"/>
  <c r="R16" i="3"/>
  <c r="R24" i="3"/>
  <c r="R20" i="3"/>
  <c r="AD28" i="3"/>
  <c r="AD49" i="3" s="1"/>
  <c r="AF28" i="3"/>
  <c r="Y28" i="3"/>
  <c r="AG28" i="3"/>
  <c r="AG49" i="3" s="1"/>
  <c r="Z28" i="3"/>
  <c r="Z49" i="3" s="1"/>
  <c r="AH28" i="3"/>
  <c r="AH49" i="3" s="1"/>
  <c r="AE28" i="3"/>
  <c r="AE49" i="3" s="1"/>
  <c r="A17" i="3"/>
  <c r="A18" i="3" s="1"/>
  <c r="A19" i="3" s="1"/>
  <c r="A20" i="3" s="1"/>
  <c r="R28" i="3"/>
  <c r="J33" i="3"/>
  <c r="N33" i="3"/>
  <c r="K33" i="3"/>
  <c r="L33" i="3"/>
  <c r="G33" i="3"/>
  <c r="O33" i="3"/>
  <c r="H33" i="3"/>
  <c r="P33" i="3"/>
  <c r="I33" i="3"/>
  <c r="Q33" i="3"/>
  <c r="AC12" i="3"/>
  <c r="AC33" i="3" s="1"/>
  <c r="F49" i="3"/>
  <c r="N49" i="3"/>
  <c r="G49" i="3"/>
  <c r="O49" i="3"/>
  <c r="J49" i="3"/>
  <c r="H49" i="3"/>
  <c r="P49" i="3"/>
  <c r="I49" i="3"/>
  <c r="Q49" i="3"/>
  <c r="K49" i="3"/>
  <c r="L49" i="3"/>
  <c r="M49" i="3"/>
  <c r="AB28" i="3"/>
  <c r="L41" i="3" l="1"/>
  <c r="M41" i="3"/>
  <c r="P41" i="3"/>
  <c r="F41" i="3"/>
  <c r="N41" i="3"/>
  <c r="G41" i="3"/>
  <c r="O41" i="3"/>
  <c r="I41" i="3"/>
  <c r="Q41" i="3"/>
  <c r="J41" i="3"/>
  <c r="K41" i="3"/>
  <c r="H41" i="3"/>
  <c r="AK37" i="3"/>
  <c r="T25" i="3"/>
  <c r="T26" i="3" s="1"/>
  <c r="T27" i="3" s="1"/>
  <c r="T28" i="3" s="1"/>
  <c r="C24" i="1"/>
  <c r="F33" i="3"/>
  <c r="R33" i="3" s="1"/>
  <c r="AK28" i="3"/>
  <c r="Y49" i="3"/>
  <c r="AK49" i="3" s="1"/>
  <c r="AK12" i="3"/>
  <c r="AE41" i="3"/>
  <c r="AI41" i="3"/>
  <c r="AF41" i="3"/>
  <c r="Y41" i="3"/>
  <c r="AG41" i="3"/>
  <c r="Z41" i="3"/>
  <c r="AH41" i="3"/>
  <c r="AA41" i="3"/>
  <c r="AB41" i="3"/>
  <c r="AJ41" i="3"/>
  <c r="AC41" i="3"/>
  <c r="AD41" i="3"/>
  <c r="A21" i="3"/>
  <c r="A22" i="3" s="1"/>
  <c r="A23" i="3" s="1"/>
  <c r="A24" i="3" s="1"/>
  <c r="R49" i="3"/>
  <c r="Y33" i="3"/>
  <c r="AK33" i="3" s="1"/>
  <c r="AK41" i="3" l="1"/>
  <c r="R41" i="3"/>
  <c r="T29" i="3"/>
  <c r="T30" i="3" s="1"/>
  <c r="T31" i="3" s="1"/>
  <c r="T32" i="3" s="1"/>
  <c r="A25" i="3"/>
  <c r="A26" i="3" s="1"/>
  <c r="A27" i="3" s="1"/>
  <c r="A28" i="3" s="1"/>
  <c r="A29" i="3" l="1"/>
  <c r="A30" i="3" s="1"/>
  <c r="A31" i="3" s="1"/>
  <c r="A32" i="3" s="1"/>
  <c r="T33" i="3"/>
  <c r="T34" i="3" s="1"/>
  <c r="T35" i="3" s="1"/>
  <c r="T36" i="3" s="1"/>
  <c r="W33" i="3"/>
  <c r="T37" i="3" l="1"/>
  <c r="T38" i="3" s="1"/>
  <c r="T39" i="3" s="1"/>
  <c r="T40" i="3" s="1"/>
  <c r="W37" i="3"/>
  <c r="A33" i="3"/>
  <c r="A34" i="3" s="1"/>
  <c r="A35" i="3" s="1"/>
  <c r="A36" i="3" s="1"/>
  <c r="D33" i="3"/>
  <c r="A37" i="3" l="1"/>
  <c r="A38" i="3" s="1"/>
  <c r="A39" i="3" s="1"/>
  <c r="A40" i="3" s="1"/>
  <c r="D37" i="3"/>
  <c r="T41" i="3"/>
  <c r="T42" i="3" s="1"/>
  <c r="T43" i="3" s="1"/>
  <c r="T44" i="3" s="1"/>
  <c r="W41" i="3"/>
  <c r="T45" i="3" l="1"/>
  <c r="T46" i="3" s="1"/>
  <c r="T47" i="3" s="1"/>
  <c r="T48" i="3" s="1"/>
  <c r="W45" i="3"/>
  <c r="A41" i="3"/>
  <c r="A42" i="3" s="1"/>
  <c r="A43" i="3" s="1"/>
  <c r="A44" i="3" s="1"/>
  <c r="D41" i="3"/>
  <c r="A45" i="3" l="1"/>
  <c r="A46" i="3" s="1"/>
  <c r="A47" i="3" s="1"/>
  <c r="A48" i="3" s="1"/>
  <c r="D45" i="3"/>
  <c r="T49" i="3"/>
  <c r="W49" i="3"/>
  <c r="A49" i="3" l="1"/>
  <c r="D49" i="3"/>
</calcChain>
</file>

<file path=xl/sharedStrings.xml><?xml version="1.0" encoding="utf-8"?>
<sst xmlns="http://schemas.openxmlformats.org/spreadsheetml/2006/main" count="185" uniqueCount="80">
  <si>
    <t>Annual Allowed Fixed Power Cost Revenue</t>
  </si>
  <si>
    <t xml:space="preserve">   Allocated Variable Power Costs</t>
  </si>
  <si>
    <t>Total Allocated Power Costs</t>
  </si>
  <si>
    <t>Proposed:</t>
  </si>
  <si>
    <t>(j)</t>
  </si>
  <si>
    <t>(i)</t>
  </si>
  <si>
    <t>(h)</t>
  </si>
  <si>
    <t>(g)</t>
  </si>
  <si>
    <t>(f)</t>
  </si>
  <si>
    <t>(e) = Σ (h thru j)</t>
  </si>
  <si>
    <t>(d)</t>
  </si>
  <si>
    <t>(c)</t>
  </si>
  <si>
    <t>(b)</t>
  </si>
  <si>
    <t>(a)</t>
  </si>
  <si>
    <t>Source</t>
  </si>
  <si>
    <t>Proposed Effective January, 2026</t>
  </si>
  <si>
    <t>Exhibit CTM-5</t>
  </si>
  <si>
    <t>7A (11) (25) 29</t>
  </si>
  <si>
    <t>10 (31)</t>
  </si>
  <si>
    <t>12 (26) (26P)</t>
  </si>
  <si>
    <t>7A (11) (25) 29 35 43</t>
  </si>
  <si>
    <t>08 (24) (324)</t>
  </si>
  <si>
    <t>7 (307) (317) (327)</t>
  </si>
  <si>
    <t>No.</t>
  </si>
  <si>
    <t>Schedule</t>
  </si>
  <si>
    <t>Schedules</t>
  </si>
  <si>
    <t xml:space="preserve">Schedule  </t>
  </si>
  <si>
    <t>Line</t>
  </si>
  <si>
    <t>Proposed Effective January, 2025</t>
  </si>
  <si>
    <t>Development of Fixed Power Cost Allowed Revenue by Decoupling Group</t>
  </si>
  <si>
    <t>Electric Fixed Power Cost Decoupling Mechanism (Schedule 142)</t>
  </si>
  <si>
    <t>2024 General Rate Case Docket No. UE-240004 and UG-240005</t>
  </si>
  <si>
    <t>Puget Sound Energy</t>
  </si>
  <si>
    <t>Sheet No. 142-G.1</t>
  </si>
  <si>
    <t>Volumetric Fixed Power Cost Revenue Per Unit ($/kWh)</t>
  </si>
  <si>
    <t>F2023 Forecasted Volumes (KWHs)</t>
  </si>
  <si>
    <t>(e)</t>
  </si>
  <si>
    <t>Tariff</t>
  </si>
  <si>
    <t>Exhibit CTM-3</t>
  </si>
  <si>
    <t>Exhibit CTM-10, Page 1</t>
  </si>
  <si>
    <t>Development of Fixed Power Cost Revenue Per Unit Rates ($/kWh)</t>
  </si>
  <si>
    <t>Electric Decoupling Mechanism (Schedule 142)</t>
  </si>
  <si>
    <t>PUGET SOUND ENERGY</t>
  </si>
  <si>
    <t>Sheet No. 142-G.6</t>
  </si>
  <si>
    <t>Sheet No. 142-G.5</t>
  </si>
  <si>
    <t>Sheet No. 142-G.4</t>
  </si>
  <si>
    <t>Sheet No. 142-G.3</t>
  </si>
  <si>
    <t>Monthly Allowed FPC Revenue</t>
  </si>
  <si>
    <t>Sheet No. 142-G.2</t>
  </si>
  <si>
    <t>Allowed Fixed Power Cost Revenue</t>
  </si>
  <si>
    <t>Monthly Allowed Fixed Power Cost (FPC) Revenue</t>
  </si>
  <si>
    <t>% of Annual Total</t>
  </si>
  <si>
    <t>% of (C(p):R(19))</t>
  </si>
  <si>
    <t>% of (C(p):R(15))</t>
  </si>
  <si>
    <t>% of (C(p):R(11))</t>
  </si>
  <si>
    <t>% of (C(p):R(7))</t>
  </si>
  <si>
    <t>% of (C(p):R(3))</t>
  </si>
  <si>
    <t>Forecasted Delivered Volumes</t>
  </si>
  <si>
    <t>Sales</t>
  </si>
  <si>
    <t>(p)</t>
  </si>
  <si>
    <t>(o)</t>
  </si>
  <si>
    <t>(n)</t>
  </si>
  <si>
    <t>(m)</t>
  </si>
  <si>
    <t>(l)</t>
  </si>
  <si>
    <t>(k)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</si>
  <si>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</si>
  <si>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</si>
  <si>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</si>
  <si>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</si>
  <si>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</si>
  <si>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</si>
  <si>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</si>
  <si>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</si>
  <si>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</si>
  <si>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</si>
  <si>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</si>
  <si>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</si>
  <si>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</si>
  <si>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Line No.</t>
  </si>
  <si>
    <t>Development of Monthly Allowed Fixed Power Cost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</si>
</sst>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i/>
      <u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4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41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41" fontId="2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3" fontId="1" fillId="0" borderId="0" xfId="0" applyNumberFormat="1" applyFont="1" applyFill="1"/>
    <xf numFmtId="0" fontId="3" fillId="0" borderId="0" xfId="0" applyFont="1" applyFill="1"/>
    <xf numFmtId="166" fontId="1" fillId="0" borderId="0" xfId="0" applyNumberFormat="1" applyFont="1" applyFill="1"/>
    <xf numFmtId="0" fontId="1" fillId="0" borderId="0" xfId="0" applyFont="1" applyFill="1" applyAlignment="1">
      <alignment horizontal="left"/>
    </xf>
    <xf numFmtId="10" fontId="1" fillId="0" borderId="0" xfId="0" applyNumberFormat="1" applyFont="1" applyFill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5" fontId="2" fillId="0" borderId="3" xfId="0" applyNumberFormat="1" applyFont="1" applyFill="1" applyBorder="1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F457-A7D0-42BA-8D0A-353FCD47E2EE}">
  <sheetPr>
    <pageSetUpPr fitToPage="1"/>
  </sheetPr>
  <dimension ref="A1:M25"/>
  <sheetViews>
    <sheetView tabSelected="1" workbookViewId="0">
      <selection activeCell="D33" sqref="D33"/>
    </sheetView>
  </sheetViews>
  <sheetFormatPr defaultColWidth="8.85546875" defaultRowHeight="11.25" x14ac:dyDescent="0.2"/>
  <cols>
    <col min="1" max="1" width="4.28515625" style="1" bestFit="1" customWidth="1"/>
    <col min="2" max="2" width="34.140625" style="1" bestFit="1" customWidth="1"/>
    <col min="3" max="3" width="35.140625" style="1" customWidth="1"/>
    <col min="4" max="4" width="14.42578125" style="1" bestFit="1" customWidth="1"/>
    <col min="5" max="5" width="12.140625" style="1" bestFit="1" customWidth="1"/>
    <col min="6" max="6" width="16.140625" style="1" bestFit="1" customWidth="1"/>
    <col min="7" max="7" width="12.140625" style="1" bestFit="1" customWidth="1"/>
    <col min="8" max="8" width="11.28515625" style="1" bestFit="1" customWidth="1"/>
    <col min="9" max="9" width="1.140625" style="1" customWidth="1"/>
    <col min="10" max="10" width="12.140625" style="1" bestFit="1" customWidth="1"/>
    <col min="11" max="12" width="11.5703125" style="1" customWidth="1"/>
    <col min="13" max="16384" width="8.85546875" style="1"/>
  </cols>
  <sheetData>
    <row r="1" spans="1:13" ht="15" customHeight="1" x14ac:dyDescent="0.2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2" customHeight="1" x14ac:dyDescent="0.2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0"/>
    </row>
    <row r="3" spans="1:13" ht="11.25" customHeight="1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2.75" customHeight="1" x14ac:dyDescent="0.2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12" customHeight="1" x14ac:dyDescent="0.2">
      <c r="A5" s="32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ht="15" customHeight="1" x14ac:dyDescent="0.2">
      <c r="A6" s="2"/>
      <c r="B6" s="3"/>
      <c r="C6" s="3"/>
      <c r="D6" s="3"/>
      <c r="E6" s="3"/>
      <c r="F6" s="3"/>
      <c r="G6" s="3"/>
      <c r="I6" s="3"/>
      <c r="J6" s="3"/>
      <c r="K6" s="3"/>
      <c r="L6" s="3"/>
    </row>
    <row r="7" spans="1:13" ht="15" customHeight="1" x14ac:dyDescent="0.2">
      <c r="A7" s="4" t="s">
        <v>27</v>
      </c>
      <c r="B7" s="3"/>
      <c r="C7" s="3"/>
      <c r="D7" s="3" t="s">
        <v>26</v>
      </c>
      <c r="E7" s="3" t="s">
        <v>25</v>
      </c>
      <c r="F7" s="3" t="s">
        <v>25</v>
      </c>
      <c r="G7" s="3" t="s">
        <v>25</v>
      </c>
      <c r="H7" s="3" t="s">
        <v>25</v>
      </c>
      <c r="I7" s="3"/>
      <c r="J7" s="3" t="s">
        <v>25</v>
      </c>
      <c r="K7" s="3" t="s">
        <v>24</v>
      </c>
      <c r="L7" s="3" t="s">
        <v>24</v>
      </c>
    </row>
    <row r="8" spans="1:13" ht="15" customHeight="1" x14ac:dyDescent="0.2">
      <c r="A8" s="5" t="s">
        <v>23</v>
      </c>
      <c r="B8" s="6"/>
      <c r="C8" s="7" t="s">
        <v>14</v>
      </c>
      <c r="D8" s="16" t="s">
        <v>22</v>
      </c>
      <c r="E8" s="16" t="s">
        <v>21</v>
      </c>
      <c r="F8" s="16" t="s">
        <v>20</v>
      </c>
      <c r="G8" s="16" t="s">
        <v>19</v>
      </c>
      <c r="H8" s="16" t="s">
        <v>18</v>
      </c>
      <c r="I8" s="8"/>
      <c r="J8" s="16" t="s">
        <v>17</v>
      </c>
      <c r="K8" s="16">
        <v>35</v>
      </c>
      <c r="L8" s="16">
        <v>43</v>
      </c>
    </row>
    <row r="9" spans="1:13" ht="15" customHeight="1" x14ac:dyDescent="0.2">
      <c r="B9" s="9" t="s">
        <v>13</v>
      </c>
      <c r="C9" s="9" t="s">
        <v>12</v>
      </c>
      <c r="D9" s="9" t="s">
        <v>11</v>
      </c>
      <c r="E9" s="9" t="s">
        <v>10</v>
      </c>
      <c r="F9" s="9" t="s">
        <v>9</v>
      </c>
      <c r="G9" s="9" t="s">
        <v>8</v>
      </c>
      <c r="H9" s="9" t="s">
        <v>7</v>
      </c>
      <c r="I9" s="9"/>
      <c r="J9" s="9" t="s">
        <v>6</v>
      </c>
      <c r="K9" s="9" t="s">
        <v>5</v>
      </c>
      <c r="L9" s="9" t="s">
        <v>4</v>
      </c>
    </row>
    <row r="10" spans="1:13" x14ac:dyDescent="0.2">
      <c r="A10" s="9">
        <f>1</f>
        <v>1</v>
      </c>
      <c r="B10" s="20" t="s">
        <v>3</v>
      </c>
      <c r="D10" s="10"/>
    </row>
    <row r="11" spans="1:13" x14ac:dyDescent="0.2">
      <c r="A11" s="9">
        <f t="shared" ref="A11:A24" si="0">A10+1</f>
        <v>2</v>
      </c>
      <c r="B11" s="1" t="s">
        <v>2</v>
      </c>
      <c r="C11" s="12" t="s">
        <v>16</v>
      </c>
      <c r="D11" s="11">
        <v>803891844.10849631</v>
      </c>
      <c r="E11" s="11">
        <v>190211489.19499549</v>
      </c>
      <c r="F11" s="11">
        <f>SUM(J11:L11)</f>
        <v>214518703.77575177</v>
      </c>
      <c r="G11" s="11">
        <v>122589627.90563178</v>
      </c>
      <c r="H11" s="11">
        <v>87442280.534922361</v>
      </c>
      <c r="I11" s="11"/>
      <c r="J11" s="11">
        <v>207783533.77508283</v>
      </c>
      <c r="K11" s="11">
        <v>308007.64912766695</v>
      </c>
      <c r="L11" s="11">
        <v>6427162.3515412742</v>
      </c>
    </row>
    <row r="12" spans="1:13" x14ac:dyDescent="0.2">
      <c r="A12" s="9">
        <f t="shared" si="0"/>
        <v>3</v>
      </c>
      <c r="B12" s="1" t="s">
        <v>1</v>
      </c>
      <c r="C12" s="12" t="str">
        <f>C11</f>
        <v>Exhibit CTM-5</v>
      </c>
      <c r="D12" s="11">
        <v>547295461.27534163</v>
      </c>
      <c r="E12" s="11">
        <v>134007225.23887599</v>
      </c>
      <c r="F12" s="11">
        <f>SUM(J12:L12)</f>
        <v>151532279.2458944</v>
      </c>
      <c r="G12" s="11">
        <v>87335903.257395253</v>
      </c>
      <c r="H12" s="11">
        <v>62834768.02153071</v>
      </c>
      <c r="I12" s="11"/>
      <c r="J12" s="11">
        <v>145611001.86500621</v>
      </c>
      <c r="K12" s="11">
        <v>237937.51262506715</v>
      </c>
      <c r="L12" s="11">
        <v>5683339.8682631208</v>
      </c>
    </row>
    <row r="13" spans="1:13" ht="12" thickBot="1" x14ac:dyDescent="0.25">
      <c r="A13" s="9">
        <f t="shared" si="0"/>
        <v>4</v>
      </c>
      <c r="B13" s="1" t="s">
        <v>0</v>
      </c>
      <c r="C13" s="9" t="str">
        <f>"("&amp;A11&amp;") - ("&amp;A12&amp;")"</f>
        <v>(2) - (3)</v>
      </c>
      <c r="D13" s="13">
        <f>D11-D12</f>
        <v>256596382.83315468</v>
      </c>
      <c r="E13" s="13">
        <f>E11-E12</f>
        <v>56204263.956119508</v>
      </c>
      <c r="F13" s="13">
        <f>F11-F12</f>
        <v>62986424.529857367</v>
      </c>
      <c r="G13" s="13">
        <f>G11-G12</f>
        <v>35253724.648236528</v>
      </c>
      <c r="H13" s="13">
        <f>H11-H12</f>
        <v>24607512.513391651</v>
      </c>
      <c r="I13" s="14"/>
      <c r="J13" s="13">
        <f>J11-J12</f>
        <v>62172531.910076618</v>
      </c>
      <c r="K13" s="13">
        <f>K11-K12</f>
        <v>70070.136502599809</v>
      </c>
      <c r="L13" s="13">
        <f>L11-L12</f>
        <v>743822.48327815346</v>
      </c>
    </row>
    <row r="14" spans="1:13" ht="12" thickTop="1" x14ac:dyDescent="0.2">
      <c r="A14" s="9">
        <f t="shared" si="0"/>
        <v>5</v>
      </c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2">
      <c r="A15" s="9">
        <f t="shared" si="0"/>
        <v>6</v>
      </c>
    </row>
    <row r="16" spans="1:13" x14ac:dyDescent="0.2">
      <c r="A16" s="9">
        <f t="shared" si="0"/>
        <v>7</v>
      </c>
      <c r="B16" s="15" t="s">
        <v>15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">
      <c r="A17" s="9">
        <f t="shared" si="0"/>
        <v>8</v>
      </c>
      <c r="B17" s="3"/>
      <c r="C17" s="3"/>
      <c r="D17" s="3"/>
      <c r="E17" s="3"/>
      <c r="F17" s="3"/>
      <c r="G17" s="3"/>
      <c r="I17" s="3"/>
      <c r="J17" s="3"/>
      <c r="K17" s="3"/>
      <c r="L17" s="3"/>
    </row>
    <row r="18" spans="1:12" x14ac:dyDescent="0.2">
      <c r="A18" s="9">
        <f t="shared" si="0"/>
        <v>9</v>
      </c>
      <c r="B18" s="3"/>
      <c r="C18" s="3"/>
      <c r="D18" s="3" t="str">
        <f t="shared" ref="D18:L18" si="1">D7</f>
        <v xml:space="preserve">Schedule  </v>
      </c>
      <c r="E18" s="3" t="str">
        <f t="shared" si="1"/>
        <v>Schedules</v>
      </c>
      <c r="F18" s="3" t="str">
        <f t="shared" si="1"/>
        <v>Schedules</v>
      </c>
      <c r="G18" s="3" t="str">
        <f t="shared" si="1"/>
        <v>Schedules</v>
      </c>
      <c r="H18" s="3" t="str">
        <f t="shared" si="1"/>
        <v>Schedules</v>
      </c>
      <c r="I18" s="3">
        <f t="shared" si="1"/>
        <v>0</v>
      </c>
      <c r="J18" s="3" t="str">
        <f t="shared" si="1"/>
        <v>Schedules</v>
      </c>
      <c r="K18" s="3" t="str">
        <f t="shared" si="1"/>
        <v>Schedule</v>
      </c>
      <c r="L18" s="3" t="str">
        <f t="shared" si="1"/>
        <v>Schedule</v>
      </c>
    </row>
    <row r="19" spans="1:12" x14ac:dyDescent="0.2">
      <c r="A19" s="9">
        <f t="shared" si="0"/>
        <v>10</v>
      </c>
      <c r="B19" s="6"/>
      <c r="C19" s="7" t="s">
        <v>14</v>
      </c>
      <c r="D19" s="16" t="str">
        <f t="shared" ref="D19:L19" si="2">D8</f>
        <v>7 (307) (317) (327)</v>
      </c>
      <c r="E19" s="16" t="str">
        <f t="shared" si="2"/>
        <v>08 (24) (324)</v>
      </c>
      <c r="F19" s="16" t="str">
        <f t="shared" si="2"/>
        <v>7A (11) (25) 29 35 43</v>
      </c>
      <c r="G19" s="16" t="str">
        <f t="shared" si="2"/>
        <v>12 (26) (26P)</v>
      </c>
      <c r="H19" s="16" t="str">
        <f t="shared" si="2"/>
        <v>10 (31)</v>
      </c>
      <c r="I19" s="16">
        <f t="shared" si="2"/>
        <v>0</v>
      </c>
      <c r="J19" s="16" t="str">
        <f t="shared" si="2"/>
        <v>7A (11) (25) 29</v>
      </c>
      <c r="K19" s="16">
        <f t="shared" si="2"/>
        <v>35</v>
      </c>
      <c r="L19" s="16">
        <f t="shared" si="2"/>
        <v>43</v>
      </c>
    </row>
    <row r="20" spans="1:12" x14ac:dyDescent="0.2">
      <c r="A20" s="9">
        <f t="shared" si="0"/>
        <v>11</v>
      </c>
      <c r="B20" s="9" t="s">
        <v>13</v>
      </c>
      <c r="C20" s="9" t="s">
        <v>12</v>
      </c>
      <c r="D20" s="9" t="s">
        <v>11</v>
      </c>
      <c r="E20" s="9" t="s">
        <v>10</v>
      </c>
      <c r="F20" s="9" t="s">
        <v>9</v>
      </c>
      <c r="G20" s="9" t="s">
        <v>8</v>
      </c>
      <c r="H20" s="9" t="s">
        <v>7</v>
      </c>
      <c r="I20" s="9"/>
      <c r="J20" s="9" t="s">
        <v>6</v>
      </c>
      <c r="K20" s="9" t="s">
        <v>5</v>
      </c>
      <c r="L20" s="9" t="s">
        <v>4</v>
      </c>
    </row>
    <row r="21" spans="1:12" x14ac:dyDescent="0.2">
      <c r="A21" s="9">
        <f t="shared" si="0"/>
        <v>12</v>
      </c>
      <c r="B21" s="20" t="s">
        <v>3</v>
      </c>
      <c r="C21" s="9"/>
      <c r="D21" s="10"/>
    </row>
    <row r="22" spans="1:12" x14ac:dyDescent="0.2">
      <c r="A22" s="9">
        <f t="shared" si="0"/>
        <v>13</v>
      </c>
      <c r="B22" s="1" t="s">
        <v>2</v>
      </c>
      <c r="C22" s="12" t="str">
        <f>C11</f>
        <v>Exhibit CTM-5</v>
      </c>
      <c r="D22" s="11">
        <v>907103191.83152759</v>
      </c>
      <c r="E22" s="11">
        <v>214427103.43212625</v>
      </c>
      <c r="F22" s="11">
        <f>SUM(J22:L22)</f>
        <v>241810568.59110239</v>
      </c>
      <c r="G22" s="11">
        <v>138152173.252666</v>
      </c>
      <c r="H22" s="11">
        <v>98518291.966381341</v>
      </c>
      <c r="I22" s="11"/>
      <c r="J22" s="11">
        <v>234271557.56619161</v>
      </c>
      <c r="K22" s="11">
        <v>346268.36922411347</v>
      </c>
      <c r="L22" s="11">
        <v>7192742.6556866644</v>
      </c>
    </row>
    <row r="23" spans="1:12" x14ac:dyDescent="0.2">
      <c r="A23" s="9">
        <f t="shared" si="0"/>
        <v>14</v>
      </c>
      <c r="B23" s="1" t="s">
        <v>1</v>
      </c>
      <c r="C23" s="12" t="str">
        <f>C12</f>
        <v>Exhibit CTM-5</v>
      </c>
      <c r="D23" s="11">
        <v>609423832.91583717</v>
      </c>
      <c r="E23" s="11">
        <v>149219576.30195904</v>
      </c>
      <c r="F23" s="11">
        <f>SUM(J23:L23)</f>
        <v>168734054.93499315</v>
      </c>
      <c r="G23" s="11">
        <v>97250177.792926252</v>
      </c>
      <c r="H23" s="11">
        <v>69967700.954117164</v>
      </c>
      <c r="I23" s="11"/>
      <c r="J23" s="11">
        <v>162140600.73603117</v>
      </c>
      <c r="K23" s="11">
        <v>264947.91424092883</v>
      </c>
      <c r="L23" s="11">
        <v>6328506.2847210392</v>
      </c>
    </row>
    <row r="24" spans="1:12" ht="12" thickBot="1" x14ac:dyDescent="0.25">
      <c r="A24" s="9">
        <f t="shared" si="0"/>
        <v>15</v>
      </c>
      <c r="B24" s="1" t="s">
        <v>0</v>
      </c>
      <c r="C24" s="9" t="str">
        <f>"("&amp;A22&amp;") - ("&amp;A23&amp;")"</f>
        <v>(13) - (14)</v>
      </c>
      <c r="D24" s="13">
        <f>D22-D23</f>
        <v>297679358.91569042</v>
      </c>
      <c r="E24" s="13">
        <f>E22-E23</f>
        <v>65207527.130167216</v>
      </c>
      <c r="F24" s="13">
        <f>F22-F23</f>
        <v>73076513.656109244</v>
      </c>
      <c r="G24" s="13">
        <f>G22-G23</f>
        <v>40901995.459739745</v>
      </c>
      <c r="H24" s="13">
        <f>H22-H23</f>
        <v>28550591.012264177</v>
      </c>
      <c r="I24" s="14"/>
      <c r="J24" s="13">
        <f>J22-J23</f>
        <v>72130956.830160439</v>
      </c>
      <c r="K24" s="13">
        <f>K22-K23</f>
        <v>81320.454983184638</v>
      </c>
      <c r="L24" s="13">
        <f>L22-L23</f>
        <v>864236.37096562516</v>
      </c>
    </row>
    <row r="25" spans="1:12" ht="12" thickTop="1" x14ac:dyDescent="0.2">
      <c r="A25" s="9"/>
      <c r="C25" s="9"/>
      <c r="D25" s="17"/>
      <c r="E25" s="17"/>
      <c r="F25" s="17"/>
      <c r="G25" s="17"/>
      <c r="H25" s="17"/>
      <c r="I25" s="17"/>
      <c r="J25" s="17"/>
      <c r="K25" s="17"/>
      <c r="L25" s="17"/>
    </row>
  </sheetData>
  <mergeCells count="5">
    <mergeCell ref="A1:L1"/>
    <mergeCell ref="A3:L3"/>
    <mergeCell ref="A4:L4"/>
    <mergeCell ref="A5:L5"/>
    <mergeCell ref="A2:L2"/>
  </mergeCells>
  <printOptions horizontalCentered="1"/>
  <pageMargins left="0.7" right="0.7" top="0.75" bottom="0.75" header="0.3" footer="0.3"/>
  <pageSetup scale="70" orientation="landscape" blackAndWhite="1" horizontalDpi="300" verticalDpi="300" r:id="rId1"/>
  <headerFooter alignWithMargins="0">
    <oddFooter>&amp;R&amp;F
&amp;A
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FE4E-9DE4-44D5-B5BD-2066F27CBBB2}">
  <sheetPr>
    <pageSetUpPr fitToPage="1"/>
  </sheetPr>
  <dimension ref="A1:I25"/>
  <sheetViews>
    <sheetView workbookViewId="0">
      <selection activeCell="D16" sqref="D16"/>
    </sheetView>
  </sheetViews>
  <sheetFormatPr defaultColWidth="9.140625" defaultRowHeight="11.25" x14ac:dyDescent="0.2"/>
  <cols>
    <col min="1" max="1" width="4.28515625" style="1" bestFit="1" customWidth="1"/>
    <col min="2" max="2" width="47.7109375" style="1" bestFit="1" customWidth="1"/>
    <col min="3" max="3" width="35.28515625" style="1" bestFit="1" customWidth="1"/>
    <col min="4" max="4" width="13.85546875" style="1" bestFit="1" customWidth="1"/>
    <col min="5" max="5" width="14.42578125" style="1" bestFit="1" customWidth="1"/>
    <col min="6" max="6" width="12" style="1" bestFit="1" customWidth="1"/>
    <col min="7" max="7" width="17.28515625" style="1" bestFit="1" customWidth="1"/>
    <col min="8" max="9" width="12" style="1" bestFit="1" customWidth="1"/>
    <col min="10" max="16384" width="9.140625" style="1"/>
  </cols>
  <sheetData>
    <row r="1" spans="1:9" ht="15" customHeight="1" x14ac:dyDescent="0.2">
      <c r="A1" s="32" t="s">
        <v>42</v>
      </c>
      <c r="B1" s="32"/>
      <c r="C1" s="32"/>
      <c r="D1" s="32"/>
      <c r="E1" s="32"/>
      <c r="F1" s="32"/>
      <c r="G1" s="32"/>
      <c r="H1" s="32"/>
      <c r="I1" s="32"/>
    </row>
    <row r="2" spans="1:9" ht="15" customHeight="1" x14ac:dyDescent="0.2">
      <c r="A2" s="32" t="str">
        <f>'Exh CTM-10 (Page 1)'!A2:L2</f>
        <v>2024 General Rate Case Docket No. UE-240004 and UG-240005</v>
      </c>
      <c r="B2" s="32"/>
      <c r="C2" s="32"/>
      <c r="D2" s="32"/>
      <c r="E2" s="32"/>
      <c r="F2" s="32"/>
      <c r="G2" s="32"/>
      <c r="H2" s="32"/>
      <c r="I2" s="32"/>
    </row>
    <row r="3" spans="1:9" ht="15" customHeight="1" x14ac:dyDescent="0.2">
      <c r="A3" s="32" t="s">
        <v>41</v>
      </c>
      <c r="B3" s="32"/>
      <c r="C3" s="32"/>
      <c r="D3" s="32"/>
      <c r="E3" s="32"/>
      <c r="F3" s="32"/>
      <c r="G3" s="32"/>
      <c r="H3" s="32"/>
      <c r="I3" s="32"/>
    </row>
    <row r="4" spans="1:9" ht="15" customHeight="1" x14ac:dyDescent="0.2">
      <c r="A4" s="32" t="s">
        <v>40</v>
      </c>
      <c r="B4" s="32"/>
      <c r="C4" s="32"/>
      <c r="D4" s="32"/>
      <c r="E4" s="32"/>
      <c r="F4" s="32"/>
      <c r="G4" s="32"/>
      <c r="H4" s="32"/>
      <c r="I4" s="32"/>
    </row>
    <row r="5" spans="1:9" ht="15" customHeight="1" x14ac:dyDescent="0.2">
      <c r="A5" s="32" t="str">
        <f>'Exh CTM-10 (Page 1)'!A5:L5</f>
        <v>Proposed Effective January, 2025</v>
      </c>
      <c r="B5" s="32"/>
      <c r="C5" s="32"/>
      <c r="D5" s="32"/>
      <c r="E5" s="32"/>
      <c r="F5" s="32"/>
      <c r="G5" s="32"/>
      <c r="H5" s="32"/>
      <c r="I5" s="32"/>
    </row>
    <row r="6" spans="1:9" ht="15" customHeight="1" x14ac:dyDescent="0.2"/>
    <row r="7" spans="1:9" ht="15" customHeight="1" x14ac:dyDescent="0.2">
      <c r="A7" s="4" t="s">
        <v>27</v>
      </c>
      <c r="E7" s="3" t="str">
        <f>'Exh CTM-10 (Page 1)'!D7</f>
        <v xml:space="preserve">Schedule  </v>
      </c>
      <c r="F7" s="3" t="str">
        <f>'Exh CTM-10 (Page 1)'!E7</f>
        <v>Schedules</v>
      </c>
      <c r="G7" s="3" t="str">
        <f>'Exh CTM-10 (Page 1)'!F7</f>
        <v>Schedules</v>
      </c>
      <c r="H7" s="3" t="str">
        <f>'Exh CTM-10 (Page 1)'!G7</f>
        <v>Schedules</v>
      </c>
      <c r="I7" s="3" t="str">
        <f>'Exh CTM-10 (Page 1)'!H7</f>
        <v>Schedules</v>
      </c>
    </row>
    <row r="8" spans="1:9" ht="15" customHeight="1" x14ac:dyDescent="0.2">
      <c r="A8" s="5" t="s">
        <v>23</v>
      </c>
      <c r="B8" s="6"/>
      <c r="C8" s="7" t="s">
        <v>14</v>
      </c>
      <c r="D8" s="7" t="s">
        <v>37</v>
      </c>
      <c r="E8" s="16" t="str">
        <f>'Exh CTM-10 (Page 1)'!D8</f>
        <v>7 (307) (317) (327)</v>
      </c>
      <c r="F8" s="16" t="str">
        <f>'Exh CTM-10 (Page 1)'!E8</f>
        <v>08 (24) (324)</v>
      </c>
      <c r="G8" s="16" t="str">
        <f>'Exh CTM-10 (Page 1)'!F8</f>
        <v>7A (11) (25) 29 35 43</v>
      </c>
      <c r="H8" s="16" t="str">
        <f>'Exh CTM-10 (Page 1)'!G8</f>
        <v>12 (26) (26P)</v>
      </c>
      <c r="I8" s="16" t="str">
        <f>'Exh CTM-10 (Page 1)'!H8</f>
        <v>10 (31)</v>
      </c>
    </row>
    <row r="9" spans="1:9" ht="15" customHeight="1" x14ac:dyDescent="0.2">
      <c r="B9" s="9" t="s">
        <v>13</v>
      </c>
      <c r="C9" s="9" t="s">
        <v>12</v>
      </c>
      <c r="D9" s="9" t="s">
        <v>11</v>
      </c>
      <c r="E9" s="9" t="s">
        <v>10</v>
      </c>
      <c r="F9" s="9" t="s">
        <v>36</v>
      </c>
      <c r="G9" s="9" t="s">
        <v>8</v>
      </c>
      <c r="H9" s="9" t="s">
        <v>7</v>
      </c>
      <c r="I9" s="9" t="s">
        <v>6</v>
      </c>
    </row>
    <row r="10" spans="1:9" x14ac:dyDescent="0.2">
      <c r="A10" s="9">
        <f>1</f>
        <v>1</v>
      </c>
      <c r="B10" s="20" t="s">
        <v>3</v>
      </c>
      <c r="C10" s="9"/>
      <c r="D10" s="9"/>
      <c r="E10" s="9"/>
      <c r="F10" s="9"/>
      <c r="G10" s="9"/>
    </row>
    <row r="11" spans="1:9" x14ac:dyDescent="0.2">
      <c r="A11" s="9">
        <f t="shared" ref="A11:A23" si="0">A10+1</f>
        <v>2</v>
      </c>
      <c r="B11" s="1" t="s">
        <v>0</v>
      </c>
      <c r="C11" s="12" t="s">
        <v>39</v>
      </c>
      <c r="D11" s="12"/>
      <c r="E11" s="11">
        <f>'Exh CTM-10 (Page 1)'!D13</f>
        <v>256596382.83315468</v>
      </c>
      <c r="F11" s="11">
        <f>'Exh CTM-10 (Page 1)'!E13</f>
        <v>56204263.956119508</v>
      </c>
      <c r="G11" s="11">
        <f>'Exh CTM-10 (Page 1)'!F13</f>
        <v>62986424.529857367</v>
      </c>
      <c r="H11" s="11">
        <f>'Exh CTM-10 (Page 1)'!G13</f>
        <v>35253724.648236528</v>
      </c>
      <c r="I11" s="11">
        <f>'Exh CTM-10 (Page 1)'!H13</f>
        <v>24607512.513391651</v>
      </c>
    </row>
    <row r="12" spans="1:9" x14ac:dyDescent="0.2">
      <c r="A12" s="9">
        <f t="shared" si="0"/>
        <v>3</v>
      </c>
      <c r="B12" s="1" t="s">
        <v>35</v>
      </c>
      <c r="C12" s="12" t="s">
        <v>38</v>
      </c>
      <c r="D12" s="12"/>
      <c r="E12" s="23">
        <v>11278205851.395365</v>
      </c>
      <c r="F12" s="23">
        <v>2762635966.1696987</v>
      </c>
      <c r="G12" s="23">
        <v>3101807019.238308</v>
      </c>
      <c r="H12" s="23">
        <v>2013891730.8000479</v>
      </c>
      <c r="I12" s="23">
        <v>1423586019.4788036</v>
      </c>
    </row>
    <row r="13" spans="1:9" x14ac:dyDescent="0.2">
      <c r="A13" s="9">
        <f t="shared" si="0"/>
        <v>4</v>
      </c>
      <c r="B13" s="1" t="s">
        <v>34</v>
      </c>
      <c r="C13" s="9" t="str">
        <f>"("&amp;A11&amp;") / ("&amp;A12&amp;")"</f>
        <v>(2) / (3)</v>
      </c>
      <c r="D13" s="12" t="s">
        <v>33</v>
      </c>
      <c r="E13" s="29">
        <f>ROUND(E11/E12,6)</f>
        <v>2.2752000000000001E-2</v>
      </c>
      <c r="F13" s="29">
        <f>ROUND(F11/F12,6)</f>
        <v>2.0344000000000001E-2</v>
      </c>
      <c r="G13" s="29">
        <f>ROUND(G11/G12,6)</f>
        <v>2.0306000000000001E-2</v>
      </c>
      <c r="H13" s="29">
        <f>ROUND(H11/H12,6)</f>
        <v>1.7505E-2</v>
      </c>
      <c r="I13" s="29">
        <f>ROUND(I11/I12,6)</f>
        <v>1.7285999999999999E-2</v>
      </c>
    </row>
    <row r="14" spans="1:9" x14ac:dyDescent="0.2">
      <c r="A14" s="9">
        <f t="shared" si="0"/>
        <v>5</v>
      </c>
      <c r="E14" s="23"/>
      <c r="F14" s="23"/>
      <c r="G14" s="23"/>
      <c r="H14" s="23"/>
      <c r="I14" s="23"/>
    </row>
    <row r="15" spans="1:9" x14ac:dyDescent="0.2">
      <c r="A15" s="9">
        <f t="shared" si="0"/>
        <v>6</v>
      </c>
      <c r="B15" s="15" t="str">
        <f>'Exh CTM-10 (Page 1)'!B16</f>
        <v>Proposed Effective January, 2026</v>
      </c>
      <c r="C15" s="15"/>
      <c r="D15" s="15"/>
      <c r="E15" s="15"/>
      <c r="F15" s="15"/>
      <c r="G15" s="15"/>
      <c r="H15" s="15"/>
      <c r="I15" s="15"/>
    </row>
    <row r="16" spans="1:9" x14ac:dyDescent="0.2">
      <c r="A16" s="9">
        <f t="shared" si="0"/>
        <v>7</v>
      </c>
    </row>
    <row r="17" spans="1:9" x14ac:dyDescent="0.2">
      <c r="A17" s="9">
        <f t="shared" si="0"/>
        <v>8</v>
      </c>
      <c r="E17" s="3" t="str">
        <f t="shared" ref="E17:I18" si="1">E7</f>
        <v xml:space="preserve">Schedule  </v>
      </c>
      <c r="F17" s="3" t="str">
        <f t="shared" si="1"/>
        <v>Schedules</v>
      </c>
      <c r="G17" s="3" t="str">
        <f t="shared" si="1"/>
        <v>Schedules</v>
      </c>
      <c r="H17" s="3" t="str">
        <f t="shared" si="1"/>
        <v>Schedules</v>
      </c>
      <c r="I17" s="3" t="str">
        <f t="shared" si="1"/>
        <v>Schedules</v>
      </c>
    </row>
    <row r="18" spans="1:9" x14ac:dyDescent="0.2">
      <c r="A18" s="9">
        <f t="shared" si="0"/>
        <v>9</v>
      </c>
      <c r="B18" s="6"/>
      <c r="C18" s="7" t="s">
        <v>14</v>
      </c>
      <c r="D18" s="7" t="s">
        <v>37</v>
      </c>
      <c r="E18" s="16" t="str">
        <f t="shared" si="1"/>
        <v>7 (307) (317) (327)</v>
      </c>
      <c r="F18" s="16" t="str">
        <f t="shared" si="1"/>
        <v>08 (24) (324)</v>
      </c>
      <c r="G18" s="16" t="str">
        <f t="shared" si="1"/>
        <v>7A (11) (25) 29 35 43</v>
      </c>
      <c r="H18" s="16" t="str">
        <f t="shared" si="1"/>
        <v>12 (26) (26P)</v>
      </c>
      <c r="I18" s="16" t="str">
        <f t="shared" si="1"/>
        <v>10 (31)</v>
      </c>
    </row>
    <row r="19" spans="1:9" x14ac:dyDescent="0.2">
      <c r="A19" s="9">
        <f t="shared" si="0"/>
        <v>10</v>
      </c>
      <c r="B19" s="9" t="s">
        <v>13</v>
      </c>
      <c r="C19" s="9" t="s">
        <v>12</v>
      </c>
      <c r="D19" s="9" t="s">
        <v>11</v>
      </c>
      <c r="E19" s="9" t="s">
        <v>10</v>
      </c>
      <c r="F19" s="9" t="s">
        <v>36</v>
      </c>
      <c r="G19" s="9" t="s">
        <v>8</v>
      </c>
      <c r="H19" s="9" t="s">
        <v>7</v>
      </c>
      <c r="I19" s="9" t="s">
        <v>6</v>
      </c>
    </row>
    <row r="20" spans="1:9" x14ac:dyDescent="0.2">
      <c r="A20" s="9">
        <f t="shared" si="0"/>
        <v>11</v>
      </c>
      <c r="B20" s="20" t="s">
        <v>3</v>
      </c>
      <c r="C20" s="9"/>
      <c r="D20" s="9"/>
      <c r="E20" s="9"/>
      <c r="F20" s="9"/>
      <c r="G20" s="9"/>
    </row>
    <row r="21" spans="1:9" x14ac:dyDescent="0.2">
      <c r="A21" s="9">
        <f t="shared" si="0"/>
        <v>12</v>
      </c>
      <c r="B21" s="1" t="s">
        <v>0</v>
      </c>
      <c r="C21" s="12" t="str">
        <f>C11</f>
        <v>Exhibit CTM-10, Page 1</v>
      </c>
      <c r="D21" s="12"/>
      <c r="E21" s="11">
        <f>'Exh CTM-10 (Page 1)'!D24</f>
        <v>297679358.91569042</v>
      </c>
      <c r="F21" s="11">
        <f>'Exh CTM-10 (Page 1)'!E24</f>
        <v>65207527.130167216</v>
      </c>
      <c r="G21" s="11">
        <f>'Exh CTM-10 (Page 1)'!F24</f>
        <v>73076513.656109244</v>
      </c>
      <c r="H21" s="11">
        <f>'Exh CTM-10 (Page 1)'!G24</f>
        <v>40901995.459739745</v>
      </c>
      <c r="I21" s="11">
        <f>'Exh CTM-10 (Page 1)'!H24</f>
        <v>28550591.012264177</v>
      </c>
    </row>
    <row r="22" spans="1:9" x14ac:dyDescent="0.2">
      <c r="A22" s="9">
        <f t="shared" si="0"/>
        <v>13</v>
      </c>
      <c r="B22" s="1" t="s">
        <v>35</v>
      </c>
      <c r="C22" s="12" t="str">
        <f>C12</f>
        <v>Exhibit CTM-3</v>
      </c>
      <c r="D22" s="12"/>
      <c r="E22" s="23">
        <v>11447649239.71397</v>
      </c>
      <c r="F22" s="23">
        <v>2774967422.2693906</v>
      </c>
      <c r="G22" s="23">
        <v>3109577261.2542548</v>
      </c>
      <c r="H22" s="23">
        <v>2056791563.2414525</v>
      </c>
      <c r="I22" s="23">
        <v>1411297972.0883911</v>
      </c>
    </row>
    <row r="23" spans="1:9" x14ac:dyDescent="0.2">
      <c r="A23" s="9">
        <f t="shared" si="0"/>
        <v>14</v>
      </c>
      <c r="B23" s="1" t="s">
        <v>34</v>
      </c>
      <c r="C23" s="9" t="str">
        <f>"("&amp;A21&amp;") / ("&amp;A22&amp;")"</f>
        <v>(12) / (13)</v>
      </c>
      <c r="D23" s="12" t="s">
        <v>33</v>
      </c>
      <c r="E23" s="29">
        <f>ROUND(E21/E22,6)</f>
        <v>2.6003999999999999E-2</v>
      </c>
      <c r="F23" s="29">
        <f>ROUND(F21/F22,6)</f>
        <v>2.3498000000000002E-2</v>
      </c>
      <c r="G23" s="29">
        <f>ROUND(G21/G22,6)</f>
        <v>2.35E-2</v>
      </c>
      <c r="H23" s="29">
        <f>ROUND(H21/H22,6)</f>
        <v>1.9886000000000001E-2</v>
      </c>
      <c r="I23" s="29">
        <f>ROUND(I21/I22,6)</f>
        <v>2.0230000000000001E-2</v>
      </c>
    </row>
    <row r="24" spans="1:9" x14ac:dyDescent="0.2">
      <c r="A24" s="9"/>
    </row>
    <row r="25" spans="1:9" x14ac:dyDescent="0.2">
      <c r="E25" s="23"/>
      <c r="F25" s="23"/>
      <c r="G25" s="23"/>
      <c r="H25" s="23"/>
      <c r="I25" s="23"/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 alignWithMargins="0"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0AD8-913A-4B6A-B847-9AE36B1DD804}">
  <dimension ref="A1:AL53"/>
  <sheetViews>
    <sheetView topLeftCell="S1" workbookViewId="0">
      <selection activeCell="D16" sqref="D16"/>
    </sheetView>
  </sheetViews>
  <sheetFormatPr defaultColWidth="9.140625" defaultRowHeight="11.25" x14ac:dyDescent="0.2"/>
  <cols>
    <col min="1" max="1" width="4.28515625" style="1" bestFit="1" customWidth="1"/>
    <col min="2" max="2" width="1.28515625" style="1" customWidth="1"/>
    <col min="3" max="3" width="26.5703125" style="1" bestFit="1" customWidth="1"/>
    <col min="4" max="4" width="34.5703125" style="9" customWidth="1"/>
    <col min="5" max="5" width="13.85546875" style="9" bestFit="1" customWidth="1"/>
    <col min="6" max="9" width="12.85546875" style="9" bestFit="1" customWidth="1"/>
    <col min="10" max="17" width="12.85546875" style="1" bestFit="1" customWidth="1"/>
    <col min="18" max="18" width="13.85546875" style="1" bestFit="1" customWidth="1"/>
    <col min="19" max="19" width="0.5703125" style="1" customWidth="1"/>
    <col min="20" max="20" width="5.5703125" style="1" customWidth="1"/>
    <col min="21" max="21" width="1.5703125" style="1" customWidth="1"/>
    <col min="22" max="22" width="26.5703125" style="1" bestFit="1" customWidth="1"/>
    <col min="23" max="23" width="34.7109375" style="1" customWidth="1"/>
    <col min="24" max="24" width="13.85546875" style="1" bestFit="1" customWidth="1"/>
    <col min="25" max="36" width="12.85546875" style="1" bestFit="1" customWidth="1"/>
    <col min="37" max="37" width="13.85546875" style="1" bestFit="1" customWidth="1"/>
    <col min="38" max="38" width="0.5703125" style="1" customWidth="1"/>
    <col min="39" max="16384" width="9.140625" style="1"/>
  </cols>
  <sheetData>
    <row r="1" spans="1:38" x14ac:dyDescent="0.2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T1" s="32" t="s">
        <v>42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8" x14ac:dyDescent="0.2">
      <c r="A2" s="32" t="str">
        <f>'Exh CTM-10 (Page 1)'!A2</f>
        <v>2024 General Rate Case Docket No. UE-240004 and UG-240005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2" t="str">
        <f>A2</f>
        <v>2024 General Rate Case Docket No. UE-240004 and UG-240005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8" x14ac:dyDescent="0.2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T3" s="32" t="s">
        <v>41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8" x14ac:dyDescent="0.2">
      <c r="A4" s="32" t="s">
        <v>79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T4" s="32" t="s">
        <v>79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8" x14ac:dyDescent="0.2">
      <c r="A5" s="32" t="str">
        <f>'Exh CTM-10 (Page 1)'!A5</f>
        <v>Proposed Effective January, 2025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T5" s="32" t="str">
        <f>'Exh CTM-10 (Page 1)'!B16</f>
        <v>Proposed Effective January, 2026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8" ht="45" x14ac:dyDescent="0.2">
      <c r="A7" s="18" t="s">
        <v>78</v>
      </c>
      <c r="B7" s="18"/>
      <c r="C7" s="6"/>
      <c r="D7" s="18" t="s">
        <v>14</v>
      </c>
      <c r="E7" s="7" t="s">
        <v>37</v>
      </c>
      <c r="F7" s="19" t="s">
        <v>77</v>
      </c>
      <c r="G7" s="19" t="s">
        <v>76</v>
      </c>
      <c r="H7" s="19" t="s">
        <v>75</v>
      </c>
      <c r="I7" s="19" t="s">
        <v>74</v>
      </c>
      <c r="J7" s="19" t="s">
        <v>73</v>
      </c>
      <c r="K7" s="19" t="s">
        <v>72</v>
      </c>
      <c r="L7" s="19" t="s">
        <v>71</v>
      </c>
      <c r="M7" s="19" t="s">
        <v>70</v>
      </c>
      <c r="N7" s="19" t="s">
        <v>69</v>
      </c>
      <c r="O7" s="19" t="s">
        <v>68</v>
      </c>
      <c r="P7" s="19" t="s">
        <v>67</v>
      </c>
      <c r="Q7" s="19" t="s">
        <v>66</v>
      </c>
      <c r="R7" s="18" t="s">
        <v>65</v>
      </c>
      <c r="T7" s="18" t="s">
        <v>78</v>
      </c>
      <c r="U7" s="18"/>
      <c r="V7" s="6"/>
      <c r="W7" s="18" t="s">
        <v>14</v>
      </c>
      <c r="X7" s="7" t="s">
        <v>37</v>
      </c>
      <c r="Y7" s="19" t="s">
        <v>77</v>
      </c>
      <c r="Z7" s="19" t="s">
        <v>76</v>
      </c>
      <c r="AA7" s="19" t="s">
        <v>75</v>
      </c>
      <c r="AB7" s="19" t="s">
        <v>74</v>
      </c>
      <c r="AC7" s="19" t="s">
        <v>73</v>
      </c>
      <c r="AD7" s="19" t="s">
        <v>72</v>
      </c>
      <c r="AE7" s="19" t="s">
        <v>71</v>
      </c>
      <c r="AF7" s="19" t="s">
        <v>70</v>
      </c>
      <c r="AG7" s="19" t="s">
        <v>69</v>
      </c>
      <c r="AH7" s="19" t="s">
        <v>68</v>
      </c>
      <c r="AI7" s="19" t="s">
        <v>67</v>
      </c>
      <c r="AJ7" s="19" t="s">
        <v>66</v>
      </c>
      <c r="AK7" s="18" t="s">
        <v>65</v>
      </c>
    </row>
    <row r="8" spans="1:38" x14ac:dyDescent="0.2">
      <c r="C8" s="9" t="s">
        <v>13</v>
      </c>
      <c r="D8" s="9" t="s">
        <v>12</v>
      </c>
      <c r="E8" s="9" t="s">
        <v>11</v>
      </c>
      <c r="F8" s="9" t="s">
        <v>10</v>
      </c>
      <c r="G8" s="9" t="s">
        <v>36</v>
      </c>
      <c r="H8" s="9" t="s">
        <v>8</v>
      </c>
      <c r="I8" s="9" t="s">
        <v>7</v>
      </c>
      <c r="J8" s="9" t="s">
        <v>6</v>
      </c>
      <c r="K8" s="9" t="s">
        <v>5</v>
      </c>
      <c r="L8" s="9" t="s">
        <v>4</v>
      </c>
      <c r="M8" s="9" t="s">
        <v>64</v>
      </c>
      <c r="N8" s="9" t="s">
        <v>63</v>
      </c>
      <c r="O8" s="9" t="s">
        <v>62</v>
      </c>
      <c r="P8" s="9" t="s">
        <v>61</v>
      </c>
      <c r="Q8" s="9" t="s">
        <v>60</v>
      </c>
      <c r="R8" s="9" t="s">
        <v>59</v>
      </c>
      <c r="V8" s="9" t="s">
        <v>13</v>
      </c>
      <c r="W8" s="9" t="s">
        <v>12</v>
      </c>
      <c r="X8" s="9" t="s">
        <v>11</v>
      </c>
      <c r="Y8" s="9" t="s">
        <v>10</v>
      </c>
      <c r="Z8" s="9" t="s">
        <v>36</v>
      </c>
      <c r="AA8" s="9" t="s">
        <v>8</v>
      </c>
      <c r="AB8" s="9" t="s">
        <v>7</v>
      </c>
      <c r="AC8" s="9" t="s">
        <v>6</v>
      </c>
      <c r="AD8" s="9" t="s">
        <v>5</v>
      </c>
      <c r="AE8" s="9" t="s">
        <v>4</v>
      </c>
      <c r="AF8" s="9" t="s">
        <v>64</v>
      </c>
      <c r="AG8" s="9" t="s">
        <v>63</v>
      </c>
      <c r="AH8" s="9" t="s">
        <v>62</v>
      </c>
      <c r="AI8" s="9" t="s">
        <v>61</v>
      </c>
      <c r="AJ8" s="9" t="s">
        <v>60</v>
      </c>
      <c r="AK8" s="9" t="s">
        <v>59</v>
      </c>
    </row>
    <row r="9" spans="1:38" x14ac:dyDescent="0.2">
      <c r="A9" s="9">
        <v>1</v>
      </c>
      <c r="B9" s="31" t="s">
        <v>58</v>
      </c>
      <c r="C9" s="20"/>
      <c r="J9" s="9"/>
      <c r="K9" s="9"/>
      <c r="T9" s="9">
        <v>1</v>
      </c>
      <c r="U9" s="31" t="s">
        <v>58</v>
      </c>
      <c r="V9" s="20"/>
      <c r="W9" s="9"/>
      <c r="X9" s="9"/>
      <c r="Y9" s="9"/>
      <c r="Z9" s="9"/>
      <c r="AA9" s="9"/>
      <c r="AB9" s="9"/>
      <c r="AC9" s="9"/>
      <c r="AD9" s="9"/>
    </row>
    <row r="10" spans="1:38" x14ac:dyDescent="0.2">
      <c r="A10" s="9">
        <f t="shared" ref="A10:A49" si="0">A9+1</f>
        <v>2</v>
      </c>
      <c r="B10" s="22" t="str">
        <f>CONCATENATE("Schedule ",'Exh CTM-10 (Page 1)'!D8)</f>
        <v>Schedule 7 (307) (317) (327)</v>
      </c>
      <c r="F10" s="1"/>
      <c r="G10" s="1"/>
      <c r="H10" s="1"/>
      <c r="I10" s="1"/>
      <c r="R10" s="21"/>
      <c r="T10" s="9">
        <f t="shared" ref="T10:T49" si="1">T9+1</f>
        <v>2</v>
      </c>
      <c r="U10" s="22" t="str">
        <f>B10</f>
        <v>Schedule 7 (307) (317) (327)</v>
      </c>
      <c r="W10" s="9"/>
      <c r="X10" s="9"/>
      <c r="AK10" s="21"/>
    </row>
    <row r="11" spans="1:38" x14ac:dyDescent="0.2">
      <c r="A11" s="9">
        <f t="shared" si="0"/>
        <v>3</v>
      </c>
      <c r="B11" s="9"/>
      <c r="C11" s="24" t="s">
        <v>57</v>
      </c>
      <c r="D11" s="12" t="s">
        <v>38</v>
      </c>
      <c r="F11" s="23">
        <v>1193134476.79845</v>
      </c>
      <c r="G11" s="23">
        <v>1039625336.6286001</v>
      </c>
      <c r="H11" s="23">
        <v>1042450629.1309801</v>
      </c>
      <c r="I11" s="23">
        <v>877511591.48910809</v>
      </c>
      <c r="J11" s="23">
        <v>767554271.09981298</v>
      </c>
      <c r="K11" s="23">
        <v>737657927.116436</v>
      </c>
      <c r="L11" s="23">
        <v>822013176.04654789</v>
      </c>
      <c r="M11" s="23">
        <v>830658355.40461993</v>
      </c>
      <c r="N11" s="23">
        <v>756916021.87698495</v>
      </c>
      <c r="O11" s="23">
        <v>881188992.76768494</v>
      </c>
      <c r="P11" s="23">
        <v>1059308217.9364599</v>
      </c>
      <c r="Q11" s="23">
        <v>1270186855.0996799</v>
      </c>
      <c r="R11" s="21">
        <f>SUM(F11:Q11)</f>
        <v>11278205851.395367</v>
      </c>
      <c r="S11" s="23"/>
      <c r="T11" s="9">
        <f t="shared" si="1"/>
        <v>3</v>
      </c>
      <c r="U11" s="9"/>
      <c r="V11" s="24" t="str">
        <f>C11</f>
        <v>Forecasted Delivered Volumes</v>
      </c>
      <c r="W11" s="9" t="str">
        <f>D11</f>
        <v>Exhibit CTM-3</v>
      </c>
      <c r="X11" s="9"/>
      <c r="Y11" s="23">
        <v>1214040343.43752</v>
      </c>
      <c r="Z11" s="23">
        <v>1053225509.2362199</v>
      </c>
      <c r="AA11" s="23">
        <v>1057124444.2426801</v>
      </c>
      <c r="AB11" s="23">
        <v>888886669.94300294</v>
      </c>
      <c r="AC11" s="23">
        <v>778160010.17170501</v>
      </c>
      <c r="AD11" s="23">
        <v>751631159.57672608</v>
      </c>
      <c r="AE11" s="23">
        <v>839048557.09608102</v>
      </c>
      <c r="AF11" s="23">
        <v>849033644.425331</v>
      </c>
      <c r="AG11" s="23">
        <v>772444236.68675399</v>
      </c>
      <c r="AH11" s="23">
        <v>893474914.26502991</v>
      </c>
      <c r="AI11" s="23">
        <v>1069067320.8275601</v>
      </c>
      <c r="AJ11" s="23">
        <v>1281512429.8053601</v>
      </c>
      <c r="AK11" s="21">
        <f>SUM(Y11:AJ11)</f>
        <v>11447649239.713972</v>
      </c>
      <c r="AL11" s="23"/>
    </row>
    <row r="12" spans="1:38" x14ac:dyDescent="0.2">
      <c r="A12" s="9">
        <f t="shared" si="0"/>
        <v>4</v>
      </c>
      <c r="B12" s="9"/>
      <c r="C12" s="1" t="s">
        <v>51</v>
      </c>
      <c r="D12" s="12" t="s">
        <v>56</v>
      </c>
      <c r="E12" s="12"/>
      <c r="F12" s="25">
        <f t="shared" ref="F12:Q12" si="2">F11/$R11</f>
        <v>0.1057911597393687</v>
      </c>
      <c r="G12" s="25">
        <f t="shared" si="2"/>
        <v>9.2180028483872301E-2</v>
      </c>
      <c r="H12" s="25">
        <f t="shared" si="2"/>
        <v>9.2430537522243006E-2</v>
      </c>
      <c r="I12" s="25">
        <f t="shared" si="2"/>
        <v>7.7805956288742525E-2</v>
      </c>
      <c r="J12" s="25">
        <f t="shared" si="2"/>
        <v>6.8056416172333767E-2</v>
      </c>
      <c r="K12" s="25">
        <f t="shared" si="2"/>
        <v>6.5405609441431783E-2</v>
      </c>
      <c r="L12" s="25">
        <f t="shared" si="2"/>
        <v>7.2885101307567146E-2</v>
      </c>
      <c r="M12" s="25">
        <f t="shared" si="2"/>
        <v>7.3651639839669075E-2</v>
      </c>
      <c r="N12" s="25">
        <f t="shared" si="2"/>
        <v>6.7113158941263476E-2</v>
      </c>
      <c r="O12" s="25">
        <f t="shared" si="2"/>
        <v>7.8132018902515615E-2</v>
      </c>
      <c r="P12" s="25">
        <f t="shared" si="2"/>
        <v>9.392524235629196E-2</v>
      </c>
      <c r="Q12" s="25">
        <f t="shared" si="2"/>
        <v>0.11262313100470049</v>
      </c>
      <c r="R12" s="25">
        <f>SUM(F12:Q12)</f>
        <v>0.99999999999999978</v>
      </c>
      <c r="S12" s="23"/>
      <c r="T12" s="9">
        <f t="shared" si="1"/>
        <v>4</v>
      </c>
      <c r="U12" s="9"/>
      <c r="V12" s="1" t="s">
        <v>51</v>
      </c>
      <c r="W12" s="12" t="str">
        <f>D12</f>
        <v>% of (C(p):R(3))</v>
      </c>
      <c r="X12" s="12"/>
      <c r="Y12" s="25">
        <f t="shared" ref="Y12:AJ12" si="3">Y11/$AK11</f>
        <v>0.10605149738741067</v>
      </c>
      <c r="Z12" s="25">
        <f t="shared" si="3"/>
        <v>9.2003649586186606E-2</v>
      </c>
      <c r="AA12" s="25">
        <f t="shared" si="3"/>
        <v>9.2344237852372654E-2</v>
      </c>
      <c r="AB12" s="25">
        <f t="shared" si="3"/>
        <v>7.764796521361729E-2</v>
      </c>
      <c r="AC12" s="25">
        <f t="shared" si="3"/>
        <v>6.7975528763768084E-2</v>
      </c>
      <c r="AD12" s="25">
        <f t="shared" si="3"/>
        <v>6.5658122802119162E-2</v>
      </c>
      <c r="AE12" s="25">
        <f t="shared" si="3"/>
        <v>7.3294397786514046E-2</v>
      </c>
      <c r="AF12" s="25">
        <f t="shared" si="3"/>
        <v>7.416663689169295E-2</v>
      </c>
      <c r="AG12" s="25">
        <f t="shared" si="3"/>
        <v>6.7476232064047251E-2</v>
      </c>
      <c r="AH12" s="25">
        <f t="shared" si="3"/>
        <v>7.8048767529092636E-2</v>
      </c>
      <c r="AI12" s="25">
        <f t="shared" si="3"/>
        <v>9.3387498030492719E-2</v>
      </c>
      <c r="AJ12" s="25">
        <f t="shared" si="3"/>
        <v>0.11194546609268573</v>
      </c>
      <c r="AK12" s="25">
        <f>SUM(Y12:AJ12)</f>
        <v>0.99999999999999989</v>
      </c>
      <c r="AL12" s="23"/>
    </row>
    <row r="13" spans="1:38" x14ac:dyDescent="0.2">
      <c r="A13" s="9">
        <f t="shared" si="0"/>
        <v>5</v>
      </c>
      <c r="B13" s="9"/>
      <c r="F13" s="1"/>
      <c r="G13" s="1"/>
      <c r="H13" s="1"/>
      <c r="I13" s="1"/>
      <c r="S13" s="23"/>
      <c r="T13" s="9">
        <f t="shared" si="1"/>
        <v>5</v>
      </c>
      <c r="U13" s="9"/>
      <c r="W13" s="9"/>
      <c r="X13" s="9"/>
      <c r="AL13" s="23"/>
    </row>
    <row r="14" spans="1:38" x14ac:dyDescent="0.2">
      <c r="A14" s="9">
        <f t="shared" si="0"/>
        <v>6</v>
      </c>
      <c r="B14" s="22" t="str">
        <f>CONCATENATE("Schedule ",'Exh CTM-10 (Page 1)'!E8)</f>
        <v>Schedule 08 (24) (324)</v>
      </c>
      <c r="D14" s="1"/>
      <c r="E14" s="1"/>
      <c r="F14" s="1"/>
      <c r="G14" s="1"/>
      <c r="H14" s="1"/>
      <c r="I14" s="1"/>
      <c r="S14" s="23"/>
      <c r="T14" s="9">
        <f t="shared" si="1"/>
        <v>6</v>
      </c>
      <c r="U14" s="22" t="str">
        <f>B14</f>
        <v>Schedule 08 (24) (324)</v>
      </c>
      <c r="AL14" s="23"/>
    </row>
    <row r="15" spans="1:38" x14ac:dyDescent="0.2">
      <c r="A15" s="9">
        <f t="shared" si="0"/>
        <v>7</v>
      </c>
      <c r="B15" s="9"/>
      <c r="C15" s="1" t="str">
        <f>C11</f>
        <v>Forecasted Delivered Volumes</v>
      </c>
      <c r="D15" s="12" t="str">
        <f>D11</f>
        <v>Exhibit CTM-3</v>
      </c>
      <c r="E15" s="12"/>
      <c r="F15" s="23">
        <v>268377399.54583082</v>
      </c>
      <c r="G15" s="23">
        <v>232145429.81665951</v>
      </c>
      <c r="H15" s="23">
        <v>250114118.10168701</v>
      </c>
      <c r="I15" s="23">
        <v>219457339.65096018</v>
      </c>
      <c r="J15" s="23">
        <v>216499142.4696992</v>
      </c>
      <c r="K15" s="23">
        <v>211362519.84000328</v>
      </c>
      <c r="L15" s="23">
        <v>225746713.31759769</v>
      </c>
      <c r="M15" s="23">
        <v>226750967.64275911</v>
      </c>
      <c r="N15" s="23">
        <v>205047703.38763553</v>
      </c>
      <c r="O15" s="23">
        <v>215034137.41688919</v>
      </c>
      <c r="P15" s="23">
        <v>227014078.89766586</v>
      </c>
      <c r="Q15" s="23">
        <v>265086416.08231151</v>
      </c>
      <c r="R15" s="21">
        <f>SUM(F15:Q15)</f>
        <v>2762635966.1696987</v>
      </c>
      <c r="S15" s="23"/>
      <c r="T15" s="9">
        <f t="shared" si="1"/>
        <v>7</v>
      </c>
      <c r="U15" s="9"/>
      <c r="V15" s="1" t="str">
        <f>V11</f>
        <v>Forecasted Delivered Volumes</v>
      </c>
      <c r="W15" s="12" t="str">
        <f>W11</f>
        <v>Exhibit CTM-3</v>
      </c>
      <c r="X15" s="12"/>
      <c r="Y15" s="23">
        <v>269863748.35963416</v>
      </c>
      <c r="Z15" s="23">
        <v>233004006.32485792</v>
      </c>
      <c r="AA15" s="23">
        <v>250951945.85123512</v>
      </c>
      <c r="AB15" s="23">
        <v>219834898.8745755</v>
      </c>
      <c r="AC15" s="23">
        <v>216772243.96795115</v>
      </c>
      <c r="AD15" s="23">
        <v>211856426.50455749</v>
      </c>
      <c r="AE15" s="23">
        <v>226676119.5257391</v>
      </c>
      <c r="AF15" s="23">
        <v>227813483.44100577</v>
      </c>
      <c r="AG15" s="23">
        <v>205976017.13472027</v>
      </c>
      <c r="AH15" s="23">
        <v>216149899.88041848</v>
      </c>
      <c r="AI15" s="23">
        <v>228481580.58533874</v>
      </c>
      <c r="AJ15" s="23">
        <v>267587051.81935659</v>
      </c>
      <c r="AK15" s="21">
        <f>SUM(Y15:AJ15)</f>
        <v>2774967422.2693901</v>
      </c>
      <c r="AL15" s="23"/>
    </row>
    <row r="16" spans="1:38" x14ac:dyDescent="0.2">
      <c r="A16" s="9">
        <f t="shared" si="0"/>
        <v>8</v>
      </c>
      <c r="B16" s="9"/>
      <c r="C16" s="1" t="str">
        <f>C12</f>
        <v>% of Annual Total</v>
      </c>
      <c r="D16" s="12" t="s">
        <v>55</v>
      </c>
      <c r="E16" s="12"/>
      <c r="F16" s="25">
        <f t="shared" ref="F16:Q16" si="4">F15/$R15</f>
        <v>9.714540852732291E-2</v>
      </c>
      <c r="G16" s="25">
        <f t="shared" si="4"/>
        <v>8.4030408877403165E-2</v>
      </c>
      <c r="H16" s="25">
        <f t="shared" si="4"/>
        <v>9.0534591297767614E-2</v>
      </c>
      <c r="I16" s="25">
        <f t="shared" si="4"/>
        <v>7.9437661110026869E-2</v>
      </c>
      <c r="J16" s="25">
        <f t="shared" si="4"/>
        <v>7.8366873204024759E-2</v>
      </c>
      <c r="K16" s="25">
        <f t="shared" si="4"/>
        <v>7.650755381030179E-2</v>
      </c>
      <c r="L16" s="25">
        <f t="shared" si="4"/>
        <v>8.1714245409824249E-2</v>
      </c>
      <c r="M16" s="25">
        <f t="shared" si="4"/>
        <v>8.207775849568108E-2</v>
      </c>
      <c r="N16" s="25">
        <f t="shared" si="4"/>
        <v>7.4221759905604659E-2</v>
      </c>
      <c r="O16" s="25">
        <f t="shared" si="4"/>
        <v>7.7836580733083971E-2</v>
      </c>
      <c r="P16" s="25">
        <f t="shared" si="4"/>
        <v>8.2172997701326966E-2</v>
      </c>
      <c r="Q16" s="25">
        <f t="shared" si="4"/>
        <v>9.5954160927632051E-2</v>
      </c>
      <c r="R16" s="25">
        <f>SUM(F16:Q16)</f>
        <v>1</v>
      </c>
      <c r="S16" s="23"/>
      <c r="T16" s="9">
        <f t="shared" si="1"/>
        <v>8</v>
      </c>
      <c r="U16" s="9"/>
      <c r="V16" s="1" t="s">
        <v>51</v>
      </c>
      <c r="W16" s="12" t="str">
        <f>D16</f>
        <v>% of (C(p):R(7))</v>
      </c>
      <c r="X16" s="12"/>
      <c r="Y16" s="25">
        <f t="shared" ref="Y16:AJ16" si="5">Y15/$AK15</f>
        <v>9.7249339287355477E-2</v>
      </c>
      <c r="Z16" s="25">
        <f t="shared" si="5"/>
        <v>8.3966393426811989E-2</v>
      </c>
      <c r="AA16" s="25">
        <f t="shared" si="5"/>
        <v>9.0434195312464119E-2</v>
      </c>
      <c r="AB16" s="25">
        <f t="shared" si="5"/>
        <v>7.922071340743625E-2</v>
      </c>
      <c r="AC16" s="25">
        <f t="shared" si="5"/>
        <v>7.811704102481791E-2</v>
      </c>
      <c r="AD16" s="25">
        <f t="shared" si="5"/>
        <v>7.6345554475482691E-2</v>
      </c>
      <c r="AE16" s="25">
        <f t="shared" si="5"/>
        <v>8.1686047088928196E-2</v>
      </c>
      <c r="AF16" s="25">
        <f t="shared" si="5"/>
        <v>8.2095912771004032E-2</v>
      </c>
      <c r="AG16" s="25">
        <f t="shared" si="5"/>
        <v>7.4226463158357181E-2</v>
      </c>
      <c r="AH16" s="25">
        <f t="shared" si="5"/>
        <v>7.7892770252289814E-2</v>
      </c>
      <c r="AI16" s="25">
        <f t="shared" si="5"/>
        <v>8.233667132513027E-2</v>
      </c>
      <c r="AJ16" s="25">
        <f t="shared" si="5"/>
        <v>9.6428898469922142E-2</v>
      </c>
      <c r="AK16" s="25">
        <f>SUM(Y16:AJ16)</f>
        <v>1</v>
      </c>
      <c r="AL16" s="23"/>
    </row>
    <row r="17" spans="1:38" x14ac:dyDescent="0.2">
      <c r="A17" s="9">
        <f t="shared" si="0"/>
        <v>9</v>
      </c>
      <c r="B17" s="9"/>
      <c r="D17" s="12"/>
      <c r="E17" s="12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T17" s="9">
        <f t="shared" si="1"/>
        <v>9</v>
      </c>
      <c r="U17" s="9"/>
      <c r="W17" s="12"/>
      <c r="X17" s="12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8" x14ac:dyDescent="0.2">
      <c r="A18" s="9">
        <f t="shared" si="0"/>
        <v>10</v>
      </c>
      <c r="B18" s="22" t="str">
        <f>CONCATENATE("Schedule ",'Exh CTM-10 (Page 1)'!F8)</f>
        <v>Schedule 7A (11) (25) 29 35 43</v>
      </c>
      <c r="F18" s="1"/>
      <c r="G18" s="1"/>
      <c r="H18" s="1"/>
      <c r="I18" s="1"/>
      <c r="R18" s="21"/>
      <c r="T18" s="9">
        <f t="shared" si="1"/>
        <v>10</v>
      </c>
      <c r="U18" s="22" t="str">
        <f>B18</f>
        <v>Schedule 7A (11) (25) 29 35 43</v>
      </c>
      <c r="W18" s="9"/>
      <c r="X18" s="9"/>
      <c r="AK18" s="21"/>
    </row>
    <row r="19" spans="1:38" x14ac:dyDescent="0.2">
      <c r="A19" s="9">
        <f t="shared" si="0"/>
        <v>11</v>
      </c>
      <c r="B19" s="9"/>
      <c r="C19" s="1" t="str">
        <f>C11</f>
        <v>Forecasted Delivered Volumes</v>
      </c>
      <c r="D19" s="12" t="str">
        <f>D11</f>
        <v>Exhibit CTM-3</v>
      </c>
      <c r="E19" s="12"/>
      <c r="F19" s="23">
        <v>281149654.21666658</v>
      </c>
      <c r="G19" s="23">
        <v>249692550.3856473</v>
      </c>
      <c r="H19" s="23">
        <v>269853368.77322143</v>
      </c>
      <c r="I19" s="23">
        <v>242886698.11592776</v>
      </c>
      <c r="J19" s="23">
        <v>246907668.4314101</v>
      </c>
      <c r="K19" s="23">
        <v>246677848.42755535</v>
      </c>
      <c r="L19" s="23">
        <v>261474698.44057301</v>
      </c>
      <c r="M19" s="23">
        <v>263977363.70387319</v>
      </c>
      <c r="N19" s="23">
        <v>239460422.12602985</v>
      </c>
      <c r="O19" s="23">
        <v>253203378.35906637</v>
      </c>
      <c r="P19" s="23">
        <v>257041643.766619</v>
      </c>
      <c r="Q19" s="23">
        <v>289481724.49171817</v>
      </c>
      <c r="R19" s="21">
        <f>SUM(F19:Q19)</f>
        <v>3101807019.2383084</v>
      </c>
      <c r="S19" s="21"/>
      <c r="T19" s="9">
        <f t="shared" si="1"/>
        <v>11</v>
      </c>
      <c r="U19" s="9"/>
      <c r="V19" s="1" t="str">
        <f>V11</f>
        <v>Forecasted Delivered Volumes</v>
      </c>
      <c r="W19" s="12" t="str">
        <f>W11</f>
        <v>Exhibit CTM-3</v>
      </c>
      <c r="X19" s="12"/>
      <c r="Y19" s="23">
        <v>282425960.67620283</v>
      </c>
      <c r="Z19" s="23">
        <v>250277255.85533667</v>
      </c>
      <c r="AA19" s="23">
        <v>270388764.81533337</v>
      </c>
      <c r="AB19" s="23">
        <v>242869094.69173735</v>
      </c>
      <c r="AC19" s="23">
        <v>246687549.4832783</v>
      </c>
      <c r="AD19" s="23">
        <v>246653424.76067469</v>
      </c>
      <c r="AE19" s="23">
        <v>261968443.79624012</v>
      </c>
      <c r="AF19" s="23">
        <v>264617057.94101223</v>
      </c>
      <c r="AG19" s="23">
        <v>239985110.45700282</v>
      </c>
      <c r="AH19" s="23">
        <v>253862288.88844907</v>
      </c>
      <c r="AI19" s="23">
        <v>258147339.51661009</v>
      </c>
      <c r="AJ19" s="23">
        <v>291694970.37237704</v>
      </c>
      <c r="AK19" s="21">
        <f>SUM(Y19:AJ19)</f>
        <v>3109577261.2542543</v>
      </c>
      <c r="AL19" s="21"/>
    </row>
    <row r="20" spans="1:38" x14ac:dyDescent="0.2">
      <c r="A20" s="9">
        <f t="shared" si="0"/>
        <v>12</v>
      </c>
      <c r="B20" s="9"/>
      <c r="C20" s="1" t="str">
        <f>C12</f>
        <v>% of Annual Total</v>
      </c>
      <c r="D20" s="12" t="s">
        <v>54</v>
      </c>
      <c r="E20" s="12"/>
      <c r="F20" s="25">
        <f t="shared" ref="F20:Q20" si="6">F19/$R19</f>
        <v>9.0640601582527458E-2</v>
      </c>
      <c r="G20" s="25">
        <f t="shared" si="6"/>
        <v>8.0499060333857508E-2</v>
      </c>
      <c r="H20" s="25">
        <f t="shared" si="6"/>
        <v>8.6998761399246449E-2</v>
      </c>
      <c r="I20" s="25">
        <f t="shared" si="6"/>
        <v>7.8304903112757784E-2</v>
      </c>
      <c r="J20" s="25">
        <f t="shared" si="6"/>
        <v>7.9601234667410647E-2</v>
      </c>
      <c r="K20" s="25">
        <f t="shared" si="6"/>
        <v>7.9527142371394369E-2</v>
      </c>
      <c r="L20" s="25">
        <f t="shared" si="6"/>
        <v>8.4297539085710665E-2</v>
      </c>
      <c r="M20" s="25">
        <f t="shared" si="6"/>
        <v>8.5104380145705025E-2</v>
      </c>
      <c r="N20" s="25">
        <f t="shared" si="6"/>
        <v>7.7200296678944472E-2</v>
      </c>
      <c r="O20" s="25">
        <f t="shared" si="6"/>
        <v>8.1630925711569241E-2</v>
      </c>
      <c r="P20" s="25">
        <f t="shared" si="6"/>
        <v>8.2868354534106098E-2</v>
      </c>
      <c r="Q20" s="25">
        <f t="shared" si="6"/>
        <v>9.3326800376770186E-2</v>
      </c>
      <c r="R20" s="25">
        <f>SUM(F20:Q20)</f>
        <v>0.99999999999999989</v>
      </c>
      <c r="T20" s="9">
        <f t="shared" si="1"/>
        <v>12</v>
      </c>
      <c r="U20" s="9"/>
      <c r="V20" s="1" t="s">
        <v>51</v>
      </c>
      <c r="W20" s="12" t="str">
        <f>D20</f>
        <v>% of (C(p):R(11))</v>
      </c>
      <c r="X20" s="12"/>
      <c r="Y20" s="25">
        <f t="shared" ref="Y20:AJ20" si="7">Y19/$AK19</f>
        <v>9.0824551682721577E-2</v>
      </c>
      <c r="Z20" s="25">
        <f t="shared" si="7"/>
        <v>8.048594224489114E-2</v>
      </c>
      <c r="AA20" s="25">
        <f t="shared" si="7"/>
        <v>8.6953544516939096E-2</v>
      </c>
      <c r="AB20" s="25">
        <f t="shared" si="7"/>
        <v>7.8103573021940487E-2</v>
      </c>
      <c r="AC20" s="25">
        <f t="shared" si="7"/>
        <v>7.9331538906280905E-2</v>
      </c>
      <c r="AD20" s="25">
        <f t="shared" si="7"/>
        <v>7.9320564834972629E-2</v>
      </c>
      <c r="AE20" s="25">
        <f t="shared" si="7"/>
        <v>8.424567771973436E-2</v>
      </c>
      <c r="AF20" s="25">
        <f t="shared" si="7"/>
        <v>8.5097437918065552E-2</v>
      </c>
      <c r="AG20" s="25">
        <f t="shared" si="7"/>
        <v>7.7176120833931078E-2</v>
      </c>
      <c r="AH20" s="25">
        <f t="shared" si="7"/>
        <v>8.1638842697882741E-2</v>
      </c>
      <c r="AI20" s="25">
        <f t="shared" si="7"/>
        <v>8.3016859794146372E-2</v>
      </c>
      <c r="AJ20" s="25">
        <f t="shared" si="7"/>
        <v>9.3805345828494147E-2</v>
      </c>
      <c r="AK20" s="25">
        <f>SUM(Y20:AJ20)</f>
        <v>1.0000000000000002</v>
      </c>
    </row>
    <row r="21" spans="1:38" x14ac:dyDescent="0.2">
      <c r="A21" s="9">
        <f t="shared" si="0"/>
        <v>13</v>
      </c>
      <c r="B21" s="9"/>
      <c r="F21" s="1"/>
      <c r="G21" s="1"/>
      <c r="H21" s="1"/>
      <c r="I21" s="1"/>
      <c r="T21" s="9">
        <f t="shared" si="1"/>
        <v>13</v>
      </c>
      <c r="U21" s="9"/>
      <c r="W21" s="9"/>
      <c r="X21" s="9"/>
    </row>
    <row r="22" spans="1:38" x14ac:dyDescent="0.2">
      <c r="A22" s="9">
        <f t="shared" si="0"/>
        <v>14</v>
      </c>
      <c r="B22" s="22" t="str">
        <f>CONCATENATE("Schedule ",'Exh CTM-10 (Page 1)'!G8)</f>
        <v>Schedule 12 (26) (26P)</v>
      </c>
      <c r="F22" s="1"/>
      <c r="G22" s="1"/>
      <c r="H22" s="1"/>
      <c r="I22" s="1"/>
      <c r="R22" s="21"/>
      <c r="T22" s="9">
        <f t="shared" si="1"/>
        <v>14</v>
      </c>
      <c r="U22" s="22" t="str">
        <f>B22</f>
        <v>Schedule 12 (26) (26P)</v>
      </c>
      <c r="W22" s="9"/>
      <c r="X22" s="9"/>
      <c r="AK22" s="21"/>
    </row>
    <row r="23" spans="1:38" x14ac:dyDescent="0.2">
      <c r="A23" s="9">
        <f t="shared" si="0"/>
        <v>15</v>
      </c>
      <c r="B23" s="9"/>
      <c r="C23" s="1" t="str">
        <f>C11</f>
        <v>Forecasted Delivered Volumes</v>
      </c>
      <c r="D23" s="12" t="str">
        <f>D11</f>
        <v>Exhibit CTM-3</v>
      </c>
      <c r="E23" s="12"/>
      <c r="F23" s="23">
        <v>169944547.09300739</v>
      </c>
      <c r="G23" s="23">
        <v>154035583.54989097</v>
      </c>
      <c r="H23" s="23">
        <v>166036181.94501996</v>
      </c>
      <c r="I23" s="23">
        <v>157934546.93618459</v>
      </c>
      <c r="J23" s="23">
        <v>163169608.54273266</v>
      </c>
      <c r="K23" s="23">
        <v>165501286.38969323</v>
      </c>
      <c r="L23" s="23">
        <v>179820475.18996796</v>
      </c>
      <c r="M23" s="23">
        <v>184517801.8284961</v>
      </c>
      <c r="N23" s="23">
        <v>161160653.55366755</v>
      </c>
      <c r="O23" s="23">
        <v>167479960.3453992</v>
      </c>
      <c r="P23" s="23">
        <v>167807396.96982503</v>
      </c>
      <c r="Q23" s="23">
        <v>176483688.45616344</v>
      </c>
      <c r="R23" s="21">
        <f>SUM(F23:Q23)</f>
        <v>2013891730.8000479</v>
      </c>
      <c r="S23" s="21"/>
      <c r="T23" s="9">
        <f t="shared" si="1"/>
        <v>15</v>
      </c>
      <c r="U23" s="9"/>
      <c r="V23" s="1" t="str">
        <f>V11</f>
        <v>Forecasted Delivered Volumes</v>
      </c>
      <c r="W23" s="12" t="str">
        <f>W11</f>
        <v>Exhibit CTM-3</v>
      </c>
      <c r="X23" s="12"/>
      <c r="Y23" s="23">
        <v>176086973.18231368</v>
      </c>
      <c r="Z23" s="23">
        <v>158888305.24097899</v>
      </c>
      <c r="AA23" s="23">
        <v>171060961.76751742</v>
      </c>
      <c r="AB23" s="23">
        <v>161959029.39584902</v>
      </c>
      <c r="AC23" s="23">
        <v>166644984.3124525</v>
      </c>
      <c r="AD23" s="23">
        <v>168447943.62309489</v>
      </c>
      <c r="AE23" s="23">
        <v>182791747.69815725</v>
      </c>
      <c r="AF23" s="23">
        <v>187141864.02461585</v>
      </c>
      <c r="AG23" s="23">
        <v>163567436.53824693</v>
      </c>
      <c r="AH23" s="23">
        <v>169870548.57358605</v>
      </c>
      <c r="AI23" s="23">
        <v>170535223.60634878</v>
      </c>
      <c r="AJ23" s="23">
        <v>179796545.27829149</v>
      </c>
      <c r="AK23" s="21">
        <f>SUM(Y23:AJ23)</f>
        <v>2056791563.2414525</v>
      </c>
      <c r="AL23" s="21"/>
    </row>
    <row r="24" spans="1:38" x14ac:dyDescent="0.2">
      <c r="A24" s="9">
        <f t="shared" si="0"/>
        <v>16</v>
      </c>
      <c r="B24" s="9"/>
      <c r="C24" s="1" t="str">
        <f>C12</f>
        <v>% of Annual Total</v>
      </c>
      <c r="D24" s="12" t="s">
        <v>53</v>
      </c>
      <c r="E24" s="12"/>
      <c r="F24" s="25">
        <f t="shared" ref="F24:Q24" si="8">F23/$R23</f>
        <v>8.4386138784876205E-2</v>
      </c>
      <c r="G24" s="25">
        <f t="shared" si="8"/>
        <v>7.6486526655878406E-2</v>
      </c>
      <c r="H24" s="25">
        <f t="shared" si="8"/>
        <v>8.2445436070716499E-2</v>
      </c>
      <c r="I24" s="25">
        <f t="shared" si="8"/>
        <v>7.8422560915647033E-2</v>
      </c>
      <c r="J24" s="25">
        <f t="shared" si="8"/>
        <v>8.1022036114082041E-2</v>
      </c>
      <c r="K24" s="25">
        <f t="shared" si="8"/>
        <v>8.2179833135292452E-2</v>
      </c>
      <c r="L24" s="25">
        <f t="shared" si="8"/>
        <v>8.9290040988713751E-2</v>
      </c>
      <c r="M24" s="25">
        <f t="shared" si="8"/>
        <v>9.162250333844596E-2</v>
      </c>
      <c r="N24" s="25">
        <f t="shared" si="8"/>
        <v>8.0024487458242907E-2</v>
      </c>
      <c r="O24" s="25">
        <f t="shared" si="8"/>
        <v>8.3162345713026664E-2</v>
      </c>
      <c r="P24" s="25">
        <f t="shared" si="8"/>
        <v>8.3324934703992798E-2</v>
      </c>
      <c r="Q24" s="25">
        <f t="shared" si="8"/>
        <v>8.7633156121085382E-2</v>
      </c>
      <c r="R24" s="25">
        <f>SUM(F24:Q24)</f>
        <v>1.0000000000000002</v>
      </c>
      <c r="T24" s="9">
        <f t="shared" si="1"/>
        <v>16</v>
      </c>
      <c r="U24" s="9"/>
      <c r="V24" s="1" t="s">
        <v>51</v>
      </c>
      <c r="W24" s="12" t="str">
        <f>D24</f>
        <v>% of (C(p):R(15))</v>
      </c>
      <c r="X24" s="12"/>
      <c r="Y24" s="25">
        <f t="shared" ref="Y24:AJ24" si="9">Y23/$AK23</f>
        <v>8.5612454042161168E-2</v>
      </c>
      <c r="Z24" s="25">
        <f t="shared" si="9"/>
        <v>7.7250562517173577E-2</v>
      </c>
      <c r="AA24" s="25">
        <f t="shared" si="9"/>
        <v>8.316883675754172E-2</v>
      </c>
      <c r="AB24" s="25">
        <f t="shared" si="9"/>
        <v>7.8743530598990599E-2</v>
      </c>
      <c r="AC24" s="25">
        <f t="shared" si="9"/>
        <v>8.1021814407787704E-2</v>
      </c>
      <c r="AD24" s="25">
        <f t="shared" si="9"/>
        <v>8.1898402654678876E-2</v>
      </c>
      <c r="AE24" s="25">
        <f t="shared" si="9"/>
        <v>8.8872276104673437E-2</v>
      </c>
      <c r="AF24" s="25">
        <f t="shared" si="9"/>
        <v>9.0987277159813376E-2</v>
      </c>
      <c r="AG24" s="25">
        <f t="shared" si="9"/>
        <v>7.9525528722253561E-2</v>
      </c>
      <c r="AH24" s="25">
        <f t="shared" si="9"/>
        <v>8.2590064841511837E-2</v>
      </c>
      <c r="AI24" s="25">
        <f t="shared" si="9"/>
        <v>8.2913225945748972E-2</v>
      </c>
      <c r="AJ24" s="25">
        <f t="shared" si="9"/>
        <v>8.7416026247665368E-2</v>
      </c>
      <c r="AK24" s="25">
        <f>SUM(Y24:AJ24)</f>
        <v>1.0000000000000002</v>
      </c>
    </row>
    <row r="25" spans="1:38" x14ac:dyDescent="0.2">
      <c r="A25" s="9">
        <f t="shared" si="0"/>
        <v>17</v>
      </c>
      <c r="B25" s="9"/>
      <c r="F25" s="1"/>
      <c r="G25" s="1"/>
      <c r="H25" s="1"/>
      <c r="I25" s="1"/>
      <c r="T25" s="9">
        <f t="shared" si="1"/>
        <v>17</v>
      </c>
      <c r="U25" s="9"/>
      <c r="W25" s="9"/>
      <c r="X25" s="9"/>
    </row>
    <row r="26" spans="1:38" x14ac:dyDescent="0.2">
      <c r="A26" s="9">
        <f t="shared" si="0"/>
        <v>18</v>
      </c>
      <c r="B26" s="22" t="str">
        <f>CONCATENATE("Schedule ",'Exh CTM-10 (Page 1)'!H8)</f>
        <v>Schedule 10 (31)</v>
      </c>
      <c r="D26" s="1"/>
      <c r="E26" s="1"/>
      <c r="F26" s="1"/>
      <c r="G26" s="1"/>
      <c r="H26" s="1"/>
      <c r="I26" s="1"/>
      <c r="T26" s="9">
        <f t="shared" si="1"/>
        <v>18</v>
      </c>
      <c r="U26" s="22" t="str">
        <f>B26</f>
        <v>Schedule 10 (31)</v>
      </c>
    </row>
    <row r="27" spans="1:38" x14ac:dyDescent="0.2">
      <c r="A27" s="9">
        <f t="shared" si="0"/>
        <v>19</v>
      </c>
      <c r="B27" s="9"/>
      <c r="C27" s="1" t="str">
        <f>C11</f>
        <v>Forecasted Delivered Volumes</v>
      </c>
      <c r="D27" s="12" t="str">
        <f>D11</f>
        <v>Exhibit CTM-3</v>
      </c>
      <c r="E27" s="12"/>
      <c r="F27" s="23">
        <v>121845784.40445474</v>
      </c>
      <c r="G27" s="23">
        <v>112198828.2703197</v>
      </c>
      <c r="H27" s="23">
        <v>122618540.65760645</v>
      </c>
      <c r="I27" s="23">
        <v>116880184.00659442</v>
      </c>
      <c r="J27" s="23">
        <v>118614031.01478523</v>
      </c>
      <c r="K27" s="23">
        <v>119251101.04628092</v>
      </c>
      <c r="L27" s="23">
        <v>122373659.27692664</v>
      </c>
      <c r="M27" s="23">
        <v>124681553.28507455</v>
      </c>
      <c r="N27" s="23">
        <v>112134358.35913306</v>
      </c>
      <c r="O27" s="23">
        <v>117144012.61741376</v>
      </c>
      <c r="P27" s="23">
        <v>116374940.36927004</v>
      </c>
      <c r="Q27" s="23">
        <v>119469026.17094433</v>
      </c>
      <c r="R27" s="21">
        <f>SUM(F27:Q27)</f>
        <v>1423586019.4788036</v>
      </c>
      <c r="S27" s="21"/>
      <c r="T27" s="9">
        <f t="shared" si="1"/>
        <v>19</v>
      </c>
      <c r="U27" s="9"/>
      <c r="V27" s="1" t="str">
        <f>V11</f>
        <v>Forecasted Delivered Volumes</v>
      </c>
      <c r="W27" s="12" t="str">
        <f>W11</f>
        <v>Exhibit CTM-3</v>
      </c>
      <c r="X27" s="12"/>
      <c r="Y27" s="23">
        <v>122294763.38928714</v>
      </c>
      <c r="Z27" s="23">
        <v>112174734.00626099</v>
      </c>
      <c r="AA27" s="23">
        <v>122602298.89226967</v>
      </c>
      <c r="AB27" s="23">
        <v>116368410.85191052</v>
      </c>
      <c r="AC27" s="23">
        <v>117588752.53851682</v>
      </c>
      <c r="AD27" s="23">
        <v>118012264.25285049</v>
      </c>
      <c r="AE27" s="23">
        <v>121077420.93698482</v>
      </c>
      <c r="AF27" s="23">
        <v>123260656.28246208</v>
      </c>
      <c r="AG27" s="23">
        <v>110552448.29294446</v>
      </c>
      <c r="AH27" s="23">
        <v>115247739.27773371</v>
      </c>
      <c r="AI27" s="23">
        <v>114516456.47942303</v>
      </c>
      <c r="AJ27" s="23">
        <v>117602026.88774735</v>
      </c>
      <c r="AK27" s="21">
        <f>SUM(Y27:AJ27)</f>
        <v>1411297972.0883911</v>
      </c>
      <c r="AL27" s="21"/>
    </row>
    <row r="28" spans="1:38" x14ac:dyDescent="0.2">
      <c r="A28" s="9">
        <f t="shared" si="0"/>
        <v>20</v>
      </c>
      <c r="B28" s="9"/>
      <c r="C28" s="1" t="str">
        <f>C12</f>
        <v>% of Annual Total</v>
      </c>
      <c r="D28" s="12" t="s">
        <v>52</v>
      </c>
      <c r="E28" s="12"/>
      <c r="F28" s="25">
        <f t="shared" ref="F28:Q28" si="10">F27/$R27</f>
        <v>8.5590742489213487E-2</v>
      </c>
      <c r="G28" s="25">
        <f t="shared" si="10"/>
        <v>7.8814224595572663E-2</v>
      </c>
      <c r="H28" s="25">
        <f t="shared" si="10"/>
        <v>8.613356620522232E-2</v>
      </c>
      <c r="I28" s="25">
        <f t="shared" si="10"/>
        <v>8.2102649511397993E-2</v>
      </c>
      <c r="J28" s="25">
        <f t="shared" si="10"/>
        <v>8.3320592778939773E-2</v>
      </c>
      <c r="K28" s="25">
        <f t="shared" si="10"/>
        <v>8.376810351786157E-2</v>
      </c>
      <c r="L28" s="25">
        <f t="shared" si="10"/>
        <v>8.5961548935223092E-2</v>
      </c>
      <c r="M28" s="25">
        <f t="shared" si="10"/>
        <v>8.7582732324613832E-2</v>
      </c>
      <c r="N28" s="25">
        <f t="shared" si="10"/>
        <v>7.8768937615857695E-2</v>
      </c>
      <c r="O28" s="25">
        <f t="shared" si="10"/>
        <v>8.2287976289835973E-2</v>
      </c>
      <c r="P28" s="25">
        <f t="shared" si="10"/>
        <v>8.1747740408322264E-2</v>
      </c>
      <c r="Q28" s="25">
        <f t="shared" si="10"/>
        <v>8.3921185327939476E-2</v>
      </c>
      <c r="R28" s="25">
        <f>SUM(F28:Q28)</f>
        <v>1.0000000000000002</v>
      </c>
      <c r="T28" s="9">
        <f t="shared" si="1"/>
        <v>20</v>
      </c>
      <c r="U28" s="9"/>
      <c r="V28" s="1" t="s">
        <v>51</v>
      </c>
      <c r="W28" s="12" t="str">
        <f>D28</f>
        <v>% of (C(p):R(19))</v>
      </c>
      <c r="X28" s="12"/>
      <c r="Y28" s="25">
        <f t="shared" ref="Y28:AJ28" si="11">Y27/$AK27</f>
        <v>8.6654105517008209E-2</v>
      </c>
      <c r="Z28" s="25">
        <f t="shared" si="11"/>
        <v>7.948338070681743E-2</v>
      </c>
      <c r="AA28" s="25">
        <f t="shared" si="11"/>
        <v>8.6872015206573935E-2</v>
      </c>
      <c r="AB28" s="25">
        <f t="shared" si="11"/>
        <v>8.2454884194095787E-2</v>
      </c>
      <c r="AC28" s="25">
        <f t="shared" si="11"/>
        <v>8.3319578759482635E-2</v>
      </c>
      <c r="AD28" s="25">
        <f t="shared" si="11"/>
        <v>8.3619665433388196E-2</v>
      </c>
      <c r="AE28" s="25">
        <f t="shared" si="11"/>
        <v>8.5791536111837916E-2</v>
      </c>
      <c r="AF28" s="25">
        <f t="shared" si="11"/>
        <v>8.7338505914569639E-2</v>
      </c>
      <c r="AG28" s="25">
        <f t="shared" si="11"/>
        <v>7.8333881631922619E-2</v>
      </c>
      <c r="AH28" s="25">
        <f t="shared" si="11"/>
        <v>8.1660812639866548E-2</v>
      </c>
      <c r="AI28" s="25">
        <f t="shared" si="11"/>
        <v>8.114264935133822E-2</v>
      </c>
      <c r="AJ28" s="25">
        <f t="shared" si="11"/>
        <v>8.3328984533098879E-2</v>
      </c>
      <c r="AK28" s="25">
        <f>SUM(Y28:AJ28)</f>
        <v>0.99999999999999989</v>
      </c>
    </row>
    <row r="29" spans="1:38" x14ac:dyDescent="0.2">
      <c r="A29" s="9">
        <f t="shared" si="0"/>
        <v>21</v>
      </c>
      <c r="B29" s="9"/>
      <c r="D29" s="12"/>
      <c r="E29" s="12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T29" s="9">
        <f t="shared" si="1"/>
        <v>21</v>
      </c>
      <c r="U29" s="9"/>
      <c r="W29" s="12"/>
      <c r="X29" s="12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8" x14ac:dyDescent="0.2">
      <c r="A30" s="9">
        <f t="shared" si="0"/>
        <v>22</v>
      </c>
      <c r="B30" s="31" t="s">
        <v>50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9">
        <f t="shared" si="1"/>
        <v>22</v>
      </c>
      <c r="U30" s="31" t="s">
        <v>50</v>
      </c>
      <c r="W30" s="9"/>
      <c r="X30" s="9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8" x14ac:dyDescent="0.2">
      <c r="A31" s="9">
        <f t="shared" si="0"/>
        <v>23</v>
      </c>
      <c r="B31" s="22" t="str">
        <f>B10</f>
        <v>Schedule 7 (307) (317) (327)</v>
      </c>
      <c r="F31" s="1"/>
      <c r="G31" s="1"/>
      <c r="H31" s="1"/>
      <c r="I31" s="1"/>
      <c r="T31" s="9">
        <f t="shared" si="1"/>
        <v>23</v>
      </c>
      <c r="U31" s="22" t="str">
        <f>U10</f>
        <v>Schedule 7 (307) (317) (327)</v>
      </c>
      <c r="W31" s="9"/>
      <c r="X31" s="9"/>
    </row>
    <row r="32" spans="1:38" x14ac:dyDescent="0.2">
      <c r="A32" s="9">
        <f t="shared" si="0"/>
        <v>24</v>
      </c>
      <c r="B32" s="9"/>
      <c r="C32" s="1" t="s">
        <v>49</v>
      </c>
      <c r="D32" s="9" t="s">
        <v>39</v>
      </c>
      <c r="E32" s="12" t="s">
        <v>48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>
        <f>'Exh CTM-10 (Page 1)'!D13</f>
        <v>256596382.83315468</v>
      </c>
      <c r="T32" s="9">
        <f t="shared" si="1"/>
        <v>24</v>
      </c>
      <c r="U32" s="9"/>
      <c r="V32" s="1" t="str">
        <f>C32</f>
        <v>Allowed Fixed Power Cost Revenue</v>
      </c>
      <c r="W32" s="9" t="str">
        <f>D32</f>
        <v>Exhibit CTM-10, Page 1</v>
      </c>
      <c r="X32" s="9" t="str">
        <f>E32</f>
        <v>Sheet No. 142-G.2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>
        <f>'Exh CTM-10 (Page 1)'!D24</f>
        <v>297679358.91569042</v>
      </c>
    </row>
    <row r="33" spans="1:37" x14ac:dyDescent="0.2">
      <c r="A33" s="9">
        <f t="shared" si="0"/>
        <v>25</v>
      </c>
      <c r="B33" s="9"/>
      <c r="C33" s="1" t="s">
        <v>47</v>
      </c>
      <c r="D33" s="9" t="str">
        <f>"("&amp;A$12&amp;") x ("&amp;A32&amp;")"</f>
        <v>(4) x (24)</v>
      </c>
      <c r="F33" s="26">
        <f t="shared" ref="F33:Q33" si="12">$R32*F$12</f>
        <v>27145628.92484647</v>
      </c>
      <c r="G33" s="26">
        <f t="shared" si="12"/>
        <v>23653061.878418799</v>
      </c>
      <c r="H33" s="26">
        <f t="shared" si="12"/>
        <v>23717341.591531735</v>
      </c>
      <c r="I33" s="26">
        <f t="shared" si="12"/>
        <v>19964726.946565878</v>
      </c>
      <c r="J33" s="26">
        <f t="shared" si="12"/>
        <v>17463030.218408655</v>
      </c>
      <c r="K33" s="26">
        <f t="shared" si="12"/>
        <v>16782842.799669426</v>
      </c>
      <c r="L33" s="26">
        <f t="shared" si="12"/>
        <v>18702053.357949764</v>
      </c>
      <c r="M33" s="26">
        <f t="shared" si="12"/>
        <v>18898744.372589353</v>
      </c>
      <c r="N33" s="26">
        <f t="shared" si="12"/>
        <v>17220993.824834801</v>
      </c>
      <c r="O33" s="26">
        <f t="shared" si="12"/>
        <v>20048393.433837175</v>
      </c>
      <c r="P33" s="26">
        <f t="shared" si="12"/>
        <v>24100877.445351928</v>
      </c>
      <c r="Q33" s="26">
        <f t="shared" si="12"/>
        <v>28898688.039150659</v>
      </c>
      <c r="R33" s="27">
        <f>SUM(F33:Q33)</f>
        <v>256596382.83315465</v>
      </c>
      <c r="T33" s="9">
        <f t="shared" si="1"/>
        <v>25</v>
      </c>
      <c r="U33" s="9"/>
      <c r="V33" s="1" t="str">
        <f>C33</f>
        <v>Monthly Allowed FPC Revenue</v>
      </c>
      <c r="W33" s="9" t="str">
        <f>"("&amp;T$12&amp;") x ("&amp;T32&amp;")"</f>
        <v>(4) x (24)</v>
      </c>
      <c r="X33" s="9"/>
      <c r="Y33" s="26">
        <f t="shared" ref="Y33:AJ33" si="13">$AK32*Y$12</f>
        <v>31569341.754333425</v>
      </c>
      <c r="Z33" s="26">
        <f t="shared" si="13"/>
        <v>27387587.426719856</v>
      </c>
      <c r="AA33" s="26">
        <f t="shared" si="13"/>
        <v>27488973.523452323</v>
      </c>
      <c r="AB33" s="26">
        <f t="shared" si="13"/>
        <v>23114196.505897425</v>
      </c>
      <c r="AC33" s="26">
        <f t="shared" si="13"/>
        <v>20234911.824353557</v>
      </c>
      <c r="AD33" s="26">
        <f t="shared" si="13"/>
        <v>19545067.903342508</v>
      </c>
      <c r="AE33" s="26">
        <f t="shared" si="13"/>
        <v>21818229.345201101</v>
      </c>
      <c r="AF33" s="26">
        <f t="shared" si="13"/>
        <v>22077876.922851954</v>
      </c>
      <c r="AG33" s="26">
        <f t="shared" si="13"/>
        <v>20086281.502871938</v>
      </c>
      <c r="AH33" s="26">
        <f t="shared" si="13"/>
        <v>23233507.082220051</v>
      </c>
      <c r="AI33" s="26">
        <f t="shared" si="13"/>
        <v>27799530.544457376</v>
      </c>
      <c r="AJ33" s="26">
        <f t="shared" si="13"/>
        <v>33323854.579988848</v>
      </c>
      <c r="AK33" s="27">
        <f>SUM(Y33:AJ33)</f>
        <v>297679358.91569036</v>
      </c>
    </row>
    <row r="34" spans="1:37" x14ac:dyDescent="0.2">
      <c r="A34" s="9">
        <f t="shared" si="0"/>
        <v>26</v>
      </c>
      <c r="B34" s="9"/>
      <c r="D34" s="28"/>
      <c r="E34" s="2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T34" s="9">
        <f t="shared" si="1"/>
        <v>26</v>
      </c>
      <c r="U34" s="9"/>
      <c r="W34" s="28"/>
      <c r="X34" s="28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/>
    </row>
    <row r="35" spans="1:37" x14ac:dyDescent="0.2">
      <c r="A35" s="9">
        <f t="shared" si="0"/>
        <v>27</v>
      </c>
      <c r="B35" s="22" t="str">
        <f>B14</f>
        <v>Schedule 08 (24) (324)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  <c r="T35" s="9">
        <f t="shared" si="1"/>
        <v>27</v>
      </c>
      <c r="U35" s="22" t="str">
        <f>U14</f>
        <v>Schedule 08 (24) (324)</v>
      </c>
      <c r="W35" s="9"/>
      <c r="X35" s="9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7"/>
    </row>
    <row r="36" spans="1:37" x14ac:dyDescent="0.2">
      <c r="A36" s="9">
        <f t="shared" si="0"/>
        <v>28</v>
      </c>
      <c r="B36" s="9"/>
      <c r="C36" s="1" t="str">
        <f>C32</f>
        <v>Allowed Fixed Power Cost Revenue</v>
      </c>
      <c r="D36" s="9" t="str">
        <f>$D$32</f>
        <v>Exhibit CTM-10, Page 1</v>
      </c>
      <c r="E36" s="12" t="s">
        <v>46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>
        <f>'Exh CTM-10 (Page 1)'!E13</f>
        <v>56204263.956119508</v>
      </c>
      <c r="T36" s="9">
        <f t="shared" si="1"/>
        <v>28</v>
      </c>
      <c r="U36" s="9"/>
      <c r="V36" s="1" t="str">
        <f>C36</f>
        <v>Allowed Fixed Power Cost Revenue</v>
      </c>
      <c r="W36" s="9" t="str">
        <f>$D$32</f>
        <v>Exhibit CTM-10, Page 1</v>
      </c>
      <c r="X36" s="9" t="str">
        <f>E36</f>
        <v>Sheet No. 142-G.3</v>
      </c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>
        <f>'Exh CTM-10 (Page 1)'!E24</f>
        <v>65207527.130167216</v>
      </c>
    </row>
    <row r="37" spans="1:37" x14ac:dyDescent="0.2">
      <c r="A37" s="9">
        <f t="shared" si="0"/>
        <v>29</v>
      </c>
      <c r="B37" s="9"/>
      <c r="C37" s="1" t="str">
        <f>C33</f>
        <v>Monthly Allowed FPC Revenue</v>
      </c>
      <c r="D37" s="9" t="str">
        <f>"("&amp;A$16&amp;") x ("&amp;A36&amp;")"</f>
        <v>(8) x (28)</v>
      </c>
      <c r="F37" s="26">
        <f t="shared" ref="F37:Q37" si="14">$R36*F$16</f>
        <v>5459986.1829947196</v>
      </c>
      <c r="G37" s="26">
        <f t="shared" si="14"/>
        <v>4722867.2808862152</v>
      </c>
      <c r="H37" s="26">
        <f t="shared" si="14"/>
        <v>5088430.0664591314</v>
      </c>
      <c r="I37" s="26">
        <f t="shared" si="14"/>
        <v>4464735.2730847197</v>
      </c>
      <c r="J37" s="26">
        <f t="shared" si="14"/>
        <v>4404552.4269747566</v>
      </c>
      <c r="K37" s="26">
        <f t="shared" si="14"/>
        <v>4300050.7489912184</v>
      </c>
      <c r="L37" s="26">
        <f t="shared" si="14"/>
        <v>4592689.0179888885</v>
      </c>
      <c r="M37" s="26">
        <f t="shared" si="14"/>
        <v>4613120.0034178896</v>
      </c>
      <c r="N37" s="26">
        <f t="shared" si="14"/>
        <v>4171579.385022332</v>
      </c>
      <c r="O37" s="26">
        <f t="shared" si="14"/>
        <v>4374747.7289640578</v>
      </c>
      <c r="P37" s="26">
        <f t="shared" si="14"/>
        <v>4618472.8528709821</v>
      </c>
      <c r="Q37" s="26">
        <f t="shared" si="14"/>
        <v>5393032.9884646004</v>
      </c>
      <c r="R37" s="27">
        <f>SUM(F37:Q37)</f>
        <v>56204263.956119515</v>
      </c>
      <c r="T37" s="9">
        <f t="shared" si="1"/>
        <v>29</v>
      </c>
      <c r="U37" s="9"/>
      <c r="V37" s="1" t="str">
        <f>C37</f>
        <v>Monthly Allowed FPC Revenue</v>
      </c>
      <c r="W37" s="9" t="str">
        <f>"("&amp;T$16&amp;") x ("&amp;T36&amp;")"</f>
        <v>(8) x (28)</v>
      </c>
      <c r="X37" s="9"/>
      <c r="Y37" s="26">
        <f t="shared" ref="Y37:AJ37" si="15">$AK36*Y$16</f>
        <v>6341388.9299710691</v>
      </c>
      <c r="Z37" s="26">
        <f t="shared" si="15"/>
        <v>5475240.8774011368</v>
      </c>
      <c r="AA37" s="26">
        <f t="shared" si="15"/>
        <v>5896990.2443323452</v>
      </c>
      <c r="AB37" s="26">
        <f t="shared" si="15"/>
        <v>5165786.8187866006</v>
      </c>
      <c r="AC37" s="26">
        <f t="shared" si="15"/>
        <v>5093819.0719541991</v>
      </c>
      <c r="AD37" s="26">
        <f t="shared" si="15"/>
        <v>4978304.8147276966</v>
      </c>
      <c r="AE37" s="26">
        <f t="shared" si="15"/>
        <v>5326545.1317074019</v>
      </c>
      <c r="AF37" s="26">
        <f t="shared" si="15"/>
        <v>5353271.4592910865</v>
      </c>
      <c r="AG37" s="26">
        <f t="shared" si="15"/>
        <v>4840124.1101749334</v>
      </c>
      <c r="AH37" s="26">
        <f t="shared" si="15"/>
        <v>5079194.9294700697</v>
      </c>
      <c r="AI37" s="26">
        <f t="shared" si="15"/>
        <v>5368970.7292410927</v>
      </c>
      <c r="AJ37" s="26">
        <f t="shared" si="15"/>
        <v>6287890.0131095881</v>
      </c>
      <c r="AK37" s="27">
        <f>SUM(Y37:AJ37)</f>
        <v>65207527.130167216</v>
      </c>
    </row>
    <row r="38" spans="1:37" x14ac:dyDescent="0.2">
      <c r="A38" s="9">
        <f t="shared" si="0"/>
        <v>30</v>
      </c>
      <c r="B38" s="9"/>
      <c r="D38" s="28"/>
      <c r="E38" s="2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T38" s="9">
        <f t="shared" si="1"/>
        <v>30</v>
      </c>
      <c r="U38" s="9"/>
      <c r="W38" s="28"/>
      <c r="X38" s="28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x14ac:dyDescent="0.2">
      <c r="A39" s="9">
        <f t="shared" si="0"/>
        <v>31</v>
      </c>
      <c r="B39" s="22" t="str">
        <f>B18</f>
        <v>Schedule 7A (11) (25) 29 35 43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T39" s="9">
        <f t="shared" si="1"/>
        <v>31</v>
      </c>
      <c r="U39" s="22" t="str">
        <f>U18</f>
        <v>Schedule 7A (11) (25) 29 35 43</v>
      </c>
      <c r="W39" s="9"/>
      <c r="X39" s="9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7"/>
    </row>
    <row r="40" spans="1:37" x14ac:dyDescent="0.2">
      <c r="A40" s="9">
        <f t="shared" si="0"/>
        <v>32</v>
      </c>
      <c r="B40" s="9"/>
      <c r="C40" s="1" t="str">
        <f>C32</f>
        <v>Allowed Fixed Power Cost Revenue</v>
      </c>
      <c r="D40" s="9" t="str">
        <f>$D$32</f>
        <v>Exhibit CTM-10, Page 1</v>
      </c>
      <c r="E40" s="12" t="s">
        <v>45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>
        <f>'Exh CTM-10 (Page 1)'!F13</f>
        <v>62986424.529857367</v>
      </c>
      <c r="T40" s="9">
        <f t="shared" si="1"/>
        <v>32</v>
      </c>
      <c r="U40" s="9"/>
      <c r="V40" s="1" t="str">
        <f>C40</f>
        <v>Allowed Fixed Power Cost Revenue</v>
      </c>
      <c r="W40" s="9" t="str">
        <f>$D$32</f>
        <v>Exhibit CTM-10, Page 1</v>
      </c>
      <c r="X40" s="9" t="str">
        <f>E40</f>
        <v>Sheet No. 142-G.4</v>
      </c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>
        <f>'Exh CTM-10 (Page 1)'!F24</f>
        <v>73076513.656109244</v>
      </c>
    </row>
    <row r="41" spans="1:37" x14ac:dyDescent="0.2">
      <c r="A41" s="9">
        <f t="shared" si="0"/>
        <v>33</v>
      </c>
      <c r="B41" s="9"/>
      <c r="C41" s="1" t="str">
        <f>C33</f>
        <v>Monthly Allowed FPC Revenue</v>
      </c>
      <c r="D41" s="9" t="str">
        <f>"("&amp;A$20&amp;") x ("&amp;A40&amp;")"</f>
        <v>(12) x (32)</v>
      </c>
      <c r="F41" s="26">
        <f t="shared" ref="F41:Q41" si="16">$R40*F$20</f>
        <v>5709127.4109187359</v>
      </c>
      <c r="G41" s="26">
        <f t="shared" si="16"/>
        <v>5070347.9884429509</v>
      </c>
      <c r="H41" s="26">
        <f t="shared" si="16"/>
        <v>5479740.9190647053</v>
      </c>
      <c r="I41" s="26">
        <f t="shared" si="16"/>
        <v>4932145.8702295115</v>
      </c>
      <c r="J41" s="26">
        <f t="shared" si="16"/>
        <v>5013797.1598623265</v>
      </c>
      <c r="K41" s="26">
        <f t="shared" si="16"/>
        <v>5009130.351051053</v>
      </c>
      <c r="L41" s="26">
        <f t="shared" si="16"/>
        <v>5309600.5836748164</v>
      </c>
      <c r="M41" s="26">
        <f t="shared" si="16"/>
        <v>5360420.6172077414</v>
      </c>
      <c r="N41" s="26">
        <f t="shared" si="16"/>
        <v>4862570.6604509344</v>
      </c>
      <c r="O41" s="26">
        <f t="shared" si="16"/>
        <v>5141640.1416341495</v>
      </c>
      <c r="P41" s="26">
        <f t="shared" si="16"/>
        <v>5219581.358775937</v>
      </c>
      <c r="Q41" s="26">
        <f t="shared" si="16"/>
        <v>5878321.468544499</v>
      </c>
      <c r="R41" s="27">
        <f>SUM(F41:Q41)</f>
        <v>62986424.529857367</v>
      </c>
      <c r="T41" s="9">
        <f t="shared" si="1"/>
        <v>33</v>
      </c>
      <c r="U41" s="9"/>
      <c r="V41" s="1" t="str">
        <f>C41</f>
        <v>Monthly Allowed FPC Revenue</v>
      </c>
      <c r="W41" s="9" t="str">
        <f>"("&amp;T$20&amp;") x ("&amp;T40&amp;")"</f>
        <v>(12) x (32)</v>
      </c>
      <c r="X41" s="9"/>
      <c r="Y41" s="26">
        <f t="shared" ref="Y41:AJ41" si="17">$AK40*Y$20</f>
        <v>6637141.5913524032</v>
      </c>
      <c r="Z41" s="26">
        <f t="shared" si="17"/>
        <v>5881632.0575836068</v>
      </c>
      <c r="AA41" s="26">
        <f t="shared" si="17"/>
        <v>6354261.883339203</v>
      </c>
      <c r="AB41" s="26">
        <f t="shared" si="17"/>
        <v>5707536.8205287596</v>
      </c>
      <c r="AC41" s="26">
        <f t="shared" si="17"/>
        <v>5797272.2862449987</v>
      </c>
      <c r="AD41" s="26">
        <f t="shared" si="17"/>
        <v>5796470.339373176</v>
      </c>
      <c r="AE41" s="26">
        <f t="shared" si="17"/>
        <v>6156380.4183543464</v>
      </c>
      <c r="AF41" s="26">
        <f t="shared" si="17"/>
        <v>6218624.0841194261</v>
      </c>
      <c r="AG41" s="26">
        <f t="shared" si="17"/>
        <v>5639761.8480463019</v>
      </c>
      <c r="AH41" s="26">
        <f t="shared" si="17"/>
        <v>5965882.0032807821</v>
      </c>
      <c r="AI41" s="26">
        <f t="shared" si="17"/>
        <v>6066582.6884342441</v>
      </c>
      <c r="AJ41" s="26">
        <f t="shared" si="17"/>
        <v>6854967.6354520032</v>
      </c>
      <c r="AK41" s="27">
        <f>SUM(Y41:AJ41)</f>
        <v>73076513.656109259</v>
      </c>
    </row>
    <row r="42" spans="1:37" x14ac:dyDescent="0.2">
      <c r="A42" s="9">
        <f t="shared" si="0"/>
        <v>34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6"/>
      <c r="T42" s="9">
        <f t="shared" si="1"/>
        <v>34</v>
      </c>
      <c r="W42" s="9"/>
      <c r="X42" s="9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6"/>
    </row>
    <row r="43" spans="1:37" x14ac:dyDescent="0.2">
      <c r="A43" s="9">
        <f t="shared" si="0"/>
        <v>35</v>
      </c>
      <c r="B43" s="22" t="str">
        <f>B22</f>
        <v>Schedule 12 (26) (26P)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T43" s="9">
        <f t="shared" si="1"/>
        <v>35</v>
      </c>
      <c r="U43" s="22" t="str">
        <f>U22</f>
        <v>Schedule 12 (26) (26P)</v>
      </c>
      <c r="W43" s="9"/>
      <c r="X43" s="9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/>
    </row>
    <row r="44" spans="1:37" x14ac:dyDescent="0.2">
      <c r="A44" s="9">
        <f t="shared" si="0"/>
        <v>36</v>
      </c>
      <c r="B44" s="9"/>
      <c r="C44" s="1" t="str">
        <f>C32</f>
        <v>Allowed Fixed Power Cost Revenue</v>
      </c>
      <c r="D44" s="9" t="str">
        <f>$D$32</f>
        <v>Exhibit CTM-10, Page 1</v>
      </c>
      <c r="E44" s="12" t="s">
        <v>44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>
        <f>'Exh CTM-10 (Page 1)'!G13</f>
        <v>35253724.648236528</v>
      </c>
      <c r="T44" s="9">
        <f t="shared" si="1"/>
        <v>36</v>
      </c>
      <c r="U44" s="9"/>
      <c r="V44" s="1" t="str">
        <f>C44</f>
        <v>Allowed Fixed Power Cost Revenue</v>
      </c>
      <c r="W44" s="9" t="str">
        <f>$D$32</f>
        <v>Exhibit CTM-10, Page 1</v>
      </c>
      <c r="X44" s="9" t="str">
        <f>E44</f>
        <v>Sheet No. 142-G.5</v>
      </c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7">
        <f>'Exh CTM-10 (Page 1)'!G24</f>
        <v>40901995.459739745</v>
      </c>
    </row>
    <row r="45" spans="1:37" x14ac:dyDescent="0.2">
      <c r="A45" s="9">
        <f t="shared" si="0"/>
        <v>37</v>
      </c>
      <c r="B45" s="9"/>
      <c r="C45" s="1" t="str">
        <f>C33</f>
        <v>Monthly Allowed FPC Revenue</v>
      </c>
      <c r="D45" s="9" t="str">
        <f>"("&amp;A$24&amp;") x ("&amp;A44&amp;")"</f>
        <v>(16) x (36)</v>
      </c>
      <c r="F45" s="26">
        <f t="shared" ref="F45:Q45" si="18">$R44*F$24</f>
        <v>2974925.7008498986</v>
      </c>
      <c r="G45" s="26">
        <f t="shared" si="18"/>
        <v>2696434.9500263408</v>
      </c>
      <c r="H45" s="26">
        <f t="shared" si="18"/>
        <v>2906508.7017408269</v>
      </c>
      <c r="I45" s="26">
        <f t="shared" si="18"/>
        <v>2764687.3687297762</v>
      </c>
      <c r="J45" s="26">
        <f t="shared" si="18"/>
        <v>2856328.5516053243</v>
      </c>
      <c r="K45" s="26">
        <f t="shared" si="18"/>
        <v>2897145.2089896244</v>
      </c>
      <c r="L45" s="26">
        <f t="shared" si="18"/>
        <v>3147806.5188458678</v>
      </c>
      <c r="M45" s="26">
        <f t="shared" si="18"/>
        <v>3230034.5042757061</v>
      </c>
      <c r="N45" s="26">
        <f t="shared" si="18"/>
        <v>2821161.245969153</v>
      </c>
      <c r="O45" s="26">
        <f t="shared" si="18"/>
        <v>2931782.4368684953</v>
      </c>
      <c r="P45" s="26">
        <f t="shared" si="18"/>
        <v>2937514.30438685</v>
      </c>
      <c r="Q45" s="26">
        <f t="shared" si="18"/>
        <v>3089395.1559486673</v>
      </c>
      <c r="R45" s="27">
        <f>SUM(F45:Q45)</f>
        <v>35253724.648236528</v>
      </c>
      <c r="T45" s="9">
        <f t="shared" si="1"/>
        <v>37</v>
      </c>
      <c r="U45" s="9"/>
      <c r="V45" s="1" t="str">
        <f>C45</f>
        <v>Monthly Allowed FPC Revenue</v>
      </c>
      <c r="W45" s="9" t="str">
        <f>"("&amp;T$24&amp;") x ("&amp;T44&amp;")"</f>
        <v>(16) x (36)</v>
      </c>
      <c r="X45" s="9"/>
      <c r="Y45" s="26">
        <f t="shared" ref="Y45:AJ45" si="19">$AK44*Y$24</f>
        <v>3501720.2065296536</v>
      </c>
      <c r="Z45" s="26">
        <f t="shared" si="19"/>
        <v>3159702.157339775</v>
      </c>
      <c r="AA45" s="26">
        <f t="shared" si="19"/>
        <v>3401771.3834488075</v>
      </c>
      <c r="AB45" s="26">
        <f t="shared" si="19"/>
        <v>3220767.5310437912</v>
      </c>
      <c r="AC45" s="26">
        <f t="shared" si="19"/>
        <v>3313953.885047209</v>
      </c>
      <c r="AD45" s="26">
        <f t="shared" si="19"/>
        <v>3349808.0935416128</v>
      </c>
      <c r="AE45" s="26">
        <f t="shared" si="19"/>
        <v>3635053.43373009</v>
      </c>
      <c r="AF45" s="26">
        <f t="shared" si="19"/>
        <v>3721561.1972847683</v>
      </c>
      <c r="AG45" s="26">
        <f t="shared" si="19"/>
        <v>3252752.8147310177</v>
      </c>
      <c r="AH45" s="26">
        <f t="shared" si="19"/>
        <v>3378098.4571671281</v>
      </c>
      <c r="AI45" s="26">
        <f t="shared" si="19"/>
        <v>3391316.3911854001</v>
      </c>
      <c r="AJ45" s="26">
        <f t="shared" si="19"/>
        <v>3575489.9086904991</v>
      </c>
      <c r="AK45" s="27">
        <f>SUM(Y45:AJ45)</f>
        <v>40901995.459739752</v>
      </c>
    </row>
    <row r="46" spans="1:37" x14ac:dyDescent="0.2">
      <c r="A46" s="9">
        <f t="shared" si="0"/>
        <v>38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  <c r="T46" s="9">
        <f t="shared" si="1"/>
        <v>38</v>
      </c>
      <c r="W46" s="9"/>
      <c r="X46" s="9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6"/>
    </row>
    <row r="47" spans="1:37" x14ac:dyDescent="0.2">
      <c r="A47" s="9">
        <f t="shared" si="0"/>
        <v>39</v>
      </c>
      <c r="B47" s="22" t="str">
        <f>B26</f>
        <v>Schedule 10 (31)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T47" s="9">
        <f t="shared" si="1"/>
        <v>39</v>
      </c>
      <c r="U47" s="22" t="str">
        <f>U26</f>
        <v>Schedule 10 (31)</v>
      </c>
      <c r="W47" s="9"/>
      <c r="X47" s="9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7"/>
    </row>
    <row r="48" spans="1:37" x14ac:dyDescent="0.2">
      <c r="A48" s="9">
        <f t="shared" si="0"/>
        <v>40</v>
      </c>
      <c r="B48" s="9"/>
      <c r="C48" s="1" t="str">
        <f>C32</f>
        <v>Allowed Fixed Power Cost Revenue</v>
      </c>
      <c r="D48" s="9" t="str">
        <f>$D$32</f>
        <v>Exhibit CTM-10, Page 1</v>
      </c>
      <c r="E48" s="12" t="s">
        <v>43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>
        <f>'Exh CTM-10 (Page 1)'!H13</f>
        <v>24607512.513391651</v>
      </c>
      <c r="T48" s="9">
        <f t="shared" si="1"/>
        <v>40</v>
      </c>
      <c r="U48" s="9"/>
      <c r="V48" s="1" t="str">
        <f>C48</f>
        <v>Allowed Fixed Power Cost Revenue</v>
      </c>
      <c r="W48" s="9" t="str">
        <f>$D$32</f>
        <v>Exhibit CTM-10, Page 1</v>
      </c>
      <c r="X48" s="9" t="str">
        <f>E48</f>
        <v>Sheet No. 142-G.6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7">
        <f>'Exh CTM-10 (Page 1)'!H24</f>
        <v>28550591.012264177</v>
      </c>
    </row>
    <row r="49" spans="1:37" x14ac:dyDescent="0.2">
      <c r="A49" s="9">
        <f t="shared" si="0"/>
        <v>41</v>
      </c>
      <c r="B49" s="9"/>
      <c r="C49" s="1" t="str">
        <f>C33</f>
        <v>Monthly Allowed FPC Revenue</v>
      </c>
      <c r="D49" s="9" t="str">
        <f>"("&amp;A$28&amp;") x ("&amp;A48&amp;")"</f>
        <v>(20) x (40)</v>
      </c>
      <c r="F49" s="26">
        <f t="shared" ref="F49:Q49" si="20">$R48*F$28</f>
        <v>2106175.2668338032</v>
      </c>
      <c r="G49" s="26">
        <f t="shared" si="20"/>
        <v>1939422.0179688144</v>
      </c>
      <c r="H49" s="26">
        <f t="shared" si="20"/>
        <v>2119532.8082180563</v>
      </c>
      <c r="I49" s="26">
        <f t="shared" si="20"/>
        <v>2020341.9752343351</v>
      </c>
      <c r="J49" s="26">
        <f t="shared" si="20"/>
        <v>2050312.5294309705</v>
      </c>
      <c r="K49" s="26">
        <f t="shared" si="20"/>
        <v>2061324.6555388658</v>
      </c>
      <c r="L49" s="26">
        <f t="shared" si="20"/>
        <v>2115299.8910940308</v>
      </c>
      <c r="M49" s="26">
        <f t="shared" si="20"/>
        <v>2155193.1816349663</v>
      </c>
      <c r="N49" s="26">
        <f t="shared" si="20"/>
        <v>1938307.6180487846</v>
      </c>
      <c r="O49" s="26">
        <f t="shared" si="20"/>
        <v>2024902.4062538142</v>
      </c>
      <c r="P49" s="26">
        <f t="shared" si="20"/>
        <v>2011608.5450392824</v>
      </c>
      <c r="Q49" s="26">
        <f t="shared" si="20"/>
        <v>2065091.6180959304</v>
      </c>
      <c r="R49" s="27">
        <f>SUM(F49:Q49)</f>
        <v>24607512.513391655</v>
      </c>
      <c r="T49" s="9">
        <f t="shared" si="1"/>
        <v>41</v>
      </c>
      <c r="U49" s="9"/>
      <c r="V49" s="1" t="str">
        <f>C49</f>
        <v>Monthly Allowed FPC Revenue</v>
      </c>
      <c r="W49" s="9" t="str">
        <f>"("&amp;T$28&amp;") x ("&amp;T48&amp;")"</f>
        <v>(20) x (40)</v>
      </c>
      <c r="X49" s="9"/>
      <c r="Y49" s="26">
        <f t="shared" ref="Y49:AJ49" si="21">$AK48*Y$28</f>
        <v>2474025.9261496863</v>
      </c>
      <c r="Z49" s="26">
        <f t="shared" si="21"/>
        <v>2269297.4948324338</v>
      </c>
      <c r="AA49" s="26">
        <f t="shared" si="21"/>
        <v>2480247.376574087</v>
      </c>
      <c r="AB49" s="26">
        <f t="shared" si="21"/>
        <v>2354135.6755892346</v>
      </c>
      <c r="AC49" s="26">
        <f t="shared" si="21"/>
        <v>2378823.2164761224</v>
      </c>
      <c r="AD49" s="26">
        <f t="shared" si="21"/>
        <v>2387390.8683710303</v>
      </c>
      <c r="AE49" s="26">
        <f t="shared" si="21"/>
        <v>2449399.0598429772</v>
      </c>
      <c r="AF49" s="26">
        <f t="shared" si="21"/>
        <v>2493565.9619890936</v>
      </c>
      <c r="AG49" s="26">
        <f t="shared" si="21"/>
        <v>2236478.616876136</v>
      </c>
      <c r="AH49" s="26">
        <f t="shared" si="21"/>
        <v>2331464.4634099626</v>
      </c>
      <c r="AI49" s="26">
        <f t="shared" si="21"/>
        <v>2316670.5952816205</v>
      </c>
      <c r="AJ49" s="26">
        <f t="shared" si="21"/>
        <v>2379091.7568717934</v>
      </c>
      <c r="AK49" s="27">
        <f>SUM(Y49:AJ49)</f>
        <v>28550591.012264177</v>
      </c>
    </row>
    <row r="50" spans="1:37" x14ac:dyDescent="0.2">
      <c r="A50" s="9"/>
      <c r="B50" s="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T50" s="9"/>
      <c r="U50" s="9"/>
      <c r="W50" s="9"/>
      <c r="X50" s="9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7"/>
    </row>
    <row r="51" spans="1:37" x14ac:dyDescent="0.2">
      <c r="F51" s="27"/>
      <c r="G51" s="27"/>
      <c r="H51" s="27"/>
      <c r="I51" s="27"/>
      <c r="J51" s="26"/>
      <c r="K51" s="26"/>
      <c r="L51" s="26"/>
      <c r="M51" s="26"/>
      <c r="N51" s="26"/>
      <c r="O51" s="26"/>
      <c r="P51" s="26"/>
      <c r="Q51" s="26"/>
      <c r="R51" s="26"/>
    </row>
    <row r="52" spans="1:37" x14ac:dyDescent="0.2">
      <c r="F52" s="17"/>
      <c r="G52" s="17"/>
      <c r="H52" s="17"/>
      <c r="I52" s="17"/>
      <c r="J52" s="11"/>
      <c r="K52" s="11"/>
      <c r="L52" s="11"/>
      <c r="M52" s="11"/>
      <c r="N52" s="11"/>
      <c r="O52" s="11"/>
      <c r="P52" s="11"/>
      <c r="Q52" s="11"/>
      <c r="R52" s="11"/>
    </row>
    <row r="53" spans="1:37" x14ac:dyDescent="0.2">
      <c r="F53" s="17"/>
      <c r="G53" s="17"/>
      <c r="H53" s="17"/>
      <c r="I53" s="17"/>
      <c r="J53" s="11"/>
      <c r="K53" s="11"/>
      <c r="L53" s="11"/>
      <c r="M53" s="11"/>
      <c r="N53" s="11"/>
      <c r="O53" s="11"/>
      <c r="P53" s="11"/>
      <c r="Q53" s="11"/>
      <c r="R53" s="11"/>
    </row>
  </sheetData>
  <mergeCells count="10">
    <mergeCell ref="T1:AK1"/>
    <mergeCell ref="T2:AK2"/>
    <mergeCell ref="T3:AK3"/>
    <mergeCell ref="T4:AK4"/>
    <mergeCell ref="T5:AK5"/>
    <mergeCell ref="A1:R1"/>
    <mergeCell ref="A3:R3"/>
    <mergeCell ref="A4:R4"/>
    <mergeCell ref="A2:R2"/>
    <mergeCell ref="A5:R5"/>
  </mergeCells>
  <printOptions horizontalCentered="1"/>
  <pageMargins left="0.7" right="0.7" top="0.75" bottom="0.75" header="0.3" footer="0.3"/>
  <pageSetup scale="45" orientation="landscape" blackAndWhite="1" horizontalDpi="1200" verticalDpi="1200" r:id="rId1"/>
  <headerFooter alignWithMargins="0">
    <oddFooter>&amp;R&amp;F
&amp;A
&amp;P of &amp;N</oddFooter>
  </headerFooter>
  <colBreaks count="1" manualBreakCount="1">
    <brk id="18" max="49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D36DFF-A66E-4821-BA31-32006294E50C}"/>
</file>

<file path=customXml/itemProps2.xml><?xml version="1.0" encoding="utf-8"?>
<ds:datastoreItem xmlns:ds="http://schemas.openxmlformats.org/officeDocument/2006/customXml" ds:itemID="{64E420D4-CAFD-402E-85A3-8346E9C77B85}"/>
</file>

<file path=customXml/itemProps3.xml><?xml version="1.0" encoding="utf-8"?>
<ds:datastoreItem xmlns:ds="http://schemas.openxmlformats.org/officeDocument/2006/customXml" ds:itemID="{3FEAADC0-D691-4AD4-9212-C98DD44A1C0A}"/>
</file>

<file path=customXml/itemProps4.xml><?xml version="1.0" encoding="utf-8"?>
<ds:datastoreItem xmlns:ds="http://schemas.openxmlformats.org/officeDocument/2006/customXml" ds:itemID="{42EEC01F-6728-4C0A-AE42-9DFACCB96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 CTM-10 (Page 1)</vt:lpstr>
      <vt:lpstr>Exhibit CTM-10 (Page 2)</vt:lpstr>
      <vt:lpstr>Exhibit CTM-10 (Pages 3-4)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cp:lastPrinted>2024-02-08T19:17:04Z</cp:lastPrinted>
  <dcterms:created xsi:type="dcterms:W3CDTF">2024-02-08T19:04:07Z</dcterms:created>
  <dcterms:modified xsi:type="dcterms:W3CDTF">2024-02-08T19:17:12Z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