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3"/>
  </bookViews>
  <sheets>
    <sheet name="D.1" sheetId="1" r:id="rId1"/>
    <sheet name="D.2 and D.3" sheetId="2" r:id="rId2"/>
    <sheet name="D.7" sheetId="3" r:id="rId3"/>
    <sheet name="D.8 and D.10" sheetId="4" r:id="rId4"/>
  </sheets>
  <definedNames>
    <definedName name="_xlnm.Print_Area" localSheetId="2">'D.7'!$A$1:$H$48</definedName>
  </definedNames>
  <calcPr fullCalcOnLoad="1"/>
</workbook>
</file>

<file path=xl/sharedStrings.xml><?xml version="1.0" encoding="utf-8"?>
<sst xmlns="http://schemas.openxmlformats.org/spreadsheetml/2006/main" count="109" uniqueCount="97">
  <si>
    <t>Monthly, Annual, and Cumulative Revenue Deferred and Recovered</t>
  </si>
  <si>
    <t>100% Deferral</t>
  </si>
  <si>
    <t>Cumulative</t>
  </si>
  <si>
    <t>90% Deferral</t>
  </si>
  <si>
    <t>2007 Annual Total</t>
  </si>
  <si>
    <t>2008 Annual Total</t>
  </si>
  <si>
    <t>D.2</t>
  </si>
  <si>
    <t>Has Avista made any changes to its methods or calculations of the decoupling deferral over the course of the pilot, as reflected in the quarterly deferral reports?</t>
  </si>
  <si>
    <t>Describe any such changes, their purpose and impact on the deferral.</t>
  </si>
  <si>
    <t>(2) Discussions with Staff and Public Counsel in Docket No. UG-071863 determined that going forward revenue related cost items should be excluded from the margin rate.  The following calculation shows what the UG-050483 margin would have been using the methodology proposed in Docket No. UG-070805 in response to Public Counsel Data Request No. 219.</t>
  </si>
  <si>
    <t>Per Original Approval</t>
  </si>
  <si>
    <t xml:space="preserve"> UG-070805 Proposed Calculation Method</t>
  </si>
  <si>
    <t>Base Rate/therm</t>
  </si>
  <si>
    <t>Schedule 101 Rate/Therm</t>
  </si>
  <si>
    <t>Less Gas Cost/therm</t>
  </si>
  <si>
    <t>Times: 1 minus Revenue Related Items</t>
  </si>
  <si>
    <t xml:space="preserve">   Margin/therm</t>
  </si>
  <si>
    <t>Revenue prior to gross-up</t>
  </si>
  <si>
    <t>Less Weighted Average Gas Cost/Therm</t>
  </si>
  <si>
    <t>Revised Margin Rate/Therm</t>
  </si>
  <si>
    <t>3rd quarter 2007 Report shows as follows:</t>
  </si>
  <si>
    <t>Docket No. UG-071863 was the tariff revision request to implement the surcharge related to the January - June 2007 deferrals.</t>
  </si>
  <si>
    <t>It was pointed out that revenue related expenses were embedded in the margin rate, and because those costs are incremental they do not occur until the deferred revenue becomes surcharge revenue.</t>
  </si>
  <si>
    <t>For the first surcharge, revenue related expenses were included in the deferred revenue and no gross up was computed on the surcharge rate. For the second pilot fiscal year,</t>
  </si>
  <si>
    <t>July 2007 - June 2008 revenue related expenses were excluded from the margin rate/therm and the November 2008 surcharge calculation includes a gross up for revenue related expenses,.</t>
  </si>
  <si>
    <t>As a timing issue it made more sense to exclude revenue related expenses from the deferred revenue and include a revenue conversion gross up on the surcharge rate.</t>
  </si>
  <si>
    <t>1st quarter 2008 Report shows as follows:</t>
  </si>
  <si>
    <t>2007/2008 with 2007 compared to 2004 Test Year and 2008 compared to 2006 Test Year</t>
  </si>
  <si>
    <t>New Base Rates January 1, 2008</t>
  </si>
  <si>
    <t>(1) Per monthly reports - current month usage for new services opened since that month of the test year (2004 for July through December, 2006 for January through June)</t>
  </si>
  <si>
    <t>(2) Revised Margin Rate per Therm corrected in October per agreement with Staff and Public Counsel in Docket No. UG-071863, margin rate January through June from UG-070805 is exclusive of incremental revenue related cost items.</t>
  </si>
  <si>
    <t>UG-070805 Margin Rate</t>
  </si>
  <si>
    <t>Sch 101 Base Rate/therm</t>
  </si>
  <si>
    <t>Times:  1 minus Revenue Related Items</t>
  </si>
  <si>
    <t>Revenue prior to gross up</t>
  </si>
  <si>
    <t>Less: Weighted Average Gas Cost/therm</t>
  </si>
  <si>
    <t xml:space="preserve">   Margin Rate/therm</t>
  </si>
  <si>
    <t>New rates implemented 1/1/2008 per Docket No. UG-070805 changed the authorized base and margin rate inherent in the calculation of the deferred revenue.</t>
  </si>
  <si>
    <t>Docket No. UG- 070805 also included a change to the weather normalization methodology to reflect seasonal weather sensitivity which is incorporated in the deferral calculation..</t>
  </si>
  <si>
    <t>D.3</t>
  </si>
  <si>
    <t>Were there any issues that arose regarding the methodology or input values for calculation of the accounting journal entries which implemented the decoupling deferral?</t>
  </si>
  <si>
    <t>Explain and quantify the impact of any changes in methodology or input values?</t>
  </si>
  <si>
    <t xml:space="preserve"> </t>
  </si>
  <si>
    <t>As discussed in the response to D.2, an issue arose regarding whether revenue related expenses should be included in the margin rate used to calculate the deferred revenue.</t>
  </si>
  <si>
    <t>An accounting adjustment of $576 was made in October of 2007 to restate the July through September deferrals exclusive of revenue related expenses.</t>
  </si>
  <si>
    <t xml:space="preserve">      the associated accumulated deferred income tax was inadvertantly eliminated as the journal only looked at the change in Account 186328. </t>
  </si>
  <si>
    <t xml:space="preserve">      There was an offsetting Schedule M error resulting in no net income impact.  Similarly, when the 90% to 80% writedown occurred in </t>
  </si>
  <si>
    <t xml:space="preserve">      September, the change in the 182329 balance was not picked up as either a Sch M item or a deferred FIT entry.</t>
  </si>
  <si>
    <t xml:space="preserve">      In October an adjustment will be made to correct the July and September Schedule M and Deferred FIT errors.</t>
  </si>
  <si>
    <t>3rd quarter 2007 Report GL Accounts included the following footnote:</t>
  </si>
  <si>
    <r>
      <t xml:space="preserve">(1)  </t>
    </r>
    <r>
      <rPr>
        <sz val="10"/>
        <rFont val="Arial"/>
        <family val="0"/>
      </rPr>
      <t>At the time that the first pilot period balance was transferred from Account 186328 to Account 182329 to await approval for recovery,</t>
    </r>
  </si>
  <si>
    <t>Impact - timing issue  - overall collection from customers essentially the same.</t>
  </si>
  <si>
    <t>Impact - Update of the base year, expect smaller deferrals as rate case captures a portion of reduced usage per customer.</t>
  </si>
  <si>
    <t>Surcharge Revenue Collected from Customers and Interest Accrued under the Mechanism</t>
  </si>
  <si>
    <t>Interest</t>
  </si>
  <si>
    <t>Includes correction for December and January</t>
  </si>
  <si>
    <t>Schedule 101 Recorded Gas Margin Revenue and Gas Margin Revenue per Customer</t>
  </si>
  <si>
    <t>2006 - 2008 Before and After Decoupling Deferral</t>
  </si>
  <si>
    <t>Date</t>
  </si>
  <si>
    <t>2006 Annual Total</t>
  </si>
  <si>
    <t>With Test Exclusions</t>
  </si>
  <si>
    <t>Margin Rate
per Therm</t>
  </si>
  <si>
    <t>Billed
Usage</t>
  </si>
  <si>
    <t>Net Unbilled
Usage</t>
  </si>
  <si>
    <t>Billed
Customers</t>
  </si>
  <si>
    <t>Recorded Margin
Revenue</t>
  </si>
  <si>
    <t>Margin
Revenue
per Customer</t>
  </si>
  <si>
    <t>Basic
Charge</t>
  </si>
  <si>
    <t>From DJ440 Accounting Entries</t>
  </si>
  <si>
    <t>These are the amounts booked in the December 2007 journal entry.</t>
  </si>
  <si>
    <t>However, I discovered when a similar discrepancy occurred in December 2008</t>
  </si>
  <si>
    <r>
      <t xml:space="preserve">that the report had included new customers added </t>
    </r>
    <r>
      <rPr>
        <u val="single"/>
        <sz val="10"/>
        <rFont val="Arial"/>
        <family val="2"/>
      </rPr>
      <t>during</t>
    </r>
    <r>
      <rPr>
        <sz val="10"/>
        <rFont val="Arial"/>
        <family val="0"/>
      </rPr>
      <t xml:space="preserve"> 2004, instead of just those</t>
    </r>
  </si>
  <si>
    <t>added after December 2004.  The date parameters should have been from 1/1/2005</t>
  </si>
  <si>
    <t>instead of 1/1/2004.  The report has since been re-run with the correct parameters</t>
  </si>
  <si>
    <t>and a prior period correction to the deferred revenue  of $22,567 will be made with</t>
  </si>
  <si>
    <t>the January 2009 journal.</t>
  </si>
  <si>
    <t>The correct December 2007 values are:</t>
  </si>
  <si>
    <t>New Customer Usage</t>
  </si>
  <si>
    <t>New Customer Count</t>
  </si>
  <si>
    <t>From Status Call #6 and DR#10-5 Response.</t>
  </si>
  <si>
    <t>Surcharge
Revenue</t>
  </si>
  <si>
    <t>Table D8  Decoupling Revenue</t>
  </si>
  <si>
    <t>Table D10  Decoupling Interest</t>
  </si>
  <si>
    <t>Table D1 2007 Decoupling Mechanism Deferrals</t>
  </si>
  <si>
    <t>Table D2 2008 Decoupling Mechanism Deferrals</t>
  </si>
  <si>
    <t>Table D3 Decoupling Mechanism Recoveries</t>
  </si>
  <si>
    <t>2007 with Decoupling Deferred Revenue</t>
  </si>
  <si>
    <t>2008 with Decoupling Deferred Revenue</t>
  </si>
  <si>
    <t>Table D7  Mechanism’s Revenue Impact</t>
  </si>
  <si>
    <t>Year</t>
  </si>
  <si>
    <t>Margin
Revenue</t>
  </si>
  <si>
    <t>Margin Revenue with
Decoupling</t>
  </si>
  <si>
    <t>Margin Revenue per
Customer</t>
  </si>
  <si>
    <t>Margin
Revenue per
Customer with
Decoupling</t>
  </si>
  <si>
    <t>From Avista's Original Data Submission for D-7 &amp; 2008 Revenue Run</t>
  </si>
  <si>
    <t>2007 Total</t>
  </si>
  <si>
    <t>2008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</si>
</sst>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000"/>
    <numFmt numFmtId="169" formatCode="&quot;$&quot;#,##0.00000_);\(&quot;$&quot;#,##0.00000\)"/>
    <numFmt numFmtId="170" formatCode="#,###,###,##0.00"/>
    <numFmt numFmtId="171" formatCode="###,###,##0.00"/>
    <numFmt numFmtId="172" formatCode="[$-409]dddd\,\ mmmm\ dd\,\ yyyy"/>
    <numFmt numFmtId="173" formatCode="_(* #,##0.0_);_(* \(#,##0.0\);_(* &quot;-&quot;??_);_(@_)"/>
    <numFmt numFmtId="174" formatCode="0.00000"/>
    <numFmt numFmtId="175" formatCode="#,##0,;\-#,##0,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</numFmts>
  <fonts count="1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 horizontal="right"/>
    </xf>
    <xf numFmtId="167" fontId="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/>
    </xf>
    <xf numFmtId="168" fontId="0" fillId="0" borderId="1" xfId="0" applyNumberFormat="1" applyFont="1" applyBorder="1" applyAlignment="1">
      <alignment/>
    </xf>
    <xf numFmtId="167" fontId="3" fillId="0" borderId="0" xfId="15" applyNumberFormat="1" applyFont="1" applyAlignment="1">
      <alignment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15" applyNumberFormat="1" applyFont="1" applyAlignment="1">
      <alignment horizontal="center"/>
    </xf>
    <xf numFmtId="169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1" xfId="17" applyNumberFormat="1" applyFont="1" applyFill="1" applyBorder="1" applyAlignment="1">
      <alignment/>
    </xf>
    <xf numFmtId="169" fontId="0" fillId="0" borderId="0" xfId="17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5" fontId="5" fillId="3" borderId="0" xfId="0" applyNumberFormat="1" applyFont="1" applyFill="1" applyBorder="1" applyAlignment="1">
      <alignment/>
    </xf>
    <xf numFmtId="5" fontId="5" fillId="3" borderId="2" xfId="0" applyNumberFormat="1" applyFont="1" applyFill="1" applyBorder="1" applyAlignment="1">
      <alignment/>
    </xf>
    <xf numFmtId="5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5" fontId="5" fillId="4" borderId="0" xfId="0" applyNumberFormat="1" applyFont="1" applyFill="1" applyBorder="1" applyAlignment="1">
      <alignment/>
    </xf>
    <xf numFmtId="5" fontId="5" fillId="4" borderId="2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17" fontId="8" fillId="4" borderId="4" xfId="0" applyNumberFormat="1" applyFont="1" applyFill="1" applyBorder="1" applyAlignment="1">
      <alignment horizontal="left"/>
    </xf>
    <xf numFmtId="5" fontId="8" fillId="4" borderId="5" xfId="0" applyNumberFormat="1" applyFont="1" applyFill="1" applyBorder="1" applyAlignment="1">
      <alignment/>
    </xf>
    <xf numFmtId="5" fontId="8" fillId="4" borderId="5" xfId="0" applyNumberFormat="1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/>
    </xf>
    <xf numFmtId="17" fontId="8" fillId="4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4" borderId="6" xfId="0" applyFont="1" applyFill="1" applyBorder="1" applyAlignment="1">
      <alignment horizontal="center"/>
    </xf>
    <xf numFmtId="5" fontId="8" fillId="4" borderId="7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17" fontId="8" fillId="4" borderId="4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/>
    </xf>
    <xf numFmtId="5" fontId="8" fillId="4" borderId="7" xfId="0" applyNumberFormat="1" applyFont="1" applyFill="1" applyBorder="1" applyAlignment="1">
      <alignment horizontal="right"/>
    </xf>
    <xf numFmtId="5" fontId="8" fillId="4" borderId="0" xfId="0" applyNumberFormat="1" applyFont="1" applyFill="1" applyBorder="1" applyAlignment="1">
      <alignment horizontal="right"/>
    </xf>
    <xf numFmtId="5" fontId="8" fillId="4" borderId="5" xfId="0" applyNumberFormat="1" applyFont="1" applyFill="1" applyBorder="1" applyAlignment="1">
      <alignment horizontal="right"/>
    </xf>
    <xf numFmtId="17" fontId="8" fillId="4" borderId="0" xfId="0" applyNumberFormat="1" applyFont="1" applyFill="1" applyBorder="1" applyAlignment="1">
      <alignment horizontal="left"/>
    </xf>
    <xf numFmtId="17" fontId="8" fillId="4" borderId="0" xfId="0" applyNumberFormat="1" applyFont="1" applyFill="1" applyBorder="1" applyAlignment="1">
      <alignment horizontal="right"/>
    </xf>
    <xf numFmtId="17" fontId="8" fillId="3" borderId="0" xfId="0" applyNumberFormat="1" applyFont="1" applyFill="1" applyBorder="1" applyAlignment="1">
      <alignment/>
    </xf>
    <xf numFmtId="17" fontId="8" fillId="4" borderId="0" xfId="0" applyNumberFormat="1" applyFont="1" applyFill="1" applyBorder="1" applyAlignment="1">
      <alignment/>
    </xf>
    <xf numFmtId="167" fontId="5" fillId="3" borderId="0" xfId="15" applyNumberFormat="1" applyFont="1" applyFill="1" applyBorder="1" applyAlignment="1">
      <alignment/>
    </xf>
    <xf numFmtId="44" fontId="5" fillId="3" borderId="0" xfId="17" applyFont="1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44" fontId="5" fillId="3" borderId="2" xfId="17" applyFont="1" applyFill="1" applyBorder="1" applyAlignment="1">
      <alignment/>
    </xf>
    <xf numFmtId="166" fontId="5" fillId="3" borderId="3" xfId="0" applyNumberFormat="1" applyFont="1" applyFill="1" applyBorder="1" applyAlignment="1">
      <alignment/>
    </xf>
    <xf numFmtId="44" fontId="5" fillId="3" borderId="8" xfId="17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167" fontId="5" fillId="4" borderId="0" xfId="15" applyNumberFormat="1" applyFont="1" applyFill="1" applyBorder="1" applyAlignment="1">
      <alignment/>
    </xf>
    <xf numFmtId="166" fontId="5" fillId="4" borderId="0" xfId="0" applyNumberFormat="1" applyFont="1" applyFill="1" applyBorder="1" applyAlignment="1">
      <alignment/>
    </xf>
    <xf numFmtId="44" fontId="5" fillId="4" borderId="2" xfId="17" applyFont="1" applyFill="1" applyBorder="1" applyAlignment="1">
      <alignment/>
    </xf>
    <xf numFmtId="17" fontId="8" fillId="3" borderId="4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167" fontId="3" fillId="2" borderId="0" xfId="15" applyNumberFormat="1" applyFont="1" applyFill="1" applyAlignment="1">
      <alignment/>
    </xf>
    <xf numFmtId="5" fontId="5" fillId="4" borderId="2" xfId="17" applyNumberFormat="1" applyFont="1" applyFill="1" applyBorder="1" applyAlignment="1">
      <alignment horizontal="center"/>
    </xf>
    <xf numFmtId="5" fontId="5" fillId="3" borderId="2" xfId="17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181" fontId="0" fillId="6" borderId="3" xfId="17" applyNumberFormat="1" applyFont="1" applyFill="1" applyBorder="1" applyAlignment="1">
      <alignment horizontal="center" vertical="top" wrapText="1"/>
    </xf>
    <xf numFmtId="5" fontId="0" fillId="6" borderId="3" xfId="0" applyNumberFormat="1" applyFont="1" applyFill="1" applyBorder="1" applyAlignment="1">
      <alignment horizontal="center" vertical="top" wrapText="1"/>
    </xf>
    <xf numFmtId="5" fontId="5" fillId="3" borderId="0" xfId="15" applyNumberFormat="1" applyFont="1" applyFill="1" applyBorder="1" applyAlignment="1">
      <alignment horizontal="center"/>
    </xf>
    <xf numFmtId="181" fontId="5" fillId="3" borderId="0" xfId="15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top" wrapText="1"/>
    </xf>
    <xf numFmtId="5" fontId="0" fillId="6" borderId="0" xfId="0" applyNumberFormat="1" applyFont="1" applyFill="1" applyBorder="1" applyAlignment="1">
      <alignment horizontal="center" vertical="top" wrapText="1"/>
    </xf>
    <xf numFmtId="181" fontId="0" fillId="6" borderId="0" xfId="17" applyNumberFormat="1" applyFont="1" applyFill="1" applyBorder="1" applyAlignment="1">
      <alignment horizontal="center" vertical="top" wrapText="1"/>
    </xf>
    <xf numFmtId="181" fontId="0" fillId="6" borderId="2" xfId="17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81" fontId="5" fillId="3" borderId="2" xfId="17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top" wrapText="1"/>
    </xf>
    <xf numFmtId="181" fontId="0" fillId="6" borderId="8" xfId="17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7" fontId="5" fillId="3" borderId="0" xfId="17" applyNumberFormat="1" applyFont="1" applyFill="1" applyBorder="1" applyAlignment="1">
      <alignment/>
    </xf>
    <xf numFmtId="7" fontId="5" fillId="4" borderId="0" xfId="17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5" fontId="8" fillId="0" borderId="0" xfId="0" applyNumberFormat="1" applyFont="1" applyAlignment="1">
      <alignment/>
    </xf>
    <xf numFmtId="17" fontId="8" fillId="3" borderId="9" xfId="0" applyNumberFormat="1" applyFont="1" applyFill="1" applyBorder="1" applyAlignment="1">
      <alignment/>
    </xf>
    <xf numFmtId="5" fontId="5" fillId="3" borderId="7" xfId="17" applyNumberFormat="1" applyFont="1" applyFill="1" applyBorder="1" applyAlignment="1">
      <alignment horizontal="center"/>
    </xf>
    <xf numFmtId="5" fontId="8" fillId="3" borderId="2" xfId="17" applyNumberFormat="1" applyFont="1" applyFill="1" applyBorder="1" applyAlignment="1">
      <alignment horizontal="center"/>
    </xf>
    <xf numFmtId="5" fontId="8" fillId="3" borderId="8" xfId="17" applyNumberFormat="1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 horizontal="center"/>
    </xf>
    <xf numFmtId="17" fontId="8" fillId="3" borderId="6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center"/>
    </xf>
    <xf numFmtId="5" fontId="9" fillId="4" borderId="8" xfId="0" applyNumberFormat="1" applyFont="1" applyFill="1" applyBorder="1" applyAlignment="1">
      <alignment horizontal="center"/>
    </xf>
    <xf numFmtId="17" fontId="8" fillId="4" borderId="10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12" xfId="0" applyNumberFormat="1" applyFont="1" applyFill="1" applyBorder="1" applyAlignment="1">
      <alignment horizontal="center"/>
    </xf>
    <xf numFmtId="5" fontId="8" fillId="4" borderId="0" xfId="0" applyNumberFormat="1" applyFont="1" applyFill="1" applyBorder="1" applyAlignment="1">
      <alignment horizontal="center"/>
    </xf>
    <xf numFmtId="5" fontId="8" fillId="4" borderId="2" xfId="0" applyNumberFormat="1" applyFont="1" applyFill="1" applyBorder="1" applyAlignment="1">
      <alignment horizontal="center"/>
    </xf>
    <xf numFmtId="5" fontId="9" fillId="4" borderId="3" xfId="0" applyNumberFormat="1" applyFont="1" applyFill="1" applyBorder="1" applyAlignment="1">
      <alignment horizontal="left"/>
    </xf>
    <xf numFmtId="5" fontId="9" fillId="4" borderId="8" xfId="0" applyNumberFormat="1" applyFont="1" applyFill="1" applyBorder="1" applyAlignment="1">
      <alignment horizontal="left"/>
    </xf>
    <xf numFmtId="5" fontId="9" fillId="4" borderId="0" xfId="0" applyNumberFormat="1" applyFont="1" applyFill="1" applyBorder="1" applyAlignment="1">
      <alignment horizontal="center"/>
    </xf>
    <xf numFmtId="5" fontId="9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6">
      <selection activeCell="I25" sqref="I25"/>
    </sheetView>
  </sheetViews>
  <sheetFormatPr defaultColWidth="9.140625" defaultRowHeight="12.75"/>
  <cols>
    <col min="1" max="1" width="8.00390625" style="0" customWidth="1"/>
    <col min="2" max="2" width="14.28125" style="0" bestFit="1" customWidth="1"/>
    <col min="3" max="3" width="11.7109375" style="0" customWidth="1"/>
    <col min="4" max="4" width="12.28125" style="0" bestFit="1" customWidth="1"/>
    <col min="5" max="5" width="11.7109375" style="0" customWidth="1"/>
    <col min="6" max="6" width="12.28125" style="0" bestFit="1" customWidth="1"/>
    <col min="7" max="7" width="11.7109375" style="0" customWidth="1"/>
    <col min="8" max="8" width="6.57421875" style="0" customWidth="1"/>
    <col min="9" max="9" width="12.8515625" style="47" bestFit="1" customWidth="1"/>
    <col min="10" max="10" width="8.7109375" style="0" bestFit="1" customWidth="1"/>
    <col min="11" max="11" width="11.28125" style="0" bestFit="1" customWidth="1"/>
    <col min="12" max="12" width="8.140625" style="0" bestFit="1" customWidth="1"/>
    <col min="13" max="13" width="11.28125" style="0" bestFit="1" customWidth="1"/>
    <col min="15" max="15" width="11.28125" style="0" bestFit="1" customWidth="1"/>
  </cols>
  <sheetData>
    <row r="1" ht="13.5" thickBot="1">
      <c r="A1" t="s">
        <v>0</v>
      </c>
    </row>
    <row r="2" spans="1:12" ht="14.25" thickBot="1" thickTop="1">
      <c r="A2" s="107" t="s">
        <v>83</v>
      </c>
      <c r="B2" s="108"/>
      <c r="C2" s="108"/>
      <c r="D2" s="108"/>
      <c r="E2" s="108"/>
      <c r="F2" s="108"/>
      <c r="G2" s="109"/>
      <c r="H2" s="24"/>
      <c r="K2" s="23"/>
      <c r="L2" s="23"/>
    </row>
    <row r="3" spans="1:17" ht="13.5" thickTop="1">
      <c r="A3" s="34"/>
      <c r="B3" s="110" t="s">
        <v>1</v>
      </c>
      <c r="C3" s="110"/>
      <c r="D3" s="110" t="s">
        <v>3</v>
      </c>
      <c r="E3" s="110"/>
      <c r="F3" s="110" t="s">
        <v>60</v>
      </c>
      <c r="G3" s="111"/>
      <c r="H3" s="24"/>
      <c r="J3" s="24"/>
      <c r="K3" s="107" t="s">
        <v>85</v>
      </c>
      <c r="L3" s="108"/>
      <c r="M3" s="108"/>
      <c r="N3" s="108"/>
      <c r="O3" s="108"/>
      <c r="P3" s="108"/>
      <c r="Q3" s="109"/>
    </row>
    <row r="4" spans="1:17" ht="12.75">
      <c r="A4" s="34"/>
      <c r="B4" s="35"/>
      <c r="C4" s="36" t="s">
        <v>2</v>
      </c>
      <c r="D4" s="36"/>
      <c r="E4" s="36" t="s">
        <v>2</v>
      </c>
      <c r="F4" s="36"/>
      <c r="G4" s="44" t="s">
        <v>2</v>
      </c>
      <c r="H4" s="24"/>
      <c r="J4" s="24"/>
      <c r="K4" s="34"/>
      <c r="L4" s="49"/>
      <c r="M4" s="52" t="s">
        <v>2</v>
      </c>
      <c r="N4" s="51"/>
      <c r="O4" s="53"/>
      <c r="P4" s="49"/>
      <c r="Q4" s="50" t="s">
        <v>2</v>
      </c>
    </row>
    <row r="5" spans="1:17" ht="12.75">
      <c r="A5" s="34">
        <v>39083</v>
      </c>
      <c r="B5" s="31">
        <v>126605.53250603736</v>
      </c>
      <c r="C5" s="31">
        <v>126605.53250603736</v>
      </c>
      <c r="D5" s="31">
        <v>113944.97925543363</v>
      </c>
      <c r="E5" s="31">
        <v>113944.97925543363</v>
      </c>
      <c r="F5" s="31">
        <v>101284.42600482989</v>
      </c>
      <c r="G5" s="32">
        <v>101284.42600482989</v>
      </c>
      <c r="H5" s="24"/>
      <c r="J5" s="24"/>
      <c r="K5" s="48">
        <v>39083</v>
      </c>
      <c r="L5" s="33"/>
      <c r="M5" s="31">
        <f>L5</f>
        <v>0</v>
      </c>
      <c r="N5" s="31"/>
      <c r="O5" s="54">
        <v>39448</v>
      </c>
      <c r="P5" s="31">
        <v>57145.81839</v>
      </c>
      <c r="Q5" s="32">
        <f>M16+P5</f>
        <v>142280.6304099999</v>
      </c>
    </row>
    <row r="6" spans="1:17" ht="12.75">
      <c r="A6" s="37">
        <v>39114</v>
      </c>
      <c r="B6" s="27">
        <v>-31371.723324452585</v>
      </c>
      <c r="C6" s="27">
        <v>95233.80918158477</v>
      </c>
      <c r="D6" s="27">
        <v>-28234.550992007327</v>
      </c>
      <c r="E6" s="27">
        <v>85710.4282634263</v>
      </c>
      <c r="F6" s="27">
        <v>-25097.37865956207</v>
      </c>
      <c r="G6" s="28">
        <v>76187.04734526781</v>
      </c>
      <c r="H6" s="24"/>
      <c r="J6" s="1"/>
      <c r="K6" s="37">
        <v>39114</v>
      </c>
      <c r="L6" s="25"/>
      <c r="M6" s="27">
        <f aca="true" t="shared" si="0" ref="M6:M16">M5+L6</f>
        <v>0</v>
      </c>
      <c r="N6" s="27"/>
      <c r="O6" s="55">
        <v>39479</v>
      </c>
      <c r="P6" s="27">
        <v>47502.96765</v>
      </c>
      <c r="Q6" s="28">
        <f aca="true" t="shared" si="1" ref="Q6:Q16">Q5+P6</f>
        <v>189783.5980599999</v>
      </c>
    </row>
    <row r="7" spans="1:17" ht="12.75">
      <c r="A7" s="38">
        <v>39142</v>
      </c>
      <c r="B7" s="31">
        <v>193671.06989897284</v>
      </c>
      <c r="C7" s="31">
        <v>288904.8790805576</v>
      </c>
      <c r="D7" s="31">
        <v>174303.96290907555</v>
      </c>
      <c r="E7" s="31">
        <v>260014.39117250184</v>
      </c>
      <c r="F7" s="31">
        <v>154936.85591917828</v>
      </c>
      <c r="G7" s="32">
        <v>231123.9032644461</v>
      </c>
      <c r="H7" s="24"/>
      <c r="J7" s="1"/>
      <c r="K7" s="38">
        <v>39142</v>
      </c>
      <c r="L7" s="33"/>
      <c r="M7" s="31">
        <f t="shared" si="0"/>
        <v>0</v>
      </c>
      <c r="N7" s="31"/>
      <c r="O7" s="56">
        <v>39508</v>
      </c>
      <c r="P7" s="31">
        <v>38172.24084</v>
      </c>
      <c r="Q7" s="32">
        <f t="shared" si="1"/>
        <v>227955.83889999992</v>
      </c>
    </row>
    <row r="8" spans="1:17" ht="12.75">
      <c r="A8" s="37">
        <v>39173</v>
      </c>
      <c r="B8" s="27">
        <v>93518.3284543402</v>
      </c>
      <c r="C8" s="27">
        <v>382423.20753489784</v>
      </c>
      <c r="D8" s="27">
        <v>84166.49560890617</v>
      </c>
      <c r="E8" s="27">
        <v>344180.886781408</v>
      </c>
      <c r="F8" s="27">
        <v>74814.66276347217</v>
      </c>
      <c r="G8" s="28">
        <v>305938.56602791825</v>
      </c>
      <c r="H8" s="24"/>
      <c r="J8" s="1"/>
      <c r="K8" s="37">
        <v>39173</v>
      </c>
      <c r="L8" s="25"/>
      <c r="M8" s="27">
        <f t="shared" si="0"/>
        <v>0</v>
      </c>
      <c r="N8" s="27"/>
      <c r="O8" s="55">
        <v>39539</v>
      </c>
      <c r="P8" s="27">
        <v>27815.00206</v>
      </c>
      <c r="Q8" s="28">
        <f t="shared" si="1"/>
        <v>255770.8409599999</v>
      </c>
    </row>
    <row r="9" spans="1:17" ht="12.75">
      <c r="A9" s="38">
        <v>39203</v>
      </c>
      <c r="B9" s="31">
        <v>76846.54976244763</v>
      </c>
      <c r="C9" s="31">
        <v>459269.75729734544</v>
      </c>
      <c r="D9" s="31">
        <v>69161.89478620287</v>
      </c>
      <c r="E9" s="31">
        <v>413342.78156761086</v>
      </c>
      <c r="F9" s="31">
        <v>61477.239809958104</v>
      </c>
      <c r="G9" s="32">
        <v>367415.80583787634</v>
      </c>
      <c r="H9" s="24"/>
      <c r="J9" s="1"/>
      <c r="K9" s="38">
        <v>39203</v>
      </c>
      <c r="L9" s="33"/>
      <c r="M9" s="31">
        <f t="shared" si="0"/>
        <v>0</v>
      </c>
      <c r="N9" s="31"/>
      <c r="O9" s="56">
        <v>39569</v>
      </c>
      <c r="P9" s="31">
        <v>12299.28755</v>
      </c>
      <c r="Q9" s="32">
        <f t="shared" si="1"/>
        <v>268070.1285099999</v>
      </c>
    </row>
    <row r="10" spans="1:17" ht="12.75">
      <c r="A10" s="37">
        <v>39234</v>
      </c>
      <c r="B10" s="27">
        <v>-77173.86973156543</v>
      </c>
      <c r="C10" s="27">
        <v>382095.88756578</v>
      </c>
      <c r="D10" s="27">
        <v>-69456.48275840889</v>
      </c>
      <c r="E10" s="27">
        <v>343886.298809202</v>
      </c>
      <c r="F10" s="27">
        <v>-61739.09578525234</v>
      </c>
      <c r="G10" s="28">
        <v>305676.710052624</v>
      </c>
      <c r="H10" s="24"/>
      <c r="J10" s="1"/>
      <c r="K10" s="37">
        <v>39234</v>
      </c>
      <c r="L10" s="25"/>
      <c r="M10" s="27">
        <f t="shared" si="0"/>
        <v>0</v>
      </c>
      <c r="N10" s="27"/>
      <c r="O10" s="55">
        <v>39600</v>
      </c>
      <c r="P10" s="27">
        <v>8867.37637</v>
      </c>
      <c r="Q10" s="28">
        <f t="shared" si="1"/>
        <v>276937.5048799999</v>
      </c>
    </row>
    <row r="11" spans="1:17" ht="12.75">
      <c r="A11" s="38">
        <v>39264</v>
      </c>
      <c r="B11" s="31">
        <v>38506.61847583447</v>
      </c>
      <c r="C11" s="31">
        <v>420602.5060416145</v>
      </c>
      <c r="D11" s="31">
        <v>34655.95662825102</v>
      </c>
      <c r="E11" s="31">
        <v>378542.255437453</v>
      </c>
      <c r="F11" s="31">
        <v>34655.95662825102</v>
      </c>
      <c r="G11" s="32">
        <v>340332.666680875</v>
      </c>
      <c r="H11" s="24"/>
      <c r="J11" s="1"/>
      <c r="K11" s="38">
        <v>39264</v>
      </c>
      <c r="L11" s="33"/>
      <c r="M11" s="31">
        <f t="shared" si="0"/>
        <v>0</v>
      </c>
      <c r="N11" s="31"/>
      <c r="O11" s="56">
        <v>39630</v>
      </c>
      <c r="P11" s="31">
        <v>5596.3</v>
      </c>
      <c r="Q11" s="32">
        <f t="shared" si="1"/>
        <v>282533.8048799999</v>
      </c>
    </row>
    <row r="12" spans="1:17" ht="12.75">
      <c r="A12" s="37">
        <v>39295</v>
      </c>
      <c r="B12" s="27">
        <v>33953.265911195806</v>
      </c>
      <c r="C12" s="27">
        <v>454555.77195281035</v>
      </c>
      <c r="D12" s="27">
        <v>30557.939320076224</v>
      </c>
      <c r="E12" s="27">
        <v>409100.1947575292</v>
      </c>
      <c r="F12" s="27">
        <v>30557.939320076224</v>
      </c>
      <c r="G12" s="28">
        <v>370890.6060009512</v>
      </c>
      <c r="H12" s="24"/>
      <c r="J12" s="1"/>
      <c r="K12" s="37">
        <v>39295</v>
      </c>
      <c r="L12" s="25"/>
      <c r="M12" s="27">
        <f t="shared" si="0"/>
        <v>0</v>
      </c>
      <c r="N12" s="27"/>
      <c r="O12" s="55">
        <v>39661</v>
      </c>
      <c r="P12" s="27">
        <v>5985.34</v>
      </c>
      <c r="Q12" s="28">
        <f t="shared" si="1"/>
        <v>288519.1448799999</v>
      </c>
    </row>
    <row r="13" spans="1:17" ht="12.75">
      <c r="A13" s="38">
        <v>39326</v>
      </c>
      <c r="B13" s="31">
        <v>-88875.08761482332</v>
      </c>
      <c r="C13" s="31">
        <v>365680.68433798704</v>
      </c>
      <c r="D13" s="31">
        <v>-79987.578853341</v>
      </c>
      <c r="E13" s="31">
        <v>329112.6159041882</v>
      </c>
      <c r="F13" s="31">
        <v>-79987.578853341</v>
      </c>
      <c r="G13" s="32">
        <v>290903.0271476102</v>
      </c>
      <c r="H13" s="24"/>
      <c r="J13" s="1"/>
      <c r="K13" s="38">
        <v>39326</v>
      </c>
      <c r="L13" s="33"/>
      <c r="M13" s="31">
        <f t="shared" si="0"/>
        <v>0</v>
      </c>
      <c r="N13" s="31"/>
      <c r="O13" s="56">
        <v>39692</v>
      </c>
      <c r="P13" s="31">
        <v>12809.23</v>
      </c>
      <c r="Q13" s="32">
        <f t="shared" si="1"/>
        <v>301328.3748799999</v>
      </c>
    </row>
    <row r="14" spans="1:17" ht="12.75">
      <c r="A14" s="37">
        <v>39356</v>
      </c>
      <c r="B14" s="27">
        <v>264462.7363420423</v>
      </c>
      <c r="C14" s="27">
        <v>630143.4206800293</v>
      </c>
      <c r="D14" s="27">
        <v>238016.46270783804</v>
      </c>
      <c r="E14" s="27">
        <v>567129.0786120263</v>
      </c>
      <c r="F14" s="27">
        <v>238016.46270783804</v>
      </c>
      <c r="G14" s="28">
        <v>528919.4898554482</v>
      </c>
      <c r="H14" s="24"/>
      <c r="J14" s="1"/>
      <c r="K14" s="37">
        <v>39356</v>
      </c>
      <c r="L14" s="25"/>
      <c r="M14" s="27">
        <f t="shared" si="0"/>
        <v>0</v>
      </c>
      <c r="N14" s="27"/>
      <c r="O14" s="55">
        <v>39722</v>
      </c>
      <c r="P14" s="27">
        <f>'D.8 and D.10'!B18</f>
        <v>18461.7</v>
      </c>
      <c r="Q14" s="28">
        <f t="shared" si="1"/>
        <v>319790.0748799999</v>
      </c>
    </row>
    <row r="15" spans="1:17" ht="12.75">
      <c r="A15" s="38">
        <v>39387</v>
      </c>
      <c r="B15" s="31">
        <v>278509.71729929594</v>
      </c>
      <c r="C15" s="31">
        <v>908653.1379793253</v>
      </c>
      <c r="D15" s="31">
        <v>250658.74556936635</v>
      </c>
      <c r="E15" s="31">
        <v>817787.8241813927</v>
      </c>
      <c r="F15" s="31">
        <v>250658.74556936635</v>
      </c>
      <c r="G15" s="32">
        <v>779578.2354248146</v>
      </c>
      <c r="H15" s="24"/>
      <c r="J15" s="1"/>
      <c r="K15" s="38">
        <v>39387</v>
      </c>
      <c r="L15" s="31">
        <v>34615.2606099999</v>
      </c>
      <c r="M15" s="31">
        <f t="shared" si="0"/>
        <v>34615.2606099999</v>
      </c>
      <c r="N15" s="31"/>
      <c r="O15" s="56">
        <v>39753</v>
      </c>
      <c r="P15" s="31">
        <f>'D.8 and D.10'!B19</f>
        <v>65158.82</v>
      </c>
      <c r="Q15" s="32">
        <f t="shared" si="1"/>
        <v>384948.8948799999</v>
      </c>
    </row>
    <row r="16" spans="1:17" ht="12.75">
      <c r="A16" s="37">
        <v>39417</v>
      </c>
      <c r="B16" s="27">
        <v>133934.31671784015</v>
      </c>
      <c r="C16" s="27">
        <v>1042587.4546971654</v>
      </c>
      <c r="D16" s="27">
        <v>120540.88504605614</v>
      </c>
      <c r="E16" s="27">
        <v>938328.7092274488</v>
      </c>
      <c r="F16" s="27">
        <v>120540.88504605614</v>
      </c>
      <c r="G16" s="28">
        <v>900119.1204708708</v>
      </c>
      <c r="H16" s="24"/>
      <c r="J16" s="1"/>
      <c r="K16" s="37">
        <v>39417</v>
      </c>
      <c r="L16" s="27">
        <v>50519.55141</v>
      </c>
      <c r="M16" s="27">
        <f t="shared" si="0"/>
        <v>85134.8120199999</v>
      </c>
      <c r="N16" s="27"/>
      <c r="O16" s="55">
        <v>39783</v>
      </c>
      <c r="P16" s="27">
        <f>'D.8 and D.10'!B20</f>
        <v>131838.23</v>
      </c>
      <c r="Q16" s="28">
        <f t="shared" si="1"/>
        <v>516787.1248799999</v>
      </c>
    </row>
    <row r="17" spans="1:17" s="42" customFormat="1" ht="15.75" thickBot="1">
      <c r="A17" s="40">
        <v>2007</v>
      </c>
      <c r="B17" s="114">
        <f>SUM(B5:B16)</f>
        <v>1042587.4546971654</v>
      </c>
      <c r="C17" s="114"/>
      <c r="D17" s="114">
        <f>SUM(D5:D16)</f>
        <v>938328.7092274488</v>
      </c>
      <c r="E17" s="114"/>
      <c r="F17" s="114">
        <f>SUM(F5:F16)</f>
        <v>900119.1204708708</v>
      </c>
      <c r="G17" s="115"/>
      <c r="H17" s="24"/>
      <c r="I17" s="47"/>
      <c r="J17" s="41"/>
      <c r="K17" s="43">
        <v>2007</v>
      </c>
      <c r="L17" s="112">
        <f>SUM(L5:L16)</f>
        <v>85134.8120199999</v>
      </c>
      <c r="M17" s="112"/>
      <c r="N17" s="45"/>
      <c r="O17" s="46">
        <v>2008</v>
      </c>
      <c r="P17" s="112">
        <f>SUM(P5:P16)</f>
        <v>431652.31286000006</v>
      </c>
      <c r="Q17" s="113"/>
    </row>
    <row r="18" spans="1:12" ht="14.25" thickBot="1" thickTop="1">
      <c r="A18" s="39"/>
      <c r="B18" s="25"/>
      <c r="C18" s="25"/>
      <c r="D18" s="25"/>
      <c r="E18" s="25"/>
      <c r="F18" s="25"/>
      <c r="G18" s="26"/>
      <c r="H18" s="24"/>
      <c r="J18" s="25"/>
      <c r="K18" s="26"/>
      <c r="L18" s="25"/>
    </row>
    <row r="19" spans="1:7" ht="13.5" thickTop="1">
      <c r="A19" s="107" t="s">
        <v>84</v>
      </c>
      <c r="B19" s="108"/>
      <c r="C19" s="108"/>
      <c r="D19" s="108"/>
      <c r="E19" s="108"/>
      <c r="F19" s="108"/>
      <c r="G19" s="109"/>
    </row>
    <row r="20" spans="1:8" ht="12.75">
      <c r="A20" s="34"/>
      <c r="B20" s="110" t="s">
        <v>1</v>
      </c>
      <c r="C20" s="110"/>
      <c r="D20" s="110" t="s">
        <v>3</v>
      </c>
      <c r="E20" s="110"/>
      <c r="F20" s="110" t="s">
        <v>60</v>
      </c>
      <c r="G20" s="111"/>
      <c r="H20" s="1"/>
    </row>
    <row r="21" spans="1:8" ht="12.75">
      <c r="A21" s="34"/>
      <c r="B21" s="35"/>
      <c r="C21" s="36" t="s">
        <v>2</v>
      </c>
      <c r="D21" s="36"/>
      <c r="E21" s="36" t="s">
        <v>2</v>
      </c>
      <c r="F21" s="36"/>
      <c r="G21" s="44" t="s">
        <v>2</v>
      </c>
      <c r="H21" s="1"/>
    </row>
    <row r="22" spans="1:8" ht="12.75">
      <c r="A22" s="34">
        <v>39448</v>
      </c>
      <c r="B22" s="31">
        <v>136241.65088</v>
      </c>
      <c r="C22" s="31">
        <v>-906345.8038171654</v>
      </c>
      <c r="D22" s="31">
        <v>122617.485792</v>
      </c>
      <c r="E22" s="31">
        <v>-815711.2234354488</v>
      </c>
      <c r="F22" s="31">
        <v>122617.485792</v>
      </c>
      <c r="G22" s="32">
        <v>-777501.6346788708</v>
      </c>
      <c r="H22" s="1"/>
    </row>
    <row r="23" spans="1:8" ht="12.75">
      <c r="A23" s="37">
        <v>39479</v>
      </c>
      <c r="B23" s="27">
        <v>-369206.66184</v>
      </c>
      <c r="C23" s="27">
        <v>-1275552.4656571655</v>
      </c>
      <c r="D23" s="27">
        <v>-332285.99565600004</v>
      </c>
      <c r="E23" s="27">
        <v>-1147997.219091449</v>
      </c>
      <c r="F23" s="27">
        <v>-332285.99565600004</v>
      </c>
      <c r="G23" s="28">
        <v>-1109787.630334871</v>
      </c>
      <c r="H23" s="1"/>
    </row>
    <row r="24" spans="1:8" ht="12.75">
      <c r="A24" s="38">
        <v>39508</v>
      </c>
      <c r="B24" s="31">
        <v>405409.25256</v>
      </c>
      <c r="C24" s="31">
        <v>-870143.2130971656</v>
      </c>
      <c r="D24" s="31">
        <v>364868.327304</v>
      </c>
      <c r="E24" s="31">
        <v>-783128.8917874489</v>
      </c>
      <c r="F24" s="31">
        <v>364868.327304</v>
      </c>
      <c r="G24" s="32">
        <v>-744919.3030308709</v>
      </c>
      <c r="H24" s="1"/>
    </row>
    <row r="25" spans="1:8" ht="12.75">
      <c r="A25" s="37">
        <v>39539</v>
      </c>
      <c r="B25" s="27">
        <v>20876.9926</v>
      </c>
      <c r="C25" s="27">
        <v>-849266.2204971656</v>
      </c>
      <c r="D25" s="27">
        <v>18789.29334</v>
      </c>
      <c r="E25" s="27">
        <v>-764339.5984474489</v>
      </c>
      <c r="F25" s="27">
        <v>18789.29334</v>
      </c>
      <c r="G25" s="28">
        <v>-726130.0096908709</v>
      </c>
      <c r="H25" s="1"/>
    </row>
    <row r="26" spans="1:8" ht="12.75">
      <c r="A26" s="38">
        <v>39569</v>
      </c>
      <c r="B26" s="31">
        <v>-107591.48812000001</v>
      </c>
      <c r="C26" s="31">
        <v>-956857.7086171656</v>
      </c>
      <c r="D26" s="31">
        <v>-96832.33930800001</v>
      </c>
      <c r="E26" s="31">
        <v>-861171.937755449</v>
      </c>
      <c r="F26" s="31">
        <v>-96832.33930800001</v>
      </c>
      <c r="G26" s="32">
        <v>-822962.3489988709</v>
      </c>
      <c r="H26" s="1"/>
    </row>
    <row r="27" spans="1:8" ht="12.75">
      <c r="A27" s="37">
        <v>39600</v>
      </c>
      <c r="B27" s="27">
        <v>7127.907</v>
      </c>
      <c r="C27" s="27">
        <v>-949729.8016171656</v>
      </c>
      <c r="D27" s="27">
        <v>6415.116300000001</v>
      </c>
      <c r="E27" s="27">
        <v>-854756.821455449</v>
      </c>
      <c r="F27" s="27">
        <v>6415.116300000001</v>
      </c>
      <c r="G27" s="28">
        <v>-816547.2326988709</v>
      </c>
      <c r="H27" s="1"/>
    </row>
    <row r="28" spans="1:8" ht="12.75">
      <c r="A28" s="38">
        <v>39630</v>
      </c>
      <c r="B28" s="31">
        <v>-50996</v>
      </c>
      <c r="C28" s="31">
        <v>-1000725.8016171656</v>
      </c>
      <c r="D28" s="31">
        <v>-45897</v>
      </c>
      <c r="E28" s="31">
        <v>-900653.821455449</v>
      </c>
      <c r="F28" s="31">
        <v>-45897</v>
      </c>
      <c r="G28" s="32">
        <v>-862444.2326988709</v>
      </c>
      <c r="H28" s="1"/>
    </row>
    <row r="29" spans="1:8" ht="12.75">
      <c r="A29" s="37">
        <v>39661</v>
      </c>
      <c r="B29" s="27">
        <v>-32464</v>
      </c>
      <c r="C29" s="27">
        <v>-1033189.8016171656</v>
      </c>
      <c r="D29" s="27">
        <v>-29218</v>
      </c>
      <c r="E29" s="27">
        <v>-929871.821455449</v>
      </c>
      <c r="F29" s="27">
        <v>-29218</v>
      </c>
      <c r="G29" s="28">
        <v>-891662.2326988709</v>
      </c>
      <c r="H29" s="1"/>
    </row>
    <row r="30" spans="1:8" ht="12.75">
      <c r="A30" s="38">
        <v>39692</v>
      </c>
      <c r="B30" s="31">
        <v>43362</v>
      </c>
      <c r="C30" s="31">
        <v>-989827.8016171656</v>
      </c>
      <c r="D30" s="31">
        <v>39026</v>
      </c>
      <c r="E30" s="31">
        <v>-890845.821455449</v>
      </c>
      <c r="F30" s="31">
        <v>39026</v>
      </c>
      <c r="G30" s="32">
        <v>-852636.2326988709</v>
      </c>
      <c r="H30" s="1"/>
    </row>
    <row r="31" spans="1:14" s="42" customFormat="1" ht="14.25">
      <c r="A31" s="37">
        <v>39722</v>
      </c>
      <c r="B31" s="27">
        <v>90655.66808</v>
      </c>
      <c r="C31" s="27">
        <v>-899172.1335371656</v>
      </c>
      <c r="D31" s="27">
        <v>81590.101272</v>
      </c>
      <c r="E31" s="27">
        <v>-809255.720183449</v>
      </c>
      <c r="F31" s="27">
        <v>81590.101272</v>
      </c>
      <c r="G31" s="28">
        <v>-771046.1314268709</v>
      </c>
      <c r="H31" s="41"/>
      <c r="I31" s="47"/>
      <c r="J31"/>
      <c r="K31"/>
      <c r="L31"/>
      <c r="M31"/>
      <c r="N31"/>
    </row>
    <row r="32" spans="1:7" ht="12.75">
      <c r="A32" s="38">
        <v>39753</v>
      </c>
      <c r="B32" s="31">
        <v>225462.82088</v>
      </c>
      <c r="C32" s="31">
        <v>-673709.3126571656</v>
      </c>
      <c r="D32" s="31">
        <v>202916.538792</v>
      </c>
      <c r="E32" s="31">
        <v>-606339.181391449</v>
      </c>
      <c r="F32" s="31">
        <v>202916.538792</v>
      </c>
      <c r="G32" s="32">
        <v>-568129.5926348709</v>
      </c>
    </row>
    <row r="33" spans="1:7" ht="12.75">
      <c r="A33" s="37">
        <v>39783</v>
      </c>
      <c r="B33" s="27">
        <v>379465.41092</v>
      </c>
      <c r="C33" s="27">
        <v>-294243.9017371656</v>
      </c>
      <c r="D33" s="27">
        <v>341518.869828</v>
      </c>
      <c r="E33" s="27">
        <v>-264820.3115634489</v>
      </c>
      <c r="F33" s="27">
        <v>341518.869828</v>
      </c>
      <c r="G33" s="28">
        <v>-226610.72280687088</v>
      </c>
    </row>
    <row r="34" spans="1:7" ht="15.75" thickBot="1">
      <c r="A34" s="43">
        <v>2008</v>
      </c>
      <c r="B34" s="105">
        <f>SUM(B22:B33)</f>
        <v>748343.55296</v>
      </c>
      <c r="C34" s="105"/>
      <c r="D34" s="105">
        <f>SUM(D22:D33)</f>
        <v>673508.397664</v>
      </c>
      <c r="E34" s="105"/>
      <c r="F34" s="105">
        <f>SUM(F22:F33)</f>
        <v>673508.397664</v>
      </c>
      <c r="G34" s="106"/>
    </row>
    <row r="35" ht="13.5" thickTop="1">
      <c r="I35" s="98"/>
    </row>
  </sheetData>
  <mergeCells count="17">
    <mergeCell ref="L17:M17"/>
    <mergeCell ref="P17:Q17"/>
    <mergeCell ref="K3:Q3"/>
    <mergeCell ref="A2:G2"/>
    <mergeCell ref="B3:C3"/>
    <mergeCell ref="D3:E3"/>
    <mergeCell ref="F3:G3"/>
    <mergeCell ref="B17:C17"/>
    <mergeCell ref="D17:E17"/>
    <mergeCell ref="F17:G17"/>
    <mergeCell ref="B34:C34"/>
    <mergeCell ref="D34:E34"/>
    <mergeCell ref="F34:G34"/>
    <mergeCell ref="A19:G19"/>
    <mergeCell ref="B20:C20"/>
    <mergeCell ref="D20:E20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9">
      <selection activeCell="E74" sqref="E74"/>
    </sheetView>
  </sheetViews>
  <sheetFormatPr defaultColWidth="9.140625" defaultRowHeight="12.75"/>
  <cols>
    <col min="1" max="1" width="20.140625" style="0" customWidth="1"/>
    <col min="2" max="2" width="10.28125" style="0" bestFit="1" customWidth="1"/>
    <col min="4" max="4" width="12.421875" style="0" customWidth="1"/>
    <col min="8" max="8" width="18.7109375" style="0" customWidth="1"/>
    <col min="10" max="10" width="10.0039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5" ht="12.75">
      <c r="A5" t="s">
        <v>20</v>
      </c>
    </row>
    <row r="6" spans="1:16" ht="45" customHeight="1">
      <c r="A6" s="116" t="s">
        <v>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2"/>
      <c r="B7" s="3"/>
      <c r="C7" s="3"/>
      <c r="D7" s="4" t="s">
        <v>10</v>
      </c>
      <c r="E7" s="4"/>
      <c r="F7" s="4"/>
      <c r="G7" s="4"/>
      <c r="H7" s="3"/>
      <c r="I7" s="5" t="s">
        <v>11</v>
      </c>
      <c r="J7" s="4"/>
      <c r="K7" s="4"/>
      <c r="L7" s="4"/>
      <c r="M7" s="4"/>
      <c r="N7" s="4"/>
      <c r="O7" s="4"/>
      <c r="P7" s="6"/>
    </row>
    <row r="8" spans="1:16" ht="12.75">
      <c r="A8" s="7" t="s">
        <v>12</v>
      </c>
      <c r="D8" s="3">
        <v>0.89117</v>
      </c>
      <c r="F8" s="4" t="s">
        <v>13</v>
      </c>
      <c r="G8" s="4"/>
      <c r="H8" s="4"/>
      <c r="I8" s="8">
        <v>0.89117</v>
      </c>
      <c r="J8" s="4"/>
      <c r="K8" s="4"/>
      <c r="L8" s="4"/>
      <c r="M8" s="4"/>
      <c r="N8" s="4"/>
      <c r="O8" s="4"/>
      <c r="P8" s="6"/>
    </row>
    <row r="9" spans="1:16" ht="12.75">
      <c r="A9" s="7" t="s">
        <v>14</v>
      </c>
      <c r="D9" s="9">
        <v>0.68522</v>
      </c>
      <c r="F9" s="4" t="s">
        <v>15</v>
      </c>
      <c r="G9" s="4"/>
      <c r="H9" s="4"/>
      <c r="I9" s="3">
        <v>0.956533</v>
      </c>
      <c r="J9" s="4"/>
      <c r="K9" s="4"/>
      <c r="L9" s="4"/>
      <c r="M9" s="4"/>
      <c r="N9" s="4"/>
      <c r="O9" s="4"/>
      <c r="P9" s="6"/>
    </row>
    <row r="10" spans="1:16" ht="12.75">
      <c r="A10" s="7" t="s">
        <v>16</v>
      </c>
      <c r="D10" s="7">
        <f>D8-D9</f>
        <v>0.20594999999999997</v>
      </c>
      <c r="F10" s="4" t="s">
        <v>17</v>
      </c>
      <c r="G10" s="4"/>
      <c r="H10" s="4"/>
      <c r="I10" s="10">
        <f>ROUND(I8*I9,5)</f>
        <v>0.85243</v>
      </c>
      <c r="J10" s="4"/>
      <c r="K10" s="4"/>
      <c r="L10" s="4"/>
      <c r="M10" s="4"/>
      <c r="N10" s="4"/>
      <c r="O10" s="4"/>
      <c r="P10" s="6"/>
    </row>
    <row r="11" spans="1:16" ht="12.75">
      <c r="A11" s="2"/>
      <c r="B11" s="3"/>
      <c r="C11" s="3"/>
      <c r="D11" s="4"/>
      <c r="E11" s="4"/>
      <c r="F11" s="4" t="s">
        <v>18</v>
      </c>
      <c r="G11" s="4"/>
      <c r="H11" s="4"/>
      <c r="I11" s="8">
        <f>0.65315+0.00106</f>
        <v>0.65421</v>
      </c>
      <c r="J11" s="4"/>
      <c r="K11" s="4"/>
      <c r="L11" s="4"/>
      <c r="M11" s="4"/>
      <c r="N11" s="4"/>
      <c r="O11" s="4"/>
      <c r="P11" s="6"/>
    </row>
    <row r="12" spans="1:16" ht="12.75">
      <c r="A12" s="2"/>
      <c r="B12" s="3"/>
      <c r="C12" s="3"/>
      <c r="D12" s="11"/>
      <c r="E12" s="11"/>
      <c r="F12" s="11" t="s">
        <v>19</v>
      </c>
      <c r="G12" s="11"/>
      <c r="H12" s="11"/>
      <c r="I12" s="12">
        <f>I10-I11</f>
        <v>0.19822000000000006</v>
      </c>
      <c r="J12" s="11"/>
      <c r="K12" s="11"/>
      <c r="L12" s="11"/>
      <c r="M12" s="11"/>
      <c r="N12" s="11"/>
      <c r="O12" s="11"/>
      <c r="P12" s="13"/>
    </row>
    <row r="15" ht="12.75">
      <c r="A15" t="s">
        <v>21</v>
      </c>
    </row>
    <row r="16" ht="12.75">
      <c r="A16" t="s">
        <v>22</v>
      </c>
    </row>
    <row r="17" ht="12.75">
      <c r="A17" t="s">
        <v>25</v>
      </c>
    </row>
    <row r="18" ht="12.75">
      <c r="A18" t="s">
        <v>23</v>
      </c>
    </row>
    <row r="19" ht="12.75">
      <c r="A19" t="s">
        <v>24</v>
      </c>
    </row>
    <row r="20" ht="12.75">
      <c r="A20" t="s">
        <v>51</v>
      </c>
    </row>
    <row r="23" ht="12.75">
      <c r="A23" t="s">
        <v>26</v>
      </c>
    </row>
    <row r="25" ht="12.75">
      <c r="A25" s="7" t="s">
        <v>27</v>
      </c>
    </row>
    <row r="26" ht="12.75">
      <c r="A26" s="7" t="s">
        <v>28</v>
      </c>
    </row>
    <row r="28" spans="1:10" ht="12.75">
      <c r="A28" s="2" t="s">
        <v>29</v>
      </c>
      <c r="B28" s="3"/>
      <c r="C28" s="3"/>
      <c r="D28" s="4"/>
      <c r="E28" s="4"/>
      <c r="F28" s="4"/>
      <c r="G28" s="4"/>
      <c r="H28" s="4"/>
      <c r="I28" s="4"/>
      <c r="J28" s="4"/>
    </row>
    <row r="29" spans="1:16" ht="27" customHeight="1">
      <c r="A29" s="117" t="s">
        <v>30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0" ht="12.75">
      <c r="A30" s="2"/>
      <c r="B30" s="3"/>
      <c r="C30" s="3"/>
      <c r="D30" s="11"/>
      <c r="E30" s="11"/>
      <c r="F30" s="11"/>
      <c r="G30" s="11"/>
      <c r="H30" s="11"/>
      <c r="I30" s="11"/>
      <c r="J30" s="14" t="s">
        <v>31</v>
      </c>
    </row>
    <row r="31" spans="1:10" ht="12.75">
      <c r="A31" s="2"/>
      <c r="B31" s="3"/>
      <c r="C31" s="3"/>
      <c r="D31" s="11"/>
      <c r="E31" s="11"/>
      <c r="F31" s="3" t="s">
        <v>32</v>
      </c>
      <c r="J31" s="15">
        <v>1.12076</v>
      </c>
    </row>
    <row r="32" spans="1:10" ht="12.75">
      <c r="A32" s="2"/>
      <c r="B32" s="3"/>
      <c r="C32" s="3"/>
      <c r="D32" s="11"/>
      <c r="E32" s="11"/>
      <c r="F32" s="3" t="s">
        <v>33</v>
      </c>
      <c r="J32" s="16">
        <v>0.956922</v>
      </c>
    </row>
    <row r="33" spans="1:10" ht="12.75">
      <c r="A33" s="2"/>
      <c r="B33" s="3"/>
      <c r="C33" s="3"/>
      <c r="D33" s="11"/>
      <c r="E33" s="11"/>
      <c r="F33" s="3" t="s">
        <v>34</v>
      </c>
      <c r="J33" s="17">
        <f>J31*J32</f>
        <v>1.07247990072</v>
      </c>
    </row>
    <row r="34" spans="1:10" ht="12.75">
      <c r="A34" s="2"/>
      <c r="B34" s="3"/>
      <c r="C34" s="3"/>
      <c r="D34" s="11"/>
      <c r="E34" s="11"/>
      <c r="F34" s="3" t="s">
        <v>35</v>
      </c>
      <c r="J34" s="18">
        <f>-0.855</f>
        <v>-0.855</v>
      </c>
    </row>
    <row r="35" spans="1:10" ht="12.75">
      <c r="A35" s="2"/>
      <c r="B35" s="3"/>
      <c r="C35" s="3"/>
      <c r="D35" s="11"/>
      <c r="E35" s="11"/>
      <c r="F35" s="7" t="s">
        <v>36</v>
      </c>
      <c r="J35" s="19">
        <f>J33+J34</f>
        <v>0.21747990072000012</v>
      </c>
    </row>
    <row r="38" ht="12.75">
      <c r="A38" t="s">
        <v>37</v>
      </c>
    </row>
    <row r="39" ht="12.75">
      <c r="A39" t="s">
        <v>38</v>
      </c>
    </row>
    <row r="40" ht="12.75">
      <c r="A40" t="s">
        <v>52</v>
      </c>
    </row>
    <row r="43" s="21" customFormat="1" ht="12.75"/>
    <row r="44" s="20" customFormat="1" ht="12.75">
      <c r="A44" s="20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1" ht="12.75">
      <c r="A51" t="s">
        <v>49</v>
      </c>
    </row>
    <row r="53" ht="12.75">
      <c r="A53" s="7" t="s">
        <v>50</v>
      </c>
    </row>
    <row r="54" ht="12.75">
      <c r="A54" t="s">
        <v>45</v>
      </c>
    </row>
    <row r="55" ht="12.75">
      <c r="A55" t="s">
        <v>46</v>
      </c>
    </row>
    <row r="56" ht="12.75">
      <c r="A56" t="s">
        <v>47</v>
      </c>
    </row>
    <row r="58" ht="12.75">
      <c r="A58" t="s">
        <v>48</v>
      </c>
    </row>
    <row r="60" ht="12.75">
      <c r="A60" t="s">
        <v>79</v>
      </c>
    </row>
    <row r="61" ht="12.75">
      <c r="A61" s="74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9" ht="12.75">
      <c r="A69" t="s">
        <v>76</v>
      </c>
    </row>
    <row r="70" spans="1:2" ht="12.75">
      <c r="A70" t="s">
        <v>77</v>
      </c>
      <c r="B70" s="75">
        <v>1421829</v>
      </c>
    </row>
    <row r="71" spans="1:2" ht="12.75">
      <c r="A71" t="s">
        <v>78</v>
      </c>
      <c r="B71" s="75">
        <v>10818</v>
      </c>
    </row>
  </sheetData>
  <mergeCells count="2">
    <mergeCell ref="A6:P6"/>
    <mergeCell ref="A29:P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60" workbookViewId="0" topLeftCell="A1">
      <selection activeCell="K21" sqref="K21"/>
    </sheetView>
  </sheetViews>
  <sheetFormatPr defaultColWidth="9.140625" defaultRowHeight="12.75"/>
  <cols>
    <col min="1" max="1" width="11.7109375" style="0" customWidth="1"/>
    <col min="2" max="2" width="13.7109375" style="0" customWidth="1"/>
    <col min="3" max="3" width="14.8515625" style="0" customWidth="1"/>
    <col min="4" max="4" width="14.57421875" style="0" customWidth="1"/>
    <col min="5" max="5" width="11.140625" style="0" customWidth="1"/>
    <col min="6" max="6" width="11.28125" style="0" customWidth="1"/>
    <col min="7" max="7" width="14.421875" style="0" bestFit="1" customWidth="1"/>
    <col min="8" max="8" width="13.421875" style="0" customWidth="1"/>
    <col min="10" max="10" width="10.00390625" style="0" customWidth="1"/>
  </cols>
  <sheetData>
    <row r="1" spans="1:8" ht="13.5" thickTop="1">
      <c r="A1" s="118" t="s">
        <v>56</v>
      </c>
      <c r="B1" s="119"/>
      <c r="C1" s="119"/>
      <c r="D1" s="119"/>
      <c r="E1" s="119"/>
      <c r="F1" s="119"/>
      <c r="G1" s="119"/>
      <c r="H1" s="120"/>
    </row>
    <row r="2" spans="1:8" ht="12.75">
      <c r="A2" s="121" t="s">
        <v>57</v>
      </c>
      <c r="B2" s="122"/>
      <c r="C2" s="122"/>
      <c r="D2" s="122"/>
      <c r="E2" s="122"/>
      <c r="F2" s="122"/>
      <c r="G2" s="122"/>
      <c r="H2" s="123"/>
    </row>
    <row r="3" spans="1:8" s="22" customFormat="1" ht="38.25">
      <c r="A3" s="68" t="s">
        <v>58</v>
      </c>
      <c r="B3" s="69" t="s">
        <v>62</v>
      </c>
      <c r="C3" s="69" t="s">
        <v>63</v>
      </c>
      <c r="D3" s="69" t="s">
        <v>64</v>
      </c>
      <c r="E3" s="69" t="s">
        <v>67</v>
      </c>
      <c r="F3" s="69" t="s">
        <v>61</v>
      </c>
      <c r="G3" s="69" t="s">
        <v>65</v>
      </c>
      <c r="H3" s="73" t="s">
        <v>66</v>
      </c>
    </row>
    <row r="4" spans="1:8" ht="12.75">
      <c r="A4" s="67">
        <v>38718</v>
      </c>
      <c r="B4" s="57">
        <v>18562669</v>
      </c>
      <c r="C4" s="57">
        <v>-1793843</v>
      </c>
      <c r="D4" s="57">
        <v>135510</v>
      </c>
      <c r="E4" s="95">
        <v>5.5</v>
      </c>
      <c r="F4" s="25">
        <v>0.19823</v>
      </c>
      <c r="G4" s="59">
        <f>D4*E4+(B4+C4)*F4</f>
        <v>4069389.37798</v>
      </c>
      <c r="H4" s="60">
        <f>G4/D4</f>
        <v>30.03017768415615</v>
      </c>
    </row>
    <row r="5" spans="1:8" ht="12.75">
      <c r="A5" s="34">
        <v>38749</v>
      </c>
      <c r="B5" s="64">
        <v>16709536</v>
      </c>
      <c r="C5" s="64">
        <v>-83311</v>
      </c>
      <c r="D5" s="64">
        <v>135699</v>
      </c>
      <c r="E5" s="96">
        <v>5.5</v>
      </c>
      <c r="F5" s="33">
        <v>0.19823</v>
      </c>
      <c r="G5" s="65">
        <f aca="true" t="shared" si="0" ref="G5:G39">D5*E5+(B5+C5)*F5</f>
        <v>4042161.08175</v>
      </c>
      <c r="H5" s="66">
        <f aca="true" t="shared" si="1" ref="H5:H39">G5/D5</f>
        <v>29.78769984856189</v>
      </c>
    </row>
    <row r="6" spans="1:8" ht="12.75">
      <c r="A6" s="67">
        <v>38777</v>
      </c>
      <c r="B6" s="57">
        <v>16924558</v>
      </c>
      <c r="C6" s="57">
        <v>-2261639</v>
      </c>
      <c r="D6" s="57">
        <v>135789</v>
      </c>
      <c r="E6" s="95">
        <v>5.5</v>
      </c>
      <c r="F6" s="25">
        <v>0.19823</v>
      </c>
      <c r="G6" s="59">
        <f t="shared" si="0"/>
        <v>3653469.9333699998</v>
      </c>
      <c r="H6" s="60">
        <f t="shared" si="1"/>
        <v>26.905492590489654</v>
      </c>
    </row>
    <row r="7" spans="1:8" ht="12.75">
      <c r="A7" s="34">
        <v>38808</v>
      </c>
      <c r="B7" s="64">
        <v>11304373</v>
      </c>
      <c r="C7" s="64">
        <v>-3307708</v>
      </c>
      <c r="D7" s="64">
        <v>135775</v>
      </c>
      <c r="E7" s="96">
        <v>5.5</v>
      </c>
      <c r="F7" s="33">
        <v>0.19823</v>
      </c>
      <c r="G7" s="65">
        <f t="shared" si="0"/>
        <v>2331941.40295</v>
      </c>
      <c r="H7" s="66">
        <f t="shared" si="1"/>
        <v>17.17504255533051</v>
      </c>
    </row>
    <row r="8" spans="1:8" ht="12.75">
      <c r="A8" s="67">
        <v>38838</v>
      </c>
      <c r="B8" s="57">
        <v>6552477</v>
      </c>
      <c r="C8" s="57">
        <v>-2523061</v>
      </c>
      <c r="D8" s="57">
        <v>135938</v>
      </c>
      <c r="E8" s="95">
        <v>5.5</v>
      </c>
      <c r="F8" s="25">
        <v>0.19823</v>
      </c>
      <c r="G8" s="59">
        <f t="shared" si="0"/>
        <v>1546410.13368</v>
      </c>
      <c r="H8" s="60">
        <f t="shared" si="1"/>
        <v>11.375848796363048</v>
      </c>
    </row>
    <row r="9" spans="1:8" ht="12.75">
      <c r="A9" s="34">
        <v>38869</v>
      </c>
      <c r="B9" s="64">
        <v>3538290</v>
      </c>
      <c r="C9" s="64">
        <v>-933968</v>
      </c>
      <c r="D9" s="64">
        <v>135719</v>
      </c>
      <c r="E9" s="96">
        <v>5.5</v>
      </c>
      <c r="F9" s="33">
        <v>0.19823</v>
      </c>
      <c r="G9" s="65">
        <f t="shared" si="0"/>
        <v>1262709.25006</v>
      </c>
      <c r="H9" s="66">
        <f t="shared" si="1"/>
        <v>9.303850235118148</v>
      </c>
    </row>
    <row r="10" spans="1:8" ht="12.75">
      <c r="A10" s="67">
        <v>38899</v>
      </c>
      <c r="B10" s="57">
        <v>2378214</v>
      </c>
      <c r="C10" s="57">
        <v>-129459</v>
      </c>
      <c r="D10" s="57">
        <v>135822</v>
      </c>
      <c r="E10" s="95">
        <v>5.5</v>
      </c>
      <c r="F10" s="25">
        <v>0.19823</v>
      </c>
      <c r="G10" s="59">
        <f t="shared" si="0"/>
        <v>1192791.70365</v>
      </c>
      <c r="H10" s="60">
        <f t="shared" si="1"/>
        <v>8.782021348897823</v>
      </c>
    </row>
    <row r="11" spans="1:8" ht="12.75">
      <c r="A11" s="34">
        <v>38930</v>
      </c>
      <c r="B11" s="64">
        <v>1985594</v>
      </c>
      <c r="C11" s="64">
        <v>171541</v>
      </c>
      <c r="D11" s="64">
        <v>136128</v>
      </c>
      <c r="E11" s="96">
        <v>5.5</v>
      </c>
      <c r="F11" s="33">
        <v>0.19823</v>
      </c>
      <c r="G11" s="65">
        <f t="shared" si="0"/>
        <v>1176312.87105</v>
      </c>
      <c r="H11" s="66">
        <f t="shared" si="1"/>
        <v>8.641226426965797</v>
      </c>
    </row>
    <row r="12" spans="1:8" ht="12.75">
      <c r="A12" s="67">
        <v>38961</v>
      </c>
      <c r="B12" s="57">
        <v>2479717</v>
      </c>
      <c r="C12" s="57">
        <v>597407</v>
      </c>
      <c r="D12" s="57">
        <v>136466</v>
      </c>
      <c r="E12" s="95">
        <v>5.5</v>
      </c>
      <c r="F12" s="25">
        <v>0.19823</v>
      </c>
      <c r="G12" s="59">
        <f t="shared" si="0"/>
        <v>1360541.2905199998</v>
      </c>
      <c r="H12" s="60">
        <f t="shared" si="1"/>
        <v>9.969818786510924</v>
      </c>
    </row>
    <row r="13" spans="1:8" ht="12.75">
      <c r="A13" s="34">
        <v>38991</v>
      </c>
      <c r="B13" s="64">
        <v>4292105</v>
      </c>
      <c r="C13" s="64">
        <v>3433476</v>
      </c>
      <c r="D13" s="64">
        <v>137302</v>
      </c>
      <c r="E13" s="96">
        <v>5.5</v>
      </c>
      <c r="F13" s="33">
        <v>0.19823</v>
      </c>
      <c r="G13" s="65">
        <f t="shared" si="0"/>
        <v>2286602.9216299998</v>
      </c>
      <c r="H13" s="66">
        <f t="shared" si="1"/>
        <v>16.6538209321787</v>
      </c>
    </row>
    <row r="14" spans="1:8" ht="12.75">
      <c r="A14" s="67">
        <v>39022</v>
      </c>
      <c r="B14" s="57">
        <v>9891005</v>
      </c>
      <c r="C14" s="57">
        <v>4711720</v>
      </c>
      <c r="D14" s="57">
        <v>138036</v>
      </c>
      <c r="E14" s="95">
        <v>5.5</v>
      </c>
      <c r="F14" s="25">
        <v>0.19823</v>
      </c>
      <c r="G14" s="59">
        <f t="shared" si="0"/>
        <v>3653896.1767499996</v>
      </c>
      <c r="H14" s="60">
        <f t="shared" si="1"/>
        <v>26.470603152438493</v>
      </c>
    </row>
    <row r="15" spans="1:8" ht="12.75">
      <c r="A15" s="34">
        <v>39052</v>
      </c>
      <c r="B15" s="64">
        <v>18364798</v>
      </c>
      <c r="C15" s="64">
        <v>2537269</v>
      </c>
      <c r="D15" s="64">
        <v>138667</v>
      </c>
      <c r="E15" s="96">
        <v>5.5</v>
      </c>
      <c r="F15" s="33">
        <v>0.19823</v>
      </c>
      <c r="G15" s="65">
        <f t="shared" si="0"/>
        <v>4906085.24141</v>
      </c>
      <c r="H15" s="66">
        <f t="shared" si="1"/>
        <v>35.38033736512653</v>
      </c>
    </row>
    <row r="16" spans="1:8" ht="12.75">
      <c r="A16" s="67">
        <v>39083</v>
      </c>
      <c r="B16" s="57">
        <v>21292599</v>
      </c>
      <c r="C16" s="57">
        <v>652094</v>
      </c>
      <c r="D16" s="57">
        <v>138804</v>
      </c>
      <c r="E16" s="95">
        <v>5.5</v>
      </c>
      <c r="F16" s="25">
        <v>0.19823</v>
      </c>
      <c r="G16" s="59">
        <f t="shared" si="0"/>
        <v>5113518.4933899995</v>
      </c>
      <c r="H16" s="60">
        <f t="shared" si="1"/>
        <v>36.839849668525396</v>
      </c>
    </row>
    <row r="17" spans="1:8" ht="12.75">
      <c r="A17" s="34">
        <v>39114</v>
      </c>
      <c r="B17" s="64">
        <v>21234566</v>
      </c>
      <c r="C17" s="64">
        <v>-4280920</v>
      </c>
      <c r="D17" s="64">
        <v>139210</v>
      </c>
      <c r="E17" s="96">
        <v>5.5</v>
      </c>
      <c r="F17" s="33">
        <v>0.19823</v>
      </c>
      <c r="G17" s="65">
        <f t="shared" si="0"/>
        <v>4126376.24658</v>
      </c>
      <c r="H17" s="66">
        <f t="shared" si="1"/>
        <v>29.64137810918756</v>
      </c>
    </row>
    <row r="18" spans="1:8" ht="12.75">
      <c r="A18" s="67">
        <v>39142</v>
      </c>
      <c r="B18" s="57">
        <v>14472322</v>
      </c>
      <c r="C18" s="57">
        <v>-2744478</v>
      </c>
      <c r="D18" s="57">
        <v>139055</v>
      </c>
      <c r="E18" s="95">
        <v>5.5</v>
      </c>
      <c r="F18" s="25">
        <v>0.19823</v>
      </c>
      <c r="G18" s="59">
        <f t="shared" si="0"/>
        <v>3089613.01612</v>
      </c>
      <c r="H18" s="60">
        <f t="shared" si="1"/>
        <v>22.218640222358058</v>
      </c>
    </row>
    <row r="19" spans="1:8" ht="12.75">
      <c r="A19" s="34">
        <v>39173</v>
      </c>
      <c r="B19" s="64">
        <v>9724124</v>
      </c>
      <c r="C19" s="64">
        <v>-1911391</v>
      </c>
      <c r="D19" s="64">
        <v>139113</v>
      </c>
      <c r="E19" s="96">
        <v>5.5</v>
      </c>
      <c r="F19" s="33">
        <v>0.19823</v>
      </c>
      <c r="G19" s="65">
        <f t="shared" si="0"/>
        <v>2313839.56259</v>
      </c>
      <c r="H19" s="66">
        <f t="shared" si="1"/>
        <v>16.632806154636878</v>
      </c>
    </row>
    <row r="20" spans="1:8" ht="12.75">
      <c r="A20" s="67">
        <v>39203</v>
      </c>
      <c r="B20" s="57">
        <v>6113562</v>
      </c>
      <c r="C20" s="57">
        <v>-2002319</v>
      </c>
      <c r="D20" s="57">
        <v>139012</v>
      </c>
      <c r="E20" s="95">
        <v>5.5</v>
      </c>
      <c r="F20" s="25">
        <v>0.19823</v>
      </c>
      <c r="G20" s="59">
        <f t="shared" si="0"/>
        <v>1579537.6998899998</v>
      </c>
      <c r="H20" s="60">
        <f t="shared" si="1"/>
        <v>11.362599630895174</v>
      </c>
    </row>
    <row r="21" spans="1:8" ht="12.75">
      <c r="A21" s="34">
        <v>39234</v>
      </c>
      <c r="B21" s="64">
        <v>3664833</v>
      </c>
      <c r="C21" s="64">
        <v>-959501</v>
      </c>
      <c r="D21" s="64">
        <v>138838</v>
      </c>
      <c r="E21" s="96">
        <v>5.5</v>
      </c>
      <c r="F21" s="33">
        <v>0.19823</v>
      </c>
      <c r="G21" s="65">
        <f t="shared" si="0"/>
        <v>1299886.96236</v>
      </c>
      <c r="H21" s="66">
        <f t="shared" si="1"/>
        <v>9.362616591711204</v>
      </c>
    </row>
    <row r="22" spans="1:8" ht="12.75">
      <c r="A22" s="67">
        <v>39264</v>
      </c>
      <c r="B22" s="57">
        <v>2462636</v>
      </c>
      <c r="C22" s="57">
        <v>-401547</v>
      </c>
      <c r="D22" s="57">
        <v>138877</v>
      </c>
      <c r="E22" s="95">
        <v>5.5</v>
      </c>
      <c r="F22" s="25">
        <v>0.19823</v>
      </c>
      <c r="G22" s="59">
        <f t="shared" si="0"/>
        <v>1172393.17247</v>
      </c>
      <c r="H22" s="60">
        <f t="shared" si="1"/>
        <v>8.44195347300129</v>
      </c>
    </row>
    <row r="23" spans="1:8" ht="12.75">
      <c r="A23" s="34">
        <v>39295</v>
      </c>
      <c r="B23" s="64">
        <v>2010203</v>
      </c>
      <c r="C23" s="64">
        <v>396676</v>
      </c>
      <c r="D23" s="64">
        <v>139096</v>
      </c>
      <c r="E23" s="96">
        <v>5.5</v>
      </c>
      <c r="F23" s="33">
        <v>0.19823</v>
      </c>
      <c r="G23" s="65">
        <f t="shared" si="0"/>
        <v>1242143.62417</v>
      </c>
      <c r="H23" s="66">
        <f t="shared" si="1"/>
        <v>8.930117502803819</v>
      </c>
    </row>
    <row r="24" spans="1:8" ht="12.75">
      <c r="A24" s="67">
        <v>39326</v>
      </c>
      <c r="B24" s="57">
        <v>2332936</v>
      </c>
      <c r="C24" s="57">
        <v>508401</v>
      </c>
      <c r="D24" s="57">
        <v>139568</v>
      </c>
      <c r="E24" s="95">
        <v>5.5</v>
      </c>
      <c r="F24" s="25">
        <v>0.19823</v>
      </c>
      <c r="G24" s="59">
        <f t="shared" si="0"/>
        <v>1330862.23351</v>
      </c>
      <c r="H24" s="60">
        <f t="shared" si="1"/>
        <v>9.535582895147884</v>
      </c>
    </row>
    <row r="25" spans="1:8" ht="12.75">
      <c r="A25" s="34">
        <v>39356</v>
      </c>
      <c r="B25" s="64">
        <v>4484817</v>
      </c>
      <c r="C25" s="64">
        <v>3164109</v>
      </c>
      <c r="D25" s="64">
        <v>140039</v>
      </c>
      <c r="E25" s="96">
        <v>5.5</v>
      </c>
      <c r="F25" s="33">
        <v>0.19823</v>
      </c>
      <c r="G25" s="65">
        <f t="shared" si="0"/>
        <v>2286461.1009799996</v>
      </c>
      <c r="H25" s="66">
        <f t="shared" si="1"/>
        <v>16.327316683066858</v>
      </c>
    </row>
    <row r="26" spans="1:8" ht="12.75">
      <c r="A26" s="67">
        <v>39387</v>
      </c>
      <c r="B26" s="57">
        <v>9398517</v>
      </c>
      <c r="C26" s="57">
        <v>5254887</v>
      </c>
      <c r="D26" s="57">
        <v>140930</v>
      </c>
      <c r="E26" s="95">
        <v>5.5</v>
      </c>
      <c r="F26" s="25">
        <v>0.19823</v>
      </c>
      <c r="G26" s="59">
        <f t="shared" si="0"/>
        <v>3679859.2749199998</v>
      </c>
      <c r="H26" s="60">
        <f t="shared" si="1"/>
        <v>26.11125576470588</v>
      </c>
    </row>
    <row r="27" spans="1:8" ht="12.75">
      <c r="A27" s="34">
        <v>39417</v>
      </c>
      <c r="B27" s="64">
        <v>18392852</v>
      </c>
      <c r="C27" s="64">
        <v>1597192</v>
      </c>
      <c r="D27" s="64">
        <v>141242</v>
      </c>
      <c r="E27" s="96">
        <v>5.5</v>
      </c>
      <c r="F27" s="33">
        <v>0.19823</v>
      </c>
      <c r="G27" s="65">
        <f t="shared" si="0"/>
        <v>4739457.422119999</v>
      </c>
      <c r="H27" s="66">
        <f t="shared" si="1"/>
        <v>33.55558135766981</v>
      </c>
    </row>
    <row r="28" spans="1:8" ht="12.75">
      <c r="A28" s="67">
        <v>39448</v>
      </c>
      <c r="B28" s="57">
        <v>20755627</v>
      </c>
      <c r="C28" s="57">
        <v>1480100</v>
      </c>
      <c r="D28" s="57">
        <v>141580</v>
      </c>
      <c r="E28" s="95">
        <v>5.5</v>
      </c>
      <c r="F28" s="25">
        <v>0.21748</v>
      </c>
      <c r="G28" s="59">
        <f t="shared" si="0"/>
        <v>5614515.90796</v>
      </c>
      <c r="H28" s="60">
        <f t="shared" si="1"/>
        <v>39.65613722248906</v>
      </c>
    </row>
    <row r="29" spans="1:8" ht="12.75">
      <c r="A29" s="34">
        <v>39479</v>
      </c>
      <c r="B29" s="64">
        <v>22514347</v>
      </c>
      <c r="C29" s="64">
        <v>-4030702</v>
      </c>
      <c r="D29" s="64">
        <v>141745</v>
      </c>
      <c r="E29" s="96">
        <v>5.5</v>
      </c>
      <c r="F29" s="33">
        <v>0.21748</v>
      </c>
      <c r="G29" s="65">
        <f t="shared" si="0"/>
        <v>4799420.6146</v>
      </c>
      <c r="H29" s="66">
        <f t="shared" si="1"/>
        <v>33.85954082754242</v>
      </c>
    </row>
    <row r="30" spans="1:8" ht="12.75">
      <c r="A30" s="67">
        <v>39508</v>
      </c>
      <c r="B30" s="57">
        <v>14859076</v>
      </c>
      <c r="C30" s="57">
        <v>-6064</v>
      </c>
      <c r="D30" s="57">
        <v>141763</v>
      </c>
      <c r="E30" s="95">
        <v>5.5</v>
      </c>
      <c r="F30" s="25">
        <v>0.21748</v>
      </c>
      <c r="G30" s="59">
        <f t="shared" si="0"/>
        <v>4009929.5497600003</v>
      </c>
      <c r="H30" s="60">
        <f t="shared" si="1"/>
        <v>28.286150474806547</v>
      </c>
    </row>
    <row r="31" spans="1:8" ht="12.75">
      <c r="A31" s="34">
        <v>39539</v>
      </c>
      <c r="B31" s="64">
        <v>13629159</v>
      </c>
      <c r="C31" s="64">
        <v>-2806201</v>
      </c>
      <c r="D31" s="64">
        <v>141662</v>
      </c>
      <c r="E31" s="96">
        <v>5.5</v>
      </c>
      <c r="F31" s="33">
        <v>0.21748</v>
      </c>
      <c r="G31" s="65">
        <f t="shared" si="0"/>
        <v>3132917.90584</v>
      </c>
      <c r="H31" s="66">
        <f t="shared" si="1"/>
        <v>22.115443138173966</v>
      </c>
    </row>
    <row r="32" spans="1:8" ht="12.75">
      <c r="A32" s="67">
        <v>39569</v>
      </c>
      <c r="B32" s="57">
        <v>8714627</v>
      </c>
      <c r="C32" s="57">
        <v>-3928912</v>
      </c>
      <c r="D32" s="57">
        <v>141566</v>
      </c>
      <c r="E32" s="95">
        <v>5.5</v>
      </c>
      <c r="F32" s="25">
        <v>0.21748</v>
      </c>
      <c r="G32" s="59">
        <f t="shared" si="0"/>
        <v>1819410.2982</v>
      </c>
      <c r="H32" s="60">
        <f t="shared" si="1"/>
        <v>12.85202872299846</v>
      </c>
    </row>
    <row r="33" spans="1:8" ht="12.75">
      <c r="A33" s="34">
        <v>39600</v>
      </c>
      <c r="B33" s="64">
        <v>4232714</v>
      </c>
      <c r="C33" s="64">
        <v>-782373</v>
      </c>
      <c r="D33" s="64">
        <v>141413</v>
      </c>
      <c r="E33" s="96">
        <v>5.5</v>
      </c>
      <c r="F33" s="33">
        <v>0.21748</v>
      </c>
      <c r="G33" s="65">
        <f t="shared" si="0"/>
        <v>1528151.66068</v>
      </c>
      <c r="H33" s="66">
        <f t="shared" si="1"/>
        <v>10.806302537107621</v>
      </c>
    </row>
    <row r="34" spans="1:8" ht="12.75">
      <c r="A34" s="67">
        <v>39630</v>
      </c>
      <c r="B34" s="57">
        <v>2763613</v>
      </c>
      <c r="C34" s="57">
        <v>-586063</v>
      </c>
      <c r="D34" s="57">
        <v>141354</v>
      </c>
      <c r="E34" s="95">
        <v>5.5</v>
      </c>
      <c r="F34" s="25">
        <v>0.21748</v>
      </c>
      <c r="G34" s="59">
        <f t="shared" si="0"/>
        <v>1251020.574</v>
      </c>
      <c r="H34" s="60">
        <f t="shared" si="1"/>
        <v>8.850266522348146</v>
      </c>
    </row>
    <row r="35" spans="1:8" ht="12.75">
      <c r="A35" s="34">
        <v>39661</v>
      </c>
      <c r="B35" s="64">
        <v>2223233</v>
      </c>
      <c r="C35" s="64">
        <v>105695</v>
      </c>
      <c r="D35" s="64">
        <v>141399</v>
      </c>
      <c r="E35" s="96">
        <v>5.5</v>
      </c>
      <c r="F35" s="33">
        <v>0.21748</v>
      </c>
      <c r="G35" s="65">
        <f t="shared" si="0"/>
        <v>1284189.76144</v>
      </c>
      <c r="H35" s="66">
        <f t="shared" si="1"/>
        <v>9.082028595958953</v>
      </c>
    </row>
    <row r="36" spans="1:8" ht="12.75">
      <c r="A36" s="67">
        <v>39692</v>
      </c>
      <c r="B36" s="57">
        <v>2487966</v>
      </c>
      <c r="C36" s="57">
        <v>320280</v>
      </c>
      <c r="D36" s="57">
        <v>141829</v>
      </c>
      <c r="E36" s="95">
        <v>5.5</v>
      </c>
      <c r="F36" s="25">
        <v>0.21748</v>
      </c>
      <c r="G36" s="59">
        <f t="shared" si="0"/>
        <v>1390796.84008</v>
      </c>
      <c r="H36" s="60">
        <f t="shared" si="1"/>
        <v>9.806152761988027</v>
      </c>
    </row>
    <row r="37" spans="1:8" ht="12.75">
      <c r="A37" s="34">
        <v>39722</v>
      </c>
      <c r="B37" s="64">
        <v>3933329</v>
      </c>
      <c r="C37" s="64">
        <v>3250212</v>
      </c>
      <c r="D37" s="64">
        <v>142135</v>
      </c>
      <c r="E37" s="96">
        <v>5.5</v>
      </c>
      <c r="F37" s="33">
        <v>0.21748</v>
      </c>
      <c r="G37" s="65">
        <f t="shared" si="0"/>
        <v>2344018.99668</v>
      </c>
      <c r="H37" s="66">
        <f t="shared" si="1"/>
        <v>16.49149749660534</v>
      </c>
    </row>
    <row r="38" spans="1:8" ht="12.75">
      <c r="A38" s="67">
        <v>39753</v>
      </c>
      <c r="B38" s="57">
        <v>8603159</v>
      </c>
      <c r="C38" s="57">
        <v>3482932</v>
      </c>
      <c r="D38" s="57">
        <v>142818</v>
      </c>
      <c r="E38" s="95">
        <v>5.5</v>
      </c>
      <c r="F38" s="25">
        <v>0.21748</v>
      </c>
      <c r="G38" s="59">
        <f t="shared" si="0"/>
        <v>3413982.07068</v>
      </c>
      <c r="H38" s="60">
        <f t="shared" si="1"/>
        <v>23.904424307020122</v>
      </c>
    </row>
    <row r="39" spans="1:8" ht="12.75">
      <c r="A39" s="34">
        <v>39783</v>
      </c>
      <c r="B39" s="64">
        <v>15345278</v>
      </c>
      <c r="C39" s="64">
        <v>8361158</v>
      </c>
      <c r="D39" s="64">
        <v>143336</v>
      </c>
      <c r="E39" s="96">
        <v>5.5</v>
      </c>
      <c r="F39" s="33">
        <v>0.21748</v>
      </c>
      <c r="G39" s="65">
        <f t="shared" si="0"/>
        <v>5944023.701280001</v>
      </c>
      <c r="H39" s="66">
        <f t="shared" si="1"/>
        <v>41.469161280348274</v>
      </c>
    </row>
    <row r="40" spans="1:8" ht="12.75">
      <c r="A40" s="67"/>
      <c r="B40" s="57"/>
      <c r="C40" s="57"/>
      <c r="D40" s="57"/>
      <c r="E40" s="58"/>
      <c r="F40" s="25"/>
      <c r="G40" s="59"/>
      <c r="H40" s="60"/>
    </row>
    <row r="41" spans="1:8" ht="12.75">
      <c r="A41" s="70" t="s">
        <v>59</v>
      </c>
      <c r="B41" s="71"/>
      <c r="C41" s="25"/>
      <c r="D41" s="57">
        <f>SUM(D4:D15)</f>
        <v>1636851</v>
      </c>
      <c r="E41" s="25"/>
      <c r="F41" s="25"/>
      <c r="G41" s="59">
        <f>SUM(G4:G15)</f>
        <v>31482311.384800002</v>
      </c>
      <c r="H41" s="60">
        <f>G41/D41*12</f>
        <v>230.8015430956147</v>
      </c>
    </row>
    <row r="42" spans="1:8" ht="12.75">
      <c r="A42" s="70" t="s">
        <v>4</v>
      </c>
      <c r="B42" s="71"/>
      <c r="C42" s="25"/>
      <c r="D42" s="57">
        <f>SUM(D16:D27)</f>
        <v>1673784</v>
      </c>
      <c r="E42" s="25"/>
      <c r="F42" s="25"/>
      <c r="G42" s="59">
        <f>SUM(G16:G27)</f>
        <v>31973948.809099995</v>
      </c>
      <c r="H42" s="60">
        <f>G42/D42*12</f>
        <v>229.2335126331713</v>
      </c>
    </row>
    <row r="43" spans="1:8" ht="12.75">
      <c r="A43" s="70" t="s">
        <v>5</v>
      </c>
      <c r="B43" s="25"/>
      <c r="C43" s="25"/>
      <c r="D43" s="57">
        <f>SUM(D28:D39)</f>
        <v>1702600</v>
      </c>
      <c r="E43" s="25"/>
      <c r="F43" s="25"/>
      <c r="G43" s="59">
        <f>SUM(G28:G39)</f>
        <v>36532377.8812</v>
      </c>
      <c r="H43" s="60">
        <f>G43/D43*12</f>
        <v>257.48181285939154</v>
      </c>
    </row>
    <row r="44" spans="1:8" ht="12.75">
      <c r="A44" s="63"/>
      <c r="B44" s="25"/>
      <c r="C44" s="25"/>
      <c r="D44" s="25"/>
      <c r="E44" s="25"/>
      <c r="F44" s="25"/>
      <c r="G44" s="25"/>
      <c r="H44" s="26"/>
    </row>
    <row r="45" spans="1:8" ht="12.75">
      <c r="A45" s="63" t="s">
        <v>86</v>
      </c>
      <c r="B45" s="25"/>
      <c r="C45" s="25"/>
      <c r="D45" s="25"/>
      <c r="E45" s="25"/>
      <c r="F45" s="27">
        <f>-'D.1'!F17</f>
        <v>-900119.1204708708</v>
      </c>
      <c r="G45" s="59">
        <f>G42+F45</f>
        <v>31073829.688629124</v>
      </c>
      <c r="H45" s="60">
        <f>G45/D42*12</f>
        <v>222.78021313595391</v>
      </c>
    </row>
    <row r="46" spans="1:8" ht="13.5" thickBot="1">
      <c r="A46" s="72" t="s">
        <v>87</v>
      </c>
      <c r="B46" s="30"/>
      <c r="C46" s="30"/>
      <c r="D46" s="30"/>
      <c r="E46" s="30"/>
      <c r="F46" s="29">
        <f>-'D.1'!F34</f>
        <v>-673508.397664</v>
      </c>
      <c r="G46" s="61">
        <f>G43+F46</f>
        <v>35858869.483536</v>
      </c>
      <c r="H46" s="62">
        <f>G46/D43*12</f>
        <v>252.7348959253095</v>
      </c>
    </row>
    <row r="47" ht="13.5" thickTop="1"/>
    <row r="48" ht="13.5" thickBot="1">
      <c r="A48" s="97" t="s">
        <v>94</v>
      </c>
    </row>
    <row r="49" spans="1:5" ht="13.5" thickTop="1">
      <c r="A49" s="124" t="s">
        <v>88</v>
      </c>
      <c r="B49" s="125"/>
      <c r="C49" s="125"/>
      <c r="D49" s="125"/>
      <c r="E49" s="126"/>
    </row>
    <row r="50" spans="1:5" ht="89.25">
      <c r="A50" s="84" t="s">
        <v>89</v>
      </c>
      <c r="B50" s="93" t="s">
        <v>90</v>
      </c>
      <c r="C50" s="93" t="s">
        <v>91</v>
      </c>
      <c r="D50" s="93" t="s">
        <v>92</v>
      </c>
      <c r="E50" s="94" t="s">
        <v>93</v>
      </c>
    </row>
    <row r="51" spans="1:5" ht="12.75">
      <c r="A51" s="85">
        <v>2006</v>
      </c>
      <c r="B51" s="86">
        <f>G41</f>
        <v>31482311.384800002</v>
      </c>
      <c r="C51" s="86">
        <f>G41</f>
        <v>31482311.384800002</v>
      </c>
      <c r="D51" s="87">
        <f>12*B51/D41</f>
        <v>230.8015430956147</v>
      </c>
      <c r="E51" s="88">
        <f>12*C51/D41</f>
        <v>230.8015430956147</v>
      </c>
    </row>
    <row r="52" spans="1:5" ht="12.75">
      <c r="A52" s="89">
        <v>2007</v>
      </c>
      <c r="B52" s="82">
        <f>G42</f>
        <v>31973948.809099995</v>
      </c>
      <c r="C52" s="82">
        <f>G45</f>
        <v>31073829.688629124</v>
      </c>
      <c r="D52" s="83">
        <f>12*B52/D42</f>
        <v>229.23351263317124</v>
      </c>
      <c r="E52" s="90">
        <f>12*C52/D42</f>
        <v>222.78021313595391</v>
      </c>
    </row>
    <row r="53" spans="1:5" ht="13.5" thickBot="1">
      <c r="A53" s="91">
        <v>2008</v>
      </c>
      <c r="B53" s="81">
        <f>G43</f>
        <v>36532377.8812</v>
      </c>
      <c r="C53" s="81">
        <f>G46</f>
        <v>35858869.483536</v>
      </c>
      <c r="D53" s="80">
        <f>12*B53/D43</f>
        <v>257.48181285939154</v>
      </c>
      <c r="E53" s="92">
        <f>12*C53/D43</f>
        <v>252.7348959253095</v>
      </c>
    </row>
    <row r="54" ht="13.5" thickTop="1"/>
  </sheetData>
  <mergeCells count="3">
    <mergeCell ref="A1:H1"/>
    <mergeCell ref="A2:H2"/>
    <mergeCell ref="A49:E49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&amp;C&amp;"Arial,Bold"&amp;12Exhibit D-5 Decoupling Margin Impact per Customer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4" sqref="A4:B21"/>
    </sheetView>
  </sheetViews>
  <sheetFormatPr defaultColWidth="9.140625" defaultRowHeight="12.75"/>
  <cols>
    <col min="2" max="2" width="20.7109375" style="0" customWidth="1"/>
    <col min="3" max="3" width="18.00390625" style="0" customWidth="1"/>
    <col min="9" max="9" width="10.57421875" style="0" customWidth="1"/>
    <col min="10" max="10" width="19.28125" style="0" customWidth="1"/>
  </cols>
  <sheetData>
    <row r="1" ht="12.75">
      <c r="A1" t="s">
        <v>53</v>
      </c>
    </row>
    <row r="3" ht="13.5" thickBot="1"/>
    <row r="4" spans="1:10" ht="13.5" thickTop="1">
      <c r="A4" s="127" t="s">
        <v>81</v>
      </c>
      <c r="B4" s="128"/>
      <c r="I4" s="127" t="s">
        <v>82</v>
      </c>
      <c r="J4" s="128"/>
    </row>
    <row r="5" spans="1:10" ht="15.75" customHeight="1">
      <c r="A5" s="78"/>
      <c r="B5" s="79" t="s">
        <v>80</v>
      </c>
      <c r="I5" s="78"/>
      <c r="J5" s="79" t="s">
        <v>54</v>
      </c>
    </row>
    <row r="6" spans="1:10" ht="12.75">
      <c r="A6" s="38">
        <v>39387</v>
      </c>
      <c r="B6" s="76">
        <f>'D.1'!L15</f>
        <v>34615.2606099999</v>
      </c>
      <c r="I6" s="38">
        <f aca="true" t="shared" si="0" ref="I6:I20">A6</f>
        <v>39387</v>
      </c>
      <c r="J6" s="76">
        <v>1982.539416653125</v>
      </c>
    </row>
    <row r="7" spans="1:10" ht="12.75">
      <c r="A7" s="99">
        <v>39417</v>
      </c>
      <c r="B7" s="100">
        <f>'D.1'!L16</f>
        <v>50519.55141</v>
      </c>
      <c r="I7" s="99">
        <f t="shared" si="0"/>
        <v>39417</v>
      </c>
      <c r="J7" s="100">
        <v>2642.108167221735</v>
      </c>
    </row>
    <row r="8" spans="1:10" ht="12.75">
      <c r="A8" s="103" t="s">
        <v>95</v>
      </c>
      <c r="B8" s="101">
        <f>SUM(B6:B7)</f>
        <v>85134.8120199999</v>
      </c>
      <c r="I8" s="103" t="s">
        <v>95</v>
      </c>
      <c r="J8" s="101">
        <f>SUM(J6:J7)</f>
        <v>4624.64758387486</v>
      </c>
    </row>
    <row r="9" spans="1:10" ht="12.75">
      <c r="A9" s="38">
        <v>39448</v>
      </c>
      <c r="B9" s="76">
        <f>'D.1'!P5</f>
        <v>57145.81839</v>
      </c>
      <c r="I9" s="38">
        <f t="shared" si="0"/>
        <v>39448</v>
      </c>
      <c r="J9" s="76">
        <v>2125.5942410368343</v>
      </c>
    </row>
    <row r="10" spans="1:10" ht="12.75">
      <c r="A10" s="37">
        <v>39479</v>
      </c>
      <c r="B10" s="77">
        <f>'D.1'!P6</f>
        <v>47502.96765</v>
      </c>
      <c r="D10" t="s">
        <v>55</v>
      </c>
      <c r="I10" s="37">
        <f t="shared" si="0"/>
        <v>39479</v>
      </c>
      <c r="J10" s="77">
        <f>946.688556414762-1712.6</f>
        <v>-765.9114435852379</v>
      </c>
    </row>
    <row r="11" spans="1:10" ht="12.75">
      <c r="A11" s="38">
        <v>39508</v>
      </c>
      <c r="B11" s="76">
        <f>'D.1'!P7</f>
        <v>38172.24084</v>
      </c>
      <c r="I11" s="38">
        <f t="shared" si="0"/>
        <v>39508</v>
      </c>
      <c r="J11" s="76">
        <v>664.7191549619112</v>
      </c>
    </row>
    <row r="12" spans="1:10" ht="12.75">
      <c r="A12" s="37">
        <v>39539</v>
      </c>
      <c r="B12" s="77">
        <f>'D.1'!P8</f>
        <v>27815.00206</v>
      </c>
      <c r="I12" s="37">
        <f t="shared" si="0"/>
        <v>39539</v>
      </c>
      <c r="J12" s="77">
        <v>397.52717644547687</v>
      </c>
    </row>
    <row r="13" spans="1:10" ht="12.75">
      <c r="A13" s="38">
        <v>39569</v>
      </c>
      <c r="B13" s="76">
        <f>'D.1'!P9</f>
        <v>12299.28755</v>
      </c>
      <c r="I13" s="38">
        <f t="shared" si="0"/>
        <v>39569</v>
      </c>
      <c r="J13" s="76">
        <v>286.6141669910484</v>
      </c>
    </row>
    <row r="14" spans="1:10" ht="12.75">
      <c r="A14" s="37">
        <v>39600</v>
      </c>
      <c r="B14" s="77">
        <f>'D.1'!P10</f>
        <v>8867.37637</v>
      </c>
      <c r="I14" s="37">
        <f t="shared" si="0"/>
        <v>39600</v>
      </c>
      <c r="J14" s="77">
        <v>228.52351744215628</v>
      </c>
    </row>
    <row r="15" spans="1:10" ht="12.75">
      <c r="A15" s="38">
        <v>39630</v>
      </c>
      <c r="B15" s="76">
        <f>'D.1'!P11</f>
        <v>5596.3</v>
      </c>
      <c r="I15" s="38">
        <f t="shared" si="0"/>
        <v>39630</v>
      </c>
      <c r="J15" s="76">
        <v>147.97</v>
      </c>
    </row>
    <row r="16" spans="1:10" ht="12.75">
      <c r="A16" s="37">
        <v>39661</v>
      </c>
      <c r="B16" s="77">
        <f>'D.1'!P12</f>
        <v>5985.34</v>
      </c>
      <c r="I16" s="37">
        <f t="shared" si="0"/>
        <v>39661</v>
      </c>
      <c r="J16" s="77">
        <v>123.05</v>
      </c>
    </row>
    <row r="17" spans="1:10" ht="12.75">
      <c r="A17" s="38">
        <v>39692</v>
      </c>
      <c r="B17" s="76">
        <f>'D.1'!P13</f>
        <v>12809.23</v>
      </c>
      <c r="I17" s="38">
        <f t="shared" si="0"/>
        <v>39692</v>
      </c>
      <c r="J17" s="76">
        <v>82.09</v>
      </c>
    </row>
    <row r="18" spans="1:10" ht="12.75">
      <c r="A18" s="37">
        <v>39722</v>
      </c>
      <c r="B18" s="77">
        <v>18461.7</v>
      </c>
      <c r="I18" s="37">
        <f t="shared" si="0"/>
        <v>39722</v>
      </c>
      <c r="J18" s="77">
        <v>12.64</v>
      </c>
    </row>
    <row r="19" spans="1:10" ht="12.75">
      <c r="A19" s="38">
        <v>39753</v>
      </c>
      <c r="B19" s="76">
        <v>65158.82</v>
      </c>
      <c r="I19" s="38">
        <f t="shared" si="0"/>
        <v>39753</v>
      </c>
      <c r="J19" s="76">
        <v>1238.12</v>
      </c>
    </row>
    <row r="20" spans="1:10" ht="12.75">
      <c r="A20" s="99">
        <v>39783</v>
      </c>
      <c r="B20" s="100">
        <v>131838.23</v>
      </c>
      <c r="I20" s="99">
        <f t="shared" si="0"/>
        <v>39783</v>
      </c>
      <c r="J20" s="100">
        <v>3524.75</v>
      </c>
    </row>
    <row r="21" spans="1:10" ht="13.5" thickBot="1">
      <c r="A21" s="104" t="s">
        <v>96</v>
      </c>
      <c r="B21" s="102">
        <f>SUM(B9:B20)</f>
        <v>431652.31286000006</v>
      </c>
      <c r="I21" s="104" t="s">
        <v>96</v>
      </c>
      <c r="J21" s="102">
        <f>SUM(J9:J20)</f>
        <v>8065.686813292189</v>
      </c>
    </row>
    <row r="22" ht="13.5" thickTop="1">
      <c r="A22" t="s">
        <v>68</v>
      </c>
    </row>
  </sheetData>
  <mergeCells count="2">
    <mergeCell ref="A4:B4"/>
    <mergeCell ref="I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vock</cp:lastModifiedBy>
  <cp:lastPrinted>2009-03-06T18:45:02Z</cp:lastPrinted>
  <dcterms:created xsi:type="dcterms:W3CDTF">1996-10-14T23:33:28Z</dcterms:created>
  <dcterms:modified xsi:type="dcterms:W3CDTF">2009-03-25T12:24:55Z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