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3"/>
  </bookViews>
  <sheets>
    <sheet name="D.9" sheetId="1" r:id="rId1"/>
    <sheet name="july to feb" sheetId="2" r:id="rId2"/>
    <sheet name="K.12" sheetId="3" r:id="rId3"/>
    <sheet name="K.17" sheetId="4" r:id="rId4"/>
    <sheet name="Table K11-A Monthly" sheetId="5" r:id="rId5"/>
  </sheets>
  <externalReferences>
    <externalReference r:id="rId8"/>
    <externalReference r:id="rId9"/>
  </externalReferences>
  <definedNames>
    <definedName name="OLE_LINK1" localSheetId="0">'D.9'!$E$1</definedName>
    <definedName name="_xlnm.Print_Area" localSheetId="0">'D.9'!$A$1:$F$78</definedName>
  </definedNames>
  <calcPr fullCalcOnLoad="1"/>
</workbook>
</file>

<file path=xl/comments1.xml><?xml version="1.0" encoding="utf-8"?>
<comments xmlns="http://schemas.openxmlformats.org/spreadsheetml/2006/main">
  <authors>
    <author>Corp Employee</author>
  </authors>
  <commentList>
    <comment ref="E32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GRC Settlement adjusted for Nov PGA change
</t>
        </r>
      </text>
    </comment>
    <comment ref="E35" authorId="0">
      <text>
        <r>
          <rPr>
            <b/>
            <sz val="8"/>
            <rFont val="Tahoma"/>
            <family val="0"/>
          </rPr>
          <t>Titus:</t>
        </r>
        <r>
          <rPr>
            <sz val="8"/>
            <rFont val="Tahoma"/>
            <family val="0"/>
          </rPr>
          <t xml:space="preserve">
11/1 PGA Effective Rate, (includes change to decoupling rider)</t>
        </r>
      </text>
    </comment>
    <comment ref="F35" authorId="0">
      <text>
        <r>
          <rPr>
            <b/>
            <sz val="8"/>
            <rFont val="Tahoma"/>
            <family val="0"/>
          </rPr>
          <t>Titus</t>
        </r>
        <r>
          <rPr>
            <sz val="8"/>
            <rFont val="Tahoma"/>
            <family val="0"/>
          </rPr>
          <t xml:space="preserve">
1/1/09 Estimated rate adjusted for change in gas costs and decoupling rider per forecast version 4.1</t>
        </r>
      </text>
    </comment>
    <comment ref="F32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No change from November (No estimated GRC at this time)</t>
        </r>
      </text>
    </comment>
  </commentList>
</comments>
</file>

<file path=xl/comments2.xml><?xml version="1.0" encoding="utf-8"?>
<comments xmlns="http://schemas.openxmlformats.org/spreadsheetml/2006/main">
  <authors>
    <author>Corp Employee</author>
  </authors>
  <commentList>
    <comment ref="D25" authorId="0">
      <text>
        <r>
          <rPr>
            <b/>
            <sz val="8"/>
            <rFont val="Tahoma"/>
            <family val="0"/>
          </rPr>
          <t>Titus:</t>
        </r>
        <r>
          <rPr>
            <sz val="8"/>
            <rFont val="Tahoma"/>
            <family val="0"/>
          </rPr>
          <t xml:space="preserve">
11/1 PGA Effective Rate, (includes change to decoupling rider)</t>
        </r>
      </text>
    </comment>
    <comment ref="E25" authorId="0">
      <text>
        <r>
          <rPr>
            <b/>
            <sz val="8"/>
            <rFont val="Tahoma"/>
            <family val="0"/>
          </rPr>
          <t>Titus</t>
        </r>
        <r>
          <rPr>
            <sz val="8"/>
            <rFont val="Tahoma"/>
            <family val="0"/>
          </rPr>
          <t xml:space="preserve">
1/1/09 Estimated rate adjusted for change in gas costs and decoupling rider per forecast version 4.1</t>
        </r>
      </text>
    </comment>
  </commentList>
</comments>
</file>

<file path=xl/sharedStrings.xml><?xml version="1.0" encoding="utf-8"?>
<sst xmlns="http://schemas.openxmlformats.org/spreadsheetml/2006/main" count="175" uniqueCount="98">
  <si>
    <t>Bill Impacts Analysis of Decoupling Rate Adjustments</t>
  </si>
  <si>
    <t>And Estimated November 2009 - October 2010</t>
  </si>
  <si>
    <t>11/07 - 10/08</t>
  </si>
  <si>
    <t>11/08 - 10/09</t>
  </si>
  <si>
    <t>11/09 - 10/10</t>
  </si>
  <si>
    <t>Typical Natural Gas Customers</t>
  </si>
  <si>
    <t>Space Heat</t>
  </si>
  <si>
    <t>Water Heat</t>
  </si>
  <si>
    <t>Both Space and Water Heat</t>
  </si>
  <si>
    <t>Average Schedule 101</t>
  </si>
  <si>
    <t>Average Schedule 101 Annual Billed Usage per Customer</t>
  </si>
  <si>
    <t>Schedule 159 Rate per Therm</t>
  </si>
  <si>
    <t>Total Effective Rate per Therm</t>
  </si>
  <si>
    <t>Jan - Oct</t>
  </si>
  <si>
    <t>Basic Charge</t>
  </si>
  <si>
    <t>Nov - Dec</t>
  </si>
  <si>
    <t>Usage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</si>
  <si>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</si>
  <si>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</si>
  <si>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</si>
  <si>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</si>
  <si>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</si>
  <si>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</si>
  <si>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</si>
  <si>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</si>
  <si>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</si>
  <si>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</si>
  <si>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</si>
  <si>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</si>
  <si>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Customers</t>
  </si>
  <si>
    <t>Schedule 101 Actual or Forecasted Billed Usage</t>
  </si>
  <si>
    <t>Schedule 101 Actual or Forecasted Customers</t>
  </si>
  <si>
    <t>Average
101
Monthly
Bill</t>
  </si>
  <si>
    <t>% of Average Monthly Bill</t>
  </si>
  <si>
    <t>Space Heat Only</t>
  </si>
  <si>
    <t>Water Heat Only</t>
  </si>
  <si>
    <t>Average 101 Customer</t>
  </si>
  <si>
    <t>LIHEAP/LIRAP</t>
  </si>
  <si>
    <t>Schedule 101</t>
  </si>
  <si>
    <t>Limited Income DSM</t>
  </si>
  <si>
    <t>Total</t>
  </si>
  <si>
    <t>LI average (689)</t>
  </si>
  <si>
    <t>LI %</t>
  </si>
  <si>
    <t>Actual November 2007 - December 2008</t>
  </si>
  <si>
    <t>Estimated January 2009 - October 2009</t>
  </si>
  <si>
    <t>Annual
Usage</t>
  </si>
  <si>
    <t>Sch 159 total</t>
  </si>
  <si>
    <t>Table D-9 Impact of Schedule 159 Decoupling Recovery on Typical Customer</t>
  </si>
  <si>
    <t>Schedule 159
Impact</t>
  </si>
  <si>
    <t>Annual usage proportioned by month based on March '08 to February '09 usage from Exhibit D-7.</t>
  </si>
  <si>
    <t>Table K11-A Estimated DSM Decoupling Deferral Recovery Cost</t>
  </si>
  <si>
    <t>Usage (therms)</t>
  </si>
  <si>
    <t>Limited Income Customers</t>
  </si>
  <si>
    <t>Average LI Annual Usage (therms)</t>
  </si>
  <si>
    <t>Total LI Annual Usage (therms)</t>
  </si>
  <si>
    <t>LI Usage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</si>
  <si>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</si>
  <si>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</si>
  <si>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</si>
  <si>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</si>
  <si>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</si>
  <si>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</si>
  <si>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</si>
  <si>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</si>
  <si>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</si>
  <si>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</si>
  <si>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</si>
  <si>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Limited Income</t>
  </si>
  <si>
    <t>Decoupling
Recovery
Rate</t>
  </si>
  <si>
    <t>Decoupling
Recovery
Revenue</t>
  </si>
  <si>
    <t>Decoupling
Rate</t>
  </si>
  <si>
    <t>2008 Totals</t>
  </si>
  <si>
    <t>Summary</t>
  </si>
  <si>
    <t xml:space="preserve">Limited Income </t>
  </si>
  <si>
    <t>Proportion of Schedule 101</t>
  </si>
  <si>
    <t>2007 Totals</t>
  </si>
  <si>
    <t>Typical 101 Usage Profile</t>
  </si>
  <si>
    <t>LIHEAP/LIRAP Customer</t>
  </si>
  <si>
    <t>2007-2008</t>
  </si>
  <si>
    <t>2008-2009</t>
  </si>
  <si>
    <t>Nov '07 to Oct '08</t>
  </si>
  <si>
    <t>Nov '08 to Oct '09</t>
  </si>
  <si>
    <t>LI (17,648)</t>
  </si>
  <si>
    <t>Table K-17 Average LIRAP/LIHEAP Participant
Schedule 159 Surcharge</t>
  </si>
  <si>
    <t>101
Usage
Profile</t>
  </si>
  <si>
    <t>Surcharge</t>
  </si>
  <si>
    <t>Annual Usage</t>
  </si>
  <si>
    <t>Period</t>
  </si>
  <si>
    <t>Totals</t>
  </si>
  <si>
    <t>11/07
-10/08</t>
  </si>
  <si>
    <t>11/08
-10/09</t>
  </si>
  <si>
    <t>11/09
-10/10</t>
  </si>
  <si>
    <t>From Avista's original data submission for Question D.9.</t>
  </si>
  <si>
    <t>Total LI 2007 Annual Usage (therms)</t>
  </si>
  <si>
    <t>Total Schedule 101 2007 Usage</t>
  </si>
  <si>
    <t>Table K-12  Limited Income Decoupling Deferral Cost</t>
  </si>
  <si>
    <t>LI % of Schedule 101 Usage</t>
  </si>
  <si>
    <r>
      <t>CONFIDENTIAL</t>
    </r>
    <r>
      <rPr>
        <b/>
        <sz val="10"/>
        <color indexed="10"/>
        <rFont val="Times New Roman"/>
        <family val="1"/>
      </rPr>
      <t xml:space="preserve"> per Protective Order in WUTC Docket UG-060518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</si>
</sst>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000"/>
    <numFmt numFmtId="169" formatCode="&quot;$&quot;#,##0.00000_);\(&quot;$&quot;#,##0.00000\)"/>
    <numFmt numFmtId="170" formatCode="#,###,###,##0.00"/>
    <numFmt numFmtId="171" formatCode="###,###,##0.00"/>
    <numFmt numFmtId="172" formatCode="[$-409]dddd\,\ mmmm\ dd\,\ yyyy"/>
    <numFmt numFmtId="173" formatCode="_(* #,##0.0_);_(* \(#,##0.0\);_(* &quot;-&quot;??_);_(@_)"/>
    <numFmt numFmtId="174" formatCode="0.00000"/>
    <numFmt numFmtId="175" formatCode="#,##0,;\-#,##0,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0_);_(* \(#,##0.00000\);_(* &quot;-&quot;?????_);_(@_)"/>
    <numFmt numFmtId="182" formatCode="0.0"/>
    <numFmt numFmtId="183" formatCode="0.000000"/>
    <numFmt numFmtId="184" formatCode="0.0000"/>
    <numFmt numFmtId="185" formatCode="0.000"/>
    <numFmt numFmtId="186" formatCode="[$-409]mmm\-yy;@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#,###,###,##0"/>
    <numFmt numFmtId="191" formatCode="#,###,###,###,##0"/>
    <numFmt numFmtId="192" formatCode="_(* #,##0.0_);_(* \(#,##0.0\);_(* &quot;-&quot;?_);_(@_)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0"/>
      <color indexed="8"/>
      <name val="Arial"/>
      <family val="0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1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67" fontId="0" fillId="0" borderId="0" xfId="15" applyNumberFormat="1" applyAlignment="1">
      <alignment/>
    </xf>
    <xf numFmtId="0" fontId="0" fillId="2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7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2" borderId="0" xfId="17" applyNumberFormat="1" applyFill="1" applyAlignment="1">
      <alignment/>
    </xf>
    <xf numFmtId="44" fontId="0" fillId="2" borderId="0" xfId="17" applyFill="1" applyAlignment="1">
      <alignment/>
    </xf>
    <xf numFmtId="44" fontId="0" fillId="2" borderId="0" xfId="0" applyNumberFormat="1" applyFill="1" applyAlignment="1">
      <alignment/>
    </xf>
    <xf numFmtId="176" fontId="0" fillId="2" borderId="0" xfId="21" applyNumberForma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" fontId="4" fillId="4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5" fontId="4" fillId="3" borderId="0" xfId="17" applyNumberFormat="1" applyFont="1" applyFill="1" applyBorder="1" applyAlignment="1">
      <alignment horizontal="center"/>
    </xf>
    <xf numFmtId="5" fontId="4" fillId="3" borderId="1" xfId="17" applyNumberFormat="1" applyFont="1" applyFill="1" applyBorder="1" applyAlignment="1">
      <alignment horizontal="center"/>
    </xf>
    <xf numFmtId="5" fontId="4" fillId="4" borderId="0" xfId="17" applyNumberFormat="1" applyFont="1" applyFill="1" applyBorder="1" applyAlignment="1">
      <alignment horizontal="center"/>
    </xf>
    <xf numFmtId="5" fontId="4" fillId="4" borderId="1" xfId="17" applyNumberFormat="1" applyFont="1" applyFill="1" applyBorder="1" applyAlignment="1">
      <alignment horizontal="center"/>
    </xf>
    <xf numFmtId="5" fontId="4" fillId="3" borderId="0" xfId="0" applyNumberFormat="1" applyFont="1" applyFill="1" applyBorder="1" applyAlignment="1">
      <alignment horizontal="center"/>
    </xf>
    <xf numFmtId="5" fontId="4" fillId="3" borderId="1" xfId="0" applyNumberFormat="1" applyFont="1" applyFill="1" applyBorder="1" applyAlignment="1">
      <alignment horizontal="center"/>
    </xf>
    <xf numFmtId="10" fontId="8" fillId="3" borderId="0" xfId="21" applyNumberFormat="1" applyFont="1" applyFill="1" applyBorder="1" applyAlignment="1">
      <alignment horizontal="center"/>
    </xf>
    <xf numFmtId="10" fontId="8" fillId="3" borderId="1" xfId="21" applyNumberFormat="1" applyFont="1" applyFill="1" applyBorder="1" applyAlignment="1">
      <alignment horizontal="center"/>
    </xf>
    <xf numFmtId="10" fontId="8" fillId="3" borderId="2" xfId="21" applyNumberFormat="1" applyFont="1" applyFill="1" applyBorder="1" applyAlignment="1">
      <alignment horizontal="center"/>
    </xf>
    <xf numFmtId="10" fontId="8" fillId="3" borderId="6" xfId="21" applyNumberFormat="1" applyFont="1" applyFill="1" applyBorder="1" applyAlignment="1">
      <alignment horizontal="center"/>
    </xf>
    <xf numFmtId="7" fontId="4" fillId="4" borderId="0" xfId="17" applyNumberFormat="1" applyFont="1" applyFill="1" applyBorder="1" applyAlignment="1">
      <alignment horizontal="center"/>
    </xf>
    <xf numFmtId="7" fontId="4" fillId="4" borderId="1" xfId="17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186" fontId="5" fillId="4" borderId="4" xfId="0" applyNumberFormat="1" applyFont="1" applyFill="1" applyBorder="1" applyAlignment="1">
      <alignment horizontal="center" wrapText="1"/>
    </xf>
    <xf numFmtId="186" fontId="5" fillId="4" borderId="5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7" fontId="4" fillId="4" borderId="1" xfId="0" applyNumberFormat="1" applyFont="1" applyFill="1" applyBorder="1" applyAlignment="1">
      <alignment horizontal="center"/>
    </xf>
    <xf numFmtId="7" fontId="4" fillId="3" borderId="0" xfId="17" applyNumberFormat="1" applyFont="1" applyFill="1" applyBorder="1" applyAlignment="1">
      <alignment horizontal="center"/>
    </xf>
    <xf numFmtId="7" fontId="4" fillId="3" borderId="1" xfId="0" applyNumberFormat="1" applyFont="1" applyFill="1" applyBorder="1" applyAlignment="1">
      <alignment horizontal="center"/>
    </xf>
    <xf numFmtId="7" fontId="4" fillId="4" borderId="2" xfId="17" applyNumberFormat="1" applyFont="1" applyFill="1" applyBorder="1" applyAlignment="1">
      <alignment horizontal="center"/>
    </xf>
    <xf numFmtId="7" fontId="4" fillId="4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1" fillId="0" borderId="8" xfId="0" applyFont="1" applyBorder="1" applyAlignment="1">
      <alignment horizontal="center"/>
    </xf>
    <xf numFmtId="176" fontId="0" fillId="0" borderId="0" xfId="21" applyNumberFormat="1" applyAlignment="1">
      <alignment/>
    </xf>
    <xf numFmtId="0" fontId="0" fillId="0" borderId="0" xfId="0" applyAlignment="1">
      <alignment horizontal="center" wrapText="1"/>
    </xf>
    <xf numFmtId="0" fontId="11" fillId="0" borderId="0" xfId="0" applyFont="1" applyAlignment="1">
      <alignment/>
    </xf>
    <xf numFmtId="5" fontId="4" fillId="3" borderId="0" xfId="0" applyNumberFormat="1" applyFont="1" applyFill="1" applyBorder="1" applyAlignment="1">
      <alignment/>
    </xf>
    <xf numFmtId="5" fontId="4" fillId="3" borderId="1" xfId="0" applyNumberFormat="1" applyFont="1" applyFill="1" applyBorder="1" applyAlignment="1">
      <alignment/>
    </xf>
    <xf numFmtId="5" fontId="4" fillId="4" borderId="0" xfId="0" applyNumberFormat="1" applyFont="1" applyFill="1" applyBorder="1" applyAlignment="1">
      <alignment/>
    </xf>
    <xf numFmtId="5" fontId="4" fillId="4" borderId="1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7" fontId="0" fillId="0" borderId="0" xfId="17" applyNumberFormat="1" applyAlignment="1">
      <alignment/>
    </xf>
    <xf numFmtId="7" fontId="0" fillId="0" borderId="9" xfId="17" applyNumberFormat="1" applyBorder="1" applyAlignment="1">
      <alignment/>
    </xf>
    <xf numFmtId="7" fontId="0" fillId="0" borderId="0" xfId="17" applyNumberFormat="1" applyBorder="1" applyAlignment="1">
      <alignment/>
    </xf>
    <xf numFmtId="44" fontId="11" fillId="0" borderId="0" xfId="0" applyNumberFormat="1" applyFont="1" applyAlignment="1">
      <alignment/>
    </xf>
    <xf numFmtId="7" fontId="11" fillId="0" borderId="0" xfId="0" applyNumberFormat="1" applyFont="1" applyAlignment="1">
      <alignment/>
    </xf>
    <xf numFmtId="0" fontId="4" fillId="3" borderId="7" xfId="0" applyFont="1" applyFill="1" applyBorder="1" applyAlignment="1">
      <alignment/>
    </xf>
    <xf numFmtId="7" fontId="4" fillId="3" borderId="6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44" fontId="4" fillId="4" borderId="1" xfId="0" applyNumberFormat="1" applyFont="1" applyFill="1" applyBorder="1" applyAlignment="1">
      <alignment/>
    </xf>
    <xf numFmtId="176" fontId="4" fillId="3" borderId="0" xfId="21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176" fontId="4" fillId="4" borderId="0" xfId="21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7" fontId="4" fillId="4" borderId="10" xfId="17" applyNumberFormat="1" applyFont="1" applyFill="1" applyBorder="1" applyAlignment="1">
      <alignment horizontal="right"/>
    </xf>
    <xf numFmtId="7" fontId="4" fillId="4" borderId="11" xfId="17" applyNumberFormat="1" applyFont="1" applyFill="1" applyBorder="1" applyAlignment="1">
      <alignment horizontal="right"/>
    </xf>
    <xf numFmtId="7" fontId="4" fillId="4" borderId="12" xfId="17" applyNumberFormat="1" applyFont="1" applyFill="1" applyBorder="1" applyAlignment="1">
      <alignment horizontal="right"/>
    </xf>
    <xf numFmtId="7" fontId="4" fillId="3" borderId="3" xfId="17" applyNumberFormat="1" applyFont="1" applyFill="1" applyBorder="1" applyAlignment="1">
      <alignment horizontal="right"/>
    </xf>
    <xf numFmtId="7" fontId="4" fillId="3" borderId="0" xfId="17" applyNumberFormat="1" applyFont="1" applyFill="1" applyBorder="1" applyAlignment="1">
      <alignment horizontal="right"/>
    </xf>
    <xf numFmtId="7" fontId="4" fillId="3" borderId="1" xfId="17" applyNumberFormat="1" applyFont="1" applyFill="1" applyBorder="1" applyAlignment="1">
      <alignment horizontal="right"/>
    </xf>
    <xf numFmtId="7" fontId="4" fillId="4" borderId="3" xfId="17" applyNumberFormat="1" applyFont="1" applyFill="1" applyBorder="1" applyAlignment="1">
      <alignment horizontal="right"/>
    </xf>
    <xf numFmtId="7" fontId="4" fillId="4" borderId="0" xfId="17" applyNumberFormat="1" applyFont="1" applyFill="1" applyBorder="1" applyAlignment="1">
      <alignment horizontal="right"/>
    </xf>
    <xf numFmtId="7" fontId="4" fillId="4" borderId="1" xfId="17" applyNumberFormat="1" applyFont="1" applyFill="1" applyBorder="1" applyAlignment="1">
      <alignment horizontal="right"/>
    </xf>
    <xf numFmtId="7" fontId="7" fillId="3" borderId="13" xfId="0" applyNumberFormat="1" applyFont="1" applyFill="1" applyBorder="1" applyAlignment="1">
      <alignment/>
    </xf>
    <xf numFmtId="7" fontId="7" fillId="3" borderId="14" xfId="0" applyNumberFormat="1" applyFont="1" applyFill="1" applyBorder="1" applyAlignment="1">
      <alignment/>
    </xf>
    <xf numFmtId="7" fontId="7" fillId="3" borderId="15" xfId="0" applyNumberFormat="1" applyFont="1" applyFill="1" applyBorder="1" applyAlignment="1">
      <alignment/>
    </xf>
    <xf numFmtId="167" fontId="0" fillId="0" borderId="0" xfId="15" applyNumberFormat="1" applyFill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5" fillId="4" borderId="16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76" fontId="7" fillId="4" borderId="2" xfId="21" applyNumberFormat="1" applyFont="1" applyFill="1" applyBorder="1" applyAlignment="1">
      <alignment horizontal="center"/>
    </xf>
    <xf numFmtId="176" fontId="7" fillId="4" borderId="6" xfId="21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7" fontId="7" fillId="3" borderId="21" xfId="17" applyNumberFormat="1" applyFont="1" applyFill="1" applyBorder="1" applyAlignment="1">
      <alignment horizontal="center"/>
    </xf>
    <xf numFmtId="7" fontId="7" fillId="3" borderId="22" xfId="17" applyNumberFormat="1" applyFont="1" applyFill="1" applyBorder="1" applyAlignment="1">
      <alignment horizontal="center"/>
    </xf>
    <xf numFmtId="7" fontId="7" fillId="3" borderId="23" xfId="17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Decoupling\Evaluation%20Plan%20Materials%20for%20TITUS\For%20D1,%202,%203,%207-10\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y%20Documents\Avista\Current%20Documents\For%20K3\LI%20Stu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.1"/>
      <sheetName val="D.2 and D.3"/>
      <sheetName val="D.7"/>
      <sheetName val="D.8 and D.10"/>
    </sheetNames>
    <sheetDataSet>
      <sheetData sheetId="2">
        <row r="39">
          <cell r="B39">
            <v>4643292.814195966</v>
          </cell>
          <cell r="D39">
            <v>142534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17648</v>
          </cell>
        </row>
        <row r="4">
          <cell r="Q4">
            <v>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60" workbookViewId="0" topLeftCell="A1">
      <selection activeCell="J21" sqref="J21"/>
    </sheetView>
  </sheetViews>
  <sheetFormatPr defaultColWidth="9.140625" defaultRowHeight="12.75"/>
  <cols>
    <col min="1" max="1" width="20.00390625" style="0" customWidth="1"/>
    <col min="2" max="2" width="27.7109375" style="0" customWidth="1"/>
    <col min="3" max="3" width="14.28125" style="0" bestFit="1" customWidth="1"/>
    <col min="4" max="5" width="18.421875" style="0" bestFit="1" customWidth="1"/>
    <col min="6" max="6" width="14.8515625" style="0" bestFit="1" customWidth="1"/>
    <col min="7" max="7" width="15.00390625" style="0" customWidth="1"/>
    <col min="8" max="8" width="8.7109375" style="0" customWidth="1"/>
    <col min="9" max="10" width="14.00390625" style="0" bestFit="1" customWidth="1"/>
  </cols>
  <sheetData>
    <row r="1" spans="2:6" ht="22.5" customHeight="1">
      <c r="B1" t="s">
        <v>0</v>
      </c>
      <c r="E1" s="105" t="s">
        <v>97</v>
      </c>
      <c r="F1" s="105"/>
    </row>
    <row r="2" spans="2:6" ht="12.75">
      <c r="B2" t="s">
        <v>43</v>
      </c>
      <c r="E2" s="105"/>
      <c r="F2" s="105"/>
    </row>
    <row r="3" spans="2:6" ht="12.75">
      <c r="B3" t="s">
        <v>44</v>
      </c>
      <c r="E3" s="105"/>
      <c r="F3" s="105"/>
    </row>
    <row r="4" ht="13.5" thickBot="1">
      <c r="B4" t="s">
        <v>1</v>
      </c>
    </row>
    <row r="5" spans="1:6" ht="13.5" thickTop="1">
      <c r="A5" s="106" t="s">
        <v>47</v>
      </c>
      <c r="B5" s="107"/>
      <c r="C5" s="107"/>
      <c r="D5" s="107"/>
      <c r="E5" s="107"/>
      <c r="F5" s="108"/>
    </row>
    <row r="6" spans="1:6" ht="25.5">
      <c r="A6" s="46"/>
      <c r="B6" s="29"/>
      <c r="C6" s="31" t="s">
        <v>45</v>
      </c>
      <c r="D6" s="32" t="s">
        <v>2</v>
      </c>
      <c r="E6" s="32" t="s">
        <v>3</v>
      </c>
      <c r="F6" s="33" t="s">
        <v>4</v>
      </c>
    </row>
    <row r="7" spans="1:6" ht="12.75" hidden="1">
      <c r="A7" s="47"/>
      <c r="B7" s="8" t="s">
        <v>5</v>
      </c>
      <c r="C7" s="6"/>
      <c r="D7" s="6"/>
      <c r="E7" s="6"/>
      <c r="F7" s="7"/>
    </row>
    <row r="8" spans="1:6" ht="12.75">
      <c r="A8" s="109" t="s">
        <v>32</v>
      </c>
      <c r="B8" s="9" t="s">
        <v>6</v>
      </c>
      <c r="C8" s="28">
        <v>758.5542168674699</v>
      </c>
      <c r="D8" s="34">
        <f>D10-D9+((D$33*2+D$36*10)/12)</f>
        <v>60.25084627950939</v>
      </c>
      <c r="E8" s="34">
        <f>E10-E9+((E$33*2+E$36*10)/12)</f>
        <v>58.234529902768124</v>
      </c>
      <c r="F8" s="35">
        <f>F10-F9+((F$33*2+F$36*10)/12)</f>
        <v>50.462963259444564</v>
      </c>
    </row>
    <row r="9" spans="1:6" ht="12.75">
      <c r="A9" s="110"/>
      <c r="B9" s="10" t="s">
        <v>7</v>
      </c>
      <c r="C9" s="27">
        <v>214.47</v>
      </c>
      <c r="D9" s="36">
        <f>(D$33*10+D$36*2+D$32*$C9*10/12+D$35*2/12)/12</f>
        <v>22.464150548611112</v>
      </c>
      <c r="E9" s="36">
        <f>(E$33*10+E$36*2+E$32*$C9*10/12+E$35*2/12)/12</f>
        <v>22.439092388888884</v>
      </c>
      <c r="F9" s="37">
        <f>(F$33*10+F$36*2+F$32*$C9*10/12+F$35*2/12)/12</f>
        <v>19.928655347222218</v>
      </c>
    </row>
    <row r="10" spans="1:6" ht="12.75">
      <c r="A10" s="111"/>
      <c r="B10" s="9" t="s">
        <v>8</v>
      </c>
      <c r="C10" s="28">
        <v>973.0242168674699</v>
      </c>
      <c r="D10" s="34">
        <f>(D$33*2+D$36*10+D$32*$C10*(SUM(D$45:D$54))/(SUM(D$43:D$54))+D$35*(SUM(D$43:D$44)/SUM(D$43:D$54)))/12</f>
        <v>77.2149968281205</v>
      </c>
      <c r="E10" s="34">
        <f>(E$33*2+E$36*10+E$32*$C10*(SUM(E$45:E$54))/(SUM(E$43:E$54))+E$35*(SUM(E$43:E$44)/SUM(E$43:E$54)))/12</f>
        <v>75.13195562499034</v>
      </c>
      <c r="F10" s="35">
        <f>(F$33*2+F$36*10+F$32*$C10*(SUM(F$45:F$54))/(SUM(F$43:F$54))+F$35*(SUM(F$43:F$44)/SUM(F$43:F$54)))/12</f>
        <v>64.64161860666678</v>
      </c>
    </row>
    <row r="11" spans="1:6" ht="12.75">
      <c r="A11" s="112"/>
      <c r="B11" s="10" t="s">
        <v>9</v>
      </c>
      <c r="C11" s="27"/>
      <c r="D11" s="36">
        <f>(D$33*10+D36*2+D$32*D28*(SUM(D45:D54)/SUM(D43:D54))+D$35*(SUM(D43:D44)/SUM(D43:D54)))/12</f>
        <v>70.37143778703616</v>
      </c>
      <c r="E11" s="36">
        <f>(E$33*10+E36*2+E$32*E28*(SUM(E45:E54)/SUM(E43:E54))+E$35*(SUM(E43:E44)/SUM(E43:E54)))/12</f>
        <v>66.94903097971157</v>
      </c>
      <c r="F11" s="37">
        <f>(F$33*12+F$32*F28*(SUM(F45:F54)/SUM(F43:F54))+F$35*(SUM(F43:F44)/SUM(F43:F54)))/12</f>
        <v>57.111308458753435</v>
      </c>
    </row>
    <row r="12" spans="1:6" ht="12.75">
      <c r="A12" s="47"/>
      <c r="B12" s="11"/>
      <c r="C12" s="28"/>
      <c r="D12" s="38"/>
      <c r="E12" s="38"/>
      <c r="F12" s="39"/>
    </row>
    <row r="13" spans="1:6" ht="12.75" customHeight="1">
      <c r="A13" s="113" t="s">
        <v>48</v>
      </c>
      <c r="B13" s="10" t="s">
        <v>34</v>
      </c>
      <c r="C13" s="27">
        <v>758.5542168674699</v>
      </c>
      <c r="D13" s="44">
        <f>ROUND(($C13*D$30/12),2)</f>
        <v>0.16</v>
      </c>
      <c r="E13" s="44">
        <f>ROUND(($C13*E$30/12),2)</f>
        <v>0.37</v>
      </c>
      <c r="F13" s="45">
        <f>ROUND(($C13*F$30/12),2)</f>
        <v>0.02</v>
      </c>
    </row>
    <row r="14" spans="1:6" ht="12.75">
      <c r="A14" s="113"/>
      <c r="B14" s="9" t="s">
        <v>33</v>
      </c>
      <c r="C14" s="28"/>
      <c r="D14" s="40">
        <f>D13/D8</f>
        <v>0.002655564359341026</v>
      </c>
      <c r="E14" s="40">
        <f>E13/E8</f>
        <v>0.006353618731322709</v>
      </c>
      <c r="F14" s="41">
        <f>F13/F8</f>
        <v>0.0003963302729008256</v>
      </c>
    </row>
    <row r="15" spans="1:6" ht="12.75">
      <c r="A15" s="113"/>
      <c r="B15" s="10" t="s">
        <v>35</v>
      </c>
      <c r="C15" s="27">
        <v>214.47</v>
      </c>
      <c r="D15" s="44">
        <f>ROUND(($C15*D$30/12),2)</f>
        <v>0.05</v>
      </c>
      <c r="E15" s="44">
        <f>ROUND(($C15*E$30/12),2)</f>
        <v>0.11</v>
      </c>
      <c r="F15" s="45">
        <f>ROUND(($C15*F$30/12),2)</f>
        <v>0.01</v>
      </c>
    </row>
    <row r="16" spans="1:6" ht="12.75">
      <c r="A16" s="113"/>
      <c r="B16" s="9" t="s">
        <v>33</v>
      </c>
      <c r="C16" s="28"/>
      <c r="D16" s="40">
        <f>D15/D9</f>
        <v>0.0022257685591895817</v>
      </c>
      <c r="E16" s="40">
        <f>E15/E9</f>
        <v>0.004902159057666185</v>
      </c>
      <c r="F16" s="41">
        <f>F15/F9</f>
        <v>0.000501790001671832</v>
      </c>
    </row>
    <row r="17" spans="1:6" ht="12.75">
      <c r="A17" s="113"/>
      <c r="B17" s="10" t="s">
        <v>8</v>
      </c>
      <c r="C17" s="27">
        <v>973.0242168674699</v>
      </c>
      <c r="D17" s="44">
        <f>ROUND(($C17*D$30/12),2)</f>
        <v>0.21</v>
      </c>
      <c r="E17" s="44">
        <f>ROUND(($C17*E$30/12),2)</f>
        <v>0.48</v>
      </c>
      <c r="F17" s="45">
        <f>ROUND(($C17*F$30/12),2)</f>
        <v>0.02</v>
      </c>
    </row>
    <row r="18" spans="1:6" ht="12.75">
      <c r="A18" s="113"/>
      <c r="B18" s="9" t="s">
        <v>33</v>
      </c>
      <c r="C18" s="28"/>
      <c r="D18" s="40">
        <f>D17/D10</f>
        <v>0.002719678930602782</v>
      </c>
      <c r="E18" s="40">
        <f>E17/E10</f>
        <v>0.006388759563185691</v>
      </c>
      <c r="F18" s="41">
        <f>F17/F10</f>
        <v>0.0003093981931624669</v>
      </c>
    </row>
    <row r="19" spans="1:6" ht="12.75">
      <c r="A19" s="113"/>
      <c r="B19" s="10" t="s">
        <v>36</v>
      </c>
      <c r="C19" s="27"/>
      <c r="D19" s="44">
        <f>ROUND((D28*D30/12),2)</f>
        <v>0.19</v>
      </c>
      <c r="E19" s="44">
        <f>ROUND((E28*E30/12),2)</f>
        <v>0.42</v>
      </c>
      <c r="F19" s="45">
        <f>ROUND((F28*F30/12),2)</f>
        <v>0.02</v>
      </c>
    </row>
    <row r="20" spans="1:6" ht="13.5" thickBot="1">
      <c r="A20" s="114"/>
      <c r="B20" s="12" t="s">
        <v>33</v>
      </c>
      <c r="C20" s="30"/>
      <c r="D20" s="42">
        <f>D19/D11</f>
        <v>0.0026999590455291486</v>
      </c>
      <c r="E20" s="42">
        <f>E19/E11</f>
        <v>0.006273429112473309</v>
      </c>
      <c r="F20" s="43">
        <f>F19/F11</f>
        <v>0.0003501933424348747</v>
      </c>
    </row>
    <row r="21" ht="14.25" thickBot="1" thickTop="1"/>
    <row r="22" spans="1:6" ht="13.5" thickTop="1">
      <c r="A22" s="115" t="s">
        <v>50</v>
      </c>
      <c r="B22" s="116"/>
      <c r="C22" s="116"/>
      <c r="D22" s="116"/>
      <c r="E22" s="116"/>
      <c r="F22" s="117"/>
    </row>
    <row r="23" spans="1:6" ht="12.75">
      <c r="A23" s="16"/>
      <c r="B23" s="17" t="s">
        <v>51</v>
      </c>
      <c r="C23" s="17" t="s">
        <v>2</v>
      </c>
      <c r="D23" s="17" t="s">
        <v>3</v>
      </c>
      <c r="E23" s="17" t="s">
        <v>4</v>
      </c>
      <c r="F23" s="18" t="s">
        <v>40</v>
      </c>
    </row>
    <row r="24" spans="1:6" ht="12.75">
      <c r="A24" s="52" t="s">
        <v>37</v>
      </c>
      <c r="B24" s="13">
        <v>696</v>
      </c>
      <c r="C24" s="44">
        <f>$B24*D$30</f>
        <v>1.7887199999999999</v>
      </c>
      <c r="D24" s="44">
        <f>$B24*E$30</f>
        <v>4.12728</v>
      </c>
      <c r="E24" s="44">
        <f>$B24*F$30</f>
        <v>0.20879999999999999</v>
      </c>
      <c r="F24" s="55">
        <f>SUM(C24:E24)</f>
        <v>6.1248</v>
      </c>
    </row>
    <row r="25" spans="1:6" ht="12.75">
      <c r="A25" s="53" t="s">
        <v>39</v>
      </c>
      <c r="B25" s="14">
        <v>696</v>
      </c>
      <c r="C25" s="56">
        <f aca="true" t="shared" si="0" ref="C25:E26">$B25*D$30</f>
        <v>1.7887199999999999</v>
      </c>
      <c r="D25" s="56">
        <f t="shared" si="0"/>
        <v>4.12728</v>
      </c>
      <c r="E25" s="56">
        <f t="shared" si="0"/>
        <v>0.20879999999999999</v>
      </c>
      <c r="F25" s="57">
        <f>SUM(C25:E25)</f>
        <v>6.1248</v>
      </c>
    </row>
    <row r="26" spans="1:6" ht="13.5" thickBot="1">
      <c r="A26" s="54" t="s">
        <v>38</v>
      </c>
      <c r="B26" s="15">
        <v>828</v>
      </c>
      <c r="C26" s="58">
        <f t="shared" si="0"/>
        <v>2.12796</v>
      </c>
      <c r="D26" s="58">
        <f t="shared" si="0"/>
        <v>4.91004</v>
      </c>
      <c r="E26" s="58">
        <f t="shared" si="0"/>
        <v>0.24839999999999998</v>
      </c>
      <c r="F26" s="59">
        <f>SUM(C26:E26)</f>
        <v>7.2864</v>
      </c>
    </row>
    <row r="27" ht="13.5" thickTop="1"/>
    <row r="28" spans="1:6" ht="12.75">
      <c r="A28" t="s">
        <v>10</v>
      </c>
      <c r="D28" s="1">
        <f>D39/D40*12</f>
        <v>880.144392769673</v>
      </c>
      <c r="E28" s="1">
        <f>E39/E40*12</f>
        <v>856.2426344350514</v>
      </c>
      <c r="F28" s="1">
        <f>F39/F40*12</f>
        <v>848.5666404281601</v>
      </c>
    </row>
    <row r="30" spans="1:6" ht="12.75">
      <c r="A30" t="s">
        <v>11</v>
      </c>
      <c r="D30">
        <v>0.00257</v>
      </c>
      <c r="E30" s="25">
        <v>0.00593</v>
      </c>
      <c r="F30" s="26">
        <v>0.0003</v>
      </c>
    </row>
    <row r="31" spans="5:6" ht="12.75">
      <c r="E31" s="25"/>
      <c r="F31" s="25"/>
    </row>
    <row r="32" spans="1:6" ht="12.75">
      <c r="A32" t="s">
        <v>12</v>
      </c>
      <c r="C32" t="s">
        <v>13</v>
      </c>
      <c r="D32">
        <v>1.13797</v>
      </c>
      <c r="E32" s="25">
        <f>1.16549+E35-D32</f>
        <v>1.12232</v>
      </c>
      <c r="F32" s="25">
        <f>F35</f>
        <v>0.9510999999999998</v>
      </c>
    </row>
    <row r="33" spans="1:6" ht="12.75">
      <c r="A33" t="s">
        <v>14</v>
      </c>
      <c r="D33">
        <v>5.5</v>
      </c>
      <c r="E33" s="25">
        <v>5.75</v>
      </c>
      <c r="F33" s="25">
        <f>F36</f>
        <v>5.75</v>
      </c>
    </row>
    <row r="34" spans="5:6" ht="12.75">
      <c r="E34" s="25"/>
      <c r="F34" s="25"/>
    </row>
    <row r="35" spans="1:6" ht="12.75">
      <c r="A35" t="s">
        <v>12</v>
      </c>
      <c r="C35" t="s">
        <v>15</v>
      </c>
      <c r="D35">
        <v>1.11671</v>
      </c>
      <c r="E35" s="25">
        <f>D32+E30-D30-0.04653</f>
        <v>1.0948</v>
      </c>
      <c r="F35" s="25">
        <f>E32+0.72331-0.89453</f>
        <v>0.9510999999999998</v>
      </c>
    </row>
    <row r="36" spans="1:6" ht="12.75">
      <c r="A36" t="s">
        <v>14</v>
      </c>
      <c r="D36">
        <v>5.5</v>
      </c>
      <c r="E36">
        <v>5.5</v>
      </c>
      <c r="F36">
        <f>E33</f>
        <v>5.75</v>
      </c>
    </row>
    <row r="39" spans="1:6" ht="12.75">
      <c r="A39" t="s">
        <v>30</v>
      </c>
      <c r="D39" s="1">
        <f>SUM(D43:D54)</f>
        <v>124615023.81419596</v>
      </c>
      <c r="E39" s="1">
        <f>SUM(E43:E54)</f>
        <v>123463837.41932902</v>
      </c>
      <c r="F39" s="1">
        <f>SUM(F43:F54)</f>
        <v>124688382.14451383</v>
      </c>
    </row>
    <row r="40" spans="1:6" ht="12.75">
      <c r="A40" t="s">
        <v>31</v>
      </c>
      <c r="D40" s="3">
        <f>SUM(D58:D69)</f>
        <v>1699017</v>
      </c>
      <c r="E40" s="3">
        <f>SUM(E58:E69)</f>
        <v>1730311</v>
      </c>
      <c r="F40" s="3">
        <f>SUM(F58:F69)</f>
        <v>1763280</v>
      </c>
    </row>
    <row r="41" spans="5:6" ht="12.75">
      <c r="E41" s="3"/>
      <c r="F41" s="3"/>
    </row>
    <row r="42" spans="2:6" ht="12.75">
      <c r="B42" t="s">
        <v>16</v>
      </c>
      <c r="D42" s="4"/>
      <c r="E42" s="4"/>
      <c r="F42" s="4"/>
    </row>
    <row r="43" spans="2:6" ht="12.75">
      <c r="B43" s="5" t="s">
        <v>17</v>
      </c>
      <c r="D43" s="1">
        <v>9398517</v>
      </c>
      <c r="E43" s="1">
        <v>9714018.787606884</v>
      </c>
      <c r="F43" s="1">
        <v>9854693.484309323</v>
      </c>
    </row>
    <row r="44" spans="2:6" ht="12.75">
      <c r="B44" s="5" t="s">
        <v>18</v>
      </c>
      <c r="D44" s="1">
        <v>18392852</v>
      </c>
      <c r="E44" s="1">
        <v>19366514.28160468</v>
      </c>
      <c r="F44" s="1">
        <v>19647797.938829884</v>
      </c>
    </row>
    <row r="45" spans="2:6" ht="12.75">
      <c r="B45" s="5" t="s">
        <v>19</v>
      </c>
      <c r="D45" s="1">
        <v>20755627</v>
      </c>
      <c r="E45" s="1">
        <v>20738729.94867603</v>
      </c>
      <c r="F45" s="1">
        <v>20947947.48673061</v>
      </c>
    </row>
    <row r="46" spans="2:6" ht="12.75">
      <c r="B46" s="5" t="s">
        <v>20</v>
      </c>
      <c r="D46" s="1">
        <v>22514347</v>
      </c>
      <c r="E46" s="1">
        <v>21829993.308235466</v>
      </c>
      <c r="F46" s="1">
        <v>21987602.693974584</v>
      </c>
    </row>
    <row r="47" spans="2:6" ht="12.75">
      <c r="B47" s="5" t="s">
        <v>21</v>
      </c>
      <c r="D47" s="1">
        <v>14859076</v>
      </c>
      <c r="E47" s="1">
        <v>14238390.784158232</v>
      </c>
      <c r="F47" s="1">
        <v>14348871.686677948</v>
      </c>
    </row>
    <row r="48" spans="2:6" ht="12.75">
      <c r="B48" s="5" t="s">
        <v>22</v>
      </c>
      <c r="D48" s="1">
        <v>13629159</v>
      </c>
      <c r="E48" s="1">
        <v>12406115.303113064</v>
      </c>
      <c r="F48" s="1">
        <v>12509800.874978544</v>
      </c>
    </row>
    <row r="49" spans="2:6" ht="12.75">
      <c r="B49" s="5" t="s">
        <v>23</v>
      </c>
      <c r="D49" s="1">
        <v>8714627</v>
      </c>
      <c r="E49" s="1">
        <v>8424208.570089461</v>
      </c>
      <c r="F49" s="1">
        <v>8495542.771451226</v>
      </c>
    </row>
    <row r="50" spans="2:6" ht="12.75">
      <c r="B50" s="5" t="s">
        <v>24</v>
      </c>
      <c r="D50" s="1">
        <v>4232714</v>
      </c>
      <c r="E50" s="1">
        <v>4525477.109644135</v>
      </c>
      <c r="F50" s="1">
        <v>4563373.621182626</v>
      </c>
    </row>
    <row r="51" spans="2:6" ht="12.75">
      <c r="B51" s="5" t="s">
        <v>25</v>
      </c>
      <c r="D51" s="1">
        <v>2763613</v>
      </c>
      <c r="E51" s="1">
        <v>2802785.6894189543</v>
      </c>
      <c r="F51" s="1">
        <v>2834240.991218344</v>
      </c>
    </row>
    <row r="52" spans="2:6" ht="12.75">
      <c r="B52" s="5" t="s">
        <v>26</v>
      </c>
      <c r="D52" s="1">
        <v>2223233</v>
      </c>
      <c r="E52" s="1">
        <v>2254761.6141025764</v>
      </c>
      <c r="F52" s="1">
        <v>2286398.8666517995</v>
      </c>
    </row>
    <row r="53" spans="2:6" ht="12.75">
      <c r="B53" s="5" t="s">
        <v>27</v>
      </c>
      <c r="D53" s="1">
        <v>2487966</v>
      </c>
      <c r="E53" s="1">
        <v>2453162.4054947547</v>
      </c>
      <c r="F53" s="1">
        <v>2476983.2905240227</v>
      </c>
    </row>
    <row r="54" spans="2:6" ht="12.75">
      <c r="B54" s="5" t="s">
        <v>28</v>
      </c>
      <c r="D54" s="1">
        <f>'[1]D.7'!B39</f>
        <v>4643292.814195966</v>
      </c>
      <c r="E54" s="1">
        <v>4709679.617184801</v>
      </c>
      <c r="F54" s="1">
        <v>4735128.437984924</v>
      </c>
    </row>
    <row r="57" spans="2:6" ht="12.75">
      <c r="B57" t="s">
        <v>29</v>
      </c>
      <c r="D57" s="4"/>
      <c r="E57" s="4"/>
      <c r="F57" s="4"/>
    </row>
    <row r="58" spans="2:6" ht="12.75">
      <c r="B58" s="5" t="s">
        <v>17</v>
      </c>
      <c r="D58" s="1">
        <v>140930</v>
      </c>
      <c r="E58" s="1">
        <v>143425</v>
      </c>
      <c r="F58" s="1">
        <v>146155</v>
      </c>
    </row>
    <row r="59" spans="2:6" ht="12.75">
      <c r="B59" s="5" t="s">
        <v>18</v>
      </c>
      <c r="D59" s="1">
        <v>141242</v>
      </c>
      <c r="E59" s="1">
        <v>143737</v>
      </c>
      <c r="F59" s="1">
        <v>146466</v>
      </c>
    </row>
    <row r="60" spans="2:6" ht="12.75">
      <c r="B60" s="5" t="s">
        <v>19</v>
      </c>
      <c r="D60" s="1">
        <v>141580</v>
      </c>
      <c r="E60" s="1">
        <v>144104</v>
      </c>
      <c r="F60" s="1">
        <v>146855</v>
      </c>
    </row>
    <row r="61" spans="2:6" ht="12.75">
      <c r="B61" s="5" t="s">
        <v>20</v>
      </c>
      <c r="D61" s="1">
        <v>141745</v>
      </c>
      <c r="E61" s="1">
        <v>144271</v>
      </c>
      <c r="F61" s="1">
        <v>147022</v>
      </c>
    </row>
    <row r="62" spans="2:6" ht="12.75">
      <c r="B62" s="5" t="s">
        <v>21</v>
      </c>
      <c r="D62" s="1">
        <v>141763</v>
      </c>
      <c r="E62" s="1">
        <v>144289</v>
      </c>
      <c r="F62" s="1">
        <v>147040</v>
      </c>
    </row>
    <row r="63" spans="2:6" ht="12.75">
      <c r="B63" s="5" t="s">
        <v>22</v>
      </c>
      <c r="D63" s="1">
        <v>141662</v>
      </c>
      <c r="E63" s="1">
        <v>144191</v>
      </c>
      <c r="F63" s="1">
        <v>146942</v>
      </c>
    </row>
    <row r="64" spans="2:6" ht="12.75">
      <c r="B64" s="5" t="s">
        <v>23</v>
      </c>
      <c r="D64" s="1">
        <v>141566</v>
      </c>
      <c r="E64" s="1">
        <v>144095</v>
      </c>
      <c r="F64" s="1">
        <v>146846</v>
      </c>
    </row>
    <row r="65" spans="2:6" ht="12.75">
      <c r="B65" s="5" t="s">
        <v>24</v>
      </c>
      <c r="D65" s="1">
        <v>141413</v>
      </c>
      <c r="E65" s="1">
        <v>143939</v>
      </c>
      <c r="F65" s="1">
        <v>146690</v>
      </c>
    </row>
    <row r="66" spans="2:6" ht="12.75">
      <c r="B66" s="5" t="s">
        <v>25</v>
      </c>
      <c r="D66" s="1">
        <v>141354</v>
      </c>
      <c r="E66" s="1">
        <v>144081</v>
      </c>
      <c r="F66" s="1">
        <v>146832</v>
      </c>
    </row>
    <row r="67" spans="2:6" ht="12.75">
      <c r="B67" s="5" t="s">
        <v>26</v>
      </c>
      <c r="D67" s="1">
        <v>141399</v>
      </c>
      <c r="E67" s="1">
        <v>144127</v>
      </c>
      <c r="F67" s="1">
        <v>146878</v>
      </c>
    </row>
    <row r="68" spans="2:6" ht="12.75">
      <c r="B68" s="5" t="s">
        <v>27</v>
      </c>
      <c r="D68" s="1">
        <v>141829</v>
      </c>
      <c r="E68" s="1">
        <v>144789</v>
      </c>
      <c r="F68" s="1">
        <v>147540</v>
      </c>
    </row>
    <row r="69" spans="2:6" ht="12.75">
      <c r="B69" s="5" t="s">
        <v>28</v>
      </c>
      <c r="D69" s="1">
        <f>'[1]D.7'!D39</f>
        <v>142534</v>
      </c>
      <c r="E69" s="1">
        <v>145263</v>
      </c>
      <c r="F69" s="1">
        <v>148014</v>
      </c>
    </row>
    <row r="72" spans="2:5" ht="12.75">
      <c r="B72" s="19" t="s">
        <v>46</v>
      </c>
      <c r="C72" s="20">
        <f>SUM(D72:E72)</f>
        <v>492708.17230290815</v>
      </c>
      <c r="D72" s="21">
        <f>SUM(D43:D54)*D30</f>
        <v>320260.6112024836</v>
      </c>
      <c r="E72" s="21">
        <f>(E43+E44)*E30</f>
        <v>172447.5611004246</v>
      </c>
    </row>
    <row r="73" spans="2:5" ht="12.75">
      <c r="B73" s="19" t="s">
        <v>41</v>
      </c>
      <c r="C73" s="2"/>
      <c r="D73" s="22">
        <f>689*D30</f>
        <v>1.77073</v>
      </c>
      <c r="E73" s="22">
        <f>689*(SUM(E43:E44)/SUM(E43:E54))*E30</f>
        <v>0.9623576593901586</v>
      </c>
    </row>
    <row r="74" spans="2:5" ht="12.75">
      <c r="B74" s="19" t="s">
        <v>82</v>
      </c>
      <c r="C74" s="20">
        <f>SUM(D74:E74)</f>
        <v>48233.53101291752</v>
      </c>
      <c r="D74" s="23">
        <f>17648*D73</f>
        <v>31249.84304</v>
      </c>
      <c r="E74" s="23">
        <f>17648*E73</f>
        <v>16983.68797291752</v>
      </c>
    </row>
    <row r="75" spans="2:5" ht="12.75">
      <c r="B75" s="2"/>
      <c r="C75" s="2"/>
      <c r="D75" s="2"/>
      <c r="E75" s="2"/>
    </row>
    <row r="76" spans="2:5" ht="12.75">
      <c r="B76" s="19" t="s">
        <v>42</v>
      </c>
      <c r="C76" s="24">
        <f>C74/C72</f>
        <v>0.09789472495955356</v>
      </c>
      <c r="D76" s="2"/>
      <c r="E76" s="2"/>
    </row>
    <row r="78" ht="12.75">
      <c r="A78" t="s">
        <v>92</v>
      </c>
    </row>
  </sheetData>
  <mergeCells count="5">
    <mergeCell ref="A22:F22"/>
    <mergeCell ref="E1:F3"/>
    <mergeCell ref="A5:F5"/>
    <mergeCell ref="A8:A11"/>
    <mergeCell ref="A13:A20"/>
  </mergeCells>
  <printOptions horizontalCentered="1"/>
  <pageMargins left="0.25" right="0.25" top="0.75" bottom="0.75" header="0.25" footer="0.25"/>
  <pageSetup fitToHeight="1" fitToWidth="1" horizontalDpi="600" verticalDpi="600" orientation="portrait" scale="66" r:id="rId3"/>
  <headerFooter alignWithMargins="0">
    <oddHeader>&amp;C&amp;"Arial,Bold"&amp;12Exhibit D-7 Schedule 159 Impact Calculations</oddHeader>
    <oddFooter>&amp;LCONFIDENTIAL PER PROTECTIVE ORDER 
IN WUTC DOCKET UG-060518&amp;C
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E1" sqref="E1:F3"/>
    </sheetView>
  </sheetViews>
  <sheetFormatPr defaultColWidth="9.140625" defaultRowHeight="12.75"/>
  <cols>
    <col min="1" max="1" width="13.28125" style="0" bestFit="1" customWidth="1"/>
    <col min="2" max="2" width="26.7109375" style="0" customWidth="1"/>
    <col min="3" max="3" width="9.57421875" style="0" customWidth="1"/>
    <col min="4" max="4" width="10.28125" style="0" bestFit="1" customWidth="1"/>
    <col min="5" max="5" width="14.7109375" style="0" bestFit="1" customWidth="1"/>
    <col min="6" max="8" width="10.28125" style="0" bestFit="1" customWidth="1"/>
    <col min="9" max="11" width="11.28125" style="0" bestFit="1" customWidth="1"/>
  </cols>
  <sheetData>
    <row r="1" spans="2:6" ht="12.75">
      <c r="B1" t="s">
        <v>0</v>
      </c>
      <c r="E1" s="105" t="s">
        <v>97</v>
      </c>
      <c r="F1" s="105"/>
    </row>
    <row r="2" spans="2:6" ht="12.75">
      <c r="B2" t="s">
        <v>43</v>
      </c>
      <c r="E2" s="105"/>
      <c r="F2" s="105"/>
    </row>
    <row r="3" spans="2:6" ht="12.75">
      <c r="B3" t="s">
        <v>44</v>
      </c>
      <c r="E3" s="105"/>
      <c r="F3" s="105"/>
    </row>
    <row r="4" ht="13.5" thickBot="1">
      <c r="B4" t="s">
        <v>1</v>
      </c>
    </row>
    <row r="5" spans="1:11" ht="13.5" thickTop="1">
      <c r="A5" s="106" t="s">
        <v>47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</row>
    <row r="6" spans="1:11" ht="25.5">
      <c r="A6" s="46"/>
      <c r="B6" s="29"/>
      <c r="C6" s="31" t="s">
        <v>45</v>
      </c>
      <c r="D6" s="50">
        <v>39630</v>
      </c>
      <c r="E6" s="50">
        <v>39669</v>
      </c>
      <c r="F6" s="50">
        <v>39700</v>
      </c>
      <c r="G6" s="50">
        <v>39730</v>
      </c>
      <c r="H6" s="50">
        <v>39761</v>
      </c>
      <c r="I6" s="50">
        <v>39791</v>
      </c>
      <c r="J6" s="50">
        <v>39822</v>
      </c>
      <c r="K6" s="51">
        <v>39853</v>
      </c>
    </row>
    <row r="7" spans="1:11" ht="12.75" hidden="1">
      <c r="A7" s="47"/>
      <c r="B7" s="8" t="s">
        <v>5</v>
      </c>
      <c r="C7" s="6"/>
      <c r="D7" s="6"/>
      <c r="E7" s="6"/>
      <c r="F7" s="6"/>
      <c r="G7" s="6"/>
      <c r="H7" s="6"/>
      <c r="I7" s="6"/>
      <c r="J7" s="6"/>
      <c r="K7" s="7"/>
    </row>
    <row r="8" spans="1:11" ht="12.75">
      <c r="A8" s="109" t="s">
        <v>32</v>
      </c>
      <c r="B8" s="9" t="s">
        <v>6</v>
      </c>
      <c r="C8" s="28">
        <v>758.5542168674699</v>
      </c>
      <c r="D8" s="34">
        <f aca="true" t="shared" si="0" ref="D8:K8">D10-D9+D27</f>
        <v>9.602529933675697</v>
      </c>
      <c r="E8" s="34">
        <f t="shared" si="0"/>
        <v>4.823505927342982</v>
      </c>
      <c r="F8" s="34">
        <f t="shared" si="0"/>
        <v>7.164757199167401</v>
      </c>
      <c r="G8" s="34">
        <f t="shared" si="0"/>
        <v>26.22608179766315</v>
      </c>
      <c r="H8" s="34">
        <f t="shared" si="0"/>
        <v>68.58318738675206</v>
      </c>
      <c r="I8" s="34">
        <f t="shared" si="0"/>
        <v>150.70972777700166</v>
      </c>
      <c r="J8" s="34">
        <f t="shared" si="0"/>
        <v>166.57860014919527</v>
      </c>
      <c r="K8" s="35">
        <f t="shared" si="0"/>
        <v>176.096812898179</v>
      </c>
    </row>
    <row r="9" spans="1:11" ht="12.75">
      <c r="A9" s="110"/>
      <c r="B9" s="10" t="s">
        <v>7</v>
      </c>
      <c r="C9" s="27">
        <v>214.47</v>
      </c>
      <c r="D9" s="36">
        <f>D$27+(($C9/12)*D$25)</f>
        <v>25.838368824999996</v>
      </c>
      <c r="E9" s="36">
        <f aca="true" t="shared" si="1" ref="E9:K9">E$27+(($C9/12)*E$25)</f>
        <v>25.838368824999996</v>
      </c>
      <c r="F9" s="36">
        <f t="shared" si="1"/>
        <v>25.838368824999996</v>
      </c>
      <c r="G9" s="36">
        <f t="shared" si="1"/>
        <v>25.838368824999996</v>
      </c>
      <c r="H9" s="36">
        <f t="shared" si="1"/>
        <v>25.066813</v>
      </c>
      <c r="I9" s="36">
        <f t="shared" si="1"/>
        <v>25.066813</v>
      </c>
      <c r="J9" s="36">
        <f t="shared" si="1"/>
        <v>25.8086642</v>
      </c>
      <c r="K9" s="37">
        <f t="shared" si="1"/>
        <v>25.8086642</v>
      </c>
    </row>
    <row r="10" spans="1:11" ht="12.75">
      <c r="A10" s="111"/>
      <c r="B10" s="9" t="s">
        <v>8</v>
      </c>
      <c r="C10" s="28">
        <v>973.0242168674699</v>
      </c>
      <c r="D10" s="34">
        <f>D$27+$C10*(D$29/SUM('D.9'!$D$47:$D$54,'D.9'!$E$43:$E$46))*D$25</f>
        <v>29.940898758675694</v>
      </c>
      <c r="E10" s="34">
        <f>E$27+$C10*(E$29/SUM('D.9'!$D$47:$D$54,'D.9'!$E$43:$E$46))*E$25</f>
        <v>25.161874752342978</v>
      </c>
      <c r="F10" s="34">
        <f>F$27+$C10*(F$29/SUM('D.9'!$D$47:$D$54,'D.9'!$E$43:$E$46))*F$25</f>
        <v>27.503126024167397</v>
      </c>
      <c r="G10" s="34">
        <f>G$27+$C10*(G$29/SUM('D.9'!$D$47:$D$54,'D.9'!$E$43:$E$46))*G$25</f>
        <v>46.564450622663145</v>
      </c>
      <c r="H10" s="34">
        <f>H$27+$C10*(H$29/SUM('D.9'!$D$47:$D$54,'D.9'!$E$43:$E$46))*H$25</f>
        <v>88.15000038675205</v>
      </c>
      <c r="I10" s="34">
        <f>I$27+$C10*(I$29/SUM('D.9'!$D$47:$D$54,'D.9'!$E$43:$E$46))*I$25</f>
        <v>170.27654077700166</v>
      </c>
      <c r="J10" s="34">
        <f>J$27+$C10*(J$29/SUM('D.9'!$D$47:$D$54,'D.9'!$E$43:$E$46))*J$25</f>
        <v>186.63726434919528</v>
      </c>
      <c r="K10" s="35">
        <f>K$27+$C10*(K$29/SUM('D.9'!$D$47:$D$54,'D.9'!$E$43:$E$46))*K$25</f>
        <v>196.155477098179</v>
      </c>
    </row>
    <row r="11" spans="1:11" ht="12.75">
      <c r="A11" s="112"/>
      <c r="B11" s="10" t="s">
        <v>9</v>
      </c>
      <c r="C11" s="27">
        <f>12*SUM('D.9'!D47:D54,'D.9'!E43:E46)/SUM('D.9'!D62:D69,'D.9'!E58:E61)</f>
        <v>879.1018940174777</v>
      </c>
      <c r="D11" s="36">
        <f>D$27+$C11*(D$29/SUM('D.9'!$D$47:$D$54,'D.9'!$E$43:$E$46))*D$25</f>
        <v>27.581711860587443</v>
      </c>
      <c r="E11" s="36">
        <f>E$27+$C11*(E$29/SUM('D.9'!$D$47:$D$54,'D.9'!$E$43:$E$46))*E$25</f>
        <v>23.263988845380812</v>
      </c>
      <c r="F11" s="36">
        <f>F$27+$C11*(F$29/SUM('D.9'!$D$47:$D$54,'D.9'!$E$43:$E$46))*F$25</f>
        <v>25.37924804628517</v>
      </c>
      <c r="G11" s="36">
        <f>G$27+$C11*(G$29/SUM('D.9'!$D$47:$D$54,'D.9'!$E$43:$E$46))*G$25</f>
        <v>42.60065555756596</v>
      </c>
      <c r="H11" s="36">
        <f>H$27+$C11*(H$29/SUM('D.9'!$D$47:$D$54,'D.9'!$E$43:$E$46))*H$25</f>
        <v>80.17211054052859</v>
      </c>
      <c r="I11" s="36">
        <f>I$27+$C11*(I$29/SUM('D.9'!$D$47:$D$54,'D.9'!$E$43:$E$46))*I$25</f>
        <v>154.3712886849354</v>
      </c>
      <c r="J11" s="36">
        <f>J$27+$C11*(J$29/SUM('D.9'!$D$47:$D$54,'D.9'!$E$43:$E$46))*J$25</f>
        <v>169.17690545252555</v>
      </c>
      <c r="K11" s="37">
        <f>K$27+$C11*(K$29/SUM('D.9'!$D$47:$D$54,'D.9'!$E$43:$E$46))*K$25</f>
        <v>177.77636136558695</v>
      </c>
    </row>
    <row r="12" spans="1:11" ht="12.75">
      <c r="A12" s="47"/>
      <c r="B12" s="11"/>
      <c r="C12" s="28"/>
      <c r="D12" s="38"/>
      <c r="E12" s="38"/>
      <c r="F12" s="38"/>
      <c r="G12" s="38"/>
      <c r="H12" s="38"/>
      <c r="I12" s="38"/>
      <c r="J12" s="38"/>
      <c r="K12" s="39"/>
    </row>
    <row r="13" spans="1:11" ht="12.75" customHeight="1">
      <c r="A13" s="113" t="s">
        <v>48</v>
      </c>
      <c r="B13" s="10" t="s">
        <v>34</v>
      </c>
      <c r="C13" s="27">
        <v>758.5542168674699</v>
      </c>
      <c r="D13" s="44">
        <f>ROUND(((($C10*(D$29/SUM('D.9'!$D$47:$D$54,'D.9'!$E$43:$E$46)))-($C9/12))*D$23),2)</f>
        <v>0.01</v>
      </c>
      <c r="E13" s="44">
        <f>ROUND(((($C10*(E$29/SUM('D.9'!$D$47:$D$54,'D.9'!$E$43:$E$46)))-($C9/12))*E$23),2)</f>
        <v>0</v>
      </c>
      <c r="F13" s="44">
        <f>ROUND(((($C10*(F$29/SUM('D.9'!$D$47:$D$54,'D.9'!$E$43:$E$46)))-($C9/12))*F$23),2)</f>
        <v>0</v>
      </c>
      <c r="G13" s="44">
        <f>ROUND(((($C10*(G$29/SUM('D.9'!$D$47:$D$54,'D.9'!$E$43:$E$46)))-($C9/12))*G$23),2)</f>
        <v>0.05</v>
      </c>
      <c r="H13" s="44">
        <f>ROUND(((($C10*(H$29/SUM('D.9'!$D$47:$D$54,'D.9'!$E$43:$E$46)))-($C9/12))*H$23),2)</f>
        <v>0.34</v>
      </c>
      <c r="I13" s="44">
        <f>ROUND(((($C10*(I$29/SUM('D.9'!$D$47:$D$54,'D.9'!$E$43:$E$46)))-($C9/12))*I$23),2)</f>
        <v>0.79</v>
      </c>
      <c r="J13" s="44">
        <f>ROUND(((($C10*(J$29/SUM('D.9'!$D$47:$D$54,'D.9'!$E$43:$E$46)))-($C9/12))*J$23),2)</f>
        <v>0.85</v>
      </c>
      <c r="K13" s="45">
        <f>ROUND(((($C10*(K$29/SUM('D.9'!$D$47:$D$54,'D.9'!$E$43:$E$46)))-($C9/12))*K$23),2)</f>
        <v>0.9</v>
      </c>
    </row>
    <row r="14" spans="1:11" ht="12.75">
      <c r="A14" s="113"/>
      <c r="B14" s="9" t="s">
        <v>33</v>
      </c>
      <c r="C14" s="28"/>
      <c r="D14" s="40">
        <f>D13/D8</f>
        <v>0.0010413922236191518</v>
      </c>
      <c r="E14" s="40">
        <f aca="true" t="shared" si="2" ref="E14:K14">E13/E8</f>
        <v>0</v>
      </c>
      <c r="F14" s="40">
        <f t="shared" si="2"/>
        <v>0</v>
      </c>
      <c r="G14" s="40">
        <f t="shared" si="2"/>
        <v>0.0019064990487620307</v>
      </c>
      <c r="H14" s="40">
        <f t="shared" si="2"/>
        <v>0.004957483210610834</v>
      </c>
      <c r="I14" s="40">
        <f t="shared" si="2"/>
        <v>0.00524186468685636</v>
      </c>
      <c r="J14" s="40">
        <f t="shared" si="2"/>
        <v>0.005102696260136067</v>
      </c>
      <c r="K14" s="41">
        <f t="shared" si="2"/>
        <v>0.005110825035319574</v>
      </c>
    </row>
    <row r="15" spans="1:11" ht="12.75">
      <c r="A15" s="113"/>
      <c r="B15" s="10" t="s">
        <v>35</v>
      </c>
      <c r="C15" s="27">
        <v>214.47</v>
      </c>
      <c r="D15" s="44">
        <f>ROUND((($C9/12)*D$23),2)</f>
        <v>0.05</v>
      </c>
      <c r="E15" s="44">
        <f aca="true" t="shared" si="3" ref="E15:J15">ROUND((($C9/12)*E$23),2)</f>
        <v>0.05</v>
      </c>
      <c r="F15" s="44">
        <f t="shared" si="3"/>
        <v>0.05</v>
      </c>
      <c r="G15" s="44">
        <f>ROUND((($C9/12)*G$23),2)</f>
        <v>0.05</v>
      </c>
      <c r="H15" s="44">
        <f t="shared" si="3"/>
        <v>0.11</v>
      </c>
      <c r="I15" s="44">
        <f>ROUND((($C9/12)*I$23),2)</f>
        <v>0.11</v>
      </c>
      <c r="J15" s="44">
        <f t="shared" si="3"/>
        <v>0.11</v>
      </c>
      <c r="K15" s="45">
        <f>ROUND((($C9/12)*K$23),2)</f>
        <v>0.11</v>
      </c>
    </row>
    <row r="16" spans="1:11" ht="12.75">
      <c r="A16" s="113"/>
      <c r="B16" s="9" t="s">
        <v>33</v>
      </c>
      <c r="C16" s="28"/>
      <c r="D16" s="40">
        <f>D15/D9</f>
        <v>0.0019351066756049377</v>
      </c>
      <c r="E16" s="40">
        <f aca="true" t="shared" si="4" ref="E16:K16">E15/E9</f>
        <v>0.0019351066756049377</v>
      </c>
      <c r="F16" s="40">
        <f t="shared" si="4"/>
        <v>0.0019351066756049377</v>
      </c>
      <c r="G16" s="40">
        <f t="shared" si="4"/>
        <v>0.0019351066756049377</v>
      </c>
      <c r="H16" s="40">
        <f t="shared" si="4"/>
        <v>0.004388272254634045</v>
      </c>
      <c r="I16" s="40">
        <f t="shared" si="4"/>
        <v>0.004388272254634045</v>
      </c>
      <c r="J16" s="40">
        <f t="shared" si="4"/>
        <v>0.004262134574171413</v>
      </c>
      <c r="K16" s="41">
        <f t="shared" si="4"/>
        <v>0.004262134574171413</v>
      </c>
    </row>
    <row r="17" spans="1:11" ht="12.75">
      <c r="A17" s="113"/>
      <c r="B17" s="10" t="s">
        <v>8</v>
      </c>
      <c r="C17" s="27">
        <v>973.0242168674699</v>
      </c>
      <c r="D17" s="44">
        <f>ROUND(($C10*(D$29/SUM('D.9'!$D$47:$D$54,'D.9'!$E$43:$E$46))*D$23),2)</f>
        <v>0.06</v>
      </c>
      <c r="E17" s="44">
        <f>ROUND(($C10*(E$29/SUM('D.9'!$D$47:$D$54,'D.9'!$E$43:$E$46))*E$23),2)</f>
        <v>0.04</v>
      </c>
      <c r="F17" s="44">
        <f>ROUND(($C10*(F$29/SUM('D.9'!$D$47:$D$54,'D.9'!$E$43:$E$46))*F$23),2)</f>
        <v>0.05</v>
      </c>
      <c r="G17" s="44">
        <f>ROUND(($C10*(G$29/SUM('D.9'!$D$47:$D$54,'D.9'!$E$43:$E$46))*G$23),2)</f>
        <v>0.09</v>
      </c>
      <c r="H17" s="44">
        <f>ROUND(($C10*(H$29/SUM('D.9'!$D$47:$D$54,'D.9'!$E$43:$E$46))*H$23),2)</f>
        <v>0.45</v>
      </c>
      <c r="I17" s="44">
        <f>ROUND(($C10*(I$29/SUM('D.9'!$D$47:$D$54,'D.9'!$E$43:$E$46))*I$23),2)</f>
        <v>0.89</v>
      </c>
      <c r="J17" s="44">
        <f>ROUND(($C10*(J$29/SUM('D.9'!$D$47:$D$54,'D.9'!$E$43:$E$46))*J$23),2)</f>
        <v>0.96</v>
      </c>
      <c r="K17" s="45">
        <f>ROUND(($C10*(K$29/SUM('D.9'!$D$47:$D$54,'D.9'!$E$43:$E$46))*K$23),2)</f>
        <v>1.01</v>
      </c>
    </row>
    <row r="18" spans="1:11" ht="12.75">
      <c r="A18" s="113"/>
      <c r="B18" s="9" t="s">
        <v>33</v>
      </c>
      <c r="C18" s="28"/>
      <c r="D18" s="40">
        <f>D17/D10</f>
        <v>0.0020039478602029057</v>
      </c>
      <c r="E18" s="40">
        <f aca="true" t="shared" si="5" ref="E18:K18">E17/E10</f>
        <v>0.0015897066650916126</v>
      </c>
      <c r="F18" s="40">
        <f t="shared" si="5"/>
        <v>0.0018179751623893326</v>
      </c>
      <c r="G18" s="40">
        <f t="shared" si="5"/>
        <v>0.0019328049358794874</v>
      </c>
      <c r="H18" s="40">
        <f t="shared" si="5"/>
        <v>0.005104934747880385</v>
      </c>
      <c r="I18" s="40">
        <f t="shared" si="5"/>
        <v>0.0052267916410491675</v>
      </c>
      <c r="J18" s="40">
        <f t="shared" si="5"/>
        <v>0.005143667334321058</v>
      </c>
      <c r="K18" s="41">
        <f t="shared" si="5"/>
        <v>0.005148976796067125</v>
      </c>
    </row>
    <row r="19" spans="1:11" ht="12.75">
      <c r="A19" s="113"/>
      <c r="B19" s="10" t="s">
        <v>36</v>
      </c>
      <c r="C19" s="27">
        <f>C11</f>
        <v>879.1018940174777</v>
      </c>
      <c r="D19" s="44">
        <f>ROUND(($C11*(D$29/SUM('D.9'!$D$47:$D$54,'D.9'!$E$43:$E$46))*D$23),2)</f>
        <v>0.05</v>
      </c>
      <c r="E19" s="44">
        <f>ROUND(($C11*(E$29/SUM('D.9'!$D$47:$D$54,'D.9'!$E$43:$E$46))*E$23),2)</f>
        <v>0.04</v>
      </c>
      <c r="F19" s="44">
        <f>ROUND(($C11*(F$29/SUM('D.9'!$D$47:$D$54,'D.9'!$E$43:$E$46))*F$23),2)</f>
        <v>0.04</v>
      </c>
      <c r="G19" s="44">
        <f>ROUND(($C11*(G$29/SUM('D.9'!$D$47:$D$54,'D.9'!$E$43:$E$46))*G$23),2)</f>
        <v>0.08</v>
      </c>
      <c r="H19" s="44">
        <f>ROUND(($C11*(H$29/SUM('D.9'!$D$47:$D$54,'D.9'!$E$43:$E$46))*H$23),2)</f>
        <v>0.4</v>
      </c>
      <c r="I19" s="44">
        <f>ROUND(($C11*(I$29/SUM('D.9'!$D$47:$D$54,'D.9'!$E$43:$E$46))*I$23),2)</f>
        <v>0.81</v>
      </c>
      <c r="J19" s="44">
        <f>ROUND(($C11*(J$29/SUM('D.9'!$D$47:$D$54,'D.9'!$E$43:$E$46))*J$23),2)</f>
        <v>0.86</v>
      </c>
      <c r="K19" s="45">
        <f>ROUND(($C11*(K$29/SUM('D.9'!$D$47:$D$54,'D.9'!$E$43:$E$46))*K$23),2)</f>
        <v>0.91</v>
      </c>
    </row>
    <row r="20" spans="1:11" ht="13.5" thickBot="1">
      <c r="A20" s="114"/>
      <c r="B20" s="12" t="s">
        <v>33</v>
      </c>
      <c r="C20" s="30"/>
      <c r="D20" s="42">
        <f>D19/D11</f>
        <v>0.0018127953860415352</v>
      </c>
      <c r="E20" s="42">
        <f aca="true" t="shared" si="6" ref="E20:K20">E19/E11</f>
        <v>0.00171939559745543</v>
      </c>
      <c r="F20" s="42">
        <f t="shared" si="6"/>
        <v>0.0015760908253487403</v>
      </c>
      <c r="G20" s="42">
        <f t="shared" si="6"/>
        <v>0.001877905373824508</v>
      </c>
      <c r="H20" s="42">
        <f t="shared" si="6"/>
        <v>0.004989266183753415</v>
      </c>
      <c r="I20" s="42">
        <f t="shared" si="6"/>
        <v>0.005247089707550297</v>
      </c>
      <c r="J20" s="42">
        <f t="shared" si="6"/>
        <v>0.005083436168191014</v>
      </c>
      <c r="K20" s="43">
        <f t="shared" si="6"/>
        <v>0.005118790783036879</v>
      </c>
    </row>
    <row r="21" ht="13.5" thickTop="1"/>
    <row r="23" spans="3:11" ht="12.75">
      <c r="C23" s="49" t="s">
        <v>11</v>
      </c>
      <c r="D23" s="25">
        <f>'D.9'!D30</f>
        <v>0.00257</v>
      </c>
      <c r="E23" s="26">
        <f>D23</f>
        <v>0.00257</v>
      </c>
      <c r="F23" s="26">
        <f>E23</f>
        <v>0.00257</v>
      </c>
      <c r="G23" s="26">
        <f>F23</f>
        <v>0.00257</v>
      </c>
      <c r="H23">
        <f>'D.9'!E30</f>
        <v>0.00593</v>
      </c>
      <c r="I23">
        <f>H23</f>
        <v>0.00593</v>
      </c>
      <c r="J23">
        <f>I23</f>
        <v>0.00593</v>
      </c>
      <c r="K23">
        <f>J23</f>
        <v>0.00593</v>
      </c>
    </row>
    <row r="24" spans="4:5" ht="12.75">
      <c r="D24" s="25"/>
      <c r="E24" s="25"/>
    </row>
    <row r="25" spans="3:11" ht="12.75">
      <c r="C25" s="49" t="s">
        <v>12</v>
      </c>
      <c r="D25" s="25">
        <f>'D.9'!D32</f>
        <v>1.13797</v>
      </c>
      <c r="E25" s="25">
        <f>D25</f>
        <v>1.13797</v>
      </c>
      <c r="F25" s="25">
        <f>E25</f>
        <v>1.13797</v>
      </c>
      <c r="G25" s="25">
        <f>F25</f>
        <v>1.13797</v>
      </c>
      <c r="H25">
        <f>'D.9'!E35</f>
        <v>1.0948</v>
      </c>
      <c r="I25">
        <f>H25</f>
        <v>1.0948</v>
      </c>
      <c r="J25">
        <f>'D.9'!E32</f>
        <v>1.12232</v>
      </c>
      <c r="K25">
        <f>J25</f>
        <v>1.12232</v>
      </c>
    </row>
    <row r="27" spans="3:11" ht="12.75">
      <c r="C27" t="s">
        <v>14</v>
      </c>
      <c r="D27" s="48">
        <v>5.5</v>
      </c>
      <c r="E27" s="48">
        <v>5.5</v>
      </c>
      <c r="F27" s="48">
        <v>5.5</v>
      </c>
      <c r="G27" s="48">
        <v>5.5</v>
      </c>
      <c r="H27" s="48">
        <v>5.5</v>
      </c>
      <c r="I27" s="48">
        <v>5.5</v>
      </c>
      <c r="J27" s="48">
        <v>5.75</v>
      </c>
      <c r="K27" s="48">
        <v>5.75</v>
      </c>
    </row>
    <row r="29" spans="3:11" ht="12.75">
      <c r="C29" t="s">
        <v>16</v>
      </c>
      <c r="D29" s="1">
        <v>2763613</v>
      </c>
      <c r="E29" s="1">
        <v>2223233</v>
      </c>
      <c r="F29" s="1">
        <v>2487966</v>
      </c>
      <c r="G29" s="1">
        <v>4643292.814195966</v>
      </c>
      <c r="H29" s="101">
        <v>9714018.787606884</v>
      </c>
      <c r="I29" s="101">
        <v>19366514.28160468</v>
      </c>
      <c r="J29" s="1">
        <v>20738729.94867603</v>
      </c>
      <c r="K29" s="1">
        <v>21829993.308235466</v>
      </c>
    </row>
    <row r="30" spans="4:5" ht="12.75">
      <c r="D30" s="4"/>
      <c r="E30" s="4"/>
    </row>
    <row r="31" spans="1:5" ht="12.75">
      <c r="A31" t="s">
        <v>49</v>
      </c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</sheetData>
  <mergeCells count="4">
    <mergeCell ref="A8:A11"/>
    <mergeCell ref="A13:A20"/>
    <mergeCell ref="A5:K5"/>
    <mergeCell ref="E1:F3"/>
  </mergeCells>
  <printOptions horizontalCentered="1"/>
  <pageMargins left="0.25" right="0.25" top="0.75" bottom="0.75" header="0.25" footer="0.25"/>
  <pageSetup fitToHeight="1" fitToWidth="1" horizontalDpi="600" verticalDpi="600" orientation="portrait" scale="74" r:id="rId3"/>
  <headerFooter alignWithMargins="0">
    <oddHeader>&amp;C&amp;"Arial,Bold"&amp;12Exhibit D-8 Decoupling Deferral Calculations</oddHeader>
    <oddFooter>&amp;LCONFIDENTIAL PER PROTECTIVE ORDER 
IN WUTC DOCKET UG-060518&amp;C
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D4" sqref="D4"/>
    </sheetView>
  </sheetViews>
  <sheetFormatPr defaultColWidth="9.140625" defaultRowHeight="12.75"/>
  <cols>
    <col min="1" max="1" width="32.57421875" style="0" customWidth="1"/>
    <col min="2" max="2" width="14.57421875" style="0" customWidth="1"/>
    <col min="3" max="3" width="11.7109375" style="0" customWidth="1"/>
    <col min="4" max="4" width="11.140625" style="0" bestFit="1" customWidth="1"/>
    <col min="5" max="5" width="12.28125" style="0" bestFit="1" customWidth="1"/>
    <col min="6" max="6" width="4.140625" style="0" customWidth="1"/>
    <col min="7" max="7" width="11.28125" style="0" bestFit="1" customWidth="1"/>
    <col min="8" max="8" width="11.28125" style="0" customWidth="1"/>
    <col min="9" max="9" width="12.28125" style="0" bestFit="1" customWidth="1"/>
  </cols>
  <sheetData>
    <row r="1" spans="4:5" ht="12.75">
      <c r="D1" s="105"/>
      <c r="E1" s="105"/>
    </row>
    <row r="2" spans="1:5" ht="12.75">
      <c r="A2" t="s">
        <v>52</v>
      </c>
      <c r="B2" s="60">
        <f>'[2]Sheet1'!C3</f>
        <v>17648</v>
      </c>
      <c r="D2" s="105"/>
      <c r="E2" s="105"/>
    </row>
    <row r="3" spans="1:5" ht="12.75">
      <c r="A3" t="s">
        <v>53</v>
      </c>
      <c r="B3">
        <f>'[2]Sheet1'!Q4</f>
        <v>696</v>
      </c>
      <c r="D3" s="105"/>
      <c r="E3" s="105"/>
    </row>
    <row r="4" spans="1:2" ht="12.75">
      <c r="A4" t="s">
        <v>93</v>
      </c>
      <c r="B4" s="1">
        <f>B2*B3</f>
        <v>12283008</v>
      </c>
    </row>
    <row r="5" spans="1:2" ht="12.75">
      <c r="A5" t="s">
        <v>94</v>
      </c>
      <c r="B5" s="1">
        <v>115583967</v>
      </c>
    </row>
    <row r="6" spans="1:2" ht="12.75">
      <c r="A6" t="s">
        <v>96</v>
      </c>
      <c r="B6" s="62">
        <f>B4/B5</f>
        <v>0.1062691333305769</v>
      </c>
    </row>
    <row r="7" ht="12.75">
      <c r="B7" s="1"/>
    </row>
    <row r="8" ht="12.75">
      <c r="B8" s="1"/>
    </row>
    <row r="9" ht="12.75">
      <c r="B9" s="1"/>
    </row>
    <row r="13" ht="13.5" thickBot="1">
      <c r="A13" t="s">
        <v>72</v>
      </c>
    </row>
    <row r="14" spans="1:3" ht="13.5" thickTop="1">
      <c r="A14" s="120" t="s">
        <v>95</v>
      </c>
      <c r="B14" s="121"/>
      <c r="C14" s="122"/>
    </row>
    <row r="15" spans="1:3" ht="12.75">
      <c r="A15" s="69"/>
      <c r="B15" s="70">
        <v>2007</v>
      </c>
      <c r="C15" s="71">
        <v>2008</v>
      </c>
    </row>
    <row r="16" spans="1:7" ht="12.75">
      <c r="A16" s="52" t="s">
        <v>73</v>
      </c>
      <c r="B16" s="67">
        <f>B18*B17</f>
        <v>95654.87882672058</v>
      </c>
      <c r="C16" s="68">
        <f>B18*C17</f>
        <v>71573.15371061883</v>
      </c>
      <c r="E16" s="102">
        <f>AVERAGE(B16:C16)</f>
        <v>83614.01626866971</v>
      </c>
      <c r="G16" s="103">
        <f>E16/B2</f>
        <v>4.737874901896516</v>
      </c>
    </row>
    <row r="17" spans="1:3" ht="12.75">
      <c r="A17" s="53" t="s">
        <v>38</v>
      </c>
      <c r="B17" s="65">
        <v>900119.1204708708</v>
      </c>
      <c r="C17" s="66">
        <v>673508.397664</v>
      </c>
    </row>
    <row r="18" spans="1:3" ht="13.5" thickBot="1">
      <c r="A18" s="54" t="s">
        <v>74</v>
      </c>
      <c r="B18" s="118">
        <f>B6</f>
        <v>0.1062691333305769</v>
      </c>
      <c r="C18" s="119"/>
    </row>
    <row r="19" ht="13.5" thickTop="1"/>
  </sheetData>
  <mergeCells count="3">
    <mergeCell ref="B18:C18"/>
    <mergeCell ref="A14:C14"/>
    <mergeCell ref="D1:E3"/>
  </mergeCells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&amp;C&amp;"Arial,Bold"&amp;12Exhibit K-6 Limited Income Decoupling Deferrals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workbookViewId="0" topLeftCell="A1">
      <selection activeCell="E6" sqref="E6"/>
    </sheetView>
  </sheetViews>
  <sheetFormatPr defaultColWidth="9.140625" defaultRowHeight="12.75"/>
  <cols>
    <col min="1" max="1" width="18.8515625" style="0" customWidth="1"/>
    <col min="2" max="2" width="10.8515625" style="0" customWidth="1"/>
    <col min="3" max="3" width="11.7109375" style="0" customWidth="1"/>
    <col min="4" max="4" width="11.140625" style="0" bestFit="1" customWidth="1"/>
    <col min="5" max="5" width="12.28125" style="0" bestFit="1" customWidth="1"/>
    <col min="6" max="6" width="4.140625" style="0" customWidth="1"/>
  </cols>
  <sheetData>
    <row r="2" spans="1:2" ht="12.75">
      <c r="A2" t="s">
        <v>77</v>
      </c>
      <c r="B2" s="60">
        <v>696</v>
      </c>
    </row>
    <row r="3" spans="1:2" ht="12.75">
      <c r="A3" t="s">
        <v>53</v>
      </c>
      <c r="B3">
        <f>'[2]Sheet1'!Q4</f>
        <v>696</v>
      </c>
    </row>
    <row r="4" spans="1:2" ht="12.75">
      <c r="A4" t="s">
        <v>54</v>
      </c>
      <c r="B4" s="1">
        <v>696</v>
      </c>
    </row>
    <row r="6" spans="1:3" ht="12.75">
      <c r="A6" s="126" t="s">
        <v>76</v>
      </c>
      <c r="B6" s="126"/>
      <c r="C6" s="61" t="s">
        <v>55</v>
      </c>
    </row>
    <row r="7" spans="1:3" ht="12.75">
      <c r="A7" t="s">
        <v>56</v>
      </c>
      <c r="B7" s="62">
        <v>0.17869406357000744</v>
      </c>
      <c r="C7" s="1">
        <f aca="true" t="shared" si="0" ref="C7:C18">$B$4*B7</f>
        <v>124.37106824472518</v>
      </c>
    </row>
    <row r="8" spans="1:3" ht="12.75">
      <c r="A8" t="s">
        <v>57</v>
      </c>
      <c r="B8" s="62">
        <v>0.16772564929438363</v>
      </c>
      <c r="C8" s="1">
        <f t="shared" si="0"/>
        <v>116.737051908891</v>
      </c>
    </row>
    <row r="9" spans="1:3" ht="12.75">
      <c r="A9" t="s">
        <v>58</v>
      </c>
      <c r="B9" s="62">
        <v>0.12951131417318287</v>
      </c>
      <c r="C9" s="1">
        <f t="shared" si="0"/>
        <v>90.13987466453528</v>
      </c>
    </row>
    <row r="10" spans="1:3" ht="12.75">
      <c r="A10" t="s">
        <v>59</v>
      </c>
      <c r="B10" s="62">
        <v>0.09374696372940071</v>
      </c>
      <c r="C10" s="1">
        <f t="shared" si="0"/>
        <v>65.24788675566289</v>
      </c>
    </row>
    <row r="11" spans="1:3" ht="12.75">
      <c r="A11" t="s">
        <v>23</v>
      </c>
      <c r="B11" s="62">
        <v>0.05687020526389547</v>
      </c>
      <c r="C11" s="1">
        <f t="shared" si="0"/>
        <v>39.58166286367125</v>
      </c>
    </row>
    <row r="12" spans="1:3" ht="12.75">
      <c r="A12" t="s">
        <v>60</v>
      </c>
      <c r="B12" s="62">
        <v>0.033313472522780115</v>
      </c>
      <c r="C12" s="1">
        <f t="shared" si="0"/>
        <v>23.186176875854958</v>
      </c>
    </row>
    <row r="13" spans="1:3" ht="12.75">
      <c r="A13" t="s">
        <v>61</v>
      </c>
      <c r="B13" s="62">
        <v>0.02222365705989666</v>
      </c>
      <c r="C13" s="1">
        <f t="shared" si="0"/>
        <v>15.467665313688077</v>
      </c>
    </row>
    <row r="14" spans="1:3" ht="12.75">
      <c r="A14" t="s">
        <v>62</v>
      </c>
      <c r="B14" s="62">
        <v>0.018074005363831268</v>
      </c>
      <c r="C14" s="1">
        <f t="shared" si="0"/>
        <v>12.579507733226562</v>
      </c>
    </row>
    <row r="15" spans="1:3" ht="12.75">
      <c r="A15" t="s">
        <v>63</v>
      </c>
      <c r="B15" s="62">
        <v>0.021047331724946598</v>
      </c>
      <c r="C15" s="1">
        <f t="shared" si="0"/>
        <v>14.648942880562833</v>
      </c>
    </row>
    <row r="16" spans="1:3" ht="12.75">
      <c r="A16" t="s">
        <v>64</v>
      </c>
      <c r="B16" s="62">
        <v>0.03806571650652314</v>
      </c>
      <c r="C16" s="1">
        <f t="shared" si="0"/>
        <v>26.493738688540105</v>
      </c>
    </row>
    <row r="17" spans="1:3" ht="12.75">
      <c r="A17" t="s">
        <v>65</v>
      </c>
      <c r="B17" s="62">
        <v>0.08261297094135295</v>
      </c>
      <c r="C17" s="1">
        <f t="shared" si="0"/>
        <v>57.49862777518165</v>
      </c>
    </row>
    <row r="18" spans="1:3" ht="12.75">
      <c r="A18" t="s">
        <v>66</v>
      </c>
      <c r="B18" s="62">
        <v>0.15811464984979912</v>
      </c>
      <c r="C18" s="1">
        <f t="shared" si="0"/>
        <v>110.04779629546019</v>
      </c>
    </row>
    <row r="20" spans="3:5" ht="12.75">
      <c r="C20" s="123" t="s">
        <v>67</v>
      </c>
      <c r="D20" s="124"/>
      <c r="E20" s="125"/>
    </row>
    <row r="21" spans="1:6" ht="38.25">
      <c r="A21" s="4" t="s">
        <v>78</v>
      </c>
      <c r="C21" s="4" t="s">
        <v>16</v>
      </c>
      <c r="D21" s="63" t="s">
        <v>68</v>
      </c>
      <c r="E21" s="63" t="s">
        <v>69</v>
      </c>
      <c r="F21" s="63"/>
    </row>
    <row r="22" spans="1:5" ht="12.75">
      <c r="A22" t="str">
        <f>A17</f>
        <v>Nov</v>
      </c>
      <c r="C22" s="3">
        <f>C17</f>
        <v>57.49862777518165</v>
      </c>
      <c r="D22">
        <f>'D.9'!D30</f>
        <v>0.00257</v>
      </c>
      <c r="E22" s="72">
        <f>C22*D22</f>
        <v>0.14777147338221683</v>
      </c>
    </row>
    <row r="23" spans="1:5" ht="12.75">
      <c r="A23" t="str">
        <f>A18</f>
        <v>Dec</v>
      </c>
      <c r="C23" s="3">
        <f>C18</f>
        <v>110.04779629546019</v>
      </c>
      <c r="D23">
        <f>D22</f>
        <v>0.00257</v>
      </c>
      <c r="E23" s="74">
        <f>C23*D23</f>
        <v>0.28282283647933265</v>
      </c>
    </row>
    <row r="24" spans="1:5" ht="12.75">
      <c r="A24" t="str">
        <f>A7</f>
        <v>Jan</v>
      </c>
      <c r="C24" s="3">
        <f>C7</f>
        <v>124.37106824472518</v>
      </c>
      <c r="D24">
        <f aca="true" t="shared" si="1" ref="D24:D33">D23</f>
        <v>0.00257</v>
      </c>
      <c r="E24" s="74">
        <f aca="true" t="shared" si="2" ref="E24:E33">C24*D24</f>
        <v>0.3196336453889437</v>
      </c>
    </row>
    <row r="25" spans="1:5" ht="12.75">
      <c r="A25" t="str">
        <f aca="true" t="shared" si="3" ref="A25:A33">A8</f>
        <v>Feb</v>
      </c>
      <c r="C25" s="3">
        <f aca="true" t="shared" si="4" ref="C25:C33">C8</f>
        <v>116.737051908891</v>
      </c>
      <c r="D25">
        <f t="shared" si="1"/>
        <v>0.00257</v>
      </c>
      <c r="E25" s="72">
        <f t="shared" si="2"/>
        <v>0.3000142234058499</v>
      </c>
    </row>
    <row r="26" spans="1:5" ht="12.75">
      <c r="A26" t="str">
        <f t="shared" si="3"/>
        <v>Mar</v>
      </c>
      <c r="C26" s="3">
        <f t="shared" si="4"/>
        <v>90.13987466453528</v>
      </c>
      <c r="D26">
        <f t="shared" si="1"/>
        <v>0.00257</v>
      </c>
      <c r="E26" s="72">
        <f t="shared" si="2"/>
        <v>0.23165947788785565</v>
      </c>
    </row>
    <row r="27" spans="1:5" ht="12.75">
      <c r="A27" t="str">
        <f t="shared" si="3"/>
        <v>Apr</v>
      </c>
      <c r="C27" s="3">
        <f t="shared" si="4"/>
        <v>65.24788675566289</v>
      </c>
      <c r="D27">
        <f t="shared" si="1"/>
        <v>0.00257</v>
      </c>
      <c r="E27" s="72">
        <f t="shared" si="2"/>
        <v>0.16768706896205363</v>
      </c>
    </row>
    <row r="28" spans="1:5" ht="12.75">
      <c r="A28" t="str">
        <f t="shared" si="3"/>
        <v>May</v>
      </c>
      <c r="C28" s="3">
        <f t="shared" si="4"/>
        <v>39.58166286367125</v>
      </c>
      <c r="D28">
        <f t="shared" si="1"/>
        <v>0.00257</v>
      </c>
      <c r="E28" s="72">
        <f t="shared" si="2"/>
        <v>0.1017248735596351</v>
      </c>
    </row>
    <row r="29" spans="1:5" ht="12.75">
      <c r="A29" t="str">
        <f t="shared" si="3"/>
        <v>Jun</v>
      </c>
      <c r="C29" s="3">
        <f t="shared" si="4"/>
        <v>23.186176875854958</v>
      </c>
      <c r="D29">
        <f t="shared" si="1"/>
        <v>0.00257</v>
      </c>
      <c r="E29" s="72">
        <f t="shared" si="2"/>
        <v>0.059588474570947236</v>
      </c>
    </row>
    <row r="30" spans="1:5" ht="12.75">
      <c r="A30" t="str">
        <f t="shared" si="3"/>
        <v>Jul</v>
      </c>
      <c r="C30" s="3">
        <f t="shared" si="4"/>
        <v>15.467665313688077</v>
      </c>
      <c r="D30">
        <f t="shared" si="1"/>
        <v>0.00257</v>
      </c>
      <c r="E30" s="72">
        <f t="shared" si="2"/>
        <v>0.03975189985617835</v>
      </c>
    </row>
    <row r="31" spans="1:5" ht="12.75">
      <c r="A31" t="str">
        <f t="shared" si="3"/>
        <v>Aug</v>
      </c>
      <c r="C31" s="3">
        <f t="shared" si="4"/>
        <v>12.579507733226562</v>
      </c>
      <c r="D31">
        <f t="shared" si="1"/>
        <v>0.00257</v>
      </c>
      <c r="E31" s="72">
        <f t="shared" si="2"/>
        <v>0.03232933487439226</v>
      </c>
    </row>
    <row r="32" spans="1:5" ht="12.75">
      <c r="A32" t="str">
        <f t="shared" si="3"/>
        <v>Sep</v>
      </c>
      <c r="C32" s="3">
        <f t="shared" si="4"/>
        <v>14.648942880562833</v>
      </c>
      <c r="D32">
        <f t="shared" si="1"/>
        <v>0.00257</v>
      </c>
      <c r="E32" s="72">
        <f t="shared" si="2"/>
        <v>0.03764778320304648</v>
      </c>
    </row>
    <row r="33" spans="1:5" ht="13.5" thickBot="1">
      <c r="A33" t="str">
        <f t="shared" si="3"/>
        <v>Oct</v>
      </c>
      <c r="C33" s="3">
        <f t="shared" si="4"/>
        <v>26.493738688540105</v>
      </c>
      <c r="D33">
        <f t="shared" si="1"/>
        <v>0.00257</v>
      </c>
      <c r="E33" s="73">
        <f t="shared" si="2"/>
        <v>0.06808890842954807</v>
      </c>
    </row>
    <row r="34" spans="1:5" ht="12.75">
      <c r="A34" s="64" t="s">
        <v>75</v>
      </c>
      <c r="E34" s="75">
        <f>SUM(E22:E33)</f>
        <v>1.7887199999999992</v>
      </c>
    </row>
    <row r="36" spans="3:5" ht="12.75">
      <c r="C36" s="123" t="s">
        <v>67</v>
      </c>
      <c r="D36" s="124"/>
      <c r="E36" s="125"/>
    </row>
    <row r="37" spans="1:6" ht="38.25">
      <c r="A37" s="4" t="s">
        <v>79</v>
      </c>
      <c r="C37" s="4" t="s">
        <v>16</v>
      </c>
      <c r="D37" s="63" t="s">
        <v>70</v>
      </c>
      <c r="E37" s="63" t="s">
        <v>69</v>
      </c>
      <c r="F37" s="63"/>
    </row>
    <row r="38" spans="1:5" ht="12.75">
      <c r="A38" t="str">
        <f>A17</f>
        <v>Nov</v>
      </c>
      <c r="C38" s="3">
        <f>C17</f>
        <v>57.49862777518165</v>
      </c>
      <c r="D38">
        <f>'D.9'!E30</f>
        <v>0.00593</v>
      </c>
      <c r="E38" s="72">
        <f>C38*D38</f>
        <v>0.34096686270682725</v>
      </c>
    </row>
    <row r="39" spans="1:5" ht="12.75">
      <c r="A39" t="str">
        <f>A18</f>
        <v>Dec</v>
      </c>
      <c r="C39" s="3">
        <f>C18</f>
        <v>110.04779629546019</v>
      </c>
      <c r="D39">
        <f>D38</f>
        <v>0.00593</v>
      </c>
      <c r="E39" s="72">
        <f>C39*D39</f>
        <v>0.6525834320320789</v>
      </c>
    </row>
    <row r="40" spans="1:5" ht="12.75">
      <c r="A40" t="str">
        <f aca="true" t="shared" si="5" ref="A40:A49">A7</f>
        <v>Jan</v>
      </c>
      <c r="C40" s="3">
        <f aca="true" t="shared" si="6" ref="C40:C49">C7</f>
        <v>124.37106824472518</v>
      </c>
      <c r="D40">
        <f aca="true" t="shared" si="7" ref="D40:D49">D39</f>
        <v>0.00593</v>
      </c>
      <c r="E40" s="72">
        <f aca="true" t="shared" si="8" ref="E40:E49">C40*D40</f>
        <v>0.7375204346912204</v>
      </c>
    </row>
    <row r="41" spans="1:5" ht="12.75">
      <c r="A41" t="str">
        <f t="shared" si="5"/>
        <v>Feb</v>
      </c>
      <c r="C41" s="3">
        <f t="shared" si="6"/>
        <v>116.737051908891</v>
      </c>
      <c r="D41">
        <f t="shared" si="7"/>
        <v>0.00593</v>
      </c>
      <c r="E41" s="72">
        <f t="shared" si="8"/>
        <v>0.6922507178197237</v>
      </c>
    </row>
    <row r="42" spans="1:5" ht="12.75">
      <c r="A42" t="str">
        <f t="shared" si="5"/>
        <v>Mar</v>
      </c>
      <c r="C42" s="3">
        <f t="shared" si="6"/>
        <v>90.13987466453528</v>
      </c>
      <c r="D42">
        <f t="shared" si="7"/>
        <v>0.00593</v>
      </c>
      <c r="E42" s="72">
        <f t="shared" si="8"/>
        <v>0.5345294567606943</v>
      </c>
    </row>
    <row r="43" spans="1:5" ht="12.75">
      <c r="A43" t="str">
        <f t="shared" si="5"/>
        <v>Apr</v>
      </c>
      <c r="C43" s="3">
        <f t="shared" si="6"/>
        <v>65.24788675566289</v>
      </c>
      <c r="D43">
        <f t="shared" si="7"/>
        <v>0.00593</v>
      </c>
      <c r="E43" s="72">
        <f t="shared" si="8"/>
        <v>0.38691996846108095</v>
      </c>
    </row>
    <row r="44" spans="1:5" ht="12.75">
      <c r="A44" t="str">
        <f t="shared" si="5"/>
        <v>May</v>
      </c>
      <c r="C44" s="3">
        <f t="shared" si="6"/>
        <v>39.58166286367125</v>
      </c>
      <c r="D44">
        <f t="shared" si="7"/>
        <v>0.00593</v>
      </c>
      <c r="E44" s="72">
        <f t="shared" si="8"/>
        <v>0.23471926078157052</v>
      </c>
    </row>
    <row r="45" spans="1:5" ht="12.75">
      <c r="A45" t="str">
        <f t="shared" si="5"/>
        <v>Jun</v>
      </c>
      <c r="C45" s="3">
        <f t="shared" si="6"/>
        <v>23.186176875854958</v>
      </c>
      <c r="D45">
        <f t="shared" si="7"/>
        <v>0.00593</v>
      </c>
      <c r="E45" s="72">
        <f t="shared" si="8"/>
        <v>0.13749402887381992</v>
      </c>
    </row>
    <row r="46" spans="1:5" ht="12.75">
      <c r="A46" t="str">
        <f t="shared" si="5"/>
        <v>Jul</v>
      </c>
      <c r="C46" s="3">
        <f t="shared" si="6"/>
        <v>15.467665313688077</v>
      </c>
      <c r="D46">
        <f t="shared" si="7"/>
        <v>0.00593</v>
      </c>
      <c r="E46" s="72">
        <f t="shared" si="8"/>
        <v>0.0917232553101703</v>
      </c>
    </row>
    <row r="47" spans="1:5" ht="12.75">
      <c r="A47" t="str">
        <f t="shared" si="5"/>
        <v>Aug</v>
      </c>
      <c r="C47" s="3">
        <f t="shared" si="6"/>
        <v>12.579507733226562</v>
      </c>
      <c r="D47">
        <f t="shared" si="7"/>
        <v>0.00593</v>
      </c>
      <c r="E47" s="72">
        <f t="shared" si="8"/>
        <v>0.07459648085803351</v>
      </c>
    </row>
    <row r="48" spans="1:5" ht="12.75">
      <c r="A48" t="str">
        <f t="shared" si="5"/>
        <v>Sep</v>
      </c>
      <c r="C48" s="3">
        <f t="shared" si="6"/>
        <v>14.648942880562833</v>
      </c>
      <c r="D48">
        <f t="shared" si="7"/>
        <v>0.00593</v>
      </c>
      <c r="E48" s="72">
        <f t="shared" si="8"/>
        <v>0.08686823128173761</v>
      </c>
    </row>
    <row r="49" spans="1:5" ht="12.75">
      <c r="A49" t="str">
        <f t="shared" si="5"/>
        <v>Oct</v>
      </c>
      <c r="C49" s="3">
        <f t="shared" si="6"/>
        <v>26.493738688540105</v>
      </c>
      <c r="D49">
        <f t="shared" si="7"/>
        <v>0.00593</v>
      </c>
      <c r="E49" s="72">
        <f t="shared" si="8"/>
        <v>0.15710787042304283</v>
      </c>
    </row>
    <row r="50" spans="1:5" ht="12.75">
      <c r="A50" s="64" t="s">
        <v>71</v>
      </c>
      <c r="C50" s="3"/>
      <c r="E50" s="76">
        <f>SUM(E38:E49)</f>
        <v>4.12728</v>
      </c>
    </row>
    <row r="51" ht="13.5" thickBot="1"/>
    <row r="52" spans="1:2" ht="42" customHeight="1" thickTop="1">
      <c r="A52" s="127" t="s">
        <v>83</v>
      </c>
      <c r="B52" s="104"/>
    </row>
    <row r="53" spans="1:2" ht="12.75">
      <c r="A53" s="79" t="s">
        <v>80</v>
      </c>
      <c r="B53" s="80">
        <f>E34</f>
        <v>1.7887199999999992</v>
      </c>
    </row>
    <row r="54" spans="1:2" ht="13.5" thickBot="1">
      <c r="A54" s="77" t="s">
        <v>81</v>
      </c>
      <c r="B54" s="78">
        <f>E50</f>
        <v>4.12728</v>
      </c>
    </row>
    <row r="55" ht="13.5" thickTop="1"/>
  </sheetData>
  <mergeCells count="4">
    <mergeCell ref="C36:E36"/>
    <mergeCell ref="A6:B6"/>
    <mergeCell ref="C20:E20"/>
    <mergeCell ref="A52:B52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&amp;C&amp;"Arial,Bold"&amp;12Exhibit K-10 Average LIRAP-LIHEAP Participant Schedule 159 Surcharge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K22" sqref="K22"/>
    </sheetView>
  </sheetViews>
  <sheetFormatPr defaultColWidth="9.140625" defaultRowHeight="12.75"/>
  <cols>
    <col min="1" max="1" width="8.00390625" style="0" customWidth="1"/>
    <col min="2" max="2" width="4.57421875" style="0" customWidth="1"/>
    <col min="3" max="3" width="6.28125" style="0" customWidth="1"/>
    <col min="4" max="12" width="6.7109375" style="0" customWidth="1"/>
  </cols>
  <sheetData>
    <row r="1" spans="1:12" ht="12.75">
      <c r="A1" s="128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3.5" customHeight="1">
      <c r="A2" s="131"/>
      <c r="B2" s="132"/>
      <c r="C2" s="132"/>
      <c r="D2" s="129" t="s">
        <v>37</v>
      </c>
      <c r="E2" s="129"/>
      <c r="F2" s="129"/>
      <c r="G2" s="129" t="s">
        <v>67</v>
      </c>
      <c r="H2" s="129"/>
      <c r="I2" s="129"/>
      <c r="J2" s="129" t="s">
        <v>38</v>
      </c>
      <c r="K2" s="129"/>
      <c r="L2" s="130"/>
    </row>
    <row r="3" spans="1:12" s="4" customFormat="1" ht="12.75">
      <c r="A3" s="131" t="s">
        <v>86</v>
      </c>
      <c r="B3" s="132"/>
      <c r="C3" s="132"/>
      <c r="D3" s="132">
        <f>'D.9'!B24</f>
        <v>696</v>
      </c>
      <c r="E3" s="132"/>
      <c r="F3" s="132"/>
      <c r="G3" s="132">
        <f>'D.9'!B25</f>
        <v>696</v>
      </c>
      <c r="H3" s="132"/>
      <c r="I3" s="132"/>
      <c r="J3" s="132">
        <f>'D.9'!B26</f>
        <v>828</v>
      </c>
      <c r="K3" s="132"/>
      <c r="L3" s="135"/>
    </row>
    <row r="4" spans="1:12" s="4" customFormat="1" ht="25.5">
      <c r="A4" s="133" t="s">
        <v>87</v>
      </c>
      <c r="B4" s="134"/>
      <c r="C4" s="134"/>
      <c r="D4" s="87" t="s">
        <v>89</v>
      </c>
      <c r="E4" s="87" t="s">
        <v>90</v>
      </c>
      <c r="F4" s="87" t="s">
        <v>91</v>
      </c>
      <c r="G4" s="87" t="s">
        <v>89</v>
      </c>
      <c r="H4" s="87" t="s">
        <v>90</v>
      </c>
      <c r="I4" s="87" t="s">
        <v>91</v>
      </c>
      <c r="J4" s="87" t="s">
        <v>89</v>
      </c>
      <c r="K4" s="87" t="s">
        <v>90</v>
      </c>
      <c r="L4" s="88" t="s">
        <v>91</v>
      </c>
    </row>
    <row r="5" spans="1:12" ht="13.5" thickBot="1">
      <c r="A5" s="131" t="s">
        <v>85</v>
      </c>
      <c r="B5" s="132"/>
      <c r="C5" s="132"/>
      <c r="D5" s="82">
        <f>'D.9'!D30</f>
        <v>0.00257</v>
      </c>
      <c r="E5" s="82">
        <f>'D.9'!E30</f>
        <v>0.00593</v>
      </c>
      <c r="F5" s="82">
        <f>'D.9'!F30</f>
        <v>0.0003</v>
      </c>
      <c r="G5" s="82">
        <f aca="true" t="shared" si="0" ref="G5:L5">D5</f>
        <v>0.00257</v>
      </c>
      <c r="H5" s="82">
        <f t="shared" si="0"/>
        <v>0.00593</v>
      </c>
      <c r="I5" s="82">
        <f t="shared" si="0"/>
        <v>0.0003</v>
      </c>
      <c r="J5" s="82">
        <f t="shared" si="0"/>
        <v>0.00257</v>
      </c>
      <c r="K5" s="82">
        <f t="shared" si="0"/>
        <v>0.00593</v>
      </c>
      <c r="L5" s="83">
        <f t="shared" si="0"/>
        <v>0.0003</v>
      </c>
    </row>
    <row r="6" spans="1:12" ht="13.5" thickTop="1">
      <c r="A6" s="136" t="s">
        <v>84</v>
      </c>
      <c r="B6" s="86" t="s">
        <v>65</v>
      </c>
      <c r="C6" s="85">
        <v>0.08261297094135295</v>
      </c>
      <c r="D6" s="89">
        <f>$D$3*D$5*$C6</f>
        <v>0.14777147338221683</v>
      </c>
      <c r="E6" s="90">
        <f>$D$3*E$5*$C6</f>
        <v>0.3409668627068272</v>
      </c>
      <c r="F6" s="90">
        <f>$D$3*F$5*$C6</f>
        <v>0.017249588332554494</v>
      </c>
      <c r="G6" s="89">
        <f>$G$3*G$5*$C6</f>
        <v>0.14777147338221683</v>
      </c>
      <c r="H6" s="90">
        <f aca="true" t="shared" si="1" ref="H6:I17">$G$3*H$5*$C6</f>
        <v>0.3409668627068272</v>
      </c>
      <c r="I6" s="90">
        <f t="shared" si="1"/>
        <v>0.017249588332554494</v>
      </c>
      <c r="J6" s="89">
        <f>$J$3*J$5*$C6</f>
        <v>0.1757970976443614</v>
      </c>
      <c r="K6" s="90">
        <f aca="true" t="shared" si="2" ref="K6:L17">$J$3*K$5*$C6</f>
        <v>0.40563299184088064</v>
      </c>
      <c r="L6" s="91">
        <f t="shared" si="2"/>
        <v>0.02052106198183207</v>
      </c>
    </row>
    <row r="7" spans="1:12" ht="12.75">
      <c r="A7" s="137"/>
      <c r="B7" s="84" t="s">
        <v>66</v>
      </c>
      <c r="C7" s="81">
        <v>0.15811464984979912</v>
      </c>
      <c r="D7" s="92">
        <f aca="true" t="shared" si="3" ref="D7:D17">$D$3*D$5*$C7</f>
        <v>0.28282283647933265</v>
      </c>
      <c r="E7" s="93">
        <f aca="true" t="shared" si="4" ref="E7:F17">$D$3*E$5*$C7</f>
        <v>0.6525834320320789</v>
      </c>
      <c r="F7" s="93">
        <f t="shared" si="4"/>
        <v>0.033014338888638056</v>
      </c>
      <c r="G7" s="92">
        <f aca="true" t="shared" si="5" ref="G7:G17">$G$3*G$5*$C7</f>
        <v>0.28282283647933265</v>
      </c>
      <c r="H7" s="93">
        <f t="shared" si="1"/>
        <v>0.6525834320320789</v>
      </c>
      <c r="I7" s="93">
        <f t="shared" si="1"/>
        <v>0.033014338888638056</v>
      </c>
      <c r="J7" s="92">
        <f aca="true" t="shared" si="6" ref="J7:J17">$J$3*J$5*$C7</f>
        <v>0.3364616502943785</v>
      </c>
      <c r="K7" s="93">
        <f t="shared" si="2"/>
        <v>0.7763492553485077</v>
      </c>
      <c r="L7" s="94">
        <f t="shared" si="2"/>
        <v>0.0392756790226901</v>
      </c>
    </row>
    <row r="8" spans="1:12" ht="12.75">
      <c r="A8" s="136"/>
      <c r="B8" s="86" t="s">
        <v>56</v>
      </c>
      <c r="C8" s="85">
        <v>0.17869406357000744</v>
      </c>
      <c r="D8" s="95">
        <f t="shared" si="3"/>
        <v>0.3196336453889437</v>
      </c>
      <c r="E8" s="96">
        <f t="shared" si="4"/>
        <v>0.7375204346912203</v>
      </c>
      <c r="F8" s="96">
        <f t="shared" si="4"/>
        <v>0.03731132047341755</v>
      </c>
      <c r="G8" s="95">
        <f t="shared" si="5"/>
        <v>0.3196336453889437</v>
      </c>
      <c r="H8" s="96">
        <f t="shared" si="1"/>
        <v>0.7375204346912203</v>
      </c>
      <c r="I8" s="96">
        <f t="shared" si="1"/>
        <v>0.03731132047341755</v>
      </c>
      <c r="J8" s="95">
        <f t="shared" si="6"/>
        <v>0.380253819514433</v>
      </c>
      <c r="K8" s="96">
        <f t="shared" si="2"/>
        <v>0.8773949998912794</v>
      </c>
      <c r="L8" s="97">
        <f t="shared" si="2"/>
        <v>0.04438760539078985</v>
      </c>
    </row>
    <row r="9" spans="1:12" ht="12.75">
      <c r="A9" s="137"/>
      <c r="B9" s="84" t="s">
        <v>57</v>
      </c>
      <c r="C9" s="81">
        <v>0.16772564929438363</v>
      </c>
      <c r="D9" s="92">
        <f t="shared" si="3"/>
        <v>0.3000142234058499</v>
      </c>
      <c r="E9" s="93">
        <f t="shared" si="4"/>
        <v>0.6922507178197237</v>
      </c>
      <c r="F9" s="93">
        <f t="shared" si="4"/>
        <v>0.0350211155726673</v>
      </c>
      <c r="G9" s="92">
        <f t="shared" si="5"/>
        <v>0.3000142234058499</v>
      </c>
      <c r="H9" s="93">
        <f t="shared" si="1"/>
        <v>0.6922507178197237</v>
      </c>
      <c r="I9" s="93">
        <f t="shared" si="1"/>
        <v>0.0350211155726673</v>
      </c>
      <c r="J9" s="92">
        <f t="shared" si="6"/>
        <v>0.3569134726724766</v>
      </c>
      <c r="K9" s="93">
        <f t="shared" si="2"/>
        <v>0.8235396470613955</v>
      </c>
      <c r="L9" s="94">
        <f t="shared" si="2"/>
        <v>0.04166305128472489</v>
      </c>
    </row>
    <row r="10" spans="1:12" ht="12.75">
      <c r="A10" s="136"/>
      <c r="B10" s="86" t="s">
        <v>58</v>
      </c>
      <c r="C10" s="85">
        <v>0.12951131417318287</v>
      </c>
      <c r="D10" s="95">
        <f t="shared" si="3"/>
        <v>0.23165947788785565</v>
      </c>
      <c r="E10" s="96">
        <f t="shared" si="4"/>
        <v>0.5345294567606942</v>
      </c>
      <c r="F10" s="96">
        <f t="shared" si="4"/>
        <v>0.027041962399360582</v>
      </c>
      <c r="G10" s="95">
        <f t="shared" si="5"/>
        <v>0.23165947788785565</v>
      </c>
      <c r="H10" s="96">
        <f t="shared" si="1"/>
        <v>0.5345294567606942</v>
      </c>
      <c r="I10" s="96">
        <f t="shared" si="1"/>
        <v>0.027041962399360582</v>
      </c>
      <c r="J10" s="95">
        <f t="shared" si="6"/>
        <v>0.2755948961079662</v>
      </c>
      <c r="K10" s="96">
        <f t="shared" si="2"/>
        <v>0.6359057330428949</v>
      </c>
      <c r="L10" s="97">
        <f t="shared" si="2"/>
        <v>0.03217061044061862</v>
      </c>
    </row>
    <row r="11" spans="1:12" ht="12.75">
      <c r="A11" s="137"/>
      <c r="B11" s="84" t="s">
        <v>59</v>
      </c>
      <c r="C11" s="81">
        <v>0.09374696372940071</v>
      </c>
      <c r="D11" s="92">
        <f t="shared" si="3"/>
        <v>0.16768706896205363</v>
      </c>
      <c r="E11" s="93">
        <f t="shared" si="4"/>
        <v>0.38691996846108095</v>
      </c>
      <c r="F11" s="93">
        <f t="shared" si="4"/>
        <v>0.019574366026698868</v>
      </c>
      <c r="G11" s="92">
        <f t="shared" si="5"/>
        <v>0.16768706896205363</v>
      </c>
      <c r="H11" s="93">
        <f t="shared" si="1"/>
        <v>0.38691996846108095</v>
      </c>
      <c r="I11" s="93">
        <f t="shared" si="1"/>
        <v>0.019574366026698868</v>
      </c>
      <c r="J11" s="92">
        <f t="shared" si="6"/>
        <v>0.19948978893761551</v>
      </c>
      <c r="K11" s="93">
        <f t="shared" si="2"/>
        <v>0.46030134178990667</v>
      </c>
      <c r="L11" s="94">
        <f t="shared" si="2"/>
        <v>0.023286745790383135</v>
      </c>
    </row>
    <row r="12" spans="1:12" ht="12.75">
      <c r="A12" s="136"/>
      <c r="B12" s="86" t="s">
        <v>23</v>
      </c>
      <c r="C12" s="85">
        <v>0.05687020526389547</v>
      </c>
      <c r="D12" s="95">
        <f t="shared" si="3"/>
        <v>0.1017248735596351</v>
      </c>
      <c r="E12" s="96">
        <f t="shared" si="4"/>
        <v>0.2347192607815705</v>
      </c>
      <c r="F12" s="96">
        <f t="shared" si="4"/>
        <v>0.011874498859101372</v>
      </c>
      <c r="G12" s="95">
        <f t="shared" si="5"/>
        <v>0.1017248735596351</v>
      </c>
      <c r="H12" s="96">
        <f t="shared" si="1"/>
        <v>0.2347192607815705</v>
      </c>
      <c r="I12" s="96">
        <f t="shared" si="1"/>
        <v>0.011874498859101372</v>
      </c>
      <c r="J12" s="95">
        <f t="shared" si="6"/>
        <v>0.121017521993359</v>
      </c>
      <c r="K12" s="96">
        <f t="shared" si="2"/>
        <v>0.2792349826539373</v>
      </c>
      <c r="L12" s="97">
        <f t="shared" si="2"/>
        <v>0.014126558987551633</v>
      </c>
    </row>
    <row r="13" spans="1:12" ht="12.75">
      <c r="A13" s="137"/>
      <c r="B13" s="84" t="s">
        <v>60</v>
      </c>
      <c r="C13" s="81">
        <v>0.033313472522780115</v>
      </c>
      <c r="D13" s="92">
        <f t="shared" si="3"/>
        <v>0.05958847457094724</v>
      </c>
      <c r="E13" s="93">
        <f t="shared" si="4"/>
        <v>0.1374940288738199</v>
      </c>
      <c r="F13" s="93">
        <f t="shared" si="4"/>
        <v>0.006955853062756487</v>
      </c>
      <c r="G13" s="92">
        <f t="shared" si="5"/>
        <v>0.05958847457094724</v>
      </c>
      <c r="H13" s="93">
        <f t="shared" si="1"/>
        <v>0.1374940288738199</v>
      </c>
      <c r="I13" s="93">
        <f t="shared" si="1"/>
        <v>0.006955853062756487</v>
      </c>
      <c r="J13" s="92">
        <f t="shared" si="6"/>
        <v>0.07088973698957517</v>
      </c>
      <c r="K13" s="93">
        <f t="shared" si="2"/>
        <v>0.16357048262575127</v>
      </c>
      <c r="L13" s="94">
        <f t="shared" si="2"/>
        <v>0.00827506657465858</v>
      </c>
    </row>
    <row r="14" spans="1:12" ht="12.75">
      <c r="A14" s="136"/>
      <c r="B14" s="86" t="s">
        <v>61</v>
      </c>
      <c r="C14" s="85">
        <v>0.02222365705989666</v>
      </c>
      <c r="D14" s="95">
        <f t="shared" si="3"/>
        <v>0.03975189985617835</v>
      </c>
      <c r="E14" s="96">
        <f t="shared" si="4"/>
        <v>0.0917232553101703</v>
      </c>
      <c r="F14" s="96">
        <f t="shared" si="4"/>
        <v>0.0046402995941064226</v>
      </c>
      <c r="G14" s="95">
        <f t="shared" si="5"/>
        <v>0.03975189985617835</v>
      </c>
      <c r="H14" s="96">
        <f t="shared" si="1"/>
        <v>0.0917232553101703</v>
      </c>
      <c r="I14" s="96">
        <f t="shared" si="1"/>
        <v>0.0046402995941064226</v>
      </c>
      <c r="J14" s="95">
        <f t="shared" si="6"/>
        <v>0.0472910532771777</v>
      </c>
      <c r="K14" s="96">
        <f t="shared" si="2"/>
        <v>0.10911904511037501</v>
      </c>
      <c r="L14" s="97">
        <f t="shared" si="2"/>
        <v>0.00552035641367833</v>
      </c>
    </row>
    <row r="15" spans="1:12" ht="12.75">
      <c r="A15" s="137"/>
      <c r="B15" s="84" t="s">
        <v>62</v>
      </c>
      <c r="C15" s="81">
        <v>0.018074005363831268</v>
      </c>
      <c r="D15" s="92">
        <f t="shared" si="3"/>
        <v>0.03232933487439226</v>
      </c>
      <c r="E15" s="93">
        <f t="shared" si="4"/>
        <v>0.07459648085803351</v>
      </c>
      <c r="F15" s="93">
        <f t="shared" si="4"/>
        <v>0.0037738523199679686</v>
      </c>
      <c r="G15" s="92">
        <f t="shared" si="5"/>
        <v>0.03232933487439226</v>
      </c>
      <c r="H15" s="93">
        <f t="shared" si="1"/>
        <v>0.07459648085803351</v>
      </c>
      <c r="I15" s="93">
        <f t="shared" si="1"/>
        <v>0.0037738523199679686</v>
      </c>
      <c r="J15" s="92">
        <f t="shared" si="6"/>
        <v>0.03846076045401838</v>
      </c>
      <c r="K15" s="93">
        <f t="shared" si="2"/>
        <v>0.08874408929662608</v>
      </c>
      <c r="L15" s="94">
        <f t="shared" si="2"/>
        <v>0.004489582932375687</v>
      </c>
    </row>
    <row r="16" spans="1:12" ht="12.75">
      <c r="A16" s="136"/>
      <c r="B16" s="86" t="s">
        <v>63</v>
      </c>
      <c r="C16" s="85">
        <v>0.021047331724946598</v>
      </c>
      <c r="D16" s="95">
        <f t="shared" si="3"/>
        <v>0.03764778320304648</v>
      </c>
      <c r="E16" s="96">
        <f t="shared" si="4"/>
        <v>0.0868682312817376</v>
      </c>
      <c r="F16" s="96">
        <f t="shared" si="4"/>
        <v>0.00439468286416885</v>
      </c>
      <c r="G16" s="95">
        <f t="shared" si="5"/>
        <v>0.03764778320304648</v>
      </c>
      <c r="H16" s="96">
        <f t="shared" si="1"/>
        <v>0.0868682312817376</v>
      </c>
      <c r="I16" s="96">
        <f t="shared" si="1"/>
        <v>0.00439468286416885</v>
      </c>
      <c r="J16" s="95">
        <f t="shared" si="6"/>
        <v>0.04478788001741736</v>
      </c>
      <c r="K16" s="96">
        <f t="shared" si="2"/>
        <v>0.10334324066275681</v>
      </c>
      <c r="L16" s="97">
        <f t="shared" si="2"/>
        <v>0.005228157200476735</v>
      </c>
    </row>
    <row r="17" spans="1:12" ht="12.75">
      <c r="A17" s="138"/>
      <c r="B17" s="84" t="s">
        <v>64</v>
      </c>
      <c r="C17" s="81">
        <v>0.03806571650652314</v>
      </c>
      <c r="D17" s="92">
        <f t="shared" si="3"/>
        <v>0.06808890842954807</v>
      </c>
      <c r="E17" s="93">
        <f t="shared" si="4"/>
        <v>0.15710787042304283</v>
      </c>
      <c r="F17" s="93">
        <f t="shared" si="4"/>
        <v>0.007948121606562032</v>
      </c>
      <c r="G17" s="92">
        <f t="shared" si="5"/>
        <v>0.06808890842954807</v>
      </c>
      <c r="H17" s="93">
        <f t="shared" si="1"/>
        <v>0.15710787042304283</v>
      </c>
      <c r="I17" s="93">
        <f t="shared" si="1"/>
        <v>0.007948121606562032</v>
      </c>
      <c r="J17" s="92">
        <f t="shared" si="6"/>
        <v>0.08100232209722098</v>
      </c>
      <c r="K17" s="93">
        <f t="shared" si="2"/>
        <v>0.1869041906756889</v>
      </c>
      <c r="L17" s="94">
        <f t="shared" si="2"/>
        <v>0.009455523980220348</v>
      </c>
    </row>
    <row r="18" spans="1:12" s="64" customFormat="1" ht="12.75">
      <c r="A18" s="142" t="s">
        <v>88</v>
      </c>
      <c r="B18" s="143"/>
      <c r="C18" s="144"/>
      <c r="D18" s="98">
        <f aca="true" t="shared" si="7" ref="D18:L18">SUM(D6:D17)</f>
        <v>1.7887199999999992</v>
      </c>
      <c r="E18" s="99">
        <f t="shared" si="7"/>
        <v>4.12728</v>
      </c>
      <c r="F18" s="99">
        <f t="shared" si="7"/>
        <v>0.20879999999999999</v>
      </c>
      <c r="G18" s="98">
        <f t="shared" si="7"/>
        <v>1.7887199999999992</v>
      </c>
      <c r="H18" s="99">
        <f t="shared" si="7"/>
        <v>4.12728</v>
      </c>
      <c r="I18" s="99">
        <f t="shared" si="7"/>
        <v>0.20879999999999999</v>
      </c>
      <c r="J18" s="98">
        <f t="shared" si="7"/>
        <v>2.12796</v>
      </c>
      <c r="K18" s="99">
        <f t="shared" si="7"/>
        <v>4.91004</v>
      </c>
      <c r="L18" s="100">
        <f t="shared" si="7"/>
        <v>0.24839999999999995</v>
      </c>
    </row>
    <row r="19" spans="1:12" ht="13.5" thickBot="1">
      <c r="A19" s="145"/>
      <c r="B19" s="146"/>
      <c r="C19" s="147"/>
      <c r="D19" s="139">
        <f>SUM(D18:F18)</f>
        <v>6.124799999999999</v>
      </c>
      <c r="E19" s="140"/>
      <c r="F19" s="141"/>
      <c r="G19" s="139">
        <f>SUM(G18:I18)</f>
        <v>6.124799999999999</v>
      </c>
      <c r="H19" s="140"/>
      <c r="I19" s="141"/>
      <c r="J19" s="139">
        <f>SUM(J18:L18)</f>
        <v>7.2864</v>
      </c>
      <c r="K19" s="140"/>
      <c r="L19" s="141"/>
    </row>
    <row r="20" ht="13.5" thickTop="1"/>
    <row r="21" spans="1:5" ht="12.75" customHeight="1">
      <c r="A21" s="105" t="s">
        <v>97</v>
      </c>
      <c r="B21" s="105"/>
      <c r="C21" s="105"/>
      <c r="D21" s="105"/>
      <c r="E21" s="105"/>
    </row>
    <row r="22" spans="1:5" ht="12.75">
      <c r="A22" s="105"/>
      <c r="B22" s="105"/>
      <c r="C22" s="105"/>
      <c r="D22" s="105"/>
      <c r="E22" s="105"/>
    </row>
    <row r="23" spans="1:5" ht="12.75">
      <c r="A23" s="105"/>
      <c r="B23" s="105"/>
      <c r="C23" s="105"/>
      <c r="D23" s="105"/>
      <c r="E23" s="105"/>
    </row>
  </sheetData>
  <mergeCells count="17">
    <mergeCell ref="D3:F3"/>
    <mergeCell ref="G3:I3"/>
    <mergeCell ref="A6:A17"/>
    <mergeCell ref="J19:L19"/>
    <mergeCell ref="A18:C19"/>
    <mergeCell ref="D19:F19"/>
    <mergeCell ref="G19:I19"/>
    <mergeCell ref="A21:E23"/>
    <mergeCell ref="A1:L1"/>
    <mergeCell ref="A3:C3"/>
    <mergeCell ref="A5:C5"/>
    <mergeCell ref="A2:C2"/>
    <mergeCell ref="A4:C4"/>
    <mergeCell ref="D2:F2"/>
    <mergeCell ref="G2:I2"/>
    <mergeCell ref="J2:L2"/>
    <mergeCell ref="J3:L3"/>
  </mergeCells>
  <printOptions horizontalCentered="1"/>
  <pageMargins left="0.75" right="0.75" top="2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steve vock</cp:lastModifiedBy>
  <cp:lastPrinted>2009-03-30T15:27:42Z</cp:lastPrinted>
  <dcterms:created xsi:type="dcterms:W3CDTF">2008-10-20T20:28:46Z</dcterms:created>
  <dcterms:modified xsi:type="dcterms:W3CDTF">2009-03-30T15:31:25Z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