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13_ncr:1_{CB407C49-5573-489F-838D-5749E57D2D79}" xr6:coauthVersionLast="47" xr6:coauthVersionMax="47" xr10:uidLastSave="{00000000-0000-0000-0000-000000000000}"/>
  <bookViews>
    <workbookView xWindow="240" yWindow="315" windowWidth="25230" windowHeight="13770" activeTab="4" xr2:uid="{4538A010-42C4-4421-B917-1CC34CAD76F1}"/>
  </bookViews>
  <sheets>
    <sheet name="Exh CTM-9 (Page 1)" sheetId="1" r:id="rId1"/>
    <sheet name="Exh CTM-9 (Page 2)" sheetId="2" r:id="rId2"/>
    <sheet name="Exh CTM-9 (Page 3)" sheetId="3" r:id="rId3"/>
    <sheet name="Exh CTM-9 (Page 3a)" sheetId="4" r:id="rId4"/>
    <sheet name="Exh CTM-9 (Page 4-5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T1" i="5" s="1"/>
  <c r="A2" i="5"/>
  <c r="T2" i="5"/>
  <c r="A3" i="5"/>
  <c r="T3" i="5" s="1"/>
  <c r="T4" i="5"/>
  <c r="A5" i="5"/>
  <c r="T5" i="5"/>
  <c r="B10" i="5"/>
  <c r="U10" i="5" s="1"/>
  <c r="U35" i="5" s="1"/>
  <c r="A11" i="5"/>
  <c r="R11" i="5"/>
  <c r="K12" i="5" s="1"/>
  <c r="P12" i="5"/>
  <c r="T11" i="5"/>
  <c r="V11" i="5"/>
  <c r="W11" i="5"/>
  <c r="A12" i="5"/>
  <c r="T12" i="5"/>
  <c r="V12" i="5"/>
  <c r="W12" i="5"/>
  <c r="A13" i="5"/>
  <c r="A14" i="5" s="1"/>
  <c r="A15" i="5" s="1"/>
  <c r="A16" i="5" s="1"/>
  <c r="B14" i="5"/>
  <c r="U14" i="5" s="1"/>
  <c r="U39" i="5" s="1"/>
  <c r="C15" i="5"/>
  <c r="D15" i="5"/>
  <c r="R15" i="5"/>
  <c r="V15" i="5"/>
  <c r="W15" i="5"/>
  <c r="W23" i="5" s="1"/>
  <c r="C16" i="5"/>
  <c r="V16" i="5"/>
  <c r="W16" i="5"/>
  <c r="B18" i="5"/>
  <c r="C19" i="5"/>
  <c r="D19" i="5"/>
  <c r="V19" i="5"/>
  <c r="W19" i="5"/>
  <c r="C20" i="5"/>
  <c r="V20" i="5"/>
  <c r="W20" i="5"/>
  <c r="U22" i="5"/>
  <c r="C23" i="5"/>
  <c r="D23" i="5"/>
  <c r="V23" i="5"/>
  <c r="C24" i="5"/>
  <c r="V24" i="5"/>
  <c r="W24" i="5"/>
  <c r="B26" i="5"/>
  <c r="U26" i="5" s="1"/>
  <c r="U51" i="5" s="1"/>
  <c r="D27" i="5"/>
  <c r="V27" i="5"/>
  <c r="W27" i="5"/>
  <c r="C28" i="5"/>
  <c r="V28" i="5" s="1"/>
  <c r="V32" i="5" s="1"/>
  <c r="W28" i="5"/>
  <c r="B30" i="5"/>
  <c r="U30" i="5"/>
  <c r="U55" i="5" s="1"/>
  <c r="C31" i="5"/>
  <c r="D31" i="5"/>
  <c r="V31" i="5"/>
  <c r="W31" i="5"/>
  <c r="AK31" i="5"/>
  <c r="C32" i="5"/>
  <c r="W32" i="5"/>
  <c r="B35" i="5"/>
  <c r="V36" i="5"/>
  <c r="W36" i="5"/>
  <c r="X37" i="5"/>
  <c r="B39" i="5"/>
  <c r="C40" i="5"/>
  <c r="D40" i="5"/>
  <c r="V40" i="5"/>
  <c r="W40" i="5"/>
  <c r="C41" i="5"/>
  <c r="X41" i="5"/>
  <c r="C44" i="5"/>
  <c r="D44" i="5"/>
  <c r="V44" i="5"/>
  <c r="W44" i="5"/>
  <c r="C45" i="5"/>
  <c r="X45" i="5"/>
  <c r="B47" i="5"/>
  <c r="U47" i="5"/>
  <c r="C48" i="5"/>
  <c r="D48" i="5"/>
  <c r="V48" i="5"/>
  <c r="W48" i="5"/>
  <c r="C49" i="5"/>
  <c r="X49" i="5"/>
  <c r="B51" i="5"/>
  <c r="C52" i="5"/>
  <c r="D52" i="5"/>
  <c r="V52" i="5"/>
  <c r="W52" i="5"/>
  <c r="C53" i="5"/>
  <c r="X53" i="5"/>
  <c r="B55" i="5"/>
  <c r="C56" i="5"/>
  <c r="D56" i="5"/>
  <c r="V56" i="5"/>
  <c r="W56" i="5"/>
  <c r="C57" i="5"/>
  <c r="X57" i="5"/>
  <c r="A1" i="4"/>
  <c r="A2" i="4"/>
  <c r="A3" i="4"/>
  <c r="A5" i="4"/>
  <c r="E8" i="4"/>
  <c r="G8" i="4"/>
  <c r="G21" i="4" s="1"/>
  <c r="A13" i="4"/>
  <c r="C13" i="4"/>
  <c r="C14" i="4"/>
  <c r="C27" i="4" s="1"/>
  <c r="B18" i="4"/>
  <c r="E21" i="4"/>
  <c r="E22" i="4"/>
  <c r="F22" i="4"/>
  <c r="G22" i="4"/>
  <c r="H22" i="4"/>
  <c r="E23" i="4"/>
  <c r="F23" i="4"/>
  <c r="G23" i="4"/>
  <c r="H23" i="4"/>
  <c r="C26" i="4"/>
  <c r="A1" i="3"/>
  <c r="A2" i="3"/>
  <c r="A3" i="3"/>
  <c r="A5" i="3"/>
  <c r="E9" i="3"/>
  <c r="F9" i="3"/>
  <c r="G9" i="3"/>
  <c r="A12" i="3"/>
  <c r="C12" i="3"/>
  <c r="C13" i="3"/>
  <c r="C24" i="3" s="1"/>
  <c r="B16" i="3"/>
  <c r="E19" i="3"/>
  <c r="F19" i="3"/>
  <c r="G19" i="3"/>
  <c r="H19" i="3"/>
  <c r="E20" i="3"/>
  <c r="F20" i="3"/>
  <c r="G20" i="3"/>
  <c r="H20" i="3"/>
  <c r="C23" i="3"/>
  <c r="A1" i="2"/>
  <c r="A2" i="2"/>
  <c r="A3" i="2"/>
  <c r="A5" i="2"/>
  <c r="D9" i="2"/>
  <c r="E9" i="2"/>
  <c r="F9" i="2"/>
  <c r="H9" i="2"/>
  <c r="I9" i="2"/>
  <c r="A12" i="2"/>
  <c r="E12" i="2"/>
  <c r="A13" i="2"/>
  <c r="A14" i="2"/>
  <c r="C14" i="2"/>
  <c r="E14" i="2"/>
  <c r="R40" i="5" s="1"/>
  <c r="A15" i="2"/>
  <c r="A16" i="2"/>
  <c r="A17" i="2" s="1"/>
  <c r="B17" i="2"/>
  <c r="A18" i="2"/>
  <c r="A19" i="2" s="1"/>
  <c r="A20" i="2" s="1"/>
  <c r="A21" i="2" s="1"/>
  <c r="D20" i="2"/>
  <c r="E20" i="2"/>
  <c r="F20" i="2"/>
  <c r="G20" i="2"/>
  <c r="H20" i="2"/>
  <c r="I20" i="2"/>
  <c r="D21" i="2"/>
  <c r="E21" i="2"/>
  <c r="F21" i="2"/>
  <c r="G21" i="2"/>
  <c r="H21" i="2"/>
  <c r="I21" i="2"/>
  <c r="A22" i="2"/>
  <c r="A23" i="2" s="1"/>
  <c r="A24" i="2" s="1"/>
  <c r="C24" i="2"/>
  <c r="C25" i="2"/>
  <c r="A12" i="1"/>
  <c r="H14" i="1"/>
  <c r="I14" i="1"/>
  <c r="I16" i="1" s="1"/>
  <c r="F12" i="1"/>
  <c r="A13" i="1"/>
  <c r="F13" i="1"/>
  <c r="G14" i="1"/>
  <c r="G16" i="1" s="1"/>
  <c r="A14" i="1"/>
  <c r="C14" i="1"/>
  <c r="D14" i="1"/>
  <c r="D16" i="1" s="1"/>
  <c r="E12" i="3" s="1"/>
  <c r="E14" i="3" s="1"/>
  <c r="E14" i="1"/>
  <c r="K14" i="1"/>
  <c r="L14" i="1"/>
  <c r="L16" i="1" s="1"/>
  <c r="M14" i="1"/>
  <c r="M16" i="1" s="1"/>
  <c r="A15" i="1"/>
  <c r="C15" i="1"/>
  <c r="K16" i="1"/>
  <c r="A16" i="1"/>
  <c r="C16" i="1"/>
  <c r="E16" i="1"/>
  <c r="F12" i="3" s="1"/>
  <c r="F14" i="3" s="1"/>
  <c r="A17" i="1"/>
  <c r="A18" i="1"/>
  <c r="A19" i="1" s="1"/>
  <c r="A20" i="1" s="1"/>
  <c r="A21" i="1" s="1"/>
  <c r="A22" i="1" s="1"/>
  <c r="A23" i="1" s="1"/>
  <c r="A24" i="1" s="1"/>
  <c r="A25" i="1" s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K22" i="1"/>
  <c r="L22" i="1"/>
  <c r="M22" i="1"/>
  <c r="C25" i="1"/>
  <c r="G27" i="1"/>
  <c r="G29" i="1" s="1"/>
  <c r="H23" i="3" s="1"/>
  <c r="H25" i="3" s="1"/>
  <c r="H27" i="1"/>
  <c r="H29" i="1" s="1"/>
  <c r="H24" i="2" s="1"/>
  <c r="H26" i="2" s="1"/>
  <c r="AK52" i="5" s="1"/>
  <c r="F25" i="1"/>
  <c r="C26" i="1"/>
  <c r="D27" i="1"/>
  <c r="D29" i="1" s="1"/>
  <c r="F26" i="1"/>
  <c r="M27" i="1"/>
  <c r="I27" i="1"/>
  <c r="I29" i="1" s="1"/>
  <c r="K27" i="1"/>
  <c r="K29" i="1" s="1"/>
  <c r="L27" i="1"/>
  <c r="C28" i="1"/>
  <c r="F28" i="1"/>
  <c r="L29" i="1"/>
  <c r="M29" i="1"/>
  <c r="AF32" i="5" l="1"/>
  <c r="Y32" i="5"/>
  <c r="AG32" i="5"/>
  <c r="AA32" i="5"/>
  <c r="AI32" i="5"/>
  <c r="AB32" i="5"/>
  <c r="AJ32" i="5"/>
  <c r="AE32" i="5"/>
  <c r="Z53" i="5"/>
  <c r="A26" i="1"/>
  <c r="A27" i="1" s="1"/>
  <c r="D24" i="2"/>
  <c r="D26" i="2" s="1"/>
  <c r="AK36" i="5" s="1"/>
  <c r="E23" i="3"/>
  <c r="E25" i="3" s="1"/>
  <c r="AD32" i="5"/>
  <c r="R31" i="5"/>
  <c r="G32" i="5" s="1"/>
  <c r="AI16" i="5"/>
  <c r="AA16" i="5"/>
  <c r="T13" i="5"/>
  <c r="T14" i="5" s="1"/>
  <c r="T15" i="5" s="1"/>
  <c r="T16" i="5" s="1"/>
  <c r="AE28" i="5"/>
  <c r="AE53" i="5" s="1"/>
  <c r="M16" i="5"/>
  <c r="E27" i="1"/>
  <c r="E29" i="1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C32" i="5"/>
  <c r="G16" i="5"/>
  <c r="O16" i="5"/>
  <c r="I16" i="5"/>
  <c r="Q16" i="5"/>
  <c r="J16" i="5"/>
  <c r="J41" i="5" s="1"/>
  <c r="K16" i="5"/>
  <c r="K41" i="5" s="1"/>
  <c r="F14" i="1"/>
  <c r="F16" i="1" s="1"/>
  <c r="D12" i="2"/>
  <c r="D14" i="2" s="1"/>
  <c r="R36" i="5" s="1"/>
  <c r="AK15" i="5"/>
  <c r="L16" i="5"/>
  <c r="Q12" i="5"/>
  <c r="I12" i="5"/>
  <c r="G12" i="2"/>
  <c r="G14" i="2" s="1"/>
  <c r="R48" i="5" s="1"/>
  <c r="H12" i="3"/>
  <c r="H14" i="3" s="1"/>
  <c r="G24" i="2"/>
  <c r="G26" i="2" s="1"/>
  <c r="AK48" i="5" s="1"/>
  <c r="AH32" i="5"/>
  <c r="Z32" i="5"/>
  <c r="AI24" i="5"/>
  <c r="F27" i="1"/>
  <c r="F29" i="1" s="1"/>
  <c r="H16" i="1"/>
  <c r="Q41" i="5"/>
  <c r="R27" i="5"/>
  <c r="L28" i="5" s="1"/>
  <c r="N16" i="5"/>
  <c r="AE16" i="5"/>
  <c r="A17" i="5"/>
  <c r="A18" i="5" s="1"/>
  <c r="A19" i="5" s="1"/>
  <c r="A20" i="5" s="1"/>
  <c r="AK11" i="5"/>
  <c r="AJ12" i="5" s="1"/>
  <c r="I24" i="2"/>
  <c r="I26" i="2" s="1"/>
  <c r="AK56" i="5" s="1"/>
  <c r="G28" i="4"/>
  <c r="H28" i="4"/>
  <c r="U18" i="5"/>
  <c r="U43" i="5" s="1"/>
  <c r="B43" i="5"/>
  <c r="G15" i="4"/>
  <c r="I12" i="2"/>
  <c r="I14" i="2" s="1"/>
  <c r="R56" i="5" s="1"/>
  <c r="H15" i="4"/>
  <c r="AF16" i="5"/>
  <c r="L12" i="5"/>
  <c r="J12" i="5"/>
  <c r="F12" i="5"/>
  <c r="N12" i="5"/>
  <c r="G12" i="5"/>
  <c r="O12" i="5"/>
  <c r="A25" i="2"/>
  <c r="A26" i="2" s="1"/>
  <c r="C26" i="2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K19" i="5"/>
  <c r="AE20" i="5" s="1"/>
  <c r="F16" i="5"/>
  <c r="L41" i="5"/>
  <c r="M41" i="5"/>
  <c r="F41" i="5"/>
  <c r="N41" i="5"/>
  <c r="G41" i="5"/>
  <c r="O41" i="5"/>
  <c r="AA24" i="5"/>
  <c r="R19" i="5"/>
  <c r="L20" i="5" s="1"/>
  <c r="E28" i="4"/>
  <c r="F28" i="4"/>
  <c r="I41" i="5"/>
  <c r="AK27" i="5"/>
  <c r="Z28" i="5"/>
  <c r="K24" i="5"/>
  <c r="P16" i="5"/>
  <c r="P41" i="5" s="1"/>
  <c r="H16" i="5"/>
  <c r="H41" i="5" s="1"/>
  <c r="M12" i="5"/>
  <c r="AK23" i="5"/>
  <c r="AD24" i="5" s="1"/>
  <c r="R23" i="5"/>
  <c r="H24" i="5" s="1"/>
  <c r="F15" i="1"/>
  <c r="H12" i="5"/>
  <c r="R12" i="5" l="1"/>
  <c r="AI12" i="5"/>
  <c r="C14" i="3"/>
  <c r="T17" i="5"/>
  <c r="T18" i="5" s="1"/>
  <c r="T19" i="5" s="1"/>
  <c r="T20" i="5" s="1"/>
  <c r="E24" i="2"/>
  <c r="E26" i="2" s="1"/>
  <c r="AK40" i="5" s="1"/>
  <c r="F23" i="3"/>
  <c r="F25" i="3" s="1"/>
  <c r="J28" i="5"/>
  <c r="K28" i="5"/>
  <c r="M28" i="5"/>
  <c r="F28" i="5"/>
  <c r="N28" i="5"/>
  <c r="I28" i="5"/>
  <c r="Q28" i="5"/>
  <c r="AH20" i="5"/>
  <c r="A24" i="3"/>
  <c r="A25" i="3" s="1"/>
  <c r="AA12" i="5"/>
  <c r="C15" i="4"/>
  <c r="A21" i="5"/>
  <c r="A22" i="5" s="1"/>
  <c r="A23" i="5" s="1"/>
  <c r="A24" i="5" s="1"/>
  <c r="AB12" i="5"/>
  <c r="AB37" i="5" s="1"/>
  <c r="AF12" i="5"/>
  <c r="AF37" i="5" s="1"/>
  <c r="AA37" i="5"/>
  <c r="AI37" i="5"/>
  <c r="AJ37" i="5"/>
  <c r="AE37" i="5"/>
  <c r="AH37" i="5"/>
  <c r="P28" i="5"/>
  <c r="AK32" i="5"/>
  <c r="AC20" i="5"/>
  <c r="AD20" i="5"/>
  <c r="AF20" i="5"/>
  <c r="Y20" i="5"/>
  <c r="AG20" i="5"/>
  <c r="AA20" i="5"/>
  <c r="AB20" i="5"/>
  <c r="AI20" i="5"/>
  <c r="AJ20" i="5"/>
  <c r="H37" i="5"/>
  <c r="P37" i="5"/>
  <c r="I37" i="5"/>
  <c r="Q37" i="5"/>
  <c r="J37" i="5"/>
  <c r="K37" i="5"/>
  <c r="L37" i="5"/>
  <c r="M37" i="5"/>
  <c r="G37" i="5"/>
  <c r="F37" i="5"/>
  <c r="R37" i="5" s="1"/>
  <c r="N37" i="5"/>
  <c r="O37" i="5"/>
  <c r="K32" i="5"/>
  <c r="R41" i="5"/>
  <c r="Z49" i="5"/>
  <c r="AH49" i="5"/>
  <c r="AA49" i="5"/>
  <c r="AI49" i="5"/>
  <c r="AD49" i="5"/>
  <c r="AF49" i="5"/>
  <c r="AE49" i="5"/>
  <c r="A27" i="4"/>
  <c r="A28" i="4" s="1"/>
  <c r="J20" i="5"/>
  <c r="K20" i="5"/>
  <c r="M20" i="5"/>
  <c r="F20" i="5"/>
  <c r="N20" i="5"/>
  <c r="Q20" i="5"/>
  <c r="P20" i="5"/>
  <c r="H20" i="5"/>
  <c r="I20" i="5"/>
  <c r="E15" i="4"/>
  <c r="F15" i="4"/>
  <c r="H12" i="2"/>
  <c r="H14" i="2" s="1"/>
  <c r="R52" i="5" s="1"/>
  <c r="A28" i="1"/>
  <c r="A29" i="1" s="1"/>
  <c r="C29" i="1"/>
  <c r="H28" i="5"/>
  <c r="AC57" i="5"/>
  <c r="AD57" i="5"/>
  <c r="AE57" i="5"/>
  <c r="AF57" i="5"/>
  <c r="Y57" i="5"/>
  <c r="AG57" i="5"/>
  <c r="Z57" i="5"/>
  <c r="AH57" i="5"/>
  <c r="AB57" i="5"/>
  <c r="AI57" i="5"/>
  <c r="AJ57" i="5"/>
  <c r="AA57" i="5"/>
  <c r="M32" i="5"/>
  <c r="M57" i="5" s="1"/>
  <c r="F32" i="5"/>
  <c r="N32" i="5"/>
  <c r="N57" i="5" s="1"/>
  <c r="H32" i="5"/>
  <c r="P32" i="5"/>
  <c r="I32" i="5"/>
  <c r="Q32" i="5"/>
  <c r="Q57" i="5" s="1"/>
  <c r="L32" i="5"/>
  <c r="J57" i="5"/>
  <c r="K57" i="5"/>
  <c r="L57" i="5"/>
  <c r="G57" i="5"/>
  <c r="O57" i="5"/>
  <c r="I57" i="5"/>
  <c r="H57" i="5"/>
  <c r="P57" i="5"/>
  <c r="AE12" i="5"/>
  <c r="AC12" i="5"/>
  <c r="AC37" i="5" s="1"/>
  <c r="Y12" i="5"/>
  <c r="AG12" i="5"/>
  <c r="AG37" i="5" s="1"/>
  <c r="Z12" i="5"/>
  <c r="Z37" i="5" s="1"/>
  <c r="AH12" i="5"/>
  <c r="AD12" i="5"/>
  <c r="AD37" i="5" s="1"/>
  <c r="O28" i="5"/>
  <c r="F12" i="2"/>
  <c r="F14" i="2" s="1"/>
  <c r="R44" i="5" s="1"/>
  <c r="G12" i="3"/>
  <c r="G14" i="3" s="1"/>
  <c r="N49" i="5"/>
  <c r="G49" i="5"/>
  <c r="H49" i="5"/>
  <c r="Q49" i="5"/>
  <c r="J49" i="5"/>
  <c r="K49" i="5"/>
  <c r="L49" i="5"/>
  <c r="M49" i="5"/>
  <c r="F24" i="2"/>
  <c r="F26" i="2" s="1"/>
  <c r="AK44" i="5" s="1"/>
  <c r="G23" i="3"/>
  <c r="G25" i="3" s="1"/>
  <c r="G20" i="5"/>
  <c r="O32" i="5"/>
  <c r="F24" i="5"/>
  <c r="N24" i="5"/>
  <c r="G24" i="5"/>
  <c r="O24" i="5"/>
  <c r="O49" i="5" s="1"/>
  <c r="I24" i="5"/>
  <c r="I49" i="5" s="1"/>
  <c r="Q24" i="5"/>
  <c r="J24" i="5"/>
  <c r="M24" i="5"/>
  <c r="L24" i="5"/>
  <c r="AC28" i="5"/>
  <c r="AC53" i="5" s="1"/>
  <c r="AD28" i="5"/>
  <c r="AD53" i="5" s="1"/>
  <c r="AF28" i="5"/>
  <c r="AF53" i="5" s="1"/>
  <c r="Y28" i="5"/>
  <c r="AG28" i="5"/>
  <c r="AG53" i="5" s="1"/>
  <c r="AI28" i="5"/>
  <c r="AI53" i="5" s="1"/>
  <c r="AA28" i="5"/>
  <c r="AA53" i="5" s="1"/>
  <c r="AB28" i="5"/>
  <c r="AB53" i="5" s="1"/>
  <c r="AJ28" i="5"/>
  <c r="AJ53" i="5" s="1"/>
  <c r="R16" i="5"/>
  <c r="Y24" i="5"/>
  <c r="Y49" i="5" s="1"/>
  <c r="AK49" i="5" s="1"/>
  <c r="AG24" i="5"/>
  <c r="AG49" i="5" s="1"/>
  <c r="Z24" i="5"/>
  <c r="AH24" i="5"/>
  <c r="AB24" i="5"/>
  <c r="AB49" i="5" s="1"/>
  <c r="AJ24" i="5"/>
  <c r="AJ49" i="5" s="1"/>
  <c r="AC24" i="5"/>
  <c r="AC49" i="5" s="1"/>
  <c r="AF24" i="5"/>
  <c r="AH28" i="5"/>
  <c r="AH53" i="5" s="1"/>
  <c r="Z20" i="5"/>
  <c r="O20" i="5"/>
  <c r="G28" i="5"/>
  <c r="Z16" i="5"/>
  <c r="AH16" i="5"/>
  <c r="AB16" i="5"/>
  <c r="AJ16" i="5"/>
  <c r="AC16" i="5"/>
  <c r="AD16" i="5"/>
  <c r="Y16" i="5"/>
  <c r="AG16" i="5"/>
  <c r="P24" i="5"/>
  <c r="P49" i="5" s="1"/>
  <c r="J32" i="5"/>
  <c r="C27" i="1"/>
  <c r="AE24" i="5"/>
  <c r="H53" i="5" l="1"/>
  <c r="P53" i="5"/>
  <c r="I53" i="5"/>
  <c r="Q53" i="5"/>
  <c r="J53" i="5"/>
  <c r="K53" i="5"/>
  <c r="L53" i="5"/>
  <c r="M53" i="5"/>
  <c r="G53" i="5"/>
  <c r="F53" i="5"/>
  <c r="N53" i="5"/>
  <c r="O53" i="5"/>
  <c r="R24" i="5"/>
  <c r="F49" i="5"/>
  <c r="R49" i="5" s="1"/>
  <c r="A25" i="5"/>
  <c r="A26" i="5" s="1"/>
  <c r="A27" i="5" s="1"/>
  <c r="A28" i="5" s="1"/>
  <c r="AE45" i="5"/>
  <c r="AF45" i="5"/>
  <c r="Y45" i="5"/>
  <c r="AG45" i="5"/>
  <c r="Z45" i="5"/>
  <c r="AH45" i="5"/>
  <c r="AA45" i="5"/>
  <c r="AI45" i="5"/>
  <c r="AB45" i="5"/>
  <c r="AJ45" i="5"/>
  <c r="AD45" i="5"/>
  <c r="AC45" i="5"/>
  <c r="AC41" i="5"/>
  <c r="AD41" i="5"/>
  <c r="AE41" i="5"/>
  <c r="AF41" i="5"/>
  <c r="Y41" i="5"/>
  <c r="AG41" i="5"/>
  <c r="Z41" i="5"/>
  <c r="AH41" i="5"/>
  <c r="AA41" i="5"/>
  <c r="AB41" i="5"/>
  <c r="AI41" i="5"/>
  <c r="AJ41" i="5"/>
  <c r="T21" i="5"/>
  <c r="T22" i="5" s="1"/>
  <c r="T23" i="5" s="1"/>
  <c r="T24" i="5" s="1"/>
  <c r="R28" i="5"/>
  <c r="R32" i="5"/>
  <c r="AK57" i="5"/>
  <c r="R20" i="5"/>
  <c r="L45" i="5"/>
  <c r="M45" i="5"/>
  <c r="F45" i="5"/>
  <c r="N45" i="5"/>
  <c r="G45" i="5"/>
  <c r="O45" i="5"/>
  <c r="H45" i="5"/>
  <c r="P45" i="5"/>
  <c r="I45" i="5"/>
  <c r="Q45" i="5"/>
  <c r="J45" i="5"/>
  <c r="K45" i="5"/>
  <c r="F57" i="5"/>
  <c r="R57" i="5" s="1"/>
  <c r="AK28" i="5"/>
  <c r="Y53" i="5"/>
  <c r="AK53" i="5" s="1"/>
  <c r="AK24" i="5"/>
  <c r="AK12" i="5"/>
  <c r="AK16" i="5"/>
  <c r="C28" i="4"/>
  <c r="AK20" i="5"/>
  <c r="Y37" i="5"/>
  <c r="AK37" i="5" s="1"/>
  <c r="C25" i="3"/>
  <c r="A29" i="5" l="1"/>
  <c r="A30" i="5" s="1"/>
  <c r="A31" i="5" s="1"/>
  <c r="A32" i="5" s="1"/>
  <c r="AK45" i="5"/>
  <c r="T25" i="5"/>
  <c r="T26" i="5" s="1"/>
  <c r="T27" i="5" s="1"/>
  <c r="T28" i="5" s="1"/>
  <c r="R53" i="5"/>
  <c r="R45" i="5"/>
  <c r="AK41" i="5"/>
  <c r="T29" i="5" l="1"/>
  <c r="T30" i="5" s="1"/>
  <c r="T31" i="5" s="1"/>
  <c r="T32" i="5" s="1"/>
  <c r="A33" i="5"/>
  <c r="A34" i="5" s="1"/>
  <c r="A35" i="5" s="1"/>
  <c r="A36" i="5" s="1"/>
  <c r="A37" i="5" l="1"/>
  <c r="A38" i="5" s="1"/>
  <c r="A39" i="5" s="1"/>
  <c r="A40" i="5" s="1"/>
  <c r="D37" i="5"/>
  <c r="T33" i="5"/>
  <c r="T34" i="5" s="1"/>
  <c r="T35" i="5" s="1"/>
  <c r="T36" i="5" s="1"/>
  <c r="T37" i="5" l="1"/>
  <c r="T38" i="5" s="1"/>
  <c r="T39" i="5" s="1"/>
  <c r="T40" i="5" s="1"/>
  <c r="W37" i="5"/>
  <c r="A41" i="5"/>
  <c r="A42" i="5" s="1"/>
  <c r="A43" i="5" s="1"/>
  <c r="A44" i="5" s="1"/>
  <c r="D41" i="5"/>
  <c r="A45" i="5" l="1"/>
  <c r="A46" i="5" s="1"/>
  <c r="A47" i="5" s="1"/>
  <c r="A48" i="5" s="1"/>
  <c r="D45" i="5"/>
  <c r="T41" i="5"/>
  <c r="T42" i="5" s="1"/>
  <c r="T43" i="5" s="1"/>
  <c r="T44" i="5" s="1"/>
  <c r="W41" i="5"/>
  <c r="T45" i="5" l="1"/>
  <c r="T46" i="5" s="1"/>
  <c r="T47" i="5" s="1"/>
  <c r="T48" i="5" s="1"/>
  <c r="W45" i="5"/>
  <c r="A49" i="5"/>
  <c r="A50" i="5" s="1"/>
  <c r="A51" i="5" s="1"/>
  <c r="A52" i="5" s="1"/>
  <c r="D49" i="5"/>
  <c r="A53" i="5" l="1"/>
  <c r="A54" i="5" s="1"/>
  <c r="A55" i="5" s="1"/>
  <c r="A56" i="5" s="1"/>
  <c r="D53" i="5"/>
  <c r="T49" i="5"/>
  <c r="T50" i="5" s="1"/>
  <c r="T51" i="5" s="1"/>
  <c r="T52" i="5" s="1"/>
  <c r="W49" i="5"/>
  <c r="T53" i="5" l="1"/>
  <c r="T54" i="5" s="1"/>
  <c r="T55" i="5" s="1"/>
  <c r="T56" i="5" s="1"/>
  <c r="W53" i="5"/>
  <c r="A57" i="5"/>
  <c r="D57" i="5"/>
  <c r="T57" i="5" l="1"/>
  <c r="W57" i="5"/>
</calcChain>
</file>

<file path=xl/sharedStrings.xml><?xml version="1.0" encoding="utf-8"?>
<sst xmlns="http://schemas.openxmlformats.org/spreadsheetml/2006/main" count="270" uniqueCount="99">
  <si>
    <t>Net Delivery Revenue</t>
  </si>
  <si>
    <t xml:space="preserve">   Basic Charge Revenue</t>
  </si>
  <si>
    <t>Net Revenue</t>
  </si>
  <si>
    <t xml:space="preserve">   Allocated Power Costs</t>
  </si>
  <si>
    <t xml:space="preserve">   Base Revenue </t>
  </si>
  <si>
    <t>Proposed:</t>
  </si>
  <si>
    <t>(k)</t>
  </si>
  <si>
    <t>(j)</t>
  </si>
  <si>
    <t>(i)</t>
  </si>
  <si>
    <t>(h)</t>
  </si>
  <si>
    <t>(g)</t>
  </si>
  <si>
    <t>(f)</t>
  </si>
  <si>
    <t>(e) = Σ (i thru k)</t>
  </si>
  <si>
    <t>(d)</t>
  </si>
  <si>
    <t>(c)</t>
  </si>
  <si>
    <t>(b)</t>
  </si>
  <si>
    <t>(a)</t>
  </si>
  <si>
    <t>Source</t>
  </si>
  <si>
    <t>Proposed Effective January, 2026</t>
  </si>
  <si>
    <t>Exhibit CTM-5</t>
  </si>
  <si>
    <t>Exhibit CTM-6</t>
  </si>
  <si>
    <t>7A (11) (25) 29</t>
  </si>
  <si>
    <t>10 (31)</t>
  </si>
  <si>
    <t>12 (26) (26P)</t>
  </si>
  <si>
    <t>Contracts</t>
  </si>
  <si>
    <t>7A (11) (25) 29 35 43</t>
  </si>
  <si>
    <t>08 (24) (324)</t>
  </si>
  <si>
    <t>7 (307) (317) (327)</t>
  </si>
  <si>
    <t>No.</t>
  </si>
  <si>
    <t>Schedule</t>
  </si>
  <si>
    <t>Schedules</t>
  </si>
  <si>
    <t xml:space="preserve">Special </t>
  </si>
  <si>
    <t xml:space="preserve">Schedule  </t>
  </si>
  <si>
    <t>Line</t>
  </si>
  <si>
    <t>Proposed Effective January, 2025</t>
  </si>
  <si>
    <t>Development of Decoupled Delivery Revenue by Decoupling Group</t>
  </si>
  <si>
    <t>Electric Delivery Decoupling Mechanism (Schedule 142)</t>
  </si>
  <si>
    <t>2024 General Rate Case Docket No. UE-240004 and UG-240005</t>
  </si>
  <si>
    <t>Puget Sound Energy</t>
  </si>
  <si>
    <t>Annual Allowed Delivery Revenue Per Customer</t>
  </si>
  <si>
    <t>F2023 Forecasted Customers</t>
  </si>
  <si>
    <t>Test Year Delivery Revenue</t>
  </si>
  <si>
    <t>(e)</t>
  </si>
  <si>
    <t>Exhibit CTM-3</t>
  </si>
  <si>
    <t>Exhibit CTM-9, Page 1</t>
  </si>
  <si>
    <t>Development of Allowed Delivery Revenue Per Customer</t>
  </si>
  <si>
    <t>Sheet No. 142</t>
  </si>
  <si>
    <t>Volumetric Delivery Revenue Per Unit ($/kWh)</t>
  </si>
  <si>
    <t>F2023 Forecasted Volumes (KWHs)</t>
  </si>
  <si>
    <t>Tariff</t>
  </si>
  <si>
    <t>Development of Delivery Revenue Per Unit Rates ($/kWh)</t>
  </si>
  <si>
    <t>Sheet No. 142-A</t>
  </si>
  <si>
    <t>Volumetric Delivery Revenue Per Unit ($/KW)</t>
  </si>
  <si>
    <t>F2023 Forecasted Volumes (KWs)</t>
  </si>
  <si>
    <t>Apr-Sept</t>
  </si>
  <si>
    <t>Oct - Mar</t>
  </si>
  <si>
    <t xml:space="preserve">Summer   </t>
  </si>
  <si>
    <t xml:space="preserve">Winter  </t>
  </si>
  <si>
    <t>Development of Delivery Revenue Per Unit Rates ($/KW)</t>
  </si>
  <si>
    <t>Monthly Allowed Delivery Revenue Per Customer</t>
  </si>
  <si>
    <t>Sheet No. 142-G</t>
  </si>
  <si>
    <t>Sheet No. 142-F</t>
  </si>
  <si>
    <t>Sheet No. 142-E</t>
  </si>
  <si>
    <t>Sheet No. 142-D</t>
  </si>
  <si>
    <t>Sheet No. 142-C</t>
  </si>
  <si>
    <t>Sheet No. 142-B</t>
  </si>
  <si>
    <t>Exhibit CTM-9, Page 2</t>
  </si>
  <si>
    <t>Allowed Delivery Revenue Per Customer</t>
  </si>
  <si>
    <t>% of (C(p):R(22))</t>
  </si>
  <si>
    <t>% of (C(p):R(18))</t>
  </si>
  <si>
    <t xml:space="preserve">Forecasted Demand Charge Revenue </t>
  </si>
  <si>
    <t>% of (C(p):R(14))</t>
  </si>
  <si>
    <t>Special Contracts</t>
  </si>
  <si>
    <t>% of (C(p):R(10))</t>
  </si>
  <si>
    <t>% of (C(p):R(6))</t>
  </si>
  <si>
    <t>% of (C(p):R(2))</t>
  </si>
  <si>
    <t>% of Annual Total</t>
  </si>
  <si>
    <t>Forecasted Delivered Volumes</t>
  </si>
  <si>
    <t>Sales</t>
  </si>
  <si>
    <t>(p)</t>
  </si>
  <si>
    <t>(o)</t>
  </si>
  <si>
    <t>(n)</t>
  </si>
  <si>
    <t>(m)</t>
  </si>
  <si>
    <t>(l)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</si>
  <si>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</si>
  <si>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</si>
  <si>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</si>
  <si>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</si>
  <si>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</si>
  <si>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</si>
  <si>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</si>
  <si>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</si>
  <si>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</si>
  <si>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</si>
  <si>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</si>
  <si>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</si>
  <si>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</si>
  <si>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Line No.</t>
  </si>
  <si>
    <t>Development of Monthly Allowed Delivery Revenue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</si>
</sst>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_);_(&quot;$&quot;* \(#,##0.000000\);_(&quot;$&quot;* &quot;-&quot;??_);_(@_)"/>
    <numFmt numFmtId="167" formatCode="[$-409]mmm\-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2"/>
      <name val="Times New Roman"/>
      <family val="1"/>
    </font>
    <font>
      <u/>
      <sz val="8"/>
      <name val="Arial"/>
      <family val="2"/>
    </font>
    <font>
      <b/>
      <i/>
      <u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41" fontId="2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/>
    <xf numFmtId="164" fontId="2" fillId="0" borderId="0" xfId="0" applyNumberFormat="1" applyFont="1" applyFill="1"/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3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5" fillId="0" borderId="0" xfId="0" applyFont="1" applyFill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2" fillId="0" borderId="0" xfId="0" applyFont="1" applyFill="1"/>
    <xf numFmtId="41" fontId="2" fillId="0" borderId="0" xfId="0" applyNumberFormat="1" applyFont="1" applyFill="1" applyAlignment="1">
      <alignment horizontal="center"/>
    </xf>
    <xf numFmtId="44" fontId="1" fillId="0" borderId="3" xfId="0" applyNumberFormat="1" applyFont="1" applyFill="1" applyBorder="1"/>
    <xf numFmtId="166" fontId="1" fillId="0" borderId="3" xfId="0" applyNumberFormat="1" applyFont="1" applyFill="1" applyBorder="1"/>
    <xf numFmtId="165" fontId="1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165" fontId="1" fillId="0" borderId="2" xfId="0" applyNumberFormat="1" applyFont="1" applyFill="1" applyBorder="1"/>
    <xf numFmtId="0" fontId="1" fillId="0" borderId="0" xfId="0" quotePrefix="1" applyFont="1" applyFill="1" applyAlignment="1">
      <alignment horizontal="left"/>
    </xf>
    <xf numFmtId="0" fontId="7" fillId="0" borderId="0" xfId="0" applyFont="1" applyFill="1"/>
    <xf numFmtId="0" fontId="5" fillId="0" borderId="0" xfId="0" quotePrefix="1" applyFont="1" applyFill="1"/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Continuous" wrapText="1"/>
    </xf>
    <xf numFmtId="0" fontId="8" fillId="0" borderId="0" xfId="0" applyFont="1" applyFill="1" applyAlignment="1">
      <alignment horizontal="centerContinuous" wrapText="1"/>
    </xf>
    <xf numFmtId="0" fontId="1" fillId="0" borderId="0" xfId="0" applyFont="1" applyFill="1" applyAlignment="1">
      <alignment horizontal="centerContinuous" wrapText="1"/>
    </xf>
    <xf numFmtId="0" fontId="9" fillId="0" borderId="0" xfId="1" applyFont="1" applyFill="1"/>
    <xf numFmtId="0" fontId="2" fillId="0" borderId="2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2">
    <cellStyle name="Normal" xfId="0" builtinId="0"/>
    <cellStyle name="Normal 2" xfId="1" xr:uid="{77DF45BF-7083-49EA-A641-1F036E6DE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E502-88A2-40B4-8414-13ABA310D335}">
  <sheetPr>
    <pageSetUpPr fitToPage="1"/>
  </sheetPr>
  <dimension ref="A1:M81"/>
  <sheetViews>
    <sheetView zoomScaleNormal="100" workbookViewId="0">
      <selection activeCell="C24" sqref="C24"/>
    </sheetView>
  </sheetViews>
  <sheetFormatPr defaultColWidth="8.85546875" defaultRowHeight="11.25" x14ac:dyDescent="0.2"/>
  <cols>
    <col min="1" max="1" width="5.28515625" style="1" customWidth="1"/>
    <col min="2" max="2" width="32.28515625" style="1" customWidth="1"/>
    <col min="3" max="3" width="39.85546875" style="1" bestFit="1" customWidth="1"/>
    <col min="4" max="4" width="15.42578125" style="1" bestFit="1" customWidth="1"/>
    <col min="5" max="5" width="13.5703125" style="1" bestFit="1" customWidth="1"/>
    <col min="6" max="6" width="20.140625" style="1" customWidth="1"/>
    <col min="7" max="7" width="11" style="1" bestFit="1" customWidth="1"/>
    <col min="8" max="8" width="12.42578125" style="1" customWidth="1"/>
    <col min="9" max="9" width="13.7109375" style="1" bestFit="1" customWidth="1"/>
    <col min="10" max="10" width="0.85546875" style="1" customWidth="1"/>
    <col min="11" max="11" width="13.5703125" style="1" bestFit="1" customWidth="1"/>
    <col min="12" max="12" width="10.42578125" style="1" bestFit="1" customWidth="1"/>
    <col min="13" max="13" width="10.7109375" style="1" bestFit="1" customWidth="1"/>
    <col min="14" max="16384" width="8.85546875" style="1"/>
  </cols>
  <sheetData>
    <row r="1" spans="1:13" x14ac:dyDescent="0.2">
      <c r="A1" s="48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">
      <c r="A2" s="48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48" t="s">
        <v>36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">
      <c r="A4" s="48" t="s">
        <v>35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">
      <c r="A5" s="48" t="s">
        <v>34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/>
      <c r="B7" s="2"/>
      <c r="C7" s="2"/>
      <c r="D7" s="2"/>
      <c r="E7" s="2"/>
      <c r="F7" s="2"/>
      <c r="G7" s="2"/>
      <c r="H7" s="2"/>
      <c r="J7" s="2"/>
      <c r="K7" s="2"/>
      <c r="L7" s="2"/>
      <c r="M7" s="2"/>
    </row>
    <row r="8" spans="1:13" x14ac:dyDescent="0.2">
      <c r="A8" s="4" t="s">
        <v>33</v>
      </c>
      <c r="B8" s="2"/>
      <c r="C8" s="2"/>
      <c r="D8" s="2" t="s">
        <v>32</v>
      </c>
      <c r="E8" s="2" t="s">
        <v>30</v>
      </c>
      <c r="F8" s="2" t="s">
        <v>30</v>
      </c>
      <c r="G8" s="2" t="s">
        <v>31</v>
      </c>
      <c r="H8" s="2" t="s">
        <v>30</v>
      </c>
      <c r="I8" s="2" t="s">
        <v>30</v>
      </c>
      <c r="J8" s="2"/>
      <c r="K8" s="2" t="s">
        <v>30</v>
      </c>
      <c r="L8" s="2" t="s">
        <v>29</v>
      </c>
      <c r="M8" s="2" t="s">
        <v>29</v>
      </c>
    </row>
    <row r="9" spans="1:13" x14ac:dyDescent="0.2">
      <c r="A9" s="5" t="s">
        <v>28</v>
      </c>
      <c r="B9" s="6"/>
      <c r="C9" s="7" t="s">
        <v>17</v>
      </c>
      <c r="D9" s="16" t="s">
        <v>27</v>
      </c>
      <c r="E9" s="16" t="s">
        <v>26</v>
      </c>
      <c r="F9" s="16" t="s">
        <v>25</v>
      </c>
      <c r="G9" s="16" t="s">
        <v>24</v>
      </c>
      <c r="H9" s="16" t="s">
        <v>23</v>
      </c>
      <c r="I9" s="16" t="s">
        <v>22</v>
      </c>
      <c r="J9" s="34"/>
      <c r="K9" s="16" t="s">
        <v>21</v>
      </c>
      <c r="L9" s="16">
        <v>35</v>
      </c>
      <c r="M9" s="16">
        <v>43</v>
      </c>
    </row>
    <row r="10" spans="1:13" x14ac:dyDescent="0.2">
      <c r="B10" s="8" t="s">
        <v>16</v>
      </c>
      <c r="C10" s="8" t="s">
        <v>15</v>
      </c>
      <c r="D10" s="8" t="s">
        <v>14</v>
      </c>
      <c r="E10" s="8" t="s">
        <v>13</v>
      </c>
      <c r="F10" s="8" t="s">
        <v>12</v>
      </c>
      <c r="G10" s="8" t="s">
        <v>11</v>
      </c>
      <c r="H10" s="8" t="s">
        <v>10</v>
      </c>
      <c r="I10" s="8" t="s">
        <v>9</v>
      </c>
      <c r="J10" s="8"/>
      <c r="K10" s="8" t="s">
        <v>8</v>
      </c>
      <c r="L10" s="8" t="s">
        <v>7</v>
      </c>
      <c r="M10" s="8" t="s">
        <v>6</v>
      </c>
    </row>
    <row r="11" spans="1:13" x14ac:dyDescent="0.2">
      <c r="A11" s="8">
        <v>1</v>
      </c>
      <c r="B11" s="19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8">
        <f t="shared" ref="A12:A29" si="0">A11+1</f>
        <v>2</v>
      </c>
      <c r="B12" s="1" t="s">
        <v>4</v>
      </c>
      <c r="C12" s="8" t="s">
        <v>20</v>
      </c>
      <c r="D12" s="10">
        <v>1540271161.1779709</v>
      </c>
      <c r="E12" s="10">
        <v>351194289.15151131</v>
      </c>
      <c r="F12" s="9">
        <f>SUM(K12:M12)</f>
        <v>358182811.61673355</v>
      </c>
      <c r="G12" s="10">
        <v>8125898.7603416722</v>
      </c>
      <c r="H12" s="10">
        <v>211393611.06507739</v>
      </c>
      <c r="I12" s="10">
        <v>146543996.67945495</v>
      </c>
      <c r="J12" s="10"/>
      <c r="K12" s="10">
        <v>344185147.44210863</v>
      </c>
      <c r="L12" s="10">
        <v>406364.84663697303</v>
      </c>
      <c r="M12" s="10">
        <v>13591299.32798796</v>
      </c>
    </row>
    <row r="13" spans="1:13" x14ac:dyDescent="0.2">
      <c r="A13" s="8">
        <f t="shared" si="0"/>
        <v>3</v>
      </c>
      <c r="B13" s="1" t="s">
        <v>3</v>
      </c>
      <c r="C13" s="8" t="s">
        <v>19</v>
      </c>
      <c r="D13" s="35">
        <v>803891844.10849631</v>
      </c>
      <c r="E13" s="35">
        <v>190211489.19499549</v>
      </c>
      <c r="F13" s="11">
        <f>SUM(K13:M13)</f>
        <v>214518703.77575177</v>
      </c>
      <c r="G13" s="35">
        <v>0</v>
      </c>
      <c r="H13" s="35">
        <v>122589627.90563178</v>
      </c>
      <c r="I13" s="35">
        <v>87442280.534922361</v>
      </c>
      <c r="J13" s="11"/>
      <c r="K13" s="35">
        <v>207783533.77508283</v>
      </c>
      <c r="L13" s="35">
        <v>308007.64912766695</v>
      </c>
      <c r="M13" s="35">
        <v>6427162.3515412742</v>
      </c>
    </row>
    <row r="14" spans="1:13" x14ac:dyDescent="0.2">
      <c r="A14" s="8">
        <f t="shared" si="0"/>
        <v>4</v>
      </c>
      <c r="B14" s="36" t="s">
        <v>2</v>
      </c>
      <c r="C14" s="8" t="str">
        <f>"("&amp;A12&amp;") - ("&amp;A$13&amp;")"</f>
        <v>(2) - (3)</v>
      </c>
      <c r="D14" s="12">
        <f t="shared" ref="D14:I14" si="1">D12-D13</f>
        <v>736379317.06947458</v>
      </c>
      <c r="E14" s="12">
        <f t="shared" si="1"/>
        <v>160982799.95651582</v>
      </c>
      <c r="F14" s="12">
        <f t="shared" si="1"/>
        <v>143664107.84098178</v>
      </c>
      <c r="G14" s="12">
        <f t="shared" si="1"/>
        <v>8125898.7603416722</v>
      </c>
      <c r="H14" s="12">
        <f t="shared" si="1"/>
        <v>88803983.159445614</v>
      </c>
      <c r="I14" s="12">
        <f t="shared" si="1"/>
        <v>59101716.144532591</v>
      </c>
      <c r="J14" s="9"/>
      <c r="K14" s="12">
        <f>K12-K13</f>
        <v>136401613.6670258</v>
      </c>
      <c r="L14" s="12">
        <f>L12-L13</f>
        <v>98357.197509306076</v>
      </c>
      <c r="M14" s="12">
        <f>M12-M13</f>
        <v>7164136.9764466854</v>
      </c>
    </row>
    <row r="15" spans="1:13" x14ac:dyDescent="0.2">
      <c r="A15" s="8">
        <f t="shared" si="0"/>
        <v>5</v>
      </c>
      <c r="B15" s="1" t="s">
        <v>1</v>
      </c>
      <c r="C15" s="8" t="str">
        <f>C12</f>
        <v>Exhibit CTM-6</v>
      </c>
      <c r="D15" s="9">
        <v>130612810.05500001</v>
      </c>
      <c r="E15" s="9">
        <v>32152832.192000002</v>
      </c>
      <c r="F15" s="9">
        <f>SUM(K15:M15)</f>
        <v>8323301.6849699486</v>
      </c>
      <c r="G15" s="9">
        <v>514462.68519131956</v>
      </c>
      <c r="H15" s="9">
        <v>1819763.6812761875</v>
      </c>
      <c r="I15" s="9">
        <v>2888307.295594316</v>
      </c>
      <c r="J15" s="9"/>
      <c r="K15" s="9">
        <v>7514359.118047514</v>
      </c>
      <c r="L15" s="9">
        <v>7138.3260000000009</v>
      </c>
      <c r="M15" s="9">
        <v>801804.24092243472</v>
      </c>
    </row>
    <row r="16" spans="1:13" ht="12" thickBot="1" x14ac:dyDescent="0.25">
      <c r="A16" s="8">
        <f t="shared" si="0"/>
        <v>6</v>
      </c>
      <c r="B16" s="1" t="s">
        <v>0</v>
      </c>
      <c r="C16" s="8" t="str">
        <f>"("&amp;A14&amp;") - ("&amp;A15&amp;")"</f>
        <v>(4) - (5)</v>
      </c>
      <c r="D16" s="13">
        <f t="shared" ref="D16:I16" si="2">D14-D15</f>
        <v>605766507.01447463</v>
      </c>
      <c r="E16" s="13">
        <f t="shared" si="2"/>
        <v>128829967.76451582</v>
      </c>
      <c r="F16" s="13">
        <f t="shared" si="2"/>
        <v>135340806.15601182</v>
      </c>
      <c r="G16" s="13">
        <f t="shared" si="2"/>
        <v>7611436.0751503529</v>
      </c>
      <c r="H16" s="13">
        <f t="shared" si="2"/>
        <v>86984219.478169426</v>
      </c>
      <c r="I16" s="13">
        <f t="shared" si="2"/>
        <v>56213408.848938271</v>
      </c>
      <c r="J16" s="14"/>
      <c r="K16" s="13">
        <f>K14-K15</f>
        <v>128887254.54897828</v>
      </c>
      <c r="L16" s="13">
        <f>L14-L15</f>
        <v>91218.871509306075</v>
      </c>
      <c r="M16" s="13">
        <f>M14-M15</f>
        <v>6362332.7355242502</v>
      </c>
    </row>
    <row r="17" spans="1:13" ht="12" thickTop="1" x14ac:dyDescent="0.2">
      <c r="A17" s="8">
        <f t="shared" si="0"/>
        <v>7</v>
      </c>
    </row>
    <row r="18" spans="1:13" x14ac:dyDescent="0.2">
      <c r="A18" s="8">
        <f t="shared" si="0"/>
        <v>8</v>
      </c>
      <c r="B18" s="15" t="s">
        <v>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A19" s="8">
        <f t="shared" si="0"/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8">
        <f t="shared" si="0"/>
        <v>10</v>
      </c>
      <c r="B20" s="2"/>
      <c r="C20" s="2"/>
      <c r="D20" s="2"/>
      <c r="E20" s="2"/>
      <c r="F20" s="2"/>
      <c r="G20" s="2"/>
      <c r="H20" s="2"/>
      <c r="J20" s="2"/>
      <c r="K20" s="2"/>
      <c r="L20" s="2"/>
      <c r="M20" s="2"/>
    </row>
    <row r="21" spans="1:13" x14ac:dyDescent="0.2">
      <c r="A21" s="8">
        <f t="shared" si="0"/>
        <v>11</v>
      </c>
      <c r="B21" s="2"/>
      <c r="C21" s="2"/>
      <c r="D21" s="2" t="str">
        <f t="shared" ref="D21:M21" si="3">D8</f>
        <v xml:space="preserve">Schedule  </v>
      </c>
      <c r="E21" s="2" t="str">
        <f t="shared" si="3"/>
        <v>Schedules</v>
      </c>
      <c r="F21" s="2" t="str">
        <f t="shared" si="3"/>
        <v>Schedules</v>
      </c>
      <c r="G21" s="2" t="str">
        <f t="shared" si="3"/>
        <v xml:space="preserve">Special </v>
      </c>
      <c r="H21" s="2" t="str">
        <f t="shared" si="3"/>
        <v>Schedules</v>
      </c>
      <c r="I21" s="2" t="str">
        <f t="shared" si="3"/>
        <v>Schedules</v>
      </c>
      <c r="J21" s="2">
        <f t="shared" si="3"/>
        <v>0</v>
      </c>
      <c r="K21" s="2" t="str">
        <f t="shared" si="3"/>
        <v>Schedules</v>
      </c>
      <c r="L21" s="2" t="str">
        <f t="shared" si="3"/>
        <v>Schedule</v>
      </c>
      <c r="M21" s="2" t="str">
        <f t="shared" si="3"/>
        <v>Schedule</v>
      </c>
    </row>
    <row r="22" spans="1:13" x14ac:dyDescent="0.2">
      <c r="A22" s="8">
        <f t="shared" si="0"/>
        <v>12</v>
      </c>
      <c r="B22" s="6"/>
      <c r="C22" s="7" t="s">
        <v>17</v>
      </c>
      <c r="D22" s="16" t="str">
        <f t="shared" ref="D22:I22" si="4">D9</f>
        <v>7 (307) (317) (327)</v>
      </c>
      <c r="E22" s="16" t="str">
        <f t="shared" si="4"/>
        <v>08 (24) (324)</v>
      </c>
      <c r="F22" s="16" t="str">
        <f t="shared" si="4"/>
        <v>7A (11) (25) 29 35 43</v>
      </c>
      <c r="G22" s="16" t="str">
        <f t="shared" si="4"/>
        <v>Contracts</v>
      </c>
      <c r="H22" s="16" t="str">
        <f t="shared" si="4"/>
        <v>12 (26) (26P)</v>
      </c>
      <c r="I22" s="16" t="str">
        <f t="shared" si="4"/>
        <v>10 (31)</v>
      </c>
      <c r="J22" s="34"/>
      <c r="K22" s="16" t="str">
        <f>K9</f>
        <v>7A (11) (25) 29</v>
      </c>
      <c r="L22" s="16">
        <f>L9</f>
        <v>35</v>
      </c>
      <c r="M22" s="16">
        <f>M9</f>
        <v>43</v>
      </c>
    </row>
    <row r="23" spans="1:13" x14ac:dyDescent="0.2">
      <c r="A23" s="8">
        <f t="shared" si="0"/>
        <v>13</v>
      </c>
      <c r="B23" s="8" t="s">
        <v>16</v>
      </c>
      <c r="C23" s="8" t="s">
        <v>15</v>
      </c>
      <c r="D23" s="8" t="s">
        <v>14</v>
      </c>
      <c r="E23" s="8" t="s">
        <v>13</v>
      </c>
      <c r="F23" s="8" t="s">
        <v>12</v>
      </c>
      <c r="G23" s="8" t="s">
        <v>11</v>
      </c>
      <c r="H23" s="8" t="s">
        <v>10</v>
      </c>
      <c r="I23" s="8" t="s">
        <v>9</v>
      </c>
      <c r="J23" s="8"/>
      <c r="K23" s="8" t="s">
        <v>8</v>
      </c>
      <c r="L23" s="8" t="s">
        <v>7</v>
      </c>
      <c r="M23" s="8" t="s">
        <v>6</v>
      </c>
    </row>
    <row r="24" spans="1:13" x14ac:dyDescent="0.2">
      <c r="A24" s="8">
        <f t="shared" si="0"/>
        <v>14</v>
      </c>
      <c r="B24" s="19" t="s">
        <v>5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8">
        <f t="shared" si="0"/>
        <v>15</v>
      </c>
      <c r="B25" s="1" t="s">
        <v>4</v>
      </c>
      <c r="C25" s="8" t="str">
        <f>C12</f>
        <v>Exhibit CTM-6</v>
      </c>
      <c r="D25" s="10">
        <v>1707240331.2535515</v>
      </c>
      <c r="E25" s="10">
        <v>386638900.72859424</v>
      </c>
      <c r="F25" s="9">
        <f>SUM(K25:M25)</f>
        <v>393472425.1379627</v>
      </c>
      <c r="G25" s="10">
        <v>8954806.3667320777</v>
      </c>
      <c r="H25" s="10">
        <v>235781631.70379135</v>
      </c>
      <c r="I25" s="10">
        <v>159452791.9069576</v>
      </c>
      <c r="J25" s="10"/>
      <c r="K25" s="10">
        <v>378195557.68364155</v>
      </c>
      <c r="L25" s="10">
        <v>453263.25558384811</v>
      </c>
      <c r="M25" s="10">
        <v>14823604.198737293</v>
      </c>
    </row>
    <row r="26" spans="1:13" x14ac:dyDescent="0.2">
      <c r="A26" s="8">
        <f t="shared" si="0"/>
        <v>16</v>
      </c>
      <c r="B26" s="1" t="s">
        <v>3</v>
      </c>
      <c r="C26" s="8" t="str">
        <f>C13</f>
        <v>Exhibit CTM-5</v>
      </c>
      <c r="D26" s="11">
        <v>907103191.83152759</v>
      </c>
      <c r="E26" s="11">
        <v>214427103.43212625</v>
      </c>
      <c r="F26" s="11">
        <f>SUM(K26:M26)</f>
        <v>241810568.59110239</v>
      </c>
      <c r="G26" s="11">
        <v>0</v>
      </c>
      <c r="H26" s="11">
        <v>138152173.252666</v>
      </c>
      <c r="I26" s="11">
        <v>98518291.966381341</v>
      </c>
      <c r="J26" s="9"/>
      <c r="K26" s="11">
        <v>234271557.56619161</v>
      </c>
      <c r="L26" s="11">
        <v>346268.36922411347</v>
      </c>
      <c r="M26" s="11">
        <v>7192742.6556866644</v>
      </c>
    </row>
    <row r="27" spans="1:13" x14ac:dyDescent="0.2">
      <c r="A27" s="8">
        <f t="shared" si="0"/>
        <v>17</v>
      </c>
      <c r="B27" s="36" t="s">
        <v>2</v>
      </c>
      <c r="C27" s="8" t="str">
        <f>"("&amp;A25&amp;") - ("&amp;A$26&amp;")"</f>
        <v>(15) - (16)</v>
      </c>
      <c r="D27" s="12">
        <f t="shared" ref="D27:I27" si="5">D25-D26</f>
        <v>800137139.42202389</v>
      </c>
      <c r="E27" s="12">
        <f t="shared" si="5"/>
        <v>172211797.29646799</v>
      </c>
      <c r="F27" s="12">
        <f t="shared" si="5"/>
        <v>151661856.54686031</v>
      </c>
      <c r="G27" s="12">
        <f t="shared" si="5"/>
        <v>8954806.3667320777</v>
      </c>
      <c r="H27" s="12">
        <f t="shared" si="5"/>
        <v>97629458.451125354</v>
      </c>
      <c r="I27" s="12">
        <f t="shared" si="5"/>
        <v>60934499.940576255</v>
      </c>
      <c r="J27" s="9"/>
      <c r="K27" s="12">
        <f>K25-K26</f>
        <v>143924000.11744994</v>
      </c>
      <c r="L27" s="12">
        <f>L25-L26</f>
        <v>106994.88635973464</v>
      </c>
      <c r="M27" s="12">
        <f>M25-M26</f>
        <v>7630861.5430506291</v>
      </c>
    </row>
    <row r="28" spans="1:13" x14ac:dyDescent="0.2">
      <c r="A28" s="8">
        <f t="shared" si="0"/>
        <v>18</v>
      </c>
      <c r="B28" s="1" t="s">
        <v>1</v>
      </c>
      <c r="C28" s="8" t="str">
        <f>C15</f>
        <v>Exhibit CTM-6</v>
      </c>
      <c r="D28" s="9">
        <v>171603451.21920002</v>
      </c>
      <c r="E28" s="9">
        <v>42265646.594600007</v>
      </c>
      <c r="F28" s="9">
        <f>SUM(K28:M28)</f>
        <v>11010048.424001755</v>
      </c>
      <c r="G28" s="9">
        <v>514462.68519131956</v>
      </c>
      <c r="H28" s="9">
        <v>2748964.5466540381</v>
      </c>
      <c r="I28" s="9">
        <v>3755537.9800693318</v>
      </c>
      <c r="J28" s="9"/>
      <c r="K28" s="9">
        <v>9964077.665335089</v>
      </c>
      <c r="L28" s="9">
        <v>9279.8238000000019</v>
      </c>
      <c r="M28" s="9">
        <v>1036690.9348666666</v>
      </c>
    </row>
    <row r="29" spans="1:13" ht="12" thickBot="1" x14ac:dyDescent="0.25">
      <c r="A29" s="8">
        <f t="shared" si="0"/>
        <v>19</v>
      </c>
      <c r="B29" s="1" t="s">
        <v>0</v>
      </c>
      <c r="C29" s="8" t="str">
        <f>"("&amp;A27&amp;") - ("&amp;A$28&amp;")"</f>
        <v>(17) - (18)</v>
      </c>
      <c r="D29" s="13">
        <f t="shared" ref="D29:I29" si="6">D27-D28</f>
        <v>628533688.20282388</v>
      </c>
      <c r="E29" s="13">
        <f t="shared" si="6"/>
        <v>129946150.70186798</v>
      </c>
      <c r="F29" s="13">
        <f t="shared" si="6"/>
        <v>140651808.12285855</v>
      </c>
      <c r="G29" s="13">
        <f t="shared" si="6"/>
        <v>8440343.6815407574</v>
      </c>
      <c r="H29" s="13">
        <f t="shared" si="6"/>
        <v>94880493.904471308</v>
      </c>
      <c r="I29" s="13">
        <f t="shared" si="6"/>
        <v>57178961.960506923</v>
      </c>
      <c r="J29" s="14"/>
      <c r="K29" s="13">
        <f>K27-K28</f>
        <v>133959922.45211485</v>
      </c>
      <c r="L29" s="13">
        <f>L27-L28</f>
        <v>97715.062559734637</v>
      </c>
      <c r="M29" s="13">
        <f>M27-M28</f>
        <v>6594170.6081839623</v>
      </c>
    </row>
    <row r="30" spans="1:13" ht="12" thickTop="1" x14ac:dyDescent="0.2"/>
    <row r="37" spans="4:13" x14ac:dyDescent="0.2">
      <c r="M37" s="9"/>
    </row>
    <row r="38" spans="4:13" x14ac:dyDescent="0.2"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4:13" x14ac:dyDescent="0.2"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4:13" x14ac:dyDescent="0.2"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4:13" x14ac:dyDescent="0.2"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4:13" x14ac:dyDescent="0.2"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4:13" x14ac:dyDescent="0.2"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4:13" x14ac:dyDescent="0.2"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4:13" x14ac:dyDescent="0.2"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4:13" x14ac:dyDescent="0.2"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4:13" x14ac:dyDescent="0.2"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4:13" x14ac:dyDescent="0.2"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4:13" x14ac:dyDescent="0.2"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4:13" x14ac:dyDescent="0.2"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4:13" x14ac:dyDescent="0.2"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4:13" x14ac:dyDescent="0.2"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4:13" x14ac:dyDescent="0.2"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4:13" x14ac:dyDescent="0.2"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4:13" x14ac:dyDescent="0.2"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4:13" x14ac:dyDescent="0.2"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4:13" x14ac:dyDescent="0.2"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4:13" x14ac:dyDescent="0.2"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4:13" x14ac:dyDescent="0.2"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4:13" x14ac:dyDescent="0.2"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4:13" x14ac:dyDescent="0.2"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4:13" x14ac:dyDescent="0.2"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4:13" x14ac:dyDescent="0.2"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4:13" x14ac:dyDescent="0.2"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4:13" x14ac:dyDescent="0.2"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4:13" x14ac:dyDescent="0.2"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4:13" x14ac:dyDescent="0.2"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4:13" x14ac:dyDescent="0.2"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4:13" x14ac:dyDescent="0.2"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4:13" x14ac:dyDescent="0.2"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4:13" x14ac:dyDescent="0.2"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4:13" x14ac:dyDescent="0.2"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4:13" x14ac:dyDescent="0.2"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4:13" x14ac:dyDescent="0.2"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4:13" x14ac:dyDescent="0.2"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4:13" x14ac:dyDescent="0.2"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4:13" x14ac:dyDescent="0.2"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4:13" x14ac:dyDescent="0.2"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4:13" x14ac:dyDescent="0.2"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4:13" x14ac:dyDescent="0.2"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4:13" x14ac:dyDescent="0.2">
      <c r="D81" s="9"/>
      <c r="E81" s="9"/>
      <c r="F81" s="9"/>
      <c r="G81" s="9"/>
      <c r="H81" s="9"/>
      <c r="I81" s="9"/>
      <c r="J81" s="9"/>
      <c r="K81" s="9"/>
      <c r="L81" s="9"/>
      <c r="M81" s="9"/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61" orientation="landscape" blackAndWhite="1" horizontalDpi="300" verticalDpi="300" r:id="rId1"/>
  <headerFooter alignWithMargins="0">
    <oddFooter>&amp;R&amp;F
&amp;A
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E697-C916-4BB0-95A6-A84D137EF584}">
  <sheetPr>
    <pageSetUpPr fitToPage="1"/>
  </sheetPr>
  <dimension ref="A1:K31"/>
  <sheetViews>
    <sheetView zoomScaleNormal="100" workbookViewId="0">
      <selection activeCell="C24" sqref="C24"/>
    </sheetView>
  </sheetViews>
  <sheetFormatPr defaultColWidth="9.140625" defaultRowHeight="11.25" x14ac:dyDescent="0.2"/>
  <cols>
    <col min="1" max="1" width="4.28515625" style="33" bestFit="1" customWidth="1"/>
    <col min="2" max="2" width="46.28515625" style="33" customWidth="1"/>
    <col min="3" max="3" width="41.140625" style="33" bestFit="1" customWidth="1"/>
    <col min="4" max="4" width="16.28515625" style="33" customWidth="1"/>
    <col min="5" max="5" width="12" style="33" customWidth="1"/>
    <col min="6" max="6" width="18.5703125" style="33" customWidth="1"/>
    <col min="7" max="7" width="10.7109375" style="33" bestFit="1" customWidth="1"/>
    <col min="8" max="9" width="12" style="33" bestFit="1" customWidth="1"/>
    <col min="10" max="16384" width="9.140625" style="33"/>
  </cols>
  <sheetData>
    <row r="1" spans="1:11" x14ac:dyDescent="0.2">
      <c r="A1" s="48" t="str">
        <f>'Exh CTM-9 (Page 1)'!A1:M1</f>
        <v>Puget Sound Energy</v>
      </c>
      <c r="B1" s="48"/>
      <c r="C1" s="48"/>
      <c r="D1" s="48"/>
      <c r="E1" s="48"/>
      <c r="F1" s="48"/>
      <c r="G1" s="48"/>
      <c r="H1" s="48"/>
      <c r="I1" s="48"/>
      <c r="J1" s="1"/>
      <c r="K1" s="1"/>
    </row>
    <row r="2" spans="1:11" ht="12.75" customHeight="1" x14ac:dyDescent="0.2">
      <c r="A2" s="48" t="str">
        <f>'Exh CTM-9 (Page 1)'!A2:M2</f>
        <v>2024 General Rate Case Docket No. UE-240004 and UG-240005</v>
      </c>
      <c r="B2" s="48"/>
      <c r="C2" s="48"/>
      <c r="D2" s="48"/>
      <c r="E2" s="48"/>
      <c r="F2" s="48"/>
      <c r="G2" s="48"/>
      <c r="H2" s="48"/>
      <c r="I2" s="48"/>
      <c r="J2" s="1"/>
      <c r="K2" s="1"/>
    </row>
    <row r="3" spans="1:11" ht="12.75" customHeight="1" x14ac:dyDescent="0.2">
      <c r="A3" s="48" t="str">
        <f>'Exh CTM-9 (Page 1)'!A3:M3</f>
        <v>Electric Delivery Decoupling Mechanism (Schedule 142)</v>
      </c>
      <c r="B3" s="48"/>
      <c r="C3" s="48"/>
      <c r="D3" s="48"/>
      <c r="E3" s="48"/>
      <c r="F3" s="48"/>
      <c r="G3" s="48"/>
      <c r="H3" s="48"/>
      <c r="I3" s="48"/>
      <c r="J3" s="1"/>
      <c r="K3" s="1"/>
    </row>
    <row r="4" spans="1:11" x14ac:dyDescent="0.2">
      <c r="A4" s="48" t="s">
        <v>45</v>
      </c>
      <c r="B4" s="48"/>
      <c r="C4" s="48"/>
      <c r="D4" s="48"/>
      <c r="E4" s="48"/>
      <c r="F4" s="48"/>
      <c r="G4" s="48"/>
      <c r="H4" s="48"/>
      <c r="I4" s="48"/>
      <c r="J4" s="1"/>
      <c r="K4" s="1"/>
    </row>
    <row r="5" spans="1:11" x14ac:dyDescent="0.2">
      <c r="A5" s="48" t="str">
        <f>'Exh CTM-9 (Page 1)'!A5:M5</f>
        <v>Proposed Effective January, 2025</v>
      </c>
      <c r="B5" s="48"/>
      <c r="C5" s="48"/>
      <c r="D5" s="48"/>
      <c r="E5" s="48"/>
      <c r="F5" s="48"/>
      <c r="G5" s="48"/>
      <c r="H5" s="48"/>
      <c r="I5" s="48"/>
      <c r="J5" s="1"/>
      <c r="K5" s="1"/>
    </row>
    <row r="6" spans="1:11" x14ac:dyDescent="0.2">
      <c r="A6" s="28"/>
      <c r="B6" s="28"/>
      <c r="C6" s="28"/>
      <c r="D6" s="28"/>
      <c r="E6" s="28"/>
      <c r="F6" s="2"/>
      <c r="G6" s="2"/>
      <c r="H6" s="2"/>
      <c r="I6" s="2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">
      <c r="A8" s="4" t="s">
        <v>33</v>
      </c>
      <c r="B8" s="1"/>
      <c r="C8" s="1"/>
      <c r="D8" s="2" t="s">
        <v>32</v>
      </c>
      <c r="E8" s="2" t="s">
        <v>30</v>
      </c>
      <c r="F8" s="2" t="s">
        <v>30</v>
      </c>
      <c r="G8" s="2" t="s">
        <v>31</v>
      </c>
      <c r="H8" s="2" t="s">
        <v>30</v>
      </c>
      <c r="I8" s="2" t="s">
        <v>30</v>
      </c>
      <c r="J8" s="1"/>
      <c r="K8" s="1"/>
    </row>
    <row r="9" spans="1:11" ht="12" customHeight="1" x14ac:dyDescent="0.2">
      <c r="A9" s="5" t="s">
        <v>28</v>
      </c>
      <c r="B9" s="6"/>
      <c r="C9" s="7" t="s">
        <v>17</v>
      </c>
      <c r="D9" s="16" t="str">
        <f>'Exh CTM-9 (Page 1)'!D9</f>
        <v>7 (307) (317) (327)</v>
      </c>
      <c r="E9" s="16" t="str">
        <f>'Exh CTM-9 (Page 1)'!E9</f>
        <v>08 (24) (324)</v>
      </c>
      <c r="F9" s="16" t="str">
        <f>'Exh CTM-9 (Page 1)'!F9</f>
        <v>7A (11) (25) 29 35 43</v>
      </c>
      <c r="G9" s="47" t="s">
        <v>24</v>
      </c>
      <c r="H9" s="16" t="str">
        <f>'Exh CTM-9 (Page 1)'!H9</f>
        <v>12 (26) (26P)</v>
      </c>
      <c r="I9" s="16" t="str">
        <f>'Exh CTM-9 (Page 1)'!I9</f>
        <v>10 (31)</v>
      </c>
      <c r="J9" s="1"/>
      <c r="K9" s="1"/>
    </row>
    <row r="10" spans="1:11" x14ac:dyDescent="0.2">
      <c r="A10" s="1"/>
      <c r="B10" s="8" t="s">
        <v>16</v>
      </c>
      <c r="C10" s="8" t="s">
        <v>15</v>
      </c>
      <c r="D10" s="8" t="s">
        <v>14</v>
      </c>
      <c r="E10" s="8" t="s">
        <v>13</v>
      </c>
      <c r="F10" s="8" t="s">
        <v>42</v>
      </c>
      <c r="G10" s="8" t="s">
        <v>11</v>
      </c>
      <c r="H10" s="8" t="s">
        <v>10</v>
      </c>
      <c r="I10" s="8" t="s">
        <v>9</v>
      </c>
      <c r="J10" s="1"/>
      <c r="K10" s="1"/>
    </row>
    <row r="11" spans="1:11" x14ac:dyDescent="0.2">
      <c r="A11" s="8">
        <v>1</v>
      </c>
      <c r="B11" s="19" t="s">
        <v>5</v>
      </c>
      <c r="C11" s="8"/>
      <c r="D11" s="8"/>
      <c r="E11" s="8"/>
      <c r="F11" s="8"/>
      <c r="G11" s="8"/>
      <c r="H11" s="8"/>
      <c r="I11" s="8"/>
      <c r="J11" s="1"/>
      <c r="K11" s="1"/>
    </row>
    <row r="12" spans="1:11" x14ac:dyDescent="0.2">
      <c r="A12" s="8">
        <f t="shared" ref="A12:A26" si="0">A11+1</f>
        <v>2</v>
      </c>
      <c r="B12" s="1" t="s">
        <v>41</v>
      </c>
      <c r="C12" s="22" t="s">
        <v>44</v>
      </c>
      <c r="D12" s="9">
        <f>'Exh CTM-9 (Page 1)'!D$16</f>
        <v>605766507.01447463</v>
      </c>
      <c r="E12" s="9">
        <f>'Exh CTM-9 (Page 1)'!E$16</f>
        <v>128829967.76451582</v>
      </c>
      <c r="F12" s="9">
        <f>'Exh CTM-9 (Page 1)'!F$16</f>
        <v>135340806.15601182</v>
      </c>
      <c r="G12" s="9">
        <f>'Exh CTM-9 (Page 1)'!G$16</f>
        <v>7611436.0751503529</v>
      </c>
      <c r="H12" s="9">
        <f>'Exh CTM-9 (Page 1)'!H$16</f>
        <v>86984219.478169426</v>
      </c>
      <c r="I12" s="9">
        <f>'Exh CTM-9 (Page 1)'!I$16</f>
        <v>56213408.848938271</v>
      </c>
      <c r="J12" s="1"/>
      <c r="K12" s="1"/>
    </row>
    <row r="13" spans="1:11" x14ac:dyDescent="0.2">
      <c r="A13" s="8">
        <f t="shared" si="0"/>
        <v>3</v>
      </c>
      <c r="B13" s="1" t="s">
        <v>40</v>
      </c>
      <c r="C13" s="22" t="s">
        <v>43</v>
      </c>
      <c r="D13" s="32">
        <v>1099282.75</v>
      </c>
      <c r="E13" s="32">
        <v>129125.18083333335</v>
      </c>
      <c r="F13" s="32">
        <v>9208.0141666666677</v>
      </c>
      <c r="G13" s="32">
        <v>82</v>
      </c>
      <c r="H13" s="32">
        <v>1048.9366666666667</v>
      </c>
      <c r="I13" s="32">
        <v>512.67583333333334</v>
      </c>
      <c r="J13" s="1"/>
      <c r="K13" s="1"/>
    </row>
    <row r="14" spans="1:11" x14ac:dyDescent="0.2">
      <c r="A14" s="8">
        <f t="shared" si="0"/>
        <v>4</v>
      </c>
      <c r="B14" s="1" t="s">
        <v>39</v>
      </c>
      <c r="C14" s="8" t="str">
        <f>"("&amp;A12&amp;") / ("&amp;A13&amp;")"</f>
        <v>(2) / (3)</v>
      </c>
      <c r="D14" s="30">
        <f t="shared" ref="D14:I14" si="1">ROUND(D12/D13,2)</f>
        <v>551.05999999999995</v>
      </c>
      <c r="E14" s="30">
        <f t="shared" si="1"/>
        <v>997.71</v>
      </c>
      <c r="F14" s="30">
        <f t="shared" si="1"/>
        <v>14698.15</v>
      </c>
      <c r="G14" s="30">
        <f t="shared" si="1"/>
        <v>92822.39</v>
      </c>
      <c r="H14" s="30">
        <f t="shared" si="1"/>
        <v>82926.09</v>
      </c>
      <c r="I14" s="30">
        <f t="shared" si="1"/>
        <v>109647.08</v>
      </c>
      <c r="J14" s="1"/>
      <c r="K14" s="1"/>
    </row>
    <row r="15" spans="1:11" x14ac:dyDescent="0.2">
      <c r="A15" s="8">
        <f t="shared" si="0"/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8">
        <f t="shared" si="0"/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8">
        <f t="shared" si="0"/>
        <v>7</v>
      </c>
      <c r="B17" s="15" t="str">
        <f>'Exh CTM-9 (Page 1)'!B18</f>
        <v>Proposed Effective January, 2026</v>
      </c>
      <c r="C17" s="15"/>
      <c r="D17" s="15"/>
      <c r="E17" s="15"/>
      <c r="F17" s="15"/>
      <c r="G17" s="15"/>
      <c r="H17" s="15"/>
      <c r="I17" s="15"/>
      <c r="J17" s="1"/>
      <c r="K17" s="1"/>
    </row>
    <row r="18" spans="1:11" x14ac:dyDescent="0.2">
      <c r="A18" s="8">
        <f t="shared" si="0"/>
        <v>8</v>
      </c>
      <c r="B18" s="28"/>
      <c r="C18" s="28"/>
      <c r="D18" s="28"/>
      <c r="E18" s="28"/>
      <c r="F18" s="2"/>
      <c r="G18" s="2"/>
      <c r="H18" s="2"/>
      <c r="I18" s="2"/>
      <c r="J18" s="1"/>
      <c r="K18" s="1"/>
    </row>
    <row r="19" spans="1:11" x14ac:dyDescent="0.2">
      <c r="A19" s="8">
        <f t="shared" si="0"/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8">
        <f t="shared" si="0"/>
        <v>10</v>
      </c>
      <c r="B20" s="1"/>
      <c r="C20" s="1"/>
      <c r="D20" s="2" t="str">
        <f t="shared" ref="D20:I21" si="2">D8</f>
        <v xml:space="preserve">Schedule  </v>
      </c>
      <c r="E20" s="2" t="str">
        <f t="shared" si="2"/>
        <v>Schedules</v>
      </c>
      <c r="F20" s="2" t="str">
        <f t="shared" si="2"/>
        <v>Schedules</v>
      </c>
      <c r="G20" s="2" t="str">
        <f t="shared" si="2"/>
        <v xml:space="preserve">Special </v>
      </c>
      <c r="H20" s="2" t="str">
        <f t="shared" si="2"/>
        <v>Schedules</v>
      </c>
      <c r="I20" s="2" t="str">
        <f t="shared" si="2"/>
        <v>Schedules</v>
      </c>
      <c r="J20" s="1"/>
      <c r="K20" s="1"/>
    </row>
    <row r="21" spans="1:11" x14ac:dyDescent="0.2">
      <c r="A21" s="8">
        <f t="shared" si="0"/>
        <v>11</v>
      </c>
      <c r="B21" s="6"/>
      <c r="C21" s="7" t="s">
        <v>17</v>
      </c>
      <c r="D21" s="16" t="str">
        <f t="shared" si="2"/>
        <v>7 (307) (317) (327)</v>
      </c>
      <c r="E21" s="16" t="str">
        <f t="shared" si="2"/>
        <v>08 (24) (324)</v>
      </c>
      <c r="F21" s="16" t="str">
        <f t="shared" si="2"/>
        <v>7A (11) (25) 29 35 43</v>
      </c>
      <c r="G21" s="16" t="str">
        <f t="shared" si="2"/>
        <v>Contracts</v>
      </c>
      <c r="H21" s="16" t="str">
        <f t="shared" si="2"/>
        <v>12 (26) (26P)</v>
      </c>
      <c r="I21" s="16" t="str">
        <f t="shared" si="2"/>
        <v>10 (31)</v>
      </c>
      <c r="J21" s="1"/>
      <c r="K21" s="1"/>
    </row>
    <row r="22" spans="1:11" x14ac:dyDescent="0.2">
      <c r="A22" s="8">
        <f t="shared" si="0"/>
        <v>12</v>
      </c>
      <c r="B22" s="8" t="s">
        <v>16</v>
      </c>
      <c r="C22" s="8" t="s">
        <v>15</v>
      </c>
      <c r="D22" s="8" t="s">
        <v>14</v>
      </c>
      <c r="E22" s="8" t="s">
        <v>13</v>
      </c>
      <c r="F22" s="8" t="s">
        <v>42</v>
      </c>
      <c r="G22" s="8" t="s">
        <v>11</v>
      </c>
      <c r="H22" s="8" t="s">
        <v>10</v>
      </c>
      <c r="I22" s="8" t="s">
        <v>9</v>
      </c>
      <c r="J22" s="1"/>
      <c r="K22" s="1"/>
    </row>
    <row r="23" spans="1:11" x14ac:dyDescent="0.2">
      <c r="A23" s="8">
        <f t="shared" si="0"/>
        <v>13</v>
      </c>
      <c r="B23" s="19" t="s">
        <v>5</v>
      </c>
      <c r="C23" s="8"/>
      <c r="D23" s="8"/>
      <c r="E23" s="8"/>
      <c r="F23" s="8"/>
      <c r="G23" s="8"/>
      <c r="H23" s="8"/>
      <c r="I23" s="8"/>
      <c r="J23" s="1"/>
      <c r="K23" s="1"/>
    </row>
    <row r="24" spans="1:11" x14ac:dyDescent="0.2">
      <c r="A24" s="8">
        <f t="shared" si="0"/>
        <v>14</v>
      </c>
      <c r="B24" s="1" t="s">
        <v>41</v>
      </c>
      <c r="C24" s="22" t="str">
        <f>C12</f>
        <v>Exhibit CTM-9, Page 1</v>
      </c>
      <c r="D24" s="9">
        <f>'Exh CTM-9 (Page 1)'!D$29</f>
        <v>628533688.20282388</v>
      </c>
      <c r="E24" s="9">
        <f>'Exh CTM-9 (Page 1)'!E$29</f>
        <v>129946150.70186798</v>
      </c>
      <c r="F24" s="9">
        <f>'Exh CTM-9 (Page 1)'!F$29</f>
        <v>140651808.12285855</v>
      </c>
      <c r="G24" s="9">
        <f>'Exh CTM-9 (Page 1)'!G$29</f>
        <v>8440343.6815407574</v>
      </c>
      <c r="H24" s="9">
        <f>'Exh CTM-9 (Page 1)'!H$29</f>
        <v>94880493.904471308</v>
      </c>
      <c r="I24" s="9">
        <f>'Exh CTM-9 (Page 1)'!I$29</f>
        <v>57178961.960506923</v>
      </c>
      <c r="J24" s="1"/>
      <c r="K24" s="1"/>
    </row>
    <row r="25" spans="1:11" x14ac:dyDescent="0.2">
      <c r="A25" s="8">
        <f t="shared" si="0"/>
        <v>15</v>
      </c>
      <c r="B25" s="1" t="s">
        <v>40</v>
      </c>
      <c r="C25" s="22" t="str">
        <f>C13</f>
        <v>Exhibit CTM-3</v>
      </c>
      <c r="D25" s="32">
        <v>1110980</v>
      </c>
      <c r="E25" s="32">
        <v>130567.62916666665</v>
      </c>
      <c r="F25" s="32">
        <v>9381.5708333333332</v>
      </c>
      <c r="G25" s="32">
        <v>82</v>
      </c>
      <c r="H25" s="32">
        <v>1218.8774999999998</v>
      </c>
      <c r="I25" s="32">
        <v>512.77666666666676</v>
      </c>
      <c r="J25" s="1"/>
      <c r="K25" s="1"/>
    </row>
    <row r="26" spans="1:11" x14ac:dyDescent="0.2">
      <c r="A26" s="8">
        <f t="shared" si="0"/>
        <v>16</v>
      </c>
      <c r="B26" s="1" t="s">
        <v>39</v>
      </c>
      <c r="C26" s="8" t="str">
        <f>"("&amp;A24&amp;") / ("&amp;A25&amp;")"</f>
        <v>(14) / (15)</v>
      </c>
      <c r="D26" s="30">
        <f t="shared" ref="D26:I26" si="3">ROUND(D24/D25,2)</f>
        <v>565.75</v>
      </c>
      <c r="E26" s="30">
        <f t="shared" si="3"/>
        <v>995.24</v>
      </c>
      <c r="F26" s="30">
        <f t="shared" si="3"/>
        <v>14992.35</v>
      </c>
      <c r="G26" s="30">
        <f t="shared" si="3"/>
        <v>102931.02</v>
      </c>
      <c r="H26" s="30">
        <f t="shared" si="3"/>
        <v>77842.52</v>
      </c>
      <c r="I26" s="30">
        <f t="shared" si="3"/>
        <v>111508.51</v>
      </c>
      <c r="J26" s="1"/>
      <c r="K26" s="1"/>
    </row>
    <row r="27" spans="1:11" x14ac:dyDescent="0.2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71" orientation="landscape" blackAndWhite="1" horizontalDpi="1200" verticalDpi="1200" r:id="rId1"/>
  <headerFooter alignWithMargins="0"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DA7D-251E-4D84-BB78-71749C90D0AA}">
  <sheetPr>
    <pageSetUpPr fitToPage="1"/>
  </sheetPr>
  <dimension ref="A1:H28"/>
  <sheetViews>
    <sheetView workbookViewId="0">
      <selection activeCell="C24" sqref="C24"/>
    </sheetView>
  </sheetViews>
  <sheetFormatPr defaultColWidth="9.140625" defaultRowHeight="11.25" x14ac:dyDescent="0.2"/>
  <cols>
    <col min="1" max="1" width="4.42578125" style="1" bestFit="1" customWidth="1"/>
    <col min="2" max="2" width="43.5703125" style="1" customWidth="1"/>
    <col min="3" max="3" width="41.140625" style="1" bestFit="1" customWidth="1"/>
    <col min="4" max="4" width="10.7109375" style="1" bestFit="1" customWidth="1"/>
    <col min="5" max="5" width="14.85546875" style="1" bestFit="1" customWidth="1"/>
    <col min="6" max="6" width="13.42578125" style="1" bestFit="1" customWidth="1"/>
    <col min="7" max="7" width="18.140625" style="1" customWidth="1"/>
    <col min="8" max="8" width="11.5703125" style="1" bestFit="1" customWidth="1"/>
    <col min="9" max="16384" width="9.140625" style="1"/>
  </cols>
  <sheetData>
    <row r="1" spans="1:8" ht="11.25" customHeight="1" x14ac:dyDescent="0.2">
      <c r="A1" s="49" t="str">
        <f>'Exh CTM-9 (Page 1)'!A1:M1</f>
        <v>Puget Sound Energy</v>
      </c>
      <c r="B1" s="49"/>
      <c r="C1" s="49"/>
      <c r="D1" s="49"/>
      <c r="E1" s="49"/>
      <c r="F1" s="49"/>
      <c r="G1" s="49"/>
      <c r="H1" s="50"/>
    </row>
    <row r="2" spans="1:8" ht="12.75" customHeight="1" x14ac:dyDescent="0.2">
      <c r="A2" s="49" t="str">
        <f>'Exh CTM-9 (Page 1)'!A2:M2</f>
        <v>2024 General Rate Case Docket No. UE-240004 and UG-240005</v>
      </c>
      <c r="B2" s="49"/>
      <c r="C2" s="49"/>
      <c r="D2" s="49"/>
      <c r="E2" s="49"/>
      <c r="F2" s="49"/>
      <c r="G2" s="49"/>
      <c r="H2" s="50"/>
    </row>
    <row r="3" spans="1:8" ht="12.75" customHeight="1" x14ac:dyDescent="0.2">
      <c r="A3" s="49" t="str">
        <f>'Exh CTM-9 (Page 1)'!A3:M3</f>
        <v>Electric Delivery Decoupling Mechanism (Schedule 142)</v>
      </c>
      <c r="B3" s="49"/>
      <c r="C3" s="49"/>
      <c r="D3" s="49"/>
      <c r="E3" s="49"/>
      <c r="F3" s="49"/>
      <c r="G3" s="49"/>
      <c r="H3" s="50"/>
    </row>
    <row r="4" spans="1:8" ht="11.25" customHeight="1" x14ac:dyDescent="0.2">
      <c r="A4" s="49" t="s">
        <v>50</v>
      </c>
      <c r="B4" s="49"/>
      <c r="C4" s="49"/>
      <c r="D4" s="49"/>
      <c r="E4" s="49"/>
      <c r="F4" s="49"/>
      <c r="G4" s="49"/>
      <c r="H4" s="50"/>
    </row>
    <row r="5" spans="1:8" ht="11.25" customHeight="1" x14ac:dyDescent="0.2">
      <c r="A5" s="49" t="str">
        <f>'Exh CTM-9 (Page 1)'!A5:M5</f>
        <v>Proposed Effective January, 2025</v>
      </c>
      <c r="B5" s="49"/>
      <c r="C5" s="49"/>
      <c r="D5" s="49"/>
      <c r="E5" s="49"/>
      <c r="F5" s="49"/>
      <c r="G5" s="49"/>
      <c r="H5" s="50"/>
    </row>
    <row r="6" spans="1:8" x14ac:dyDescent="0.2">
      <c r="A6" s="28"/>
      <c r="B6" s="28"/>
      <c r="C6" s="28"/>
      <c r="D6" s="28"/>
      <c r="E6" s="28"/>
      <c r="F6" s="28"/>
      <c r="G6" s="2"/>
      <c r="H6" s="28"/>
    </row>
    <row r="8" spans="1:8" ht="12.75" customHeight="1" x14ac:dyDescent="0.2">
      <c r="A8" s="4" t="s">
        <v>33</v>
      </c>
      <c r="E8" s="2" t="s">
        <v>32</v>
      </c>
      <c r="F8" s="2" t="s">
        <v>30</v>
      </c>
      <c r="G8" s="2" t="s">
        <v>30</v>
      </c>
      <c r="H8" s="2" t="s">
        <v>31</v>
      </c>
    </row>
    <row r="9" spans="1:8" x14ac:dyDescent="0.2">
      <c r="A9" s="5" t="s">
        <v>28</v>
      </c>
      <c r="B9" s="6"/>
      <c r="C9" s="7" t="s">
        <v>17</v>
      </c>
      <c r="D9" s="7" t="s">
        <v>49</v>
      </c>
      <c r="E9" s="16" t="str">
        <f>'Exh CTM-9 (Page 1)'!D9</f>
        <v>7 (307) (317) (327)</v>
      </c>
      <c r="F9" s="16" t="str">
        <f>'Exh CTM-9 (Page 1)'!E9</f>
        <v>08 (24) (324)</v>
      </c>
      <c r="G9" s="16" t="str">
        <f>'Exh CTM-9 (Page 1)'!F9</f>
        <v>7A (11) (25) 29 35 43</v>
      </c>
      <c r="H9" s="16" t="s">
        <v>24</v>
      </c>
    </row>
    <row r="10" spans="1:8" x14ac:dyDescent="0.2">
      <c r="B10" s="8" t="s">
        <v>16</v>
      </c>
      <c r="C10" s="8" t="s">
        <v>15</v>
      </c>
      <c r="D10" s="8" t="s">
        <v>14</v>
      </c>
      <c r="E10" s="8" t="s">
        <v>13</v>
      </c>
      <c r="F10" s="8" t="s">
        <v>42</v>
      </c>
      <c r="G10" s="8" t="s">
        <v>11</v>
      </c>
      <c r="H10" s="8" t="s">
        <v>10</v>
      </c>
    </row>
    <row r="11" spans="1:8" x14ac:dyDescent="0.2">
      <c r="A11" s="8">
        <v>1</v>
      </c>
      <c r="B11" s="19" t="s">
        <v>5</v>
      </c>
      <c r="C11" s="8"/>
      <c r="D11" s="8"/>
      <c r="E11" s="8"/>
      <c r="F11" s="8"/>
      <c r="G11" s="8"/>
      <c r="H11" s="8"/>
    </row>
    <row r="12" spans="1:8" x14ac:dyDescent="0.2">
      <c r="A12" s="8">
        <f t="shared" ref="A12:A25" si="0">A11+1</f>
        <v>2</v>
      </c>
      <c r="B12" s="1" t="s">
        <v>41</v>
      </c>
      <c r="C12" s="22" t="str">
        <f>'Exh CTM-9 (Page 2)'!C12</f>
        <v>Exhibit CTM-9, Page 1</v>
      </c>
      <c r="D12" s="22"/>
      <c r="E12" s="9">
        <f>'Exh CTM-9 (Page 1)'!D$16</f>
        <v>605766507.01447463</v>
      </c>
      <c r="F12" s="9">
        <f>'Exh CTM-9 (Page 1)'!E$16</f>
        <v>128829967.76451582</v>
      </c>
      <c r="G12" s="9">
        <f>'Exh CTM-9 (Page 1)'!F$16</f>
        <v>135340806.15601182</v>
      </c>
      <c r="H12" s="9">
        <f>'Exh CTM-9 (Page 1)'!G$16</f>
        <v>7611436.0751503529</v>
      </c>
    </row>
    <row r="13" spans="1:8" x14ac:dyDescent="0.2">
      <c r="A13" s="8">
        <f t="shared" si="0"/>
        <v>3</v>
      </c>
      <c r="B13" s="1" t="s">
        <v>48</v>
      </c>
      <c r="C13" s="22" t="str">
        <f>'Exh CTM-9 (Page 2)'!C13</f>
        <v>Exhibit CTM-3</v>
      </c>
      <c r="D13" s="22"/>
      <c r="E13" s="32">
        <v>11278205851.395365</v>
      </c>
      <c r="F13" s="32">
        <v>2762635966.1696987</v>
      </c>
      <c r="G13" s="32">
        <v>3101807019.238308</v>
      </c>
      <c r="H13" s="32">
        <v>304773055.46200001</v>
      </c>
    </row>
    <row r="14" spans="1:8" x14ac:dyDescent="0.2">
      <c r="A14" s="8">
        <f t="shared" si="0"/>
        <v>4</v>
      </c>
      <c r="B14" s="1" t="s">
        <v>47</v>
      </c>
      <c r="C14" s="8" t="str">
        <f>"("&amp;A12&amp;") / ("&amp;A13&amp;")"</f>
        <v>(2) / (3)</v>
      </c>
      <c r="D14" s="8" t="s">
        <v>46</v>
      </c>
      <c r="E14" s="31">
        <f>ROUND(E12/E13,6)</f>
        <v>5.3711000000000002E-2</v>
      </c>
      <c r="F14" s="31">
        <f>ROUND(F12/F13,6)</f>
        <v>4.6633000000000001E-2</v>
      </c>
      <c r="G14" s="31">
        <f>ROUND(G12/G13,6)</f>
        <v>4.3632999999999998E-2</v>
      </c>
      <c r="H14" s="31">
        <f>ROUND(H12/H13,6)</f>
        <v>2.4974E-2</v>
      </c>
    </row>
    <row r="15" spans="1:8" x14ac:dyDescent="0.2">
      <c r="A15" s="8">
        <f t="shared" si="0"/>
        <v>5</v>
      </c>
    </row>
    <row r="16" spans="1:8" x14ac:dyDescent="0.2">
      <c r="A16" s="8">
        <f t="shared" si="0"/>
        <v>6</v>
      </c>
      <c r="B16" s="43" t="str">
        <f>'Exh CTM-9 (Page 1)'!B18</f>
        <v>Proposed Effective January, 2026</v>
      </c>
      <c r="C16" s="43"/>
      <c r="D16" s="43"/>
      <c r="E16" s="43"/>
      <c r="F16" s="43"/>
      <c r="G16" s="43"/>
      <c r="H16" s="45"/>
    </row>
    <row r="17" spans="1:8" x14ac:dyDescent="0.2">
      <c r="A17" s="8">
        <f t="shared" si="0"/>
        <v>7</v>
      </c>
      <c r="B17" s="28"/>
      <c r="C17" s="28"/>
      <c r="D17" s="28"/>
      <c r="E17" s="28"/>
      <c r="F17" s="28"/>
      <c r="G17" s="2"/>
      <c r="H17" s="28"/>
    </row>
    <row r="18" spans="1:8" x14ac:dyDescent="0.2">
      <c r="A18" s="8">
        <f t="shared" si="0"/>
        <v>8</v>
      </c>
    </row>
    <row r="19" spans="1:8" x14ac:dyDescent="0.2">
      <c r="A19" s="8">
        <f t="shared" si="0"/>
        <v>9</v>
      </c>
      <c r="E19" s="2" t="str">
        <f t="shared" ref="E19:H20" si="1">E8</f>
        <v xml:space="preserve">Schedule  </v>
      </c>
      <c r="F19" s="2" t="str">
        <f t="shared" si="1"/>
        <v>Schedules</v>
      </c>
      <c r="G19" s="2" t="str">
        <f t="shared" si="1"/>
        <v>Schedules</v>
      </c>
      <c r="H19" s="2" t="str">
        <f t="shared" si="1"/>
        <v xml:space="preserve">Special </v>
      </c>
    </row>
    <row r="20" spans="1:8" x14ac:dyDescent="0.2">
      <c r="A20" s="8">
        <f t="shared" si="0"/>
        <v>10</v>
      </c>
      <c r="B20" s="6"/>
      <c r="C20" s="7" t="s">
        <v>17</v>
      </c>
      <c r="D20" s="7" t="s">
        <v>49</v>
      </c>
      <c r="E20" s="16" t="str">
        <f t="shared" si="1"/>
        <v>7 (307) (317) (327)</v>
      </c>
      <c r="F20" s="16" t="str">
        <f t="shared" si="1"/>
        <v>08 (24) (324)</v>
      </c>
      <c r="G20" s="16" t="str">
        <f t="shared" si="1"/>
        <v>7A (11) (25) 29 35 43</v>
      </c>
      <c r="H20" s="16" t="str">
        <f t="shared" si="1"/>
        <v>Contracts</v>
      </c>
    </row>
    <row r="21" spans="1:8" x14ac:dyDescent="0.2">
      <c r="A21" s="8">
        <f t="shared" si="0"/>
        <v>11</v>
      </c>
      <c r="B21" s="8" t="s">
        <v>16</v>
      </c>
      <c r="C21" s="8" t="s">
        <v>15</v>
      </c>
      <c r="D21" s="8" t="s">
        <v>14</v>
      </c>
      <c r="E21" s="8" t="s">
        <v>13</v>
      </c>
      <c r="F21" s="8" t="s">
        <v>42</v>
      </c>
      <c r="G21" s="8" t="s">
        <v>11</v>
      </c>
      <c r="H21" s="8" t="s">
        <v>10</v>
      </c>
    </row>
    <row r="22" spans="1:8" x14ac:dyDescent="0.2">
      <c r="A22" s="8">
        <f t="shared" si="0"/>
        <v>12</v>
      </c>
      <c r="B22" s="19" t="s">
        <v>5</v>
      </c>
      <c r="C22" s="8"/>
      <c r="D22" s="8"/>
      <c r="E22" s="8"/>
      <c r="F22" s="8"/>
      <c r="G22" s="8"/>
      <c r="H22" s="8"/>
    </row>
    <row r="23" spans="1:8" x14ac:dyDescent="0.2">
      <c r="A23" s="8">
        <f t="shared" si="0"/>
        <v>13</v>
      </c>
      <c r="B23" s="1" t="s">
        <v>41</v>
      </c>
      <c r="C23" s="8" t="str">
        <f>C12</f>
        <v>Exhibit CTM-9, Page 1</v>
      </c>
      <c r="D23" s="8"/>
      <c r="E23" s="9">
        <f>'Exh CTM-9 (Page 1)'!D$29</f>
        <v>628533688.20282388</v>
      </c>
      <c r="F23" s="9">
        <f>'Exh CTM-9 (Page 1)'!E$29</f>
        <v>129946150.70186798</v>
      </c>
      <c r="G23" s="9">
        <f>'Exh CTM-9 (Page 1)'!F$29</f>
        <v>140651808.12285855</v>
      </c>
      <c r="H23" s="9">
        <f>'Exh CTM-9 (Page 1)'!G$29</f>
        <v>8440343.6815407574</v>
      </c>
    </row>
    <row r="24" spans="1:8" x14ac:dyDescent="0.2">
      <c r="A24" s="8">
        <f t="shared" si="0"/>
        <v>14</v>
      </c>
      <c r="B24" s="1" t="s">
        <v>48</v>
      </c>
      <c r="C24" s="8" t="str">
        <f>C13</f>
        <v>Exhibit CTM-3</v>
      </c>
      <c r="D24" s="8"/>
      <c r="E24" s="32">
        <v>11447649239.71397</v>
      </c>
      <c r="F24" s="32">
        <v>2774967422.2693906</v>
      </c>
      <c r="G24" s="32">
        <v>3109577261.2542548</v>
      </c>
      <c r="H24" s="32">
        <v>304773055.46200001</v>
      </c>
    </row>
    <row r="25" spans="1:8" x14ac:dyDescent="0.2">
      <c r="A25" s="8">
        <f t="shared" si="0"/>
        <v>15</v>
      </c>
      <c r="B25" s="1" t="s">
        <v>47</v>
      </c>
      <c r="C25" s="8" t="str">
        <f>"("&amp;A23&amp;") / ("&amp;A24&amp;")"</f>
        <v>(13) / (14)</v>
      </c>
      <c r="D25" s="8" t="s">
        <v>46</v>
      </c>
      <c r="E25" s="31">
        <f>ROUND(E23/E24,6)</f>
        <v>5.4905000000000002E-2</v>
      </c>
      <c r="F25" s="31">
        <f>ROUND(F23/F24,6)</f>
        <v>4.6828000000000002E-2</v>
      </c>
      <c r="G25" s="31">
        <f>ROUND(G23/G24,6)</f>
        <v>4.5232000000000001E-2</v>
      </c>
      <c r="H25" s="31">
        <f>ROUND(H23/H24,6)</f>
        <v>2.7694E-2</v>
      </c>
    </row>
    <row r="26" spans="1:8" x14ac:dyDescent="0.2">
      <c r="A26" s="8"/>
    </row>
    <row r="27" spans="1:8" x14ac:dyDescent="0.2">
      <c r="E27" s="32"/>
      <c r="F27" s="32"/>
      <c r="G27" s="32"/>
      <c r="H27" s="32"/>
    </row>
    <row r="28" spans="1:8" ht="12.75" x14ac:dyDescent="0.2">
      <c r="B28" s="46"/>
    </row>
  </sheetData>
  <mergeCells count="5">
    <mergeCell ref="A1:H1"/>
    <mergeCell ref="A2:H2"/>
    <mergeCell ref="A3:H3"/>
    <mergeCell ref="A4:H4"/>
    <mergeCell ref="A5:H5"/>
  </mergeCells>
  <printOptions horizontalCentered="1"/>
  <pageMargins left="0.7" right="0.7" top="0.75" bottom="0.75" header="0.3" footer="0.3"/>
  <pageSetup scale="78" orientation="landscape" blackAndWhite="1" horizontalDpi="1200" verticalDpi="1200" r:id="rId1"/>
  <headerFooter alignWithMargins="0">
    <oddFooter>&amp;R&amp;F
&amp;A
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BBEA-21BD-4E61-B053-9224EA889D2A}">
  <sheetPr>
    <pageSetUpPr fitToPage="1"/>
  </sheetPr>
  <dimension ref="A1:H28"/>
  <sheetViews>
    <sheetView workbookViewId="0">
      <selection activeCell="C24" sqref="C24"/>
    </sheetView>
  </sheetViews>
  <sheetFormatPr defaultColWidth="9.140625" defaultRowHeight="11.25" x14ac:dyDescent="0.2"/>
  <cols>
    <col min="1" max="1" width="4.7109375" style="1" bestFit="1" customWidth="1"/>
    <col min="2" max="2" width="43.28515625" style="1" customWidth="1"/>
    <col min="3" max="3" width="41.140625" style="1" bestFit="1" customWidth="1"/>
    <col min="4" max="4" width="12.42578125" style="1" bestFit="1" customWidth="1"/>
    <col min="5" max="8" width="13.42578125" style="1" customWidth="1"/>
    <col min="9" max="16384" width="9.140625" style="1"/>
  </cols>
  <sheetData>
    <row r="1" spans="1:8" x14ac:dyDescent="0.2">
      <c r="A1" s="48" t="str">
        <f>'Exh CTM-9 (Page 1)'!A1:M1</f>
        <v>Puget Sound Energy</v>
      </c>
      <c r="B1" s="48"/>
      <c r="C1" s="48"/>
      <c r="D1" s="48"/>
      <c r="E1" s="48"/>
      <c r="F1" s="48"/>
      <c r="G1" s="48"/>
      <c r="H1" s="48"/>
    </row>
    <row r="2" spans="1:8" ht="12.75" customHeight="1" x14ac:dyDescent="0.2">
      <c r="A2" s="48" t="str">
        <f>'Exh CTM-9 (Page 1)'!A2:M2</f>
        <v>2024 General Rate Case Docket No. UE-240004 and UG-240005</v>
      </c>
      <c r="B2" s="48"/>
      <c r="C2" s="48"/>
      <c r="D2" s="48"/>
      <c r="E2" s="48"/>
      <c r="F2" s="48"/>
      <c r="G2" s="48"/>
      <c r="H2" s="48"/>
    </row>
    <row r="3" spans="1:8" ht="12.75" customHeight="1" x14ac:dyDescent="0.2">
      <c r="A3" s="48" t="str">
        <f>'Exh CTM-9 (Page 1)'!A3:M3</f>
        <v>Electric Delivery Decoupling Mechanism (Schedule 142)</v>
      </c>
      <c r="B3" s="48"/>
      <c r="C3" s="48"/>
      <c r="D3" s="48"/>
      <c r="E3" s="48"/>
      <c r="F3" s="48"/>
      <c r="G3" s="48"/>
      <c r="H3" s="48"/>
    </row>
    <row r="4" spans="1:8" x14ac:dyDescent="0.2">
      <c r="A4" s="48" t="s">
        <v>58</v>
      </c>
      <c r="B4" s="48"/>
      <c r="C4" s="48"/>
      <c r="D4" s="48"/>
      <c r="E4" s="48"/>
      <c r="F4" s="48"/>
      <c r="G4" s="48"/>
      <c r="H4" s="48"/>
    </row>
    <row r="5" spans="1:8" x14ac:dyDescent="0.2">
      <c r="A5" s="48" t="str">
        <f>'Exh CTM-9 (Page 1)'!A5:M5</f>
        <v>Proposed Effective January, 2025</v>
      </c>
      <c r="B5" s="48"/>
      <c r="C5" s="48"/>
      <c r="D5" s="48"/>
      <c r="E5" s="48"/>
      <c r="F5" s="48"/>
      <c r="G5" s="48"/>
      <c r="H5" s="48"/>
    </row>
    <row r="6" spans="1:8" x14ac:dyDescent="0.2">
      <c r="A6" s="28"/>
      <c r="B6" s="28"/>
      <c r="C6" s="28"/>
      <c r="D6" s="28"/>
      <c r="E6" s="2"/>
      <c r="F6" s="2"/>
      <c r="G6" s="2"/>
      <c r="H6" s="2"/>
    </row>
    <row r="8" spans="1:8" ht="12.75" customHeight="1" x14ac:dyDescent="0.2">
      <c r="E8" s="51" t="str">
        <f>CONCATENATE("Schedule ",'Exh CTM-9 (Page 1)'!H9)</f>
        <v>Schedule 12 (26) (26P)</v>
      </c>
      <c r="F8" s="52"/>
      <c r="G8" s="51" t="str">
        <f>CONCATENATE("Schedule ",'Exh CTM-9 (Page 1)'!I9)</f>
        <v>Schedule 10 (31)</v>
      </c>
      <c r="H8" s="52"/>
    </row>
    <row r="9" spans="1:8" ht="12.75" customHeight="1" x14ac:dyDescent="0.2">
      <c r="A9" s="29" t="s">
        <v>33</v>
      </c>
      <c r="E9" s="39" t="s">
        <v>57</v>
      </c>
      <c r="F9" s="40" t="s">
        <v>56</v>
      </c>
      <c r="G9" s="39" t="s">
        <v>57</v>
      </c>
      <c r="H9" s="40" t="s">
        <v>56</v>
      </c>
    </row>
    <row r="10" spans="1:8" ht="12.75" customHeight="1" x14ac:dyDescent="0.2">
      <c r="A10" s="7" t="s">
        <v>28</v>
      </c>
      <c r="B10" s="6"/>
      <c r="C10" s="7" t="s">
        <v>17</v>
      </c>
      <c r="D10" s="7" t="s">
        <v>49</v>
      </c>
      <c r="E10" s="41" t="s">
        <v>55</v>
      </c>
      <c r="F10" s="42" t="s">
        <v>54</v>
      </c>
      <c r="G10" s="41" t="s">
        <v>55</v>
      </c>
      <c r="H10" s="42" t="s">
        <v>54</v>
      </c>
    </row>
    <row r="11" spans="1:8" x14ac:dyDescent="0.2">
      <c r="B11" s="8" t="s">
        <v>16</v>
      </c>
      <c r="C11" s="8" t="s">
        <v>15</v>
      </c>
      <c r="D11" s="8" t="s">
        <v>14</v>
      </c>
      <c r="E11" s="8" t="s">
        <v>13</v>
      </c>
      <c r="F11" s="8" t="s">
        <v>42</v>
      </c>
      <c r="G11" s="8" t="s">
        <v>11</v>
      </c>
      <c r="H11" s="8" t="s">
        <v>10</v>
      </c>
    </row>
    <row r="12" spans="1:8" x14ac:dyDescent="0.2">
      <c r="A12" s="8">
        <v>1</v>
      </c>
      <c r="B12" s="19" t="s">
        <v>5</v>
      </c>
      <c r="C12" s="8"/>
      <c r="D12" s="8"/>
      <c r="E12" s="8"/>
      <c r="F12" s="8"/>
      <c r="G12" s="8"/>
      <c r="H12" s="8"/>
    </row>
    <row r="13" spans="1:8" x14ac:dyDescent="0.2">
      <c r="A13" s="8">
        <f t="shared" ref="A13:A28" si="0">A12+1</f>
        <v>2</v>
      </c>
      <c r="B13" s="1" t="s">
        <v>41</v>
      </c>
      <c r="C13" s="22" t="str">
        <f>'Exh CTM-9 (Page 2)'!C12</f>
        <v>Exhibit CTM-9, Page 1</v>
      </c>
      <c r="D13" s="22"/>
      <c r="E13" s="32">
        <v>51242389.191679411</v>
      </c>
      <c r="F13" s="32">
        <v>35741830.286490016</v>
      </c>
      <c r="G13" s="32">
        <v>33108771.004614595</v>
      </c>
      <c r="H13" s="32">
        <v>23104637.84432368</v>
      </c>
    </row>
    <row r="14" spans="1:8" x14ac:dyDescent="0.2">
      <c r="A14" s="8">
        <f t="shared" si="0"/>
        <v>3</v>
      </c>
      <c r="B14" s="1" t="s">
        <v>53</v>
      </c>
      <c r="C14" s="22" t="str">
        <f>'Exh CTM-9 (Page 2)'!C13</f>
        <v>Exhibit CTM-3</v>
      </c>
      <c r="D14" s="22"/>
      <c r="E14" s="32">
        <v>2414267.6430118596</v>
      </c>
      <c r="F14" s="32">
        <v>2530005.6436722665</v>
      </c>
      <c r="G14" s="32">
        <v>1651193.2087693459</v>
      </c>
      <c r="H14" s="32">
        <v>1732799.8620059723</v>
      </c>
    </row>
    <row r="15" spans="1:8" x14ac:dyDescent="0.2">
      <c r="A15" s="8">
        <f t="shared" si="0"/>
        <v>4</v>
      </c>
      <c r="B15" s="1" t="s">
        <v>52</v>
      </c>
      <c r="C15" s="8" t="str">
        <f>"("&amp;A13&amp;") / ("&amp;A14&amp;")"</f>
        <v>(2) / (3)</v>
      </c>
      <c r="D15" s="8" t="s">
        <v>51</v>
      </c>
      <c r="E15" s="30">
        <f>ROUND(E13/E14,2)</f>
        <v>21.22</v>
      </c>
      <c r="F15" s="30">
        <f>ROUND(F13/F14,2)</f>
        <v>14.13</v>
      </c>
      <c r="G15" s="30">
        <f>ROUND(G13/G14,2)</f>
        <v>20.05</v>
      </c>
      <c r="H15" s="30">
        <f>ROUND(H13/H14,2)</f>
        <v>13.33</v>
      </c>
    </row>
    <row r="16" spans="1:8" x14ac:dyDescent="0.2">
      <c r="A16" s="8">
        <f t="shared" si="0"/>
        <v>5</v>
      </c>
    </row>
    <row r="17" spans="1:8" x14ac:dyDescent="0.2">
      <c r="A17" s="8">
        <f t="shared" si="0"/>
        <v>6</v>
      </c>
    </row>
    <row r="18" spans="1:8" ht="11.25" customHeight="1" x14ac:dyDescent="0.2">
      <c r="A18" s="8">
        <f t="shared" si="0"/>
        <v>7</v>
      </c>
      <c r="B18" s="43" t="str">
        <f>'Exh CTM-9 (Page 1)'!B18</f>
        <v>Proposed Effective January, 2026</v>
      </c>
      <c r="C18" s="43"/>
      <c r="D18" s="43"/>
      <c r="E18" s="43"/>
      <c r="F18" s="43"/>
      <c r="G18" s="43"/>
      <c r="H18" s="44"/>
    </row>
    <row r="19" spans="1:8" x14ac:dyDescent="0.2">
      <c r="A19" s="8">
        <f t="shared" si="0"/>
        <v>8</v>
      </c>
      <c r="B19" s="28"/>
      <c r="C19" s="28"/>
      <c r="D19" s="28"/>
      <c r="E19" s="2"/>
      <c r="F19" s="2"/>
      <c r="G19" s="2"/>
      <c r="H19" s="2"/>
    </row>
    <row r="20" spans="1:8" x14ac:dyDescent="0.2">
      <c r="A20" s="8">
        <f t="shared" si="0"/>
        <v>9</v>
      </c>
    </row>
    <row r="21" spans="1:8" x14ac:dyDescent="0.2">
      <c r="A21" s="8">
        <f t="shared" si="0"/>
        <v>10</v>
      </c>
      <c r="E21" s="51" t="str">
        <f>E8</f>
        <v>Schedule 12 (26) (26P)</v>
      </c>
      <c r="F21" s="52"/>
      <c r="G21" s="51" t="str">
        <f>G8</f>
        <v>Schedule 10 (31)</v>
      </c>
      <c r="H21" s="52"/>
    </row>
    <row r="22" spans="1:8" x14ac:dyDescent="0.2">
      <c r="A22" s="8">
        <f t="shared" si="0"/>
        <v>11</v>
      </c>
      <c r="E22" s="39" t="str">
        <f>E9</f>
        <v xml:space="preserve">Winter  </v>
      </c>
      <c r="F22" s="40" t="str">
        <f>F9</f>
        <v xml:space="preserve">Summer   </v>
      </c>
      <c r="G22" s="39" t="str">
        <f>G9</f>
        <v xml:space="preserve">Winter  </v>
      </c>
      <c r="H22" s="40" t="str">
        <f>H9</f>
        <v xml:space="preserve">Summer   </v>
      </c>
    </row>
    <row r="23" spans="1:8" x14ac:dyDescent="0.2">
      <c r="A23" s="8">
        <f t="shared" si="0"/>
        <v>12</v>
      </c>
      <c r="B23" s="6"/>
      <c r="C23" s="7" t="s">
        <v>17</v>
      </c>
      <c r="D23" s="7" t="s">
        <v>49</v>
      </c>
      <c r="E23" s="41" t="str">
        <f>E10</f>
        <v>Oct - Mar</v>
      </c>
      <c r="F23" s="42" t="str">
        <f>F10</f>
        <v>Apr-Sept</v>
      </c>
      <c r="G23" s="41" t="str">
        <f>G10</f>
        <v>Oct - Mar</v>
      </c>
      <c r="H23" s="42" t="str">
        <f>H10</f>
        <v>Apr-Sept</v>
      </c>
    </row>
    <row r="24" spans="1:8" x14ac:dyDescent="0.2">
      <c r="A24" s="8">
        <f t="shared" si="0"/>
        <v>13</v>
      </c>
      <c r="B24" s="8" t="s">
        <v>16</v>
      </c>
      <c r="C24" s="8" t="s">
        <v>15</v>
      </c>
      <c r="D24" s="8" t="s">
        <v>14</v>
      </c>
      <c r="E24" s="8" t="s">
        <v>13</v>
      </c>
      <c r="F24" s="8" t="s">
        <v>42</v>
      </c>
      <c r="G24" s="8" t="s">
        <v>11</v>
      </c>
      <c r="H24" s="8" t="s">
        <v>10</v>
      </c>
    </row>
    <row r="25" spans="1:8" x14ac:dyDescent="0.2">
      <c r="A25" s="8">
        <f t="shared" si="0"/>
        <v>14</v>
      </c>
      <c r="B25" s="19" t="s">
        <v>5</v>
      </c>
      <c r="C25" s="8"/>
      <c r="D25" s="8"/>
      <c r="E25" s="8"/>
      <c r="F25" s="8"/>
      <c r="G25" s="8"/>
      <c r="H25" s="8"/>
    </row>
    <row r="26" spans="1:8" x14ac:dyDescent="0.2">
      <c r="A26" s="8">
        <f t="shared" si="0"/>
        <v>15</v>
      </c>
      <c r="B26" s="1" t="s">
        <v>41</v>
      </c>
      <c r="C26" s="8" t="str">
        <f>C13</f>
        <v>Exhibit CTM-9, Page 1</v>
      </c>
      <c r="D26" s="8"/>
      <c r="E26" s="32">
        <v>55884027.954018727</v>
      </c>
      <c r="F26" s="32">
        <v>38996465.950452574</v>
      </c>
      <c r="G26" s="32">
        <v>33614467.724389866</v>
      </c>
      <c r="H26" s="32">
        <v>23564494.236117054</v>
      </c>
    </row>
    <row r="27" spans="1:8" x14ac:dyDescent="0.2">
      <c r="A27" s="8">
        <f t="shared" si="0"/>
        <v>16</v>
      </c>
      <c r="B27" s="1" t="s">
        <v>53</v>
      </c>
      <c r="C27" s="8" t="str">
        <f>C14</f>
        <v>Exhibit CTM-3</v>
      </c>
      <c r="D27" s="8"/>
      <c r="E27" s="32">
        <v>2456617.8720574384</v>
      </c>
      <c r="F27" s="32">
        <v>2575513.408438711</v>
      </c>
      <c r="G27" s="32">
        <v>1628246.7702424303</v>
      </c>
      <c r="H27" s="32">
        <v>1716510.700624756</v>
      </c>
    </row>
    <row r="28" spans="1:8" x14ac:dyDescent="0.2">
      <c r="A28" s="8">
        <f t="shared" si="0"/>
        <v>17</v>
      </c>
      <c r="B28" s="1" t="s">
        <v>52</v>
      </c>
      <c r="C28" s="8" t="str">
        <f>"("&amp;A26&amp;") / ("&amp;A27&amp;")"</f>
        <v>(15) / (16)</v>
      </c>
      <c r="D28" s="8" t="s">
        <v>51</v>
      </c>
      <c r="E28" s="30">
        <f>ROUND(E26/E27,2)</f>
        <v>22.75</v>
      </c>
      <c r="F28" s="30">
        <f>ROUND(F26/F27,2)</f>
        <v>15.14</v>
      </c>
      <c r="G28" s="30">
        <f>ROUND(G26/G27,2)</f>
        <v>20.64</v>
      </c>
      <c r="H28" s="30">
        <f>ROUND(H26/H27,2)</f>
        <v>13.73</v>
      </c>
    </row>
  </sheetData>
  <mergeCells count="9">
    <mergeCell ref="E21:F21"/>
    <mergeCell ref="G21:H21"/>
    <mergeCell ref="A1:H1"/>
    <mergeCell ref="A3:H3"/>
    <mergeCell ref="A4:H4"/>
    <mergeCell ref="E8:F8"/>
    <mergeCell ref="G8:H8"/>
    <mergeCell ref="A2:H2"/>
    <mergeCell ref="A5:H5"/>
  </mergeCells>
  <printOptions horizontalCentered="1"/>
  <pageMargins left="0.7" right="0.7" top="0.75" bottom="0.75" header="0.3" footer="0.3"/>
  <pageSetup scale="79" orientation="landscape" blackAndWhite="1" horizontalDpi="1200" verticalDpi="1200" r:id="rId1"/>
  <headerFooter alignWithMargins="0">
    <oddFooter>&amp;R&amp;F
&amp;A
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9112-1079-40A1-B97A-91045482A3BB}">
  <dimension ref="A1:AK59"/>
  <sheetViews>
    <sheetView tabSelected="1" workbookViewId="0">
      <selection activeCell="C24" sqref="C24"/>
    </sheetView>
  </sheetViews>
  <sheetFormatPr defaultColWidth="9.140625" defaultRowHeight="11.25" x14ac:dyDescent="0.2"/>
  <cols>
    <col min="1" max="1" width="4.42578125" style="1" bestFit="1" customWidth="1"/>
    <col min="2" max="2" width="1.5703125" style="1" customWidth="1"/>
    <col min="3" max="3" width="34.7109375" style="1" customWidth="1"/>
    <col min="4" max="4" width="35.140625" style="8" bestFit="1" customWidth="1"/>
    <col min="5" max="5" width="12.42578125" style="8" bestFit="1" customWidth="1"/>
    <col min="6" max="8" width="12" style="8" bestFit="1" customWidth="1"/>
    <col min="9" max="9" width="10.7109375" style="8" bestFit="1" customWidth="1"/>
    <col min="10" max="15" width="10.7109375" style="1" bestFit="1" customWidth="1"/>
    <col min="16" max="17" width="12" style="1" bestFit="1" customWidth="1"/>
    <col min="18" max="18" width="11.7109375" style="1" bestFit="1" customWidth="1"/>
    <col min="19" max="19" width="0.7109375" style="1" customWidth="1"/>
    <col min="20" max="20" width="5.42578125" style="1" customWidth="1"/>
    <col min="21" max="21" width="1.85546875" style="1" customWidth="1"/>
    <col min="22" max="22" width="35.5703125" style="1" bestFit="1" customWidth="1"/>
    <col min="23" max="23" width="35.140625" style="1" bestFit="1" customWidth="1"/>
    <col min="24" max="24" width="12.42578125" style="1" bestFit="1" customWidth="1"/>
    <col min="25" max="32" width="12" style="1" bestFit="1" customWidth="1"/>
    <col min="33" max="34" width="10.7109375" style="1" bestFit="1" customWidth="1"/>
    <col min="35" max="36" width="12" style="1" bestFit="1" customWidth="1"/>
    <col min="37" max="37" width="11.7109375" style="1" bestFit="1" customWidth="1"/>
    <col min="38" max="38" width="1" style="1" customWidth="1"/>
    <col min="39" max="16384" width="9.140625" style="1"/>
  </cols>
  <sheetData>
    <row r="1" spans="1:37" x14ac:dyDescent="0.2">
      <c r="A1" s="48" t="str">
        <f>'Exh CTM-9 (Page 1)'!A1:M1</f>
        <v>Puget Sound Energy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T1" s="48" t="str">
        <f>A1</f>
        <v>Puget Sound Energy</v>
      </c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</row>
    <row r="2" spans="1:37" x14ac:dyDescent="0.2">
      <c r="A2" s="48" t="str">
        <f>'Exh CTM-9 (Page 1)'!A2:M2</f>
        <v>2024 General Rate Case Docket No. UE-240004 and UG-240005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T2" s="48" t="str">
        <f>A2</f>
        <v>2024 General Rate Case Docket No. UE-240004 and UG-240005</v>
      </c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x14ac:dyDescent="0.2">
      <c r="A3" s="48" t="str">
        <f>'Exh CTM-9 (Page 1)'!A3:M3</f>
        <v>Electric Delivery Decoupling Mechanism (Schedule 142)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T3" s="48" t="str">
        <f>A3</f>
        <v>Electric Delivery Decoupling Mechanism (Schedule 142)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x14ac:dyDescent="0.2">
      <c r="A4" s="48" t="s">
        <v>98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T4" s="48" t="str">
        <f>A4</f>
        <v>Development of Monthly Allowed Delivery Revenue Per Customer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x14ac:dyDescent="0.2">
      <c r="A5" s="48" t="str">
        <f>'Exh CTM-9 (Page 1)'!A5:M5</f>
        <v>Proposed Effective January, 2025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T5" s="48" t="str">
        <f>'Exh CTM-9 (Page 1)'!B18</f>
        <v>Proposed Effective January, 2026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33.75" x14ac:dyDescent="0.2">
      <c r="A7" s="17" t="s">
        <v>97</v>
      </c>
      <c r="B7" s="17"/>
      <c r="C7" s="6"/>
      <c r="D7" s="17" t="s">
        <v>17</v>
      </c>
      <c r="E7" s="17" t="s">
        <v>49</v>
      </c>
      <c r="F7" s="18" t="s">
        <v>96</v>
      </c>
      <c r="G7" s="18" t="s">
        <v>95</v>
      </c>
      <c r="H7" s="18" t="s">
        <v>94</v>
      </c>
      <c r="I7" s="18" t="s">
        <v>93</v>
      </c>
      <c r="J7" s="18" t="s">
        <v>92</v>
      </c>
      <c r="K7" s="18" t="s">
        <v>91</v>
      </c>
      <c r="L7" s="18" t="s">
        <v>90</v>
      </c>
      <c r="M7" s="18" t="s">
        <v>89</v>
      </c>
      <c r="N7" s="18" t="s">
        <v>88</v>
      </c>
      <c r="O7" s="18" t="s">
        <v>87</v>
      </c>
      <c r="P7" s="18" t="s">
        <v>86</v>
      </c>
      <c r="Q7" s="18" t="s">
        <v>85</v>
      </c>
      <c r="R7" s="17" t="s">
        <v>84</v>
      </c>
      <c r="T7" s="17" t="s">
        <v>97</v>
      </c>
      <c r="U7" s="17"/>
      <c r="V7" s="6"/>
      <c r="W7" s="17" t="s">
        <v>17</v>
      </c>
      <c r="X7" s="17" t="s">
        <v>49</v>
      </c>
      <c r="Y7" s="18" t="s">
        <v>96</v>
      </c>
      <c r="Z7" s="18" t="s">
        <v>95</v>
      </c>
      <c r="AA7" s="18" t="s">
        <v>94</v>
      </c>
      <c r="AB7" s="18" t="s">
        <v>93</v>
      </c>
      <c r="AC7" s="18" t="s">
        <v>92</v>
      </c>
      <c r="AD7" s="18" t="s">
        <v>91</v>
      </c>
      <c r="AE7" s="18" t="s">
        <v>90</v>
      </c>
      <c r="AF7" s="18" t="s">
        <v>89</v>
      </c>
      <c r="AG7" s="18" t="s">
        <v>88</v>
      </c>
      <c r="AH7" s="18" t="s">
        <v>87</v>
      </c>
      <c r="AI7" s="18" t="s">
        <v>86</v>
      </c>
      <c r="AJ7" s="18" t="s">
        <v>85</v>
      </c>
      <c r="AK7" s="17" t="s">
        <v>84</v>
      </c>
    </row>
    <row r="8" spans="1:37" x14ac:dyDescent="0.2">
      <c r="C8" s="8" t="s">
        <v>16</v>
      </c>
      <c r="D8" s="8" t="s">
        <v>15</v>
      </c>
      <c r="E8" s="8" t="s">
        <v>14</v>
      </c>
      <c r="F8" s="8" t="s">
        <v>13</v>
      </c>
      <c r="G8" s="8" t="s">
        <v>42</v>
      </c>
      <c r="H8" s="8" t="s">
        <v>11</v>
      </c>
      <c r="I8" s="8" t="s">
        <v>10</v>
      </c>
      <c r="J8" s="8" t="s">
        <v>9</v>
      </c>
      <c r="K8" s="8" t="s">
        <v>8</v>
      </c>
      <c r="L8" s="8" t="s">
        <v>7</v>
      </c>
      <c r="M8" s="8" t="s">
        <v>6</v>
      </c>
      <c r="N8" s="8" t="s">
        <v>83</v>
      </c>
      <c r="O8" s="8" t="s">
        <v>82</v>
      </c>
      <c r="P8" s="8" t="s">
        <v>81</v>
      </c>
      <c r="Q8" s="8" t="s">
        <v>80</v>
      </c>
      <c r="R8" s="8" t="s">
        <v>79</v>
      </c>
      <c r="V8" s="8" t="s">
        <v>16</v>
      </c>
      <c r="W8" s="8" t="s">
        <v>15</v>
      </c>
      <c r="X8" s="8" t="s">
        <v>14</v>
      </c>
      <c r="Y8" s="8" t="s">
        <v>13</v>
      </c>
      <c r="Z8" s="8" t="s">
        <v>42</v>
      </c>
      <c r="AA8" s="8" t="s">
        <v>11</v>
      </c>
      <c r="AB8" s="8" t="s">
        <v>10</v>
      </c>
      <c r="AC8" s="8" t="s">
        <v>9</v>
      </c>
      <c r="AD8" s="8" t="s">
        <v>8</v>
      </c>
      <c r="AE8" s="8" t="s">
        <v>7</v>
      </c>
      <c r="AF8" s="8" t="s">
        <v>6</v>
      </c>
      <c r="AG8" s="8" t="s">
        <v>83</v>
      </c>
      <c r="AH8" s="8" t="s">
        <v>82</v>
      </c>
      <c r="AI8" s="8" t="s">
        <v>81</v>
      </c>
      <c r="AJ8" s="8" t="s">
        <v>80</v>
      </c>
      <c r="AK8" s="8" t="s">
        <v>79</v>
      </c>
    </row>
    <row r="9" spans="1:37" x14ac:dyDescent="0.2">
      <c r="A9" s="8"/>
      <c r="B9" s="37" t="s">
        <v>78</v>
      </c>
      <c r="C9" s="19"/>
      <c r="J9" s="8"/>
      <c r="K9" s="8"/>
      <c r="T9" s="8"/>
      <c r="U9" s="37" t="s">
        <v>78</v>
      </c>
      <c r="V9" s="19"/>
      <c r="W9" s="8"/>
      <c r="X9" s="8"/>
      <c r="Y9" s="8"/>
      <c r="Z9" s="8"/>
      <c r="AA9" s="8"/>
      <c r="AB9" s="8"/>
      <c r="AC9" s="8"/>
      <c r="AD9" s="8"/>
    </row>
    <row r="10" spans="1:37" x14ac:dyDescent="0.2">
      <c r="A10" s="8">
        <v>1</v>
      </c>
      <c r="B10" s="24" t="str">
        <f>CONCATENATE("Schedule ", 'Exh CTM-9 (Page 1)'!D9)</f>
        <v>Schedule 7 (307) (317) (327)</v>
      </c>
      <c r="F10" s="1"/>
      <c r="G10" s="1"/>
      <c r="H10" s="1"/>
      <c r="I10" s="1"/>
      <c r="R10" s="20"/>
      <c r="T10" s="8">
        <v>1</v>
      </c>
      <c r="U10" s="24" t="str">
        <f>B10</f>
        <v>Schedule 7 (307) (317) (327)</v>
      </c>
      <c r="W10" s="8"/>
      <c r="X10" s="8"/>
      <c r="AK10" s="20"/>
    </row>
    <row r="11" spans="1:37" x14ac:dyDescent="0.2">
      <c r="A11" s="8">
        <f t="shared" ref="A11:A57" si="0">A10+1</f>
        <v>2</v>
      </c>
      <c r="B11" s="8"/>
      <c r="C11" s="21" t="s">
        <v>77</v>
      </c>
      <c r="D11" s="22" t="s">
        <v>43</v>
      </c>
      <c r="F11" s="32">
        <v>1193134476.79845</v>
      </c>
      <c r="G11" s="32">
        <v>1039625336.6286001</v>
      </c>
      <c r="H11" s="32">
        <v>1042450629.1309801</v>
      </c>
      <c r="I11" s="32">
        <v>877511591.48910809</v>
      </c>
      <c r="J11" s="32">
        <v>767554271.09981298</v>
      </c>
      <c r="K11" s="32">
        <v>737657927.116436</v>
      </c>
      <c r="L11" s="32">
        <v>822013176.04654789</v>
      </c>
      <c r="M11" s="32">
        <v>830658355.40461993</v>
      </c>
      <c r="N11" s="32">
        <v>756916021.87698495</v>
      </c>
      <c r="O11" s="32">
        <v>881188992.76768494</v>
      </c>
      <c r="P11" s="32">
        <v>1059308217.9364599</v>
      </c>
      <c r="Q11" s="32">
        <v>1270186855.0996799</v>
      </c>
      <c r="R11" s="20">
        <f>SUM(F11:Q11)</f>
        <v>11278205851.395367</v>
      </c>
      <c r="T11" s="8">
        <f t="shared" ref="T11:T57" si="1">T10+1</f>
        <v>2</v>
      </c>
      <c r="U11" s="8"/>
      <c r="V11" s="21" t="str">
        <f>C11</f>
        <v>Forecasted Delivered Volumes</v>
      </c>
      <c r="W11" s="21" t="str">
        <f>D11</f>
        <v>Exhibit CTM-3</v>
      </c>
      <c r="X11" s="8"/>
      <c r="Y11" s="32">
        <v>1214040343.43752</v>
      </c>
      <c r="Z11" s="32">
        <v>1053225509.2362199</v>
      </c>
      <c r="AA11" s="32">
        <v>1057124444.2426801</v>
      </c>
      <c r="AB11" s="32">
        <v>888886669.94300294</v>
      </c>
      <c r="AC11" s="32">
        <v>778160010.17170501</v>
      </c>
      <c r="AD11" s="32">
        <v>751631159.57672608</v>
      </c>
      <c r="AE11" s="32">
        <v>839048557.09608102</v>
      </c>
      <c r="AF11" s="32">
        <v>849033644.425331</v>
      </c>
      <c r="AG11" s="32">
        <v>772444236.68675399</v>
      </c>
      <c r="AH11" s="32">
        <v>893474914.26502991</v>
      </c>
      <c r="AI11" s="32">
        <v>1069067320.8275601</v>
      </c>
      <c r="AJ11" s="32">
        <v>1281512429.8053601</v>
      </c>
      <c r="AK11" s="20">
        <f>SUM(Y11:AJ11)</f>
        <v>11447649239.713972</v>
      </c>
    </row>
    <row r="12" spans="1:37" x14ac:dyDescent="0.2">
      <c r="A12" s="8">
        <f t="shared" si="0"/>
        <v>3</v>
      </c>
      <c r="B12" s="8"/>
      <c r="C12" s="1" t="s">
        <v>76</v>
      </c>
      <c r="D12" s="22" t="s">
        <v>75</v>
      </c>
      <c r="E12" s="22"/>
      <c r="F12" s="23">
        <f t="shared" ref="F12:Q12" si="2">F11/$R11</f>
        <v>0.1057911597393687</v>
      </c>
      <c r="G12" s="23">
        <f t="shared" si="2"/>
        <v>9.2180028483872301E-2</v>
      </c>
      <c r="H12" s="23">
        <f t="shared" si="2"/>
        <v>9.2430537522243006E-2</v>
      </c>
      <c r="I12" s="23">
        <f t="shared" si="2"/>
        <v>7.7805956288742525E-2</v>
      </c>
      <c r="J12" s="23">
        <f t="shared" si="2"/>
        <v>6.8056416172333767E-2</v>
      </c>
      <c r="K12" s="23">
        <f t="shared" si="2"/>
        <v>6.5405609441431783E-2</v>
      </c>
      <c r="L12" s="23">
        <f t="shared" si="2"/>
        <v>7.2885101307567146E-2</v>
      </c>
      <c r="M12" s="23">
        <f t="shared" si="2"/>
        <v>7.3651639839669075E-2</v>
      </c>
      <c r="N12" s="23">
        <f t="shared" si="2"/>
        <v>6.7113158941263476E-2</v>
      </c>
      <c r="O12" s="23">
        <f t="shared" si="2"/>
        <v>7.8132018902515615E-2</v>
      </c>
      <c r="P12" s="23">
        <f t="shared" si="2"/>
        <v>9.392524235629196E-2</v>
      </c>
      <c r="Q12" s="23">
        <f t="shared" si="2"/>
        <v>0.11262313100470049</v>
      </c>
      <c r="R12" s="23">
        <f>SUM(F12:Q12)</f>
        <v>0.99999999999999978</v>
      </c>
      <c r="T12" s="8">
        <f t="shared" si="1"/>
        <v>3</v>
      </c>
      <c r="U12" s="8"/>
      <c r="V12" s="21" t="str">
        <f>C12</f>
        <v>% of Annual Total</v>
      </c>
      <c r="W12" s="22" t="str">
        <f>D12</f>
        <v>% of (C(p):R(2))</v>
      </c>
      <c r="X12" s="22"/>
      <c r="Y12" s="23">
        <f t="shared" ref="Y12:AJ12" si="3">Y11/$AK11</f>
        <v>0.10605149738741067</v>
      </c>
      <c r="Z12" s="23">
        <f t="shared" si="3"/>
        <v>9.2003649586186606E-2</v>
      </c>
      <c r="AA12" s="23">
        <f t="shared" si="3"/>
        <v>9.2344237852372654E-2</v>
      </c>
      <c r="AB12" s="23">
        <f t="shared" si="3"/>
        <v>7.764796521361729E-2</v>
      </c>
      <c r="AC12" s="23">
        <f t="shared" si="3"/>
        <v>6.7975528763768084E-2</v>
      </c>
      <c r="AD12" s="23">
        <f t="shared" si="3"/>
        <v>6.5658122802119162E-2</v>
      </c>
      <c r="AE12" s="23">
        <f t="shared" si="3"/>
        <v>7.3294397786514046E-2</v>
      </c>
      <c r="AF12" s="23">
        <f t="shared" si="3"/>
        <v>7.416663689169295E-2</v>
      </c>
      <c r="AG12" s="23">
        <f t="shared" si="3"/>
        <v>6.7476232064047251E-2</v>
      </c>
      <c r="AH12" s="23">
        <f t="shared" si="3"/>
        <v>7.8048767529092636E-2</v>
      </c>
      <c r="AI12" s="23">
        <f t="shared" si="3"/>
        <v>9.3387498030492719E-2</v>
      </c>
      <c r="AJ12" s="23">
        <f t="shared" si="3"/>
        <v>0.11194546609268573</v>
      </c>
      <c r="AK12" s="23">
        <f>SUM(Y12:AJ12)</f>
        <v>0.99999999999999989</v>
      </c>
    </row>
    <row r="13" spans="1:37" x14ac:dyDescent="0.2">
      <c r="A13" s="8">
        <f t="shared" si="0"/>
        <v>4</v>
      </c>
      <c r="B13" s="8"/>
      <c r="F13" s="1"/>
      <c r="G13" s="1"/>
      <c r="H13" s="1"/>
      <c r="I13" s="1"/>
      <c r="T13" s="8">
        <f t="shared" si="1"/>
        <v>4</v>
      </c>
      <c r="U13" s="8"/>
      <c r="W13" s="8"/>
      <c r="X13" s="8"/>
    </row>
    <row r="14" spans="1:37" x14ac:dyDescent="0.2">
      <c r="A14" s="8">
        <f t="shared" si="0"/>
        <v>5</v>
      </c>
      <c r="B14" s="24" t="str">
        <f>CONCATENATE("Schedule ", 'Exh CTM-9 (Page 1)'!E9)</f>
        <v>Schedule 08 (24) (324)</v>
      </c>
      <c r="D14" s="1"/>
      <c r="E14" s="1"/>
      <c r="F14" s="1"/>
      <c r="G14" s="1"/>
      <c r="H14" s="1"/>
      <c r="I14" s="1"/>
      <c r="T14" s="8">
        <f t="shared" si="1"/>
        <v>5</v>
      </c>
      <c r="U14" s="24" t="str">
        <f>B14</f>
        <v>Schedule 08 (24) (324)</v>
      </c>
    </row>
    <row r="15" spans="1:37" x14ac:dyDescent="0.2">
      <c r="A15" s="8">
        <f t="shared" si="0"/>
        <v>6</v>
      </c>
      <c r="B15" s="8"/>
      <c r="C15" s="1" t="str">
        <f>C11</f>
        <v>Forecasted Delivered Volumes</v>
      </c>
      <c r="D15" s="8" t="str">
        <f>D11</f>
        <v>Exhibit CTM-3</v>
      </c>
      <c r="F15" s="32">
        <v>268377399.54583082</v>
      </c>
      <c r="G15" s="32">
        <v>232145429.81665951</v>
      </c>
      <c r="H15" s="32">
        <v>250114118.10168701</v>
      </c>
      <c r="I15" s="32">
        <v>219457339.65096018</v>
      </c>
      <c r="J15" s="32">
        <v>216499142.4696992</v>
      </c>
      <c r="K15" s="32">
        <v>211362519.84000328</v>
      </c>
      <c r="L15" s="32">
        <v>225746713.31759769</v>
      </c>
      <c r="M15" s="32">
        <v>226750967.64275911</v>
      </c>
      <c r="N15" s="32">
        <v>205047703.38763553</v>
      </c>
      <c r="O15" s="32">
        <v>215034137.41688919</v>
      </c>
      <c r="P15" s="32">
        <v>227014078.89766586</v>
      </c>
      <c r="Q15" s="32">
        <v>265086416.08231151</v>
      </c>
      <c r="R15" s="20">
        <f>SUM(F15:Q15)</f>
        <v>2762635966.1696987</v>
      </c>
      <c r="T15" s="8">
        <f t="shared" si="1"/>
        <v>6</v>
      </c>
      <c r="U15" s="8"/>
      <c r="V15" s="1" t="str">
        <f>V11</f>
        <v>Forecasted Delivered Volumes</v>
      </c>
      <c r="W15" s="8" t="str">
        <f>W11</f>
        <v>Exhibit CTM-3</v>
      </c>
      <c r="X15" s="8"/>
      <c r="Y15" s="32">
        <v>269863748.35963416</v>
      </c>
      <c r="Z15" s="32">
        <v>233004006.32485792</v>
      </c>
      <c r="AA15" s="32">
        <v>250951945.85123512</v>
      </c>
      <c r="AB15" s="32">
        <v>219834898.8745755</v>
      </c>
      <c r="AC15" s="32">
        <v>216772243.96795115</v>
      </c>
      <c r="AD15" s="32">
        <v>211856426.50455749</v>
      </c>
      <c r="AE15" s="32">
        <v>226676119.5257391</v>
      </c>
      <c r="AF15" s="32">
        <v>227813483.44100577</v>
      </c>
      <c r="AG15" s="32">
        <v>205976017.13472027</v>
      </c>
      <c r="AH15" s="32">
        <v>216149899.88041848</v>
      </c>
      <c r="AI15" s="32">
        <v>228481580.58533874</v>
      </c>
      <c r="AJ15" s="32">
        <v>267587051.81935659</v>
      </c>
      <c r="AK15" s="20">
        <f>SUM(Y15:AJ15)</f>
        <v>2774967422.2693901</v>
      </c>
    </row>
    <row r="16" spans="1:37" x14ac:dyDescent="0.2">
      <c r="A16" s="8">
        <f t="shared" si="0"/>
        <v>7</v>
      </c>
      <c r="B16" s="8"/>
      <c r="C16" s="1" t="str">
        <f>C12</f>
        <v>% of Annual Total</v>
      </c>
      <c r="D16" s="22" t="s">
        <v>74</v>
      </c>
      <c r="E16" s="22"/>
      <c r="F16" s="23">
        <f t="shared" ref="F16:Q16" si="4">F15/$R15</f>
        <v>9.714540852732291E-2</v>
      </c>
      <c r="G16" s="23">
        <f t="shared" si="4"/>
        <v>8.4030408877403165E-2</v>
      </c>
      <c r="H16" s="23">
        <f t="shared" si="4"/>
        <v>9.0534591297767614E-2</v>
      </c>
      <c r="I16" s="23">
        <f t="shared" si="4"/>
        <v>7.9437661110026869E-2</v>
      </c>
      <c r="J16" s="23">
        <f t="shared" si="4"/>
        <v>7.8366873204024759E-2</v>
      </c>
      <c r="K16" s="23">
        <f t="shared" si="4"/>
        <v>7.650755381030179E-2</v>
      </c>
      <c r="L16" s="23">
        <f t="shared" si="4"/>
        <v>8.1714245409824249E-2</v>
      </c>
      <c r="M16" s="23">
        <f t="shared" si="4"/>
        <v>8.207775849568108E-2</v>
      </c>
      <c r="N16" s="23">
        <f t="shared" si="4"/>
        <v>7.4221759905604659E-2</v>
      </c>
      <c r="O16" s="23">
        <f t="shared" si="4"/>
        <v>7.7836580733083971E-2</v>
      </c>
      <c r="P16" s="23">
        <f t="shared" si="4"/>
        <v>8.2172997701326966E-2</v>
      </c>
      <c r="Q16" s="23">
        <f t="shared" si="4"/>
        <v>9.5954160927632051E-2</v>
      </c>
      <c r="R16" s="23">
        <f>SUM(F16:Q16)</f>
        <v>1</v>
      </c>
      <c r="T16" s="8">
        <f t="shared" si="1"/>
        <v>7</v>
      </c>
      <c r="U16" s="8"/>
      <c r="V16" s="1" t="str">
        <f>V12</f>
        <v>% of Annual Total</v>
      </c>
      <c r="W16" s="22" t="str">
        <f>D16</f>
        <v>% of (C(p):R(6))</v>
      </c>
      <c r="X16" s="22"/>
      <c r="Y16" s="23">
        <f t="shared" ref="Y16:AJ16" si="5">Y15/$AK15</f>
        <v>9.7249339287355477E-2</v>
      </c>
      <c r="Z16" s="23">
        <f t="shared" si="5"/>
        <v>8.3966393426811989E-2</v>
      </c>
      <c r="AA16" s="23">
        <f t="shared" si="5"/>
        <v>9.0434195312464119E-2</v>
      </c>
      <c r="AB16" s="23">
        <f t="shared" si="5"/>
        <v>7.922071340743625E-2</v>
      </c>
      <c r="AC16" s="23">
        <f t="shared" si="5"/>
        <v>7.811704102481791E-2</v>
      </c>
      <c r="AD16" s="23">
        <f t="shared" si="5"/>
        <v>7.6345554475482691E-2</v>
      </c>
      <c r="AE16" s="23">
        <f t="shared" si="5"/>
        <v>8.1686047088928196E-2</v>
      </c>
      <c r="AF16" s="23">
        <f t="shared" si="5"/>
        <v>8.2095912771004032E-2</v>
      </c>
      <c r="AG16" s="23">
        <f t="shared" si="5"/>
        <v>7.4226463158357181E-2</v>
      </c>
      <c r="AH16" s="23">
        <f t="shared" si="5"/>
        <v>7.7892770252289814E-2</v>
      </c>
      <c r="AI16" s="23">
        <f t="shared" si="5"/>
        <v>8.233667132513027E-2</v>
      </c>
      <c r="AJ16" s="23">
        <f t="shared" si="5"/>
        <v>9.6428898469922142E-2</v>
      </c>
      <c r="AK16" s="23">
        <f>SUM(Y16:AJ16)</f>
        <v>1</v>
      </c>
    </row>
    <row r="17" spans="1:37" x14ac:dyDescent="0.2">
      <c r="A17" s="8">
        <f t="shared" si="0"/>
        <v>8</v>
      </c>
      <c r="B17" s="8"/>
      <c r="D17" s="22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T17" s="8">
        <f t="shared" si="1"/>
        <v>8</v>
      </c>
      <c r="U17" s="8"/>
      <c r="W17" s="22"/>
      <c r="X17" s="22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37" x14ac:dyDescent="0.2">
      <c r="A18" s="8">
        <f t="shared" si="0"/>
        <v>9</v>
      </c>
      <c r="B18" s="24" t="str">
        <f>CONCATENATE("Schedule ", 'Exh CTM-9 (Page 1)'!F9)</f>
        <v>Schedule 7A (11) (25) 29 35 43</v>
      </c>
      <c r="F18" s="1"/>
      <c r="G18" s="1"/>
      <c r="H18" s="1"/>
      <c r="I18" s="1"/>
      <c r="R18" s="20"/>
      <c r="T18" s="8">
        <f t="shared" si="1"/>
        <v>9</v>
      </c>
      <c r="U18" s="24" t="str">
        <f>B18</f>
        <v>Schedule 7A (11) (25) 29 35 43</v>
      </c>
      <c r="W18" s="8"/>
      <c r="X18" s="8"/>
      <c r="AK18" s="20"/>
    </row>
    <row r="19" spans="1:37" x14ac:dyDescent="0.2">
      <c r="A19" s="8">
        <f t="shared" si="0"/>
        <v>10</v>
      </c>
      <c r="B19" s="8"/>
      <c r="C19" s="1" t="str">
        <f>C11</f>
        <v>Forecasted Delivered Volumes</v>
      </c>
      <c r="D19" s="8" t="str">
        <f>D11</f>
        <v>Exhibit CTM-3</v>
      </c>
      <c r="F19" s="32">
        <v>281149654.21666658</v>
      </c>
      <c r="G19" s="32">
        <v>249692550.3856473</v>
      </c>
      <c r="H19" s="32">
        <v>269853368.77322143</v>
      </c>
      <c r="I19" s="32">
        <v>242886698.11592776</v>
      </c>
      <c r="J19" s="32">
        <v>246907668.4314101</v>
      </c>
      <c r="K19" s="32">
        <v>246677848.42755535</v>
      </c>
      <c r="L19" s="32">
        <v>261474698.44057301</v>
      </c>
      <c r="M19" s="32">
        <v>263977363.70387319</v>
      </c>
      <c r="N19" s="32">
        <v>239460422.12602985</v>
      </c>
      <c r="O19" s="32">
        <v>253203378.35906637</v>
      </c>
      <c r="P19" s="32">
        <v>257041643.766619</v>
      </c>
      <c r="Q19" s="32">
        <v>289481724.49171817</v>
      </c>
      <c r="R19" s="20">
        <f>SUM(F19:Q19)</f>
        <v>3101807019.2383084</v>
      </c>
      <c r="T19" s="8">
        <f t="shared" si="1"/>
        <v>10</v>
      </c>
      <c r="U19" s="8"/>
      <c r="V19" s="1" t="str">
        <f>V11</f>
        <v>Forecasted Delivered Volumes</v>
      </c>
      <c r="W19" s="8" t="str">
        <f>W11</f>
        <v>Exhibit CTM-3</v>
      </c>
      <c r="X19" s="8"/>
      <c r="Y19" s="32">
        <v>282425960.67620283</v>
      </c>
      <c r="Z19" s="32">
        <v>250277255.85533667</v>
      </c>
      <c r="AA19" s="32">
        <v>270388764.81533337</v>
      </c>
      <c r="AB19" s="32">
        <v>242869094.69173735</v>
      </c>
      <c r="AC19" s="32">
        <v>246687549.4832783</v>
      </c>
      <c r="AD19" s="32">
        <v>246653424.76067469</v>
      </c>
      <c r="AE19" s="32">
        <v>261968443.79624012</v>
      </c>
      <c r="AF19" s="32">
        <v>264617057.94101223</v>
      </c>
      <c r="AG19" s="32">
        <v>239985110.45700282</v>
      </c>
      <c r="AH19" s="32">
        <v>253862288.88844907</v>
      </c>
      <c r="AI19" s="32">
        <v>258147339.51661009</v>
      </c>
      <c r="AJ19" s="32">
        <v>291694970.37237704</v>
      </c>
      <c r="AK19" s="20">
        <f>SUM(Y19:AJ19)</f>
        <v>3109577261.2542543</v>
      </c>
    </row>
    <row r="20" spans="1:37" x14ac:dyDescent="0.2">
      <c r="A20" s="8">
        <f t="shared" si="0"/>
        <v>11</v>
      </c>
      <c r="B20" s="8"/>
      <c r="C20" s="1" t="str">
        <f>C12</f>
        <v>% of Annual Total</v>
      </c>
      <c r="D20" s="22" t="s">
        <v>73</v>
      </c>
      <c r="E20" s="22"/>
      <c r="F20" s="23">
        <f t="shared" ref="F20:Q20" si="6">F19/$R19</f>
        <v>9.0640601582527458E-2</v>
      </c>
      <c r="G20" s="23">
        <f t="shared" si="6"/>
        <v>8.0499060333857508E-2</v>
      </c>
      <c r="H20" s="23">
        <f t="shared" si="6"/>
        <v>8.6998761399246449E-2</v>
      </c>
      <c r="I20" s="23">
        <f t="shared" si="6"/>
        <v>7.8304903112757784E-2</v>
      </c>
      <c r="J20" s="23">
        <f t="shared" si="6"/>
        <v>7.9601234667410647E-2</v>
      </c>
      <c r="K20" s="23">
        <f t="shared" si="6"/>
        <v>7.9527142371394369E-2</v>
      </c>
      <c r="L20" s="23">
        <f t="shared" si="6"/>
        <v>8.4297539085710665E-2</v>
      </c>
      <c r="M20" s="23">
        <f t="shared" si="6"/>
        <v>8.5104380145705025E-2</v>
      </c>
      <c r="N20" s="23">
        <f t="shared" si="6"/>
        <v>7.7200296678944472E-2</v>
      </c>
      <c r="O20" s="23">
        <f t="shared" si="6"/>
        <v>8.1630925711569241E-2</v>
      </c>
      <c r="P20" s="23">
        <f t="shared" si="6"/>
        <v>8.2868354534106098E-2</v>
      </c>
      <c r="Q20" s="23">
        <f t="shared" si="6"/>
        <v>9.3326800376770186E-2</v>
      </c>
      <c r="R20" s="23">
        <f>SUM(F20:Q20)</f>
        <v>0.99999999999999989</v>
      </c>
      <c r="T20" s="8">
        <f t="shared" si="1"/>
        <v>11</v>
      </c>
      <c r="U20" s="8"/>
      <c r="V20" s="1" t="str">
        <f>V12</f>
        <v>% of Annual Total</v>
      </c>
      <c r="W20" s="22" t="str">
        <f>D20</f>
        <v>% of (C(p):R(10))</v>
      </c>
      <c r="X20" s="22"/>
      <c r="Y20" s="23">
        <f t="shared" ref="Y20:AJ20" si="7">Y19/$AK19</f>
        <v>9.0824551682721577E-2</v>
      </c>
      <c r="Z20" s="23">
        <f t="shared" si="7"/>
        <v>8.048594224489114E-2</v>
      </c>
      <c r="AA20" s="23">
        <f t="shared" si="7"/>
        <v>8.6953544516939096E-2</v>
      </c>
      <c r="AB20" s="23">
        <f t="shared" si="7"/>
        <v>7.8103573021940487E-2</v>
      </c>
      <c r="AC20" s="23">
        <f t="shared" si="7"/>
        <v>7.9331538906280905E-2</v>
      </c>
      <c r="AD20" s="23">
        <f t="shared" si="7"/>
        <v>7.9320564834972629E-2</v>
      </c>
      <c r="AE20" s="23">
        <f t="shared" si="7"/>
        <v>8.424567771973436E-2</v>
      </c>
      <c r="AF20" s="23">
        <f t="shared" si="7"/>
        <v>8.5097437918065552E-2</v>
      </c>
      <c r="AG20" s="23">
        <f t="shared" si="7"/>
        <v>7.7176120833931078E-2</v>
      </c>
      <c r="AH20" s="23">
        <f t="shared" si="7"/>
        <v>8.1638842697882741E-2</v>
      </c>
      <c r="AI20" s="23">
        <f t="shared" si="7"/>
        <v>8.3016859794146372E-2</v>
      </c>
      <c r="AJ20" s="23">
        <f t="shared" si="7"/>
        <v>9.3805345828494147E-2</v>
      </c>
      <c r="AK20" s="23">
        <f>SUM(Y20:AJ20)</f>
        <v>1.0000000000000002</v>
      </c>
    </row>
    <row r="21" spans="1:37" x14ac:dyDescent="0.2">
      <c r="A21" s="8">
        <f t="shared" si="0"/>
        <v>12</v>
      </c>
      <c r="B21" s="8"/>
      <c r="F21" s="1"/>
      <c r="G21" s="1"/>
      <c r="H21" s="1"/>
      <c r="I21" s="1"/>
      <c r="T21" s="8">
        <f t="shared" si="1"/>
        <v>12</v>
      </c>
      <c r="U21" s="8"/>
      <c r="W21" s="8"/>
      <c r="X21" s="8"/>
    </row>
    <row r="22" spans="1:37" x14ac:dyDescent="0.2">
      <c r="A22" s="8">
        <f t="shared" si="0"/>
        <v>13</v>
      </c>
      <c r="B22" s="38" t="s">
        <v>72</v>
      </c>
      <c r="D22" s="1"/>
      <c r="E22" s="1"/>
      <c r="F22" s="1"/>
      <c r="G22" s="1"/>
      <c r="H22" s="1"/>
      <c r="I22" s="1"/>
      <c r="T22" s="8">
        <f t="shared" si="1"/>
        <v>13</v>
      </c>
      <c r="U22" s="24" t="str">
        <f>B22</f>
        <v>Special Contracts</v>
      </c>
    </row>
    <row r="23" spans="1:37" x14ac:dyDescent="0.2">
      <c r="A23" s="8">
        <f t="shared" si="0"/>
        <v>14</v>
      </c>
      <c r="B23" s="8"/>
      <c r="C23" s="1" t="str">
        <f>C15</f>
        <v>Forecasted Delivered Volumes</v>
      </c>
      <c r="D23" s="8" t="str">
        <f>D11</f>
        <v>Exhibit CTM-3</v>
      </c>
      <c r="F23" s="32">
        <v>26657308.277561836</v>
      </c>
      <c r="G23" s="32">
        <v>23431945.037921585</v>
      </c>
      <c r="H23" s="32">
        <v>24954588.829289552</v>
      </c>
      <c r="I23" s="32">
        <v>23829791.223515149</v>
      </c>
      <c r="J23" s="32">
        <v>23785628.059987836</v>
      </c>
      <c r="K23" s="32">
        <v>23967784.899174068</v>
      </c>
      <c r="L23" s="32">
        <v>26501194.898765493</v>
      </c>
      <c r="M23" s="32">
        <v>27158082.160451736</v>
      </c>
      <c r="N23" s="32">
        <v>24727065.127612658</v>
      </c>
      <c r="O23" s="32">
        <v>24717579.058784436</v>
      </c>
      <c r="P23" s="32">
        <v>26154662.348557077</v>
      </c>
      <c r="Q23" s="32">
        <v>28887425.540378567</v>
      </c>
      <c r="R23" s="20">
        <f>SUM(F23:Q23)</f>
        <v>304773055.46200001</v>
      </c>
      <c r="T23" s="8">
        <f t="shared" si="1"/>
        <v>14</v>
      </c>
      <c r="U23" s="8"/>
      <c r="V23" s="1" t="str">
        <f>V15</f>
        <v>Forecasted Delivered Volumes</v>
      </c>
      <c r="W23" s="8" t="str">
        <f>W15</f>
        <v>Exhibit CTM-3</v>
      </c>
      <c r="X23" s="8"/>
      <c r="Y23" s="32">
        <v>26657308.277561836</v>
      </c>
      <c r="Z23" s="32">
        <v>23431945.037921585</v>
      </c>
      <c r="AA23" s="32">
        <v>24954588.829289552</v>
      </c>
      <c r="AB23" s="32">
        <v>23829791.223515149</v>
      </c>
      <c r="AC23" s="32">
        <v>23785628.059987836</v>
      </c>
      <c r="AD23" s="32">
        <v>23967784.899174068</v>
      </c>
      <c r="AE23" s="32">
        <v>26501194.898765493</v>
      </c>
      <c r="AF23" s="32">
        <v>27158082.160451736</v>
      </c>
      <c r="AG23" s="32">
        <v>24727065.127612658</v>
      </c>
      <c r="AH23" s="32">
        <v>24717579.058784436</v>
      </c>
      <c r="AI23" s="32">
        <v>26154662.348557077</v>
      </c>
      <c r="AJ23" s="32">
        <v>28887425.540378567</v>
      </c>
      <c r="AK23" s="20">
        <f>SUM(Y23:AJ23)</f>
        <v>304773055.46200001</v>
      </c>
    </row>
    <row r="24" spans="1:37" x14ac:dyDescent="0.2">
      <c r="A24" s="8">
        <f t="shared" si="0"/>
        <v>15</v>
      </c>
      <c r="B24" s="8"/>
      <c r="C24" s="1" t="str">
        <f>C12</f>
        <v>% of Annual Total</v>
      </c>
      <c r="D24" s="22" t="s">
        <v>71</v>
      </c>
      <c r="E24" s="22"/>
      <c r="F24" s="23">
        <f t="shared" ref="F24:Q24" si="8">F23/$R23</f>
        <v>8.7466092555828143E-2</v>
      </c>
      <c r="G24" s="23">
        <f t="shared" si="8"/>
        <v>7.6883256633042962E-2</v>
      </c>
      <c r="H24" s="23">
        <f t="shared" si="8"/>
        <v>8.1879248778935973E-2</v>
      </c>
      <c r="I24" s="23">
        <f t="shared" si="8"/>
        <v>7.8188641667787842E-2</v>
      </c>
      <c r="J24" s="23">
        <f t="shared" si="8"/>
        <v>7.8043736589284859E-2</v>
      </c>
      <c r="K24" s="23">
        <f t="shared" si="8"/>
        <v>7.8641416849799056E-2</v>
      </c>
      <c r="L24" s="23">
        <f t="shared" si="8"/>
        <v>8.6953864273181261E-2</v>
      </c>
      <c r="M24" s="23">
        <f t="shared" si="8"/>
        <v>8.9109196740779092E-2</v>
      </c>
      <c r="N24" s="23">
        <f t="shared" si="8"/>
        <v>8.1132713947200299E-2</v>
      </c>
      <c r="O24" s="23">
        <f t="shared" si="8"/>
        <v>8.1101588922667403E-2</v>
      </c>
      <c r="P24" s="23">
        <f t="shared" si="8"/>
        <v>8.581684594430336E-2</v>
      </c>
      <c r="Q24" s="23">
        <f t="shared" si="8"/>
        <v>9.4783397097189692E-2</v>
      </c>
      <c r="R24" s="23">
        <f>SUM(F24:Q24)</f>
        <v>1</v>
      </c>
      <c r="T24" s="8">
        <f t="shared" si="1"/>
        <v>15</v>
      </c>
      <c r="U24" s="8"/>
      <c r="V24" s="1" t="str">
        <f>V16</f>
        <v>% of Annual Total</v>
      </c>
      <c r="W24" s="22" t="str">
        <f>D24</f>
        <v>% of (C(p):R(14))</v>
      </c>
      <c r="X24" s="22"/>
      <c r="Y24" s="23">
        <f t="shared" ref="Y24:AJ24" si="9">Y23/$AK23</f>
        <v>8.7466092555828143E-2</v>
      </c>
      <c r="Z24" s="23">
        <f t="shared" si="9"/>
        <v>7.6883256633042962E-2</v>
      </c>
      <c r="AA24" s="23">
        <f t="shared" si="9"/>
        <v>8.1879248778935973E-2</v>
      </c>
      <c r="AB24" s="23">
        <f t="shared" si="9"/>
        <v>7.8188641667787842E-2</v>
      </c>
      <c r="AC24" s="23">
        <f t="shared" si="9"/>
        <v>7.8043736589284859E-2</v>
      </c>
      <c r="AD24" s="23">
        <f t="shared" si="9"/>
        <v>7.8641416849799056E-2</v>
      </c>
      <c r="AE24" s="23">
        <f t="shared" si="9"/>
        <v>8.6953864273181261E-2</v>
      </c>
      <c r="AF24" s="23">
        <f t="shared" si="9"/>
        <v>8.9109196740779092E-2</v>
      </c>
      <c r="AG24" s="23">
        <f t="shared" si="9"/>
        <v>8.1132713947200299E-2</v>
      </c>
      <c r="AH24" s="23">
        <f t="shared" si="9"/>
        <v>8.1101588922667403E-2</v>
      </c>
      <c r="AI24" s="23">
        <f t="shared" si="9"/>
        <v>8.581684594430336E-2</v>
      </c>
      <c r="AJ24" s="23">
        <f t="shared" si="9"/>
        <v>9.4783397097189692E-2</v>
      </c>
      <c r="AK24" s="23">
        <f>SUM(Y24:AJ24)</f>
        <v>1</v>
      </c>
    </row>
    <row r="25" spans="1:37" x14ac:dyDescent="0.2">
      <c r="A25" s="8">
        <f t="shared" si="0"/>
        <v>16</v>
      </c>
      <c r="B25" s="8"/>
      <c r="D25" s="22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T25" s="8">
        <f t="shared" si="1"/>
        <v>16</v>
      </c>
      <c r="U25" s="8"/>
      <c r="W25" s="22"/>
      <c r="X25" s="22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</row>
    <row r="26" spans="1:37" x14ac:dyDescent="0.2">
      <c r="A26" s="8">
        <f t="shared" si="0"/>
        <v>17</v>
      </c>
      <c r="B26" s="24" t="str">
        <f>CONCATENATE("Schedule ", 'Exh CTM-9 (Page 1)'!H9)</f>
        <v>Schedule 12 (26) (26P)</v>
      </c>
      <c r="F26" s="1"/>
      <c r="G26" s="1"/>
      <c r="H26" s="1"/>
      <c r="I26" s="1"/>
      <c r="R26" s="20"/>
      <c r="T26" s="8">
        <f t="shared" si="1"/>
        <v>17</v>
      </c>
      <c r="U26" s="24" t="str">
        <f>B26</f>
        <v>Schedule 12 (26) (26P)</v>
      </c>
      <c r="W26" s="8"/>
      <c r="X26" s="8"/>
      <c r="AK26" s="20"/>
    </row>
    <row r="27" spans="1:37" x14ac:dyDescent="0.2">
      <c r="A27" s="8">
        <f t="shared" si="0"/>
        <v>18</v>
      </c>
      <c r="B27" s="8"/>
      <c r="C27" s="36" t="s">
        <v>70</v>
      </c>
      <c r="D27" s="8" t="str">
        <f>D11</f>
        <v>Exhibit CTM-3</v>
      </c>
      <c r="F27" s="32">
        <v>399979.44832093926</v>
      </c>
      <c r="G27" s="32">
        <v>413531.40440781077</v>
      </c>
      <c r="H27" s="32">
        <v>385719.8697712596</v>
      </c>
      <c r="I27" s="32">
        <v>413967.85218855663</v>
      </c>
      <c r="J27" s="32">
        <v>401791.41749116912</v>
      </c>
      <c r="K27" s="32">
        <v>425992.4940427799</v>
      </c>
      <c r="L27" s="32">
        <v>437677.94453615212</v>
      </c>
      <c r="M27" s="32">
        <v>436419.56431502436</v>
      </c>
      <c r="N27" s="32">
        <v>414156.37109858438</v>
      </c>
      <c r="O27" s="32">
        <v>411219.86071123253</v>
      </c>
      <c r="P27" s="32">
        <v>403893.22023032798</v>
      </c>
      <c r="Q27" s="32">
        <v>399923.8395702893</v>
      </c>
      <c r="R27" s="20">
        <f>SUM(F27:Q27)</f>
        <v>4944273.2866841266</v>
      </c>
      <c r="T27" s="8">
        <f t="shared" si="1"/>
        <v>18</v>
      </c>
      <c r="U27" s="8"/>
      <c r="V27" s="36" t="str">
        <f>C27</f>
        <v xml:space="preserve">Forecasted Demand Charge Revenue </v>
      </c>
      <c r="W27" s="8" t="str">
        <f>W11</f>
        <v>Exhibit CTM-3</v>
      </c>
      <c r="X27" s="8"/>
      <c r="Y27" s="32">
        <v>413648.81415293628</v>
      </c>
      <c r="Z27" s="32">
        <v>411408.4609591685</v>
      </c>
      <c r="AA27" s="32">
        <v>397687.63186087681</v>
      </c>
      <c r="AB27" s="32">
        <v>424557.27000976726</v>
      </c>
      <c r="AC27" s="32">
        <v>410766.43754406233</v>
      </c>
      <c r="AD27" s="32">
        <v>433192.94513534586</v>
      </c>
      <c r="AE27" s="32">
        <v>444555.92291979393</v>
      </c>
      <c r="AF27" s="32">
        <v>442537.65107792628</v>
      </c>
      <c r="AG27" s="32">
        <v>419903.18175181502</v>
      </c>
      <c r="AH27" s="32">
        <v>417046.6053679912</v>
      </c>
      <c r="AI27" s="32">
        <v>410035.26358877146</v>
      </c>
      <c r="AJ27" s="32">
        <v>406791.0961276943</v>
      </c>
      <c r="AK27" s="20">
        <f>SUM(Y27:AJ27)</f>
        <v>5032131.2804961493</v>
      </c>
    </row>
    <row r="28" spans="1:37" x14ac:dyDescent="0.2">
      <c r="A28" s="8">
        <f t="shared" si="0"/>
        <v>19</v>
      </c>
      <c r="B28" s="8"/>
      <c r="C28" s="1" t="str">
        <f>C12</f>
        <v>% of Annual Total</v>
      </c>
      <c r="D28" s="22" t="s">
        <v>69</v>
      </c>
      <c r="E28" s="22"/>
      <c r="F28" s="23">
        <f t="shared" ref="F28:Q28" si="10">F27/$R27</f>
        <v>8.0897520247952395E-2</v>
      </c>
      <c r="G28" s="23">
        <f t="shared" si="10"/>
        <v>8.3638460180089538E-2</v>
      </c>
      <c r="H28" s="23">
        <f t="shared" si="10"/>
        <v>7.8013460706162219E-2</v>
      </c>
      <c r="I28" s="23">
        <f t="shared" si="10"/>
        <v>8.3726733573455822E-2</v>
      </c>
      <c r="J28" s="23">
        <f t="shared" si="10"/>
        <v>8.1263998608909871E-2</v>
      </c>
      <c r="K28" s="23">
        <f t="shared" si="10"/>
        <v>8.6158767799114008E-2</v>
      </c>
      <c r="L28" s="23">
        <f t="shared" si="10"/>
        <v>8.8522199150055589E-2</v>
      </c>
      <c r="M28" s="23">
        <f t="shared" si="10"/>
        <v>8.826768647485278E-2</v>
      </c>
      <c r="N28" s="23">
        <f t="shared" si="10"/>
        <v>8.3764862313332619E-2</v>
      </c>
      <c r="O28" s="23">
        <f t="shared" si="10"/>
        <v>8.3170940776822799E-2</v>
      </c>
      <c r="P28" s="23">
        <f t="shared" si="10"/>
        <v>8.1689097024246135E-2</v>
      </c>
      <c r="Q28" s="23">
        <f t="shared" si="10"/>
        <v>8.0886273145006099E-2</v>
      </c>
      <c r="R28" s="23">
        <f>SUM(F28:Q28)</f>
        <v>0.99999999999999967</v>
      </c>
      <c r="T28" s="8">
        <f t="shared" si="1"/>
        <v>19</v>
      </c>
      <c r="U28" s="8"/>
      <c r="V28" s="36" t="str">
        <f>C28</f>
        <v>% of Annual Total</v>
      </c>
      <c r="W28" s="22" t="str">
        <f>D28</f>
        <v>% of (C(p):R(18))</v>
      </c>
      <c r="X28" s="22"/>
      <c r="Y28" s="23">
        <f t="shared" ref="Y28:AJ28" si="11">Y27/$AK27</f>
        <v>8.2201514844452164E-2</v>
      </c>
      <c r="Z28" s="23">
        <f t="shared" si="11"/>
        <v>8.175630523665614E-2</v>
      </c>
      <c r="AA28" s="23">
        <f t="shared" si="11"/>
        <v>7.9029661527762501E-2</v>
      </c>
      <c r="AB28" s="23">
        <f t="shared" si="11"/>
        <v>8.4369275431126572E-2</v>
      </c>
      <c r="AC28" s="23">
        <f t="shared" si="11"/>
        <v>8.162872044617292E-2</v>
      </c>
      <c r="AD28" s="23">
        <f t="shared" si="11"/>
        <v>8.6085382313919809E-2</v>
      </c>
      <c r="AE28" s="23">
        <f t="shared" si="11"/>
        <v>8.8343466841342491E-2</v>
      </c>
      <c r="AF28" s="23">
        <f t="shared" si="11"/>
        <v>8.7942389896134371E-2</v>
      </c>
      <c r="AG28" s="23">
        <f t="shared" si="11"/>
        <v>8.344440125783327E-2</v>
      </c>
      <c r="AH28" s="23">
        <f t="shared" si="11"/>
        <v>8.2876733956525866E-2</v>
      </c>
      <c r="AI28" s="23">
        <f t="shared" si="11"/>
        <v>8.1483419396869053E-2</v>
      </c>
      <c r="AJ28" s="23">
        <f t="shared" si="11"/>
        <v>8.0838728851204814E-2</v>
      </c>
      <c r="AK28" s="23">
        <f>SUM(Y28:AJ28)</f>
        <v>1</v>
      </c>
    </row>
    <row r="29" spans="1:37" x14ac:dyDescent="0.2">
      <c r="A29" s="8">
        <f t="shared" si="0"/>
        <v>20</v>
      </c>
      <c r="B29" s="8"/>
      <c r="F29" s="1"/>
      <c r="G29" s="1"/>
      <c r="H29" s="1"/>
      <c r="I29" s="1"/>
      <c r="T29" s="8">
        <f t="shared" si="1"/>
        <v>20</v>
      </c>
      <c r="U29" s="8"/>
      <c r="W29" s="8"/>
      <c r="X29" s="8"/>
    </row>
    <row r="30" spans="1:37" x14ac:dyDescent="0.2">
      <c r="A30" s="8">
        <f t="shared" si="0"/>
        <v>21</v>
      </c>
      <c r="B30" s="24" t="str">
        <f>CONCATENATE("Schedule ", 'Exh CTM-9 (Page 1)'!I9)</f>
        <v>Schedule 10 (31)</v>
      </c>
      <c r="D30" s="1"/>
      <c r="E30" s="1"/>
      <c r="F30" s="1"/>
      <c r="G30" s="1"/>
      <c r="H30" s="1"/>
      <c r="I30" s="1"/>
      <c r="T30" s="8">
        <f t="shared" si="1"/>
        <v>21</v>
      </c>
      <c r="U30" s="24" t="str">
        <f>B30</f>
        <v>Schedule 10 (31)</v>
      </c>
    </row>
    <row r="31" spans="1:37" x14ac:dyDescent="0.2">
      <c r="A31" s="8">
        <f t="shared" si="0"/>
        <v>22</v>
      </c>
      <c r="B31" s="8"/>
      <c r="C31" s="36" t="str">
        <f>C27</f>
        <v xml:space="preserve">Forecasted Demand Charge Revenue </v>
      </c>
      <c r="D31" s="8" t="str">
        <f>D11</f>
        <v>Exhibit CTM-3</v>
      </c>
      <c r="F31" s="32">
        <v>277377.054934824</v>
      </c>
      <c r="G31" s="32">
        <v>283453.61448634719</v>
      </c>
      <c r="H31" s="32">
        <v>264662.30356742395</v>
      </c>
      <c r="I31" s="32">
        <v>295837.93247305724</v>
      </c>
      <c r="J31" s="32">
        <v>281823.53216269182</v>
      </c>
      <c r="K31" s="32">
        <v>296283.59999364091</v>
      </c>
      <c r="L31" s="32">
        <v>289343.61056270683</v>
      </c>
      <c r="M31" s="32">
        <v>286204.87244537415</v>
      </c>
      <c r="N31" s="32">
        <v>283306.31436850136</v>
      </c>
      <c r="O31" s="32">
        <v>281014.53176406003</v>
      </c>
      <c r="P31" s="32">
        <v>279155.18021119572</v>
      </c>
      <c r="Q31" s="32">
        <v>265530.52380549518</v>
      </c>
      <c r="R31" s="20">
        <f>SUM(F31:Q31)</f>
        <v>3383993.0707753189</v>
      </c>
      <c r="T31" s="8">
        <f t="shared" si="1"/>
        <v>22</v>
      </c>
      <c r="U31" s="8"/>
      <c r="V31" s="36" t="str">
        <f>V27</f>
        <v xml:space="preserve">Forecasted Demand Charge Revenue </v>
      </c>
      <c r="W31" s="8" t="str">
        <f>W11</f>
        <v>Exhibit CTM-3</v>
      </c>
      <c r="X31" s="8"/>
      <c r="Y31" s="32">
        <v>278300.4079731254</v>
      </c>
      <c r="Z31" s="32">
        <v>273977.28801011865</v>
      </c>
      <c r="AA31" s="32">
        <v>264434.90960023081</v>
      </c>
      <c r="AB31" s="32">
        <v>295042.86121849885</v>
      </c>
      <c r="AC31" s="32">
        <v>279820.64758423751</v>
      </c>
      <c r="AD31" s="32">
        <v>293294.52690246666</v>
      </c>
      <c r="AE31" s="32">
        <v>285987.86539859534</v>
      </c>
      <c r="AF31" s="32">
        <v>282753.36590272549</v>
      </c>
      <c r="AG31" s="32">
        <v>279611.4336182322</v>
      </c>
      <c r="AH31" s="32">
        <v>276389.31916878273</v>
      </c>
      <c r="AI31" s="32">
        <v>274300.24415718799</v>
      </c>
      <c r="AJ31" s="32">
        <v>260844.60133298446</v>
      </c>
      <c r="AK31" s="20">
        <f>SUM(Y31:AJ31)</f>
        <v>3344757.4708671859</v>
      </c>
    </row>
    <row r="32" spans="1:37" x14ac:dyDescent="0.2">
      <c r="A32" s="8">
        <f t="shared" si="0"/>
        <v>23</v>
      </c>
      <c r="B32" s="8"/>
      <c r="C32" s="1" t="str">
        <f>C12</f>
        <v>% of Annual Total</v>
      </c>
      <c r="D32" s="22" t="s">
        <v>68</v>
      </c>
      <c r="E32" s="22"/>
      <c r="F32" s="23">
        <f t="shared" ref="F32:Q32" si="12">F31/$R31</f>
        <v>8.1967382655211266E-2</v>
      </c>
      <c r="G32" s="23">
        <f t="shared" si="12"/>
        <v>8.3763059958454372E-2</v>
      </c>
      <c r="H32" s="23">
        <f t="shared" si="12"/>
        <v>7.8210060727691211E-2</v>
      </c>
      <c r="I32" s="23">
        <f t="shared" si="12"/>
        <v>8.7422735887954031E-2</v>
      </c>
      <c r="J32" s="23">
        <f t="shared" si="12"/>
        <v>8.3281356157777889E-2</v>
      </c>
      <c r="K32" s="23">
        <f t="shared" si="12"/>
        <v>8.7554434597514788E-2</v>
      </c>
      <c r="L32" s="23">
        <f t="shared" si="12"/>
        <v>8.5503606098228296E-2</v>
      </c>
      <c r="M32" s="23">
        <f t="shared" si="12"/>
        <v>8.4576081114669868E-2</v>
      </c>
      <c r="N32" s="23">
        <f t="shared" si="12"/>
        <v>8.3719531465704808E-2</v>
      </c>
      <c r="O32" s="23">
        <f t="shared" si="12"/>
        <v>8.3042289356601948E-2</v>
      </c>
      <c r="P32" s="23">
        <f t="shared" si="12"/>
        <v>8.2492834462937439E-2</v>
      </c>
      <c r="Q32" s="23">
        <f t="shared" si="12"/>
        <v>7.8466627517253904E-2</v>
      </c>
      <c r="R32" s="23">
        <f>SUM(F32:Q32)</f>
        <v>0.99999999999999967</v>
      </c>
      <c r="T32" s="8">
        <f t="shared" si="1"/>
        <v>23</v>
      </c>
      <c r="U32" s="8"/>
      <c r="V32" s="36" t="str">
        <f>V28</f>
        <v>% of Annual Total</v>
      </c>
      <c r="W32" s="22" t="str">
        <f>D32</f>
        <v>% of (C(p):R(22))</v>
      </c>
      <c r="X32" s="22"/>
      <c r="Y32" s="23">
        <f t="shared" ref="Y32:AJ32" si="13">Y31/$AK31</f>
        <v>8.3204958923664876E-2</v>
      </c>
      <c r="Z32" s="23">
        <f t="shared" si="13"/>
        <v>8.1912452665539703E-2</v>
      </c>
      <c r="AA32" s="23">
        <f t="shared" si="13"/>
        <v>7.9059516841940569E-2</v>
      </c>
      <c r="AB32" s="23">
        <f t="shared" si="13"/>
        <v>8.8210539564772664E-2</v>
      </c>
      <c r="AC32" s="23">
        <f t="shared" si="13"/>
        <v>8.3659473077337718E-2</v>
      </c>
      <c r="AD32" s="23">
        <f t="shared" si="13"/>
        <v>8.7687830719285306E-2</v>
      </c>
      <c r="AE32" s="23">
        <f t="shared" si="13"/>
        <v>8.5503319116422533E-2</v>
      </c>
      <c r="AF32" s="23">
        <f t="shared" si="13"/>
        <v>8.4536283531916834E-2</v>
      </c>
      <c r="AG32" s="23">
        <f t="shared" si="13"/>
        <v>8.3596923260848013E-2</v>
      </c>
      <c r="AH32" s="23">
        <f t="shared" si="13"/>
        <v>8.2633590499799098E-2</v>
      </c>
      <c r="AI32" s="23">
        <f t="shared" si="13"/>
        <v>8.2009008589214977E-2</v>
      </c>
      <c r="AJ32" s="23">
        <f t="shared" si="13"/>
        <v>7.7986103209257807E-2</v>
      </c>
      <c r="AK32" s="23">
        <f>SUM(Y32:AJ32)</f>
        <v>1</v>
      </c>
    </row>
    <row r="33" spans="1:37" x14ac:dyDescent="0.2">
      <c r="A33" s="8">
        <f t="shared" si="0"/>
        <v>24</v>
      </c>
      <c r="B33" s="8"/>
      <c r="D33" s="22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T33" s="8">
        <f t="shared" si="1"/>
        <v>24</v>
      </c>
      <c r="U33" s="8"/>
      <c r="W33" s="22"/>
      <c r="X33" s="22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1:37" x14ac:dyDescent="0.2">
      <c r="A34" s="8">
        <f t="shared" si="0"/>
        <v>25</v>
      </c>
      <c r="B34" s="37" t="s">
        <v>59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T34" s="8">
        <f t="shared" si="1"/>
        <v>25</v>
      </c>
      <c r="U34" s="37" t="s">
        <v>59</v>
      </c>
      <c r="W34" s="8"/>
      <c r="X34" s="8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x14ac:dyDescent="0.2">
      <c r="A35" s="8">
        <f t="shared" si="0"/>
        <v>26</v>
      </c>
      <c r="B35" s="24" t="str">
        <f>B10</f>
        <v>Schedule 7 (307) (317) (327)</v>
      </c>
      <c r="F35" s="1"/>
      <c r="G35" s="1"/>
      <c r="H35" s="1"/>
      <c r="I35" s="1"/>
      <c r="T35" s="8">
        <f t="shared" si="1"/>
        <v>26</v>
      </c>
      <c r="U35" s="24" t="str">
        <f>U10</f>
        <v>Schedule 7 (307) (317) (327)</v>
      </c>
      <c r="W35" s="8"/>
      <c r="X35" s="8"/>
    </row>
    <row r="36" spans="1:37" x14ac:dyDescent="0.2">
      <c r="A36" s="8">
        <f t="shared" si="0"/>
        <v>27</v>
      </c>
      <c r="B36" s="8"/>
      <c r="C36" s="1" t="s">
        <v>67</v>
      </c>
      <c r="D36" s="8" t="s">
        <v>66</v>
      </c>
      <c r="F36" s="1"/>
      <c r="G36" s="1"/>
      <c r="H36" s="1"/>
      <c r="I36" s="1"/>
      <c r="R36" s="26">
        <f>'Exh CTM-9 (Page 2)'!D14</f>
        <v>551.05999999999995</v>
      </c>
      <c r="T36" s="8">
        <f t="shared" si="1"/>
        <v>27</v>
      </c>
      <c r="U36" s="8"/>
      <c r="V36" s="1" t="str">
        <f>C36</f>
        <v>Allowed Delivery Revenue Per Customer</v>
      </c>
      <c r="W36" s="8" t="str">
        <f>D36</f>
        <v>Exhibit CTM-9, Page 2</v>
      </c>
      <c r="X36" s="8"/>
      <c r="AK36" s="26">
        <f>'Exh CTM-9 (Page 2)'!D26</f>
        <v>565.75</v>
      </c>
    </row>
    <row r="37" spans="1:37" x14ac:dyDescent="0.2">
      <c r="A37" s="8">
        <f t="shared" si="0"/>
        <v>28</v>
      </c>
      <c r="B37" s="8"/>
      <c r="C37" s="1" t="s">
        <v>59</v>
      </c>
      <c r="D37" s="8" t="str">
        <f>"("&amp;A$12&amp;") x ("&amp;A36&amp;")"</f>
        <v>(3) x (27)</v>
      </c>
      <c r="E37" s="8" t="s">
        <v>65</v>
      </c>
      <c r="F37" s="25">
        <f t="shared" ref="F37:Q37" si="14">$R36*F$12</f>
        <v>58.297276485976511</v>
      </c>
      <c r="G37" s="25">
        <f t="shared" si="14"/>
        <v>50.796726496322663</v>
      </c>
      <c r="H37" s="25">
        <f t="shared" si="14"/>
        <v>50.934772007007226</v>
      </c>
      <c r="I37" s="25">
        <f t="shared" si="14"/>
        <v>42.875750272474448</v>
      </c>
      <c r="J37" s="25">
        <f t="shared" si="14"/>
        <v>37.503168695926242</v>
      </c>
      <c r="K37" s="25">
        <f t="shared" si="14"/>
        <v>36.042415138795398</v>
      </c>
      <c r="L37" s="25">
        <f t="shared" si="14"/>
        <v>40.164063926547946</v>
      </c>
      <c r="M37" s="25">
        <f t="shared" si="14"/>
        <v>40.586472650048037</v>
      </c>
      <c r="N37" s="25">
        <f t="shared" si="14"/>
        <v>36.983377366172647</v>
      </c>
      <c r="O37" s="25">
        <f t="shared" si="14"/>
        <v>43.055430336420251</v>
      </c>
      <c r="P37" s="25">
        <f t="shared" si="14"/>
        <v>51.758444052858245</v>
      </c>
      <c r="Q37" s="25">
        <f t="shared" si="14"/>
        <v>62.062102571450247</v>
      </c>
      <c r="R37" s="26">
        <f>SUM(F37:Q37)</f>
        <v>551.05999999999983</v>
      </c>
      <c r="T37" s="8">
        <f t="shared" si="1"/>
        <v>28</v>
      </c>
      <c r="U37" s="8"/>
      <c r="V37" s="1" t="s">
        <v>59</v>
      </c>
      <c r="W37" s="8" t="str">
        <f>"("&amp;T$12&amp;") x ("&amp;T36&amp;")"</f>
        <v>(3) x (27)</v>
      </c>
      <c r="X37" s="8" t="str">
        <f>E37</f>
        <v>Sheet No. 142-B</v>
      </c>
      <c r="Y37" s="25">
        <f t="shared" ref="Y37:AJ37" si="15">$AK36*Y$12</f>
        <v>59.998634646927584</v>
      </c>
      <c r="Z37" s="25">
        <f t="shared" si="15"/>
        <v>52.05106475338507</v>
      </c>
      <c r="AA37" s="25">
        <f t="shared" si="15"/>
        <v>52.243752564979829</v>
      </c>
      <c r="AB37" s="25">
        <f t="shared" si="15"/>
        <v>43.929336319603983</v>
      </c>
      <c r="AC37" s="25">
        <f t="shared" si="15"/>
        <v>38.45715539810179</v>
      </c>
      <c r="AD37" s="25">
        <f t="shared" si="15"/>
        <v>37.146082975298917</v>
      </c>
      <c r="AE37" s="25">
        <f t="shared" si="15"/>
        <v>41.466305547720324</v>
      </c>
      <c r="AF37" s="25">
        <f t="shared" si="15"/>
        <v>41.959774821475285</v>
      </c>
      <c r="AG37" s="25">
        <f t="shared" si="15"/>
        <v>38.174678290234731</v>
      </c>
      <c r="AH37" s="25">
        <f t="shared" si="15"/>
        <v>44.156090229584159</v>
      </c>
      <c r="AI37" s="25">
        <f t="shared" si="15"/>
        <v>52.833977010751255</v>
      </c>
      <c r="AJ37" s="25">
        <f t="shared" si="15"/>
        <v>63.333147441936951</v>
      </c>
      <c r="AK37" s="26">
        <f>SUM(Y37:AJ37)</f>
        <v>565.74999999999989</v>
      </c>
    </row>
    <row r="38" spans="1:37" x14ac:dyDescent="0.2">
      <c r="A38" s="8">
        <f t="shared" si="0"/>
        <v>29</v>
      </c>
      <c r="B38" s="8"/>
      <c r="D38" s="27"/>
      <c r="E38" s="27"/>
      <c r="F38" s="1"/>
      <c r="G38" s="1"/>
      <c r="H38" s="1"/>
      <c r="I38" s="1"/>
      <c r="R38" s="26"/>
      <c r="T38" s="8">
        <f t="shared" si="1"/>
        <v>29</v>
      </c>
      <c r="U38" s="8"/>
      <c r="W38" s="27"/>
      <c r="X38" s="27"/>
      <c r="AK38" s="26"/>
    </row>
    <row r="39" spans="1:37" x14ac:dyDescent="0.2">
      <c r="A39" s="8">
        <f t="shared" si="0"/>
        <v>30</v>
      </c>
      <c r="B39" s="24" t="str">
        <f>B14</f>
        <v>Schedule 08 (24) (324)</v>
      </c>
      <c r="F39" s="1"/>
      <c r="G39" s="1"/>
      <c r="H39" s="1"/>
      <c r="I39" s="1"/>
      <c r="R39" s="26"/>
      <c r="T39" s="8">
        <f t="shared" si="1"/>
        <v>30</v>
      </c>
      <c r="U39" s="24" t="str">
        <f>U14</f>
        <v>Schedule 08 (24) (324)</v>
      </c>
      <c r="W39" s="8"/>
      <c r="X39" s="8"/>
      <c r="AK39" s="26"/>
    </row>
    <row r="40" spans="1:37" x14ac:dyDescent="0.2">
      <c r="A40" s="8">
        <f t="shared" si="0"/>
        <v>31</v>
      </c>
      <c r="B40" s="8"/>
      <c r="C40" s="1" t="str">
        <f>C36</f>
        <v>Allowed Delivery Revenue Per Customer</v>
      </c>
      <c r="D40" s="8" t="str">
        <f>$D$36</f>
        <v>Exhibit CTM-9, Page 2</v>
      </c>
      <c r="F40" s="1"/>
      <c r="G40" s="1"/>
      <c r="H40" s="1"/>
      <c r="I40" s="1"/>
      <c r="R40" s="26">
        <f>'Exh CTM-9 (Page 2)'!E14</f>
        <v>997.71</v>
      </c>
      <c r="T40" s="8">
        <f t="shared" si="1"/>
        <v>31</v>
      </c>
      <c r="U40" s="8"/>
      <c r="V40" s="1" t="str">
        <f>V36</f>
        <v>Allowed Delivery Revenue Per Customer</v>
      </c>
      <c r="W40" s="8" t="str">
        <f>$D$36</f>
        <v>Exhibit CTM-9, Page 2</v>
      </c>
      <c r="X40" s="8"/>
      <c r="AK40" s="26">
        <f>'Exh CTM-9 (Page 2)'!E26</f>
        <v>995.24</v>
      </c>
    </row>
    <row r="41" spans="1:37" x14ac:dyDescent="0.2">
      <c r="A41" s="8">
        <f t="shared" si="0"/>
        <v>32</v>
      </c>
      <c r="B41" s="8"/>
      <c r="C41" s="1" t="str">
        <f>C37</f>
        <v>Monthly Allowed Delivery Revenue Per Customer</v>
      </c>
      <c r="D41" s="8" t="str">
        <f>"("&amp;A$16&amp;") x ("&amp;A40&amp;")"</f>
        <v>(7) x (31)</v>
      </c>
      <c r="E41" s="8" t="s">
        <v>64</v>
      </c>
      <c r="F41" s="25">
        <f t="shared" ref="F41:Q41" si="16">$R40*F$16</f>
        <v>96.922945541795343</v>
      </c>
      <c r="G41" s="25">
        <f t="shared" si="16"/>
        <v>83.83797924107391</v>
      </c>
      <c r="H41" s="25">
        <f t="shared" si="16"/>
        <v>90.32726708369573</v>
      </c>
      <c r="I41" s="25">
        <f t="shared" si="16"/>
        <v>79.255748866084915</v>
      </c>
      <c r="J41" s="25">
        <f t="shared" si="16"/>
        <v>78.187413064387542</v>
      </c>
      <c r="K41" s="25">
        <f t="shared" si="16"/>
        <v>76.332351512076201</v>
      </c>
      <c r="L41" s="25">
        <f t="shared" si="16"/>
        <v>81.527119787835758</v>
      </c>
      <c r="M41" s="25">
        <f t="shared" si="16"/>
        <v>81.889800428725977</v>
      </c>
      <c r="N41" s="25">
        <f t="shared" si="16"/>
        <v>74.051792075420821</v>
      </c>
      <c r="O41" s="25">
        <f t="shared" si="16"/>
        <v>77.658334963205206</v>
      </c>
      <c r="P41" s="25">
        <f t="shared" si="16"/>
        <v>81.984821536590928</v>
      </c>
      <c r="Q41" s="25">
        <f t="shared" si="16"/>
        <v>95.734425899107777</v>
      </c>
      <c r="R41" s="26">
        <f>SUM(F41:Q41)</f>
        <v>997.71000000000026</v>
      </c>
      <c r="T41" s="8">
        <f t="shared" si="1"/>
        <v>32</v>
      </c>
      <c r="U41" s="8"/>
      <c r="V41" s="1" t="s">
        <v>59</v>
      </c>
      <c r="W41" s="8" t="str">
        <f>"("&amp;T$16&amp;") x ("&amp;T40&amp;")"</f>
        <v>(7) x (31)</v>
      </c>
      <c r="X41" s="8" t="str">
        <f>E41</f>
        <v>Sheet No. 142-C</v>
      </c>
      <c r="Y41" s="25">
        <f t="shared" ref="Y41:AJ41" si="17">$AK40*Y$16</f>
        <v>96.786432432347667</v>
      </c>
      <c r="Z41" s="25">
        <f t="shared" si="17"/>
        <v>83.566713394100361</v>
      </c>
      <c r="AA41" s="25">
        <f t="shared" si="17"/>
        <v>90.003728542776784</v>
      </c>
      <c r="AB41" s="25">
        <f t="shared" si="17"/>
        <v>78.843622811616854</v>
      </c>
      <c r="AC41" s="25">
        <f t="shared" si="17"/>
        <v>77.745203909539782</v>
      </c>
      <c r="AD41" s="25">
        <f t="shared" si="17"/>
        <v>75.9821496361794</v>
      </c>
      <c r="AE41" s="25">
        <f t="shared" si="17"/>
        <v>81.297221504784901</v>
      </c>
      <c r="AF41" s="25">
        <f t="shared" si="17"/>
        <v>81.705136226214051</v>
      </c>
      <c r="AG41" s="25">
        <f t="shared" si="17"/>
        <v>73.873145193723403</v>
      </c>
      <c r="AH41" s="25">
        <f t="shared" si="17"/>
        <v>77.52200066588891</v>
      </c>
      <c r="AI41" s="25">
        <f t="shared" si="17"/>
        <v>81.944748769622649</v>
      </c>
      <c r="AJ41" s="25">
        <f t="shared" si="17"/>
        <v>95.969896913205318</v>
      </c>
      <c r="AK41" s="26">
        <f>SUM(Y41:AJ41)</f>
        <v>995.24000000000012</v>
      </c>
    </row>
    <row r="42" spans="1:37" x14ac:dyDescent="0.2">
      <c r="A42" s="8">
        <f t="shared" si="0"/>
        <v>33</v>
      </c>
      <c r="B42" s="8"/>
      <c r="D42" s="27"/>
      <c r="E42" s="27"/>
      <c r="J42" s="8"/>
      <c r="K42" s="8"/>
      <c r="L42" s="8"/>
      <c r="M42" s="8"/>
      <c r="N42" s="8"/>
      <c r="O42" s="8"/>
      <c r="P42" s="8"/>
      <c r="Q42" s="8"/>
      <c r="R42" s="26"/>
      <c r="T42" s="8">
        <f t="shared" si="1"/>
        <v>33</v>
      </c>
      <c r="U42" s="8"/>
      <c r="W42" s="27"/>
      <c r="X42" s="27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6"/>
    </row>
    <row r="43" spans="1:37" x14ac:dyDescent="0.2">
      <c r="A43" s="8">
        <f t="shared" si="0"/>
        <v>34</v>
      </c>
      <c r="B43" s="24" t="str">
        <f>B18</f>
        <v>Schedule 7A (11) (25) 29 35 43</v>
      </c>
      <c r="F43" s="1"/>
      <c r="G43" s="1"/>
      <c r="H43" s="1"/>
      <c r="I43" s="1"/>
      <c r="R43" s="26"/>
      <c r="T43" s="8">
        <f t="shared" si="1"/>
        <v>34</v>
      </c>
      <c r="U43" s="24" t="str">
        <f>U18</f>
        <v>Schedule 7A (11) (25) 29 35 43</v>
      </c>
      <c r="W43" s="8"/>
      <c r="X43" s="8"/>
      <c r="AK43" s="26"/>
    </row>
    <row r="44" spans="1:37" x14ac:dyDescent="0.2">
      <c r="A44" s="8">
        <f t="shared" si="0"/>
        <v>35</v>
      </c>
      <c r="B44" s="8"/>
      <c r="C44" s="1" t="str">
        <f>C36</f>
        <v>Allowed Delivery Revenue Per Customer</v>
      </c>
      <c r="D44" s="8" t="str">
        <f>$D$36</f>
        <v>Exhibit CTM-9, Page 2</v>
      </c>
      <c r="F44" s="1"/>
      <c r="G44" s="1"/>
      <c r="H44" s="1"/>
      <c r="I44" s="1"/>
      <c r="R44" s="26">
        <f>'Exh CTM-9 (Page 2)'!F14</f>
        <v>14698.15</v>
      </c>
      <c r="T44" s="8">
        <f t="shared" si="1"/>
        <v>35</v>
      </c>
      <c r="U44" s="8"/>
      <c r="V44" s="1" t="str">
        <f>V36</f>
        <v>Allowed Delivery Revenue Per Customer</v>
      </c>
      <c r="W44" s="8" t="str">
        <f>$D$36</f>
        <v>Exhibit CTM-9, Page 2</v>
      </c>
      <c r="X44" s="8"/>
      <c r="AK44" s="26">
        <f>'Exh CTM-9 (Page 2)'!F26</f>
        <v>14992.35</v>
      </c>
    </row>
    <row r="45" spans="1:37" x14ac:dyDescent="0.2">
      <c r="A45" s="8">
        <f t="shared" si="0"/>
        <v>36</v>
      </c>
      <c r="B45" s="8"/>
      <c r="C45" s="1" t="str">
        <f>C37</f>
        <v>Monthly Allowed Delivery Revenue Per Customer</v>
      </c>
      <c r="D45" s="8" t="str">
        <f>"("&amp;A$20&amp;") x ("&amp;A44&amp;")"</f>
        <v>(11) x (35)</v>
      </c>
      <c r="E45" s="8" t="s">
        <v>63</v>
      </c>
      <c r="F45" s="25">
        <f t="shared" ref="F45:Q45" si="18">$R44*F$20</f>
        <v>1332.2491581502259</v>
      </c>
      <c r="G45" s="25">
        <f t="shared" si="18"/>
        <v>1183.1872636460878</v>
      </c>
      <c r="H45" s="25">
        <f t="shared" si="18"/>
        <v>1278.7208448603342</v>
      </c>
      <c r="I45" s="25">
        <f t="shared" si="18"/>
        <v>1150.9372116867808</v>
      </c>
      <c r="J45" s="25">
        <f t="shared" si="18"/>
        <v>1169.9908873268018</v>
      </c>
      <c r="K45" s="25">
        <f t="shared" si="18"/>
        <v>1168.9018676461101</v>
      </c>
      <c r="L45" s="25">
        <f t="shared" si="18"/>
        <v>1239.0178741126381</v>
      </c>
      <c r="M45" s="25">
        <f t="shared" si="18"/>
        <v>1250.8769450385944</v>
      </c>
      <c r="N45" s="25">
        <f t="shared" si="18"/>
        <v>1134.7015406316277</v>
      </c>
      <c r="O45" s="25">
        <f t="shared" si="18"/>
        <v>1199.8235907475014</v>
      </c>
      <c r="P45" s="25">
        <f t="shared" si="18"/>
        <v>1218.0115051954715</v>
      </c>
      <c r="Q45" s="25">
        <f t="shared" si="18"/>
        <v>1371.7313109578247</v>
      </c>
      <c r="R45" s="26">
        <f>SUM(F45:Q45)</f>
        <v>14698.149999999996</v>
      </c>
      <c r="T45" s="8">
        <f t="shared" si="1"/>
        <v>36</v>
      </c>
      <c r="U45" s="8"/>
      <c r="V45" s="1" t="s">
        <v>59</v>
      </c>
      <c r="W45" s="8" t="str">
        <f>"("&amp;T$20&amp;") x ("&amp;T44&amp;")"</f>
        <v>(11) x (35)</v>
      </c>
      <c r="X45" s="8" t="str">
        <f>E45</f>
        <v>Sheet No. 142-D</v>
      </c>
      <c r="Y45" s="25">
        <f t="shared" ref="Y45:AJ45" si="19">$AK44*Y$20</f>
        <v>1361.6734674204508</v>
      </c>
      <c r="Z45" s="25">
        <f t="shared" si="19"/>
        <v>1206.6734162151938</v>
      </c>
      <c r="AA45" s="25">
        <f t="shared" si="19"/>
        <v>1303.6379731385318</v>
      </c>
      <c r="AB45" s="25">
        <f t="shared" si="19"/>
        <v>1170.9561029954896</v>
      </c>
      <c r="AC45" s="25">
        <f t="shared" si="19"/>
        <v>1189.3661973215806</v>
      </c>
      <c r="AD45" s="25">
        <f t="shared" si="19"/>
        <v>1189.2016702036019</v>
      </c>
      <c r="AE45" s="25">
        <f t="shared" si="19"/>
        <v>1263.0406863614594</v>
      </c>
      <c r="AF45" s="25">
        <f t="shared" si="19"/>
        <v>1275.8105733709101</v>
      </c>
      <c r="AG45" s="25">
        <f t="shared" si="19"/>
        <v>1157.0514151845866</v>
      </c>
      <c r="AH45" s="25">
        <f t="shared" si="19"/>
        <v>1223.9581033216023</v>
      </c>
      <c r="AI45" s="25">
        <f t="shared" si="19"/>
        <v>1244.6178179347703</v>
      </c>
      <c r="AJ45" s="25">
        <f t="shared" si="19"/>
        <v>1406.3625765318243</v>
      </c>
      <c r="AK45" s="26">
        <f>SUM(Y45:AJ45)</f>
        <v>14992.350000000002</v>
      </c>
    </row>
    <row r="46" spans="1:37" x14ac:dyDescent="0.2">
      <c r="A46" s="8">
        <f t="shared" si="0"/>
        <v>37</v>
      </c>
      <c r="J46" s="8"/>
      <c r="K46" s="8"/>
      <c r="L46" s="8"/>
      <c r="M46" s="8"/>
      <c r="N46" s="8"/>
      <c r="O46" s="8"/>
      <c r="P46" s="8"/>
      <c r="Q46" s="8"/>
      <c r="T46" s="8">
        <f t="shared" si="1"/>
        <v>37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7" x14ac:dyDescent="0.2">
      <c r="A47" s="8">
        <f t="shared" si="0"/>
        <v>38</v>
      </c>
      <c r="B47" s="24" t="str">
        <f>B22</f>
        <v>Special Contracts</v>
      </c>
      <c r="F47" s="1"/>
      <c r="G47" s="1"/>
      <c r="H47" s="1"/>
      <c r="I47" s="1"/>
      <c r="R47" s="26"/>
      <c r="T47" s="8">
        <f t="shared" si="1"/>
        <v>38</v>
      </c>
      <c r="U47" s="24" t="str">
        <f>B47</f>
        <v>Special Contracts</v>
      </c>
      <c r="W47" s="8"/>
      <c r="X47" s="8"/>
      <c r="AK47" s="26"/>
    </row>
    <row r="48" spans="1:37" x14ac:dyDescent="0.2">
      <c r="A48" s="8">
        <f t="shared" si="0"/>
        <v>39</v>
      </c>
      <c r="B48" s="8"/>
      <c r="C48" s="1" t="str">
        <f>C36</f>
        <v>Allowed Delivery Revenue Per Customer</v>
      </c>
      <c r="D48" s="8" t="str">
        <f>$D$36</f>
        <v>Exhibit CTM-9, Page 2</v>
      </c>
      <c r="F48" s="1"/>
      <c r="G48" s="1"/>
      <c r="H48" s="1"/>
      <c r="I48" s="1"/>
      <c r="R48" s="26">
        <f>'Exh CTM-9 (Page 2)'!G14</f>
        <v>92822.39</v>
      </c>
      <c r="T48" s="8">
        <f t="shared" si="1"/>
        <v>39</v>
      </c>
      <c r="U48" s="8"/>
      <c r="V48" s="1" t="str">
        <f>V36</f>
        <v>Allowed Delivery Revenue Per Customer</v>
      </c>
      <c r="W48" s="8" t="str">
        <f>$D$36</f>
        <v>Exhibit CTM-9, Page 2</v>
      </c>
      <c r="X48" s="8"/>
      <c r="AK48" s="26">
        <f>'Exh CTM-9 (Page 2)'!G26</f>
        <v>102931.02</v>
      </c>
    </row>
    <row r="49" spans="1:37" x14ac:dyDescent="0.2">
      <c r="A49" s="8">
        <f t="shared" si="0"/>
        <v>40</v>
      </c>
      <c r="B49" s="8"/>
      <c r="C49" s="1" t="str">
        <f>C37</f>
        <v>Monthly Allowed Delivery Revenue Per Customer</v>
      </c>
      <c r="D49" s="8" t="str">
        <f>"("&amp;A$24&amp;") x ("&amp;A48&amp;")"</f>
        <v>(15) x (39)</v>
      </c>
      <c r="E49" s="8" t="s">
        <v>62</v>
      </c>
      <c r="F49" s="25">
        <f t="shared" ref="F49:Q49" si="20">$R48*F$24</f>
        <v>8118.8117549931767</v>
      </c>
      <c r="G49" s="25">
        <f t="shared" si="20"/>
        <v>7136.4876316624004</v>
      </c>
      <c r="H49" s="25">
        <f t="shared" si="20"/>
        <v>7600.2275630654185</v>
      </c>
      <c r="I49" s="25">
        <f t="shared" si="20"/>
        <v>7257.6565904576537</v>
      </c>
      <c r="J49" s="25">
        <f t="shared" si="20"/>
        <v>7244.2061547478688</v>
      </c>
      <c r="K49" s="25">
        <f t="shared" si="20"/>
        <v>7299.6842649846194</v>
      </c>
      <c r="L49" s="25">
        <f t="shared" si="20"/>
        <v>8071.2655015722976</v>
      </c>
      <c r="M49" s="25">
        <f t="shared" si="20"/>
        <v>8271.3286124593251</v>
      </c>
      <c r="N49" s="25">
        <f t="shared" si="20"/>
        <v>7530.9324157654655</v>
      </c>
      <c r="O49" s="25">
        <f t="shared" si="20"/>
        <v>7528.0433165995137</v>
      </c>
      <c r="P49" s="25">
        <f t="shared" si="20"/>
        <v>7965.7247428120445</v>
      </c>
      <c r="Q49" s="25">
        <f t="shared" si="20"/>
        <v>8798.0214508802092</v>
      </c>
      <c r="R49" s="26">
        <f>SUM(F49:Q49)</f>
        <v>92822.390000000014</v>
      </c>
      <c r="T49" s="8">
        <f t="shared" si="1"/>
        <v>40</v>
      </c>
      <c r="U49" s="8"/>
      <c r="V49" s="1" t="s">
        <v>59</v>
      </c>
      <c r="W49" s="8" t="str">
        <f>"("&amp;T$24&amp;") x ("&amp;T48&amp;")"</f>
        <v>(15) x (39)</v>
      </c>
      <c r="X49" s="8" t="str">
        <f>E49</f>
        <v>Sheet No. 142-E</v>
      </c>
      <c r="Y49" s="25">
        <f t="shared" ref="Y49:AJ49" si="21">$AK48*Y$24</f>
        <v>9002.9741221857985</v>
      </c>
      <c r="Z49" s="25">
        <f t="shared" si="21"/>
        <v>7913.672026160878</v>
      </c>
      <c r="AA49" s="25">
        <f t="shared" si="21"/>
        <v>8427.9145936496352</v>
      </c>
      <c r="AB49" s="25">
        <f t="shared" si="21"/>
        <v>8048.0366392799042</v>
      </c>
      <c r="AC49" s="25">
        <f t="shared" si="21"/>
        <v>8033.1214117464124</v>
      </c>
      <c r="AD49" s="25">
        <f t="shared" si="21"/>
        <v>8094.6412505950038</v>
      </c>
      <c r="AE49" s="25">
        <f t="shared" si="21"/>
        <v>8950.249942580107</v>
      </c>
      <c r="AF49" s="25">
        <f t="shared" si="21"/>
        <v>9172.1005119090678</v>
      </c>
      <c r="AG49" s="25">
        <f t="shared" si="21"/>
        <v>8351.0730019535531</v>
      </c>
      <c r="AH49" s="25">
        <f t="shared" si="21"/>
        <v>8347.8692714308581</v>
      </c>
      <c r="AI49" s="25">
        <f t="shared" si="21"/>
        <v>8833.2154862300085</v>
      </c>
      <c r="AJ49" s="25">
        <f t="shared" si="21"/>
        <v>9756.1517422787747</v>
      </c>
      <c r="AK49" s="26">
        <f>SUM(Y49:AJ49)</f>
        <v>102931.02</v>
      </c>
    </row>
    <row r="50" spans="1:37" x14ac:dyDescent="0.2">
      <c r="A50" s="8">
        <f t="shared" si="0"/>
        <v>41</v>
      </c>
      <c r="J50" s="8"/>
      <c r="K50" s="8"/>
      <c r="L50" s="8"/>
      <c r="M50" s="8"/>
      <c r="N50" s="8"/>
      <c r="O50" s="8"/>
      <c r="P50" s="8"/>
      <c r="Q50" s="8"/>
      <c r="T50" s="8">
        <f t="shared" si="1"/>
        <v>41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7" x14ac:dyDescent="0.2">
      <c r="A51" s="8">
        <f t="shared" si="0"/>
        <v>42</v>
      </c>
      <c r="B51" s="24" t="str">
        <f>B26</f>
        <v>Schedule 12 (26) (26P)</v>
      </c>
      <c r="F51" s="1"/>
      <c r="G51" s="1"/>
      <c r="H51" s="1"/>
      <c r="I51" s="1"/>
      <c r="R51" s="26"/>
      <c r="T51" s="8">
        <f t="shared" si="1"/>
        <v>42</v>
      </c>
      <c r="U51" s="24" t="str">
        <f>U26</f>
        <v>Schedule 12 (26) (26P)</v>
      </c>
      <c r="W51" s="8"/>
      <c r="X51" s="8"/>
      <c r="AK51" s="26"/>
    </row>
    <row r="52" spans="1:37" x14ac:dyDescent="0.2">
      <c r="A52" s="8">
        <f t="shared" si="0"/>
        <v>43</v>
      </c>
      <c r="B52" s="8"/>
      <c r="C52" s="1" t="str">
        <f>C36</f>
        <v>Allowed Delivery Revenue Per Customer</v>
      </c>
      <c r="D52" s="8" t="str">
        <f>$D$36</f>
        <v>Exhibit CTM-9, Page 2</v>
      </c>
      <c r="F52" s="1"/>
      <c r="G52" s="1"/>
      <c r="H52" s="1"/>
      <c r="I52" s="1"/>
      <c r="R52" s="26">
        <f>'Exh CTM-9 (Page 2)'!H14</f>
        <v>82926.09</v>
      </c>
      <c r="T52" s="8">
        <f t="shared" si="1"/>
        <v>43</v>
      </c>
      <c r="U52" s="8"/>
      <c r="V52" s="1" t="str">
        <f>V36</f>
        <v>Allowed Delivery Revenue Per Customer</v>
      </c>
      <c r="W52" s="8" t="str">
        <f>$D$36</f>
        <v>Exhibit CTM-9, Page 2</v>
      </c>
      <c r="X52" s="8"/>
      <c r="AK52" s="26">
        <f>'Exh CTM-9 (Page 2)'!H26</f>
        <v>77842.52</v>
      </c>
    </row>
    <row r="53" spans="1:37" x14ac:dyDescent="0.2">
      <c r="A53" s="8">
        <f t="shared" si="0"/>
        <v>44</v>
      </c>
      <c r="B53" s="8"/>
      <c r="C53" s="1" t="str">
        <f>C37</f>
        <v>Monthly Allowed Delivery Revenue Per Customer</v>
      </c>
      <c r="D53" s="8" t="str">
        <f>"("&amp;A$28&amp;") x ("&amp;A52&amp;")"</f>
        <v>(19) x (43)</v>
      </c>
      <c r="E53" s="8" t="s">
        <v>61</v>
      </c>
      <c r="F53" s="25">
        <f t="shared" ref="F53:Q53" si="22">$R52*F$28</f>
        <v>6708.5150448585227</v>
      </c>
      <c r="G53" s="25">
        <f t="shared" si="22"/>
        <v>6935.8104763555211</v>
      </c>
      <c r="H53" s="25">
        <f t="shared" si="22"/>
        <v>6469.3512637306712</v>
      </c>
      <c r="I53" s="25">
        <f t="shared" si="22"/>
        <v>6943.1306437184185</v>
      </c>
      <c r="J53" s="25">
        <f t="shared" si="22"/>
        <v>6738.9056624023342</v>
      </c>
      <c r="K53" s="25">
        <f t="shared" si="22"/>
        <v>7144.8097327984296</v>
      </c>
      <c r="L53" s="25">
        <f t="shared" si="22"/>
        <v>7340.7998537154326</v>
      </c>
      <c r="M53" s="25">
        <f t="shared" si="22"/>
        <v>7319.6941127054242</v>
      </c>
      <c r="N53" s="25">
        <f t="shared" si="22"/>
        <v>6946.2925110330289</v>
      </c>
      <c r="O53" s="25">
        <f t="shared" si="22"/>
        <v>6897.0409202434766</v>
      </c>
      <c r="P53" s="25">
        <f t="shared" si="22"/>
        <v>6774.1574118513672</v>
      </c>
      <c r="Q53" s="25">
        <f t="shared" si="22"/>
        <v>6707.5823665873586</v>
      </c>
      <c r="R53" s="26">
        <f>SUM(F53:Q53)</f>
        <v>82926.09</v>
      </c>
      <c r="T53" s="8">
        <f t="shared" si="1"/>
        <v>44</v>
      </c>
      <c r="U53" s="8"/>
      <c r="V53" s="1" t="s">
        <v>59</v>
      </c>
      <c r="W53" s="8" t="str">
        <f>"("&amp;T$28&amp;") x ("&amp;T52&amp;")"</f>
        <v>(19) x (43)</v>
      </c>
      <c r="X53" s="8" t="str">
        <f>E53</f>
        <v>Sheet No. 142-F</v>
      </c>
      <c r="Y53" s="25">
        <f t="shared" ref="Y53:AJ53" si="23">$AK52*Y$28</f>
        <v>6398.7730633095653</v>
      </c>
      <c r="Z53" s="25">
        <f t="shared" si="23"/>
        <v>6364.1168255105104</v>
      </c>
      <c r="AA53" s="25">
        <f t="shared" si="23"/>
        <v>6151.8680080680833</v>
      </c>
      <c r="AB53" s="25">
        <f t="shared" si="23"/>
        <v>6567.5170101329795</v>
      </c>
      <c r="AC53" s="25">
        <f t="shared" si="23"/>
        <v>6354.185303905625</v>
      </c>
      <c r="AD53" s="25">
        <f t="shared" si="23"/>
        <v>6701.1030944789491</v>
      </c>
      <c r="AE53" s="25">
        <f t="shared" si="23"/>
        <v>6876.8780844665398</v>
      </c>
      <c r="AF53" s="25">
        <f t="shared" si="23"/>
        <v>6845.6572443376381</v>
      </c>
      <c r="AG53" s="25">
        <f t="shared" si="23"/>
        <v>6495.5224738009119</v>
      </c>
      <c r="AH53" s="25">
        <f t="shared" si="23"/>
        <v>6451.3338205455439</v>
      </c>
      <c r="AI53" s="25">
        <f t="shared" si="23"/>
        <v>6342.8747040691678</v>
      </c>
      <c r="AJ53" s="25">
        <f t="shared" si="23"/>
        <v>6292.6903673744882</v>
      </c>
      <c r="AK53" s="26">
        <f>SUM(Y53:AJ53)</f>
        <v>77842.51999999999</v>
      </c>
    </row>
    <row r="54" spans="1:37" x14ac:dyDescent="0.2">
      <c r="A54" s="8">
        <f t="shared" si="0"/>
        <v>45</v>
      </c>
      <c r="J54" s="8"/>
      <c r="K54" s="8"/>
      <c r="L54" s="8"/>
      <c r="M54" s="8"/>
      <c r="N54" s="8"/>
      <c r="O54" s="8"/>
      <c r="P54" s="8"/>
      <c r="Q54" s="8"/>
      <c r="T54" s="8">
        <f t="shared" si="1"/>
        <v>45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7" x14ac:dyDescent="0.2">
      <c r="A55" s="8">
        <f t="shared" si="0"/>
        <v>46</v>
      </c>
      <c r="B55" s="24" t="str">
        <f>B30</f>
        <v>Schedule 10 (31)</v>
      </c>
      <c r="F55" s="1"/>
      <c r="G55" s="1"/>
      <c r="H55" s="1"/>
      <c r="I55" s="1"/>
      <c r="R55" s="26"/>
      <c r="T55" s="8">
        <f t="shared" si="1"/>
        <v>46</v>
      </c>
      <c r="U55" s="24" t="str">
        <f>U30</f>
        <v>Schedule 10 (31)</v>
      </c>
      <c r="W55" s="8"/>
      <c r="X55" s="8"/>
      <c r="AK55" s="26"/>
    </row>
    <row r="56" spans="1:37" x14ac:dyDescent="0.2">
      <c r="A56" s="8">
        <f t="shared" si="0"/>
        <v>47</v>
      </c>
      <c r="B56" s="8"/>
      <c r="C56" s="1" t="str">
        <f>C36</f>
        <v>Allowed Delivery Revenue Per Customer</v>
      </c>
      <c r="D56" s="8" t="str">
        <f>$D$36</f>
        <v>Exhibit CTM-9, Page 2</v>
      </c>
      <c r="F56" s="1"/>
      <c r="G56" s="1"/>
      <c r="H56" s="1"/>
      <c r="I56" s="1"/>
      <c r="R56" s="26">
        <f>'Exh CTM-9 (Page 2)'!I14</f>
        <v>109647.08</v>
      </c>
      <c r="T56" s="8">
        <f t="shared" si="1"/>
        <v>47</v>
      </c>
      <c r="U56" s="8"/>
      <c r="V56" s="1" t="str">
        <f>V36</f>
        <v>Allowed Delivery Revenue Per Customer</v>
      </c>
      <c r="W56" s="8" t="str">
        <f>$D$36</f>
        <v>Exhibit CTM-9, Page 2</v>
      </c>
      <c r="X56" s="8"/>
      <c r="AK56" s="26">
        <f>'Exh CTM-9 (Page 2)'!I26</f>
        <v>111508.51</v>
      </c>
    </row>
    <row r="57" spans="1:37" x14ac:dyDescent="0.2">
      <c r="A57" s="8">
        <f t="shared" si="0"/>
        <v>48</v>
      </c>
      <c r="B57" s="8"/>
      <c r="C57" s="1" t="str">
        <f>C37</f>
        <v>Monthly Allowed Delivery Revenue Per Customer</v>
      </c>
      <c r="D57" s="8" t="str">
        <f>"("&amp;A$32&amp;") x ("&amp;A56&amp;")"</f>
        <v>(23) x (47)</v>
      </c>
      <c r="E57" s="8" t="s">
        <v>60</v>
      </c>
      <c r="F57" s="25">
        <f t="shared" ref="F57:Q57" si="24">$R56*F$32</f>
        <v>8987.4841633865617</v>
      </c>
      <c r="G57" s="25">
        <f t="shared" si="24"/>
        <v>9184.374936309443</v>
      </c>
      <c r="H57" s="25">
        <f t="shared" si="24"/>
        <v>8575.5047854140157</v>
      </c>
      <c r="I57" s="25">
        <f t="shared" si="24"/>
        <v>9585.6477157253667</v>
      </c>
      <c r="J57" s="25">
        <f t="shared" si="24"/>
        <v>9131.5575211403648</v>
      </c>
      <c r="K57" s="25">
        <f t="shared" si="24"/>
        <v>9600.088094668472</v>
      </c>
      <c r="L57" s="25">
        <f t="shared" si="24"/>
        <v>9375.2207381409262</v>
      </c>
      <c r="M57" s="25">
        <f t="shared" si="24"/>
        <v>9273.5203320666969</v>
      </c>
      <c r="N57" s="25">
        <f t="shared" si="24"/>
        <v>9179.6021641826519</v>
      </c>
      <c r="O57" s="25">
        <f t="shared" si="24"/>
        <v>9105.3445444664831</v>
      </c>
      <c r="P57" s="25">
        <f t="shared" si="24"/>
        <v>9045.0984197844591</v>
      </c>
      <c r="Q57" s="25">
        <f t="shared" si="24"/>
        <v>8603.6365847145407</v>
      </c>
      <c r="R57" s="26">
        <f>SUM(F57:Q57)</f>
        <v>109647.07999999997</v>
      </c>
      <c r="T57" s="8">
        <f t="shared" si="1"/>
        <v>48</v>
      </c>
      <c r="U57" s="8"/>
      <c r="V57" s="1" t="s">
        <v>59</v>
      </c>
      <c r="W57" s="8" t="str">
        <f>"("&amp;T$32&amp;") x ("&amp;T56&amp;")"</f>
        <v>(23) x (47)</v>
      </c>
      <c r="X57" s="8" t="str">
        <f>E57</f>
        <v>Sheet No. 142-G</v>
      </c>
      <c r="Y57" s="25">
        <f t="shared" ref="Y57:AJ57" si="25">$AK56*Y$32</f>
        <v>9278.0609941890743</v>
      </c>
      <c r="Z57" s="25">
        <f t="shared" si="25"/>
        <v>9133.9355471798608</v>
      </c>
      <c r="AA57" s="25">
        <f t="shared" si="25"/>
        <v>8815.8089243646973</v>
      </c>
      <c r="AB57" s="25">
        <f t="shared" si="25"/>
        <v>9836.2258331638477</v>
      </c>
      <c r="AC57" s="25">
        <f t="shared" si="25"/>
        <v>9328.7431902390435</v>
      </c>
      <c r="AD57" s="25">
        <f t="shared" si="25"/>
        <v>9777.939348639733</v>
      </c>
      <c r="AE57" s="25">
        <f t="shared" si="25"/>
        <v>9534.3477147267931</v>
      </c>
      <c r="AF57" s="25">
        <f t="shared" si="25"/>
        <v>9426.5150175815834</v>
      </c>
      <c r="AG57" s="25">
        <f t="shared" si="25"/>
        <v>9321.7683534015032</v>
      </c>
      <c r="AH57" s="25">
        <f t="shared" si="25"/>
        <v>9214.3485525827527</v>
      </c>
      <c r="AI57" s="25">
        <f t="shared" si="25"/>
        <v>9144.7023543605628</v>
      </c>
      <c r="AJ57" s="25">
        <f t="shared" si="25"/>
        <v>8696.1141695705555</v>
      </c>
      <c r="AK57" s="26">
        <f>SUM(Y57:AJ57)</f>
        <v>111508.51000000001</v>
      </c>
    </row>
    <row r="58" spans="1:37" x14ac:dyDescent="0.2">
      <c r="W58" s="8"/>
      <c r="X58" s="8"/>
      <c r="Y58" s="8"/>
      <c r="Z58" s="8"/>
      <c r="AA58" s="8"/>
      <c r="AB58" s="8"/>
    </row>
    <row r="59" spans="1:37" x14ac:dyDescent="0.2">
      <c r="W59" s="8"/>
      <c r="X59" s="8"/>
      <c r="Y59" s="8"/>
      <c r="Z59" s="8"/>
      <c r="AA59" s="8"/>
      <c r="AB59" s="8"/>
    </row>
  </sheetData>
  <mergeCells count="10">
    <mergeCell ref="T1:AK1"/>
    <mergeCell ref="T2:AK2"/>
    <mergeCell ref="T3:AK3"/>
    <mergeCell ref="T4:AK4"/>
    <mergeCell ref="T5:AK5"/>
    <mergeCell ref="A1:R1"/>
    <mergeCell ref="A2:R2"/>
    <mergeCell ref="A3:R3"/>
    <mergeCell ref="A4:R4"/>
    <mergeCell ref="A5:R5"/>
  </mergeCells>
  <printOptions horizontalCentered="1"/>
  <pageMargins left="0.7" right="0.7" top="0.75" bottom="0.75" header="0.3" footer="0.3"/>
  <pageSetup scale="45" orientation="landscape" blackAndWhite="1" horizontalDpi="1200" verticalDpi="1200" r:id="rId1"/>
  <headerFooter alignWithMargins="0">
    <oddFooter>&amp;R&amp;F
&amp;A
&amp;P of &amp;N</oddFooter>
  </headerFooter>
  <colBreaks count="1" manualBreakCount="1">
    <brk id="18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4491F4-C438-4239-81C6-D48B6B0D699F}"/>
</file>

<file path=customXml/itemProps2.xml><?xml version="1.0" encoding="utf-8"?>
<ds:datastoreItem xmlns:ds="http://schemas.openxmlformats.org/officeDocument/2006/customXml" ds:itemID="{8CE0C090-8E94-414F-8742-21880C27B90E}"/>
</file>

<file path=customXml/itemProps3.xml><?xml version="1.0" encoding="utf-8"?>
<ds:datastoreItem xmlns:ds="http://schemas.openxmlformats.org/officeDocument/2006/customXml" ds:itemID="{29772F24-9B93-42C9-99D7-88B60149B19D}"/>
</file>

<file path=customXml/itemProps4.xml><?xml version="1.0" encoding="utf-8"?>
<ds:datastoreItem xmlns:ds="http://schemas.openxmlformats.org/officeDocument/2006/customXml" ds:itemID="{E439CCE3-E61A-486D-9DC5-FC7C88290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 CTM-9 (Page 1)</vt:lpstr>
      <vt:lpstr>Exh CTM-9 (Page 2)</vt:lpstr>
      <vt:lpstr>Exh CTM-9 (Page 3)</vt:lpstr>
      <vt:lpstr>Exh CTM-9 (Page 3a)</vt:lpstr>
      <vt:lpstr>Exh CTM-9 (Page 4-5)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cp:lastPrinted>2024-02-08T19:16:26Z</cp:lastPrinted>
  <dcterms:created xsi:type="dcterms:W3CDTF">2024-02-08T19:00:21Z</dcterms:created>
  <dcterms:modified xsi:type="dcterms:W3CDTF">2024-02-08T19:16:31Z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