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8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38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9.xml" ContentType="application/vnd.openxmlformats-officedocument.spreadsheetml.worksheet+xml"/>
  <Override PartName="/xl/worksheets/sheet4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4395" windowWidth="15570" windowHeight="3825" tabRatio="826" activeTab="2"/>
  </bookViews>
  <sheets>
    <sheet name="ROO" sheetId="83" r:id="rId1"/>
    <sheet name="Restating" sheetId="1" r:id="rId2"/>
    <sheet name="Pro Forma" sheetId="84" r:id="rId3"/>
    <sheet name="RR Summary" sheetId="96" r:id="rId4"/>
    <sheet name="RR Calculation" sheetId="87" r:id="rId5"/>
    <sheet name="Conv" sheetId="86" r:id="rId6"/>
    <sheet name=" Capital " sheetId="85" r:id="rId7"/>
    <sheet name="END RR Model" sheetId="93" r:id="rId8"/>
    <sheet name="Debt Int" sheetId="89" r:id="rId9"/>
    <sheet name="Attrition" sheetId="137" r:id="rId10"/>
    <sheet name="Adj 1.01" sheetId="99" r:id="rId11"/>
    <sheet name="Adj 1.02" sheetId="100" r:id="rId12"/>
    <sheet name="Adj 1.03" sheetId="101" r:id="rId13"/>
    <sheet name="Adj 1.04" sheetId="102" r:id="rId14"/>
    <sheet name="Adj 2.01" sheetId="103" r:id="rId15"/>
    <sheet name="Adj 2.02" sheetId="104" r:id="rId16"/>
    <sheet name="Adj 2.03" sheetId="105" r:id="rId17"/>
    <sheet name="Adj 2.04" sheetId="106" r:id="rId18"/>
    <sheet name="Adj 2.05" sheetId="107" r:id="rId19"/>
    <sheet name="Adj 2.06" sheetId="108" r:id="rId20"/>
    <sheet name="Adj 2.07" sheetId="109" r:id="rId21"/>
    <sheet name="Adj 2.08" sheetId="110" r:id="rId22"/>
    <sheet name="Adj 2.09" sheetId="111" r:id="rId23"/>
    <sheet name="Adj 2.10" sheetId="112" r:id="rId24"/>
    <sheet name="Adj 2.11" sheetId="113" r:id="rId25"/>
    <sheet name="Adj 2.12" sheetId="114" r:id="rId26"/>
    <sheet name="Adj 2.13" sheetId="115" r:id="rId27"/>
    <sheet name="Adj 2.14" sheetId="116" r:id="rId28"/>
    <sheet name="Adj 2.15" sheetId="117" r:id="rId29"/>
    <sheet name="Adj 2.16" sheetId="118" r:id="rId30"/>
    <sheet name="Adj 2.17" sheetId="119" r:id="rId31"/>
    <sheet name="Adj 2.18" sheetId="120" r:id="rId32"/>
    <sheet name="Adj 3.00" sheetId="131" r:id="rId33"/>
    <sheet name="Adj 3.01" sheetId="121" r:id="rId34"/>
    <sheet name="Adj 3.02" sheetId="122" r:id="rId35"/>
    <sheet name="Adj 3.03" sheetId="123" r:id="rId36"/>
    <sheet name="Adj 3.04" sheetId="124" r:id="rId37"/>
    <sheet name="Adj 3.05" sheetId="125" r:id="rId38"/>
    <sheet name="Adj 3.06" sheetId="126" r:id="rId39"/>
    <sheet name="Adj 3.07" sheetId="127" r:id="rId40"/>
    <sheet name="Adj 3.08" sheetId="128" r:id="rId41"/>
    <sheet name="Adj 3.09" sheetId="138" r:id="rId42"/>
    <sheet name="Adj 4.00" sheetId="129" r:id="rId43"/>
    <sheet name="Adj 4.01" sheetId="130" r:id="rId44"/>
    <sheet name="Adj 4.02" sheetId="132" r:id="rId45"/>
    <sheet name="Adj 4.03" sheetId="136" r:id="rId46"/>
    <sheet name="Adj 4.04" sheetId="133" r:id="rId47"/>
    <sheet name="Adj 4.05" sheetId="134" r:id="rId48"/>
    <sheet name="Adj 4.06" sheetId="135" r:id="rId49"/>
    <sheet name="XXX-#, PF # Prod Prop Adj" sheetId="82" r:id="rId50"/>
  </sheets>
  <externalReferences>
    <externalReference r:id="rId51"/>
    <externalReference r:id="rId52"/>
    <externalReference r:id="rId53"/>
    <externalReference r:id="rId54"/>
  </externalReferences>
  <definedNames>
    <definedName name="_xlnm._FilterDatabase" localSheetId="10" hidden="1">'Adj 1.01'!$B$7:$C$7</definedName>
    <definedName name="_xlnm._FilterDatabase" localSheetId="11" hidden="1">'Adj 1.02'!$B$7:$C$7</definedName>
    <definedName name="_xlnm._FilterDatabase" localSheetId="12" hidden="1">'Adj 1.03'!$B$7:$C$7</definedName>
    <definedName name="_xlnm._FilterDatabase" localSheetId="13" hidden="1">'Adj 1.04'!$B$7:$C$7</definedName>
    <definedName name="_xlnm._FilterDatabase" localSheetId="14" hidden="1">'Adj 2.01'!$B$7:$C$7</definedName>
    <definedName name="_xlnm._FilterDatabase" localSheetId="15" hidden="1">'Adj 2.02'!$B$7:$C$7</definedName>
    <definedName name="_xlnm._FilterDatabase" localSheetId="16" hidden="1">'Adj 2.03'!$B$7:$C$7</definedName>
    <definedName name="_xlnm._FilterDatabase" localSheetId="17" hidden="1">'Adj 2.04'!$B$7:$C$7</definedName>
    <definedName name="_xlnm._FilterDatabase" localSheetId="18" hidden="1">'Adj 2.05'!$B$7:$C$7</definedName>
    <definedName name="_xlnm._FilterDatabase" localSheetId="19" hidden="1">'Adj 2.06'!$B$7:$C$7</definedName>
    <definedName name="_xlnm._FilterDatabase" localSheetId="20" hidden="1">'Adj 2.07'!$B$7:$C$7</definedName>
    <definedName name="_xlnm._FilterDatabase" localSheetId="21" hidden="1">'Adj 2.08'!$B$7:$C$7</definedName>
    <definedName name="_xlnm._FilterDatabase" localSheetId="22" hidden="1">'Adj 2.09'!$B$7:$C$7</definedName>
    <definedName name="_xlnm._FilterDatabase" localSheetId="23" hidden="1">'Adj 2.10'!$B$7:$C$7</definedName>
    <definedName name="_xlnm._FilterDatabase" localSheetId="24" hidden="1">'Adj 2.11'!$B$7:$C$7</definedName>
    <definedName name="_xlnm._FilterDatabase" localSheetId="25" hidden="1">'Adj 2.12'!$B$7:$C$7</definedName>
    <definedName name="_xlnm._FilterDatabase" localSheetId="26" hidden="1">'Adj 2.13'!$B$7:$C$7</definedName>
    <definedName name="_xlnm._FilterDatabase" localSheetId="27" hidden="1">'Adj 2.14'!$B$7:$C$7</definedName>
    <definedName name="_xlnm._FilterDatabase" localSheetId="28" hidden="1">'Adj 2.15'!$B$7:$C$7</definedName>
    <definedName name="_xlnm._FilterDatabase" localSheetId="29" hidden="1">'Adj 2.16'!$B$7:$C$7</definedName>
    <definedName name="_xlnm._FilterDatabase" localSheetId="30" hidden="1">'Adj 2.17'!$B$7:$C$7</definedName>
    <definedName name="_xlnm._FilterDatabase" localSheetId="31" hidden="1">'Adj 2.18'!$B$7:$B$7</definedName>
    <definedName name="_xlnm._FilterDatabase" localSheetId="1" hidden="1">Restating!$B$7:$X$7</definedName>
    <definedName name="ID_Elec" localSheetId="10">#REF!</definedName>
    <definedName name="ID_Elec" localSheetId="11">#REF!</definedName>
    <definedName name="ID_Elec" localSheetId="12">#REF!</definedName>
    <definedName name="ID_Elec" localSheetId="13">#REF!</definedName>
    <definedName name="ID_Elec" localSheetId="14">#REF!</definedName>
    <definedName name="ID_Elec" localSheetId="15">#REF!</definedName>
    <definedName name="ID_Elec" localSheetId="16">#REF!</definedName>
    <definedName name="ID_Elec" localSheetId="17">#REF!</definedName>
    <definedName name="ID_Elec" localSheetId="18">#REF!</definedName>
    <definedName name="ID_Elec" localSheetId="19">#REF!</definedName>
    <definedName name="ID_Elec" localSheetId="20">#REF!</definedName>
    <definedName name="ID_Elec" localSheetId="21">#REF!</definedName>
    <definedName name="ID_Elec" localSheetId="22">#REF!</definedName>
    <definedName name="ID_Elec" localSheetId="23">#REF!</definedName>
    <definedName name="ID_Elec" localSheetId="24">#REF!</definedName>
    <definedName name="ID_Elec" localSheetId="25">#REF!</definedName>
    <definedName name="ID_Elec" localSheetId="26">#REF!</definedName>
    <definedName name="ID_Elec" localSheetId="27">#REF!</definedName>
    <definedName name="ID_Elec" localSheetId="28">#REF!</definedName>
    <definedName name="ID_Elec" localSheetId="29">#REF!</definedName>
    <definedName name="ID_Elec" localSheetId="30">#REF!</definedName>
    <definedName name="ID_Elec" localSheetId="31">#REF!</definedName>
    <definedName name="ID_Elec" localSheetId="32">#REF!</definedName>
    <definedName name="ID_Elec" localSheetId="33">#REF!</definedName>
    <definedName name="ID_Elec" localSheetId="34">#REF!</definedName>
    <definedName name="ID_Elec" localSheetId="35">#REF!</definedName>
    <definedName name="ID_Elec" localSheetId="36">#REF!</definedName>
    <definedName name="ID_Elec" localSheetId="37">#REF!</definedName>
    <definedName name="ID_Elec" localSheetId="38">#REF!</definedName>
    <definedName name="ID_Elec" localSheetId="39">#REF!</definedName>
    <definedName name="ID_Elec" localSheetId="40">#REF!</definedName>
    <definedName name="ID_Elec" localSheetId="41">#REF!</definedName>
    <definedName name="ID_Elec" localSheetId="42">#REF!</definedName>
    <definedName name="ID_Elec" localSheetId="43">#REF!</definedName>
    <definedName name="ID_Elec" localSheetId="44">#REF!</definedName>
    <definedName name="ID_Elec" localSheetId="45">#REF!</definedName>
    <definedName name="ID_Elec" localSheetId="46">#REF!</definedName>
    <definedName name="ID_Elec" localSheetId="47">#REF!</definedName>
    <definedName name="ID_Elec" localSheetId="48">#REF!</definedName>
    <definedName name="ID_Elec" localSheetId="9">#REF!</definedName>
    <definedName name="ID_Elec" localSheetId="8">#REF!</definedName>
    <definedName name="ID_Elec" localSheetId="0">#REF!</definedName>
    <definedName name="ID_Elec" localSheetId="3">#REF!</definedName>
    <definedName name="ID_Elec">#REF!</definedName>
    <definedName name="ID_Gas" localSheetId="10">#REF!</definedName>
    <definedName name="ID_Gas" localSheetId="11">#REF!</definedName>
    <definedName name="ID_Gas" localSheetId="12">#REF!</definedName>
    <definedName name="ID_Gas" localSheetId="13">#REF!</definedName>
    <definedName name="ID_Gas" localSheetId="14">#REF!</definedName>
    <definedName name="ID_Gas" localSheetId="15">#REF!</definedName>
    <definedName name="ID_Gas" localSheetId="16">#REF!</definedName>
    <definedName name="ID_Gas" localSheetId="17">#REF!</definedName>
    <definedName name="ID_Gas" localSheetId="18">#REF!</definedName>
    <definedName name="ID_Gas" localSheetId="19">#REF!</definedName>
    <definedName name="ID_Gas" localSheetId="20">#REF!</definedName>
    <definedName name="ID_Gas" localSheetId="21">#REF!</definedName>
    <definedName name="ID_Gas" localSheetId="22">#REF!</definedName>
    <definedName name="ID_Gas" localSheetId="23">#REF!</definedName>
    <definedName name="ID_Gas" localSheetId="24">#REF!</definedName>
    <definedName name="ID_Gas" localSheetId="25">#REF!</definedName>
    <definedName name="ID_Gas" localSheetId="26">#REF!</definedName>
    <definedName name="ID_Gas" localSheetId="27">#REF!</definedName>
    <definedName name="ID_Gas" localSheetId="28">#REF!</definedName>
    <definedName name="ID_Gas" localSheetId="29">#REF!</definedName>
    <definedName name="ID_Gas" localSheetId="30">#REF!</definedName>
    <definedName name="ID_Gas" localSheetId="31">#REF!</definedName>
    <definedName name="ID_Gas" localSheetId="32">#REF!</definedName>
    <definedName name="ID_Gas" localSheetId="33">#REF!</definedName>
    <definedName name="ID_Gas" localSheetId="34">#REF!</definedName>
    <definedName name="ID_Gas" localSheetId="35">#REF!</definedName>
    <definedName name="ID_Gas" localSheetId="36">#REF!</definedName>
    <definedName name="ID_Gas" localSheetId="37">#REF!</definedName>
    <definedName name="ID_Gas" localSheetId="38">#REF!</definedName>
    <definedName name="ID_Gas" localSheetId="39">#REF!</definedName>
    <definedName name="ID_Gas" localSheetId="40">#REF!</definedName>
    <definedName name="ID_Gas" localSheetId="41">#REF!</definedName>
    <definedName name="ID_Gas" localSheetId="42">#REF!</definedName>
    <definedName name="ID_Gas" localSheetId="43">#REF!</definedName>
    <definedName name="ID_Gas" localSheetId="44">#REF!</definedName>
    <definedName name="ID_Gas" localSheetId="45">#REF!</definedName>
    <definedName name="ID_Gas" localSheetId="46">#REF!</definedName>
    <definedName name="ID_Gas" localSheetId="47">#REF!</definedName>
    <definedName name="ID_Gas" localSheetId="48">#REF!</definedName>
    <definedName name="ID_Gas" localSheetId="9">#REF!</definedName>
    <definedName name="ID_Gas" localSheetId="8">#REF!</definedName>
    <definedName name="ID_Gas" localSheetId="0">#REF!</definedName>
    <definedName name="ID_Gas" localSheetId="3">#REF!</definedName>
    <definedName name="ID_Gas">#REF!</definedName>
    <definedName name="inc_tax" localSheetId="10">#REF!</definedName>
    <definedName name="inc_tax" localSheetId="11">#REF!</definedName>
    <definedName name="inc_tax" localSheetId="12">#REF!</definedName>
    <definedName name="inc_tax" localSheetId="13">#REF!</definedName>
    <definedName name="inc_tax" localSheetId="14">#REF!</definedName>
    <definedName name="inc_tax" localSheetId="15">#REF!</definedName>
    <definedName name="inc_tax" localSheetId="16">#REF!</definedName>
    <definedName name="inc_tax" localSheetId="17">#REF!</definedName>
    <definedName name="inc_tax" localSheetId="18">#REF!</definedName>
    <definedName name="inc_tax" localSheetId="19">#REF!</definedName>
    <definedName name="inc_tax" localSheetId="20">#REF!</definedName>
    <definedName name="inc_tax" localSheetId="21">#REF!</definedName>
    <definedName name="inc_tax" localSheetId="22">#REF!</definedName>
    <definedName name="inc_tax" localSheetId="23">#REF!</definedName>
    <definedName name="inc_tax" localSheetId="24">#REF!</definedName>
    <definedName name="inc_tax" localSheetId="25">#REF!</definedName>
    <definedName name="inc_tax" localSheetId="26">#REF!</definedName>
    <definedName name="inc_tax" localSheetId="27">#REF!</definedName>
    <definedName name="inc_tax" localSheetId="28">#REF!</definedName>
    <definedName name="inc_tax" localSheetId="29">#REF!</definedName>
    <definedName name="inc_tax" localSheetId="30">#REF!</definedName>
    <definedName name="inc_tax" localSheetId="31">#REF!</definedName>
    <definedName name="inc_tax" localSheetId="32">#REF!</definedName>
    <definedName name="inc_tax" localSheetId="33">#REF!</definedName>
    <definedName name="inc_tax" localSheetId="34">#REF!</definedName>
    <definedName name="inc_tax" localSheetId="35">#REF!</definedName>
    <definedName name="inc_tax" localSheetId="36">#REF!</definedName>
    <definedName name="inc_tax" localSheetId="37">#REF!</definedName>
    <definedName name="inc_tax" localSheetId="38">#REF!</definedName>
    <definedName name="inc_tax" localSheetId="39">#REF!</definedName>
    <definedName name="inc_tax" localSheetId="40">#REF!</definedName>
    <definedName name="inc_tax" localSheetId="41">#REF!</definedName>
    <definedName name="inc_tax" localSheetId="42">#REF!</definedName>
    <definedName name="inc_tax" localSheetId="43">#REF!</definedName>
    <definedName name="inc_tax" localSheetId="44">#REF!</definedName>
    <definedName name="inc_tax" localSheetId="45">#REF!</definedName>
    <definedName name="inc_tax" localSheetId="46">#REF!</definedName>
    <definedName name="inc_tax" localSheetId="47">#REF!</definedName>
    <definedName name="inc_tax" localSheetId="48">#REF!</definedName>
    <definedName name="inc_tax" localSheetId="9">#REF!</definedName>
    <definedName name="inc_tax">#REF!</definedName>
    <definedName name="prime" localSheetId="10">'[1]R-13 PF Debt'!#REF!</definedName>
    <definedName name="prime" localSheetId="11">'[1]R-13 PF Debt'!#REF!</definedName>
    <definedName name="prime" localSheetId="12">'[1]R-13 PF Debt'!#REF!</definedName>
    <definedName name="prime" localSheetId="13">'[1]R-13 PF Debt'!#REF!</definedName>
    <definedName name="prime" localSheetId="14">'[1]R-13 PF Debt'!#REF!</definedName>
    <definedName name="prime" localSheetId="15">'[1]R-13 PF Debt'!#REF!</definedName>
    <definedName name="prime" localSheetId="16">'[1]R-13 PF Debt'!#REF!</definedName>
    <definedName name="prime" localSheetId="17">'[1]R-13 PF Debt'!#REF!</definedName>
    <definedName name="prime" localSheetId="18">'[1]R-13 PF Debt'!#REF!</definedName>
    <definedName name="prime" localSheetId="19">'[1]R-13 PF Debt'!#REF!</definedName>
    <definedName name="prime" localSheetId="20">'[1]R-13 PF Debt'!#REF!</definedName>
    <definedName name="prime" localSheetId="21">'[1]R-13 PF Debt'!#REF!</definedName>
    <definedName name="prime" localSheetId="22">'[1]R-13 PF Debt'!#REF!</definedName>
    <definedName name="prime" localSheetId="23">'[1]R-13 PF Debt'!#REF!</definedName>
    <definedName name="prime" localSheetId="24">'[1]R-13 PF Debt'!#REF!</definedName>
    <definedName name="prime" localSheetId="25">'[1]R-13 PF Debt'!#REF!</definedName>
    <definedName name="prime" localSheetId="26">'[1]R-13 PF Debt'!#REF!</definedName>
    <definedName name="prime" localSheetId="27">'[1]R-13 PF Debt'!#REF!</definedName>
    <definedName name="prime" localSheetId="28">'[1]R-13 PF Debt'!#REF!</definedName>
    <definedName name="prime" localSheetId="29">'[1]R-13 PF Debt'!#REF!</definedName>
    <definedName name="prime" localSheetId="30">'[1]R-13 PF Debt'!#REF!</definedName>
    <definedName name="prime" localSheetId="31">'[1]R-13 PF Debt'!#REF!</definedName>
    <definedName name="prime" localSheetId="32">'[1]R-13 PF Debt'!#REF!</definedName>
    <definedName name="prime" localSheetId="33">'[1]R-13 PF Debt'!#REF!</definedName>
    <definedName name="prime" localSheetId="34">'[1]R-13 PF Debt'!#REF!</definedName>
    <definedName name="prime" localSheetId="35">'[1]R-13 PF Debt'!#REF!</definedName>
    <definedName name="prime" localSheetId="36">'[1]R-13 PF Debt'!#REF!</definedName>
    <definedName name="prime" localSheetId="37">'[1]R-13 PF Debt'!#REF!</definedName>
    <definedName name="prime" localSheetId="38">'[1]R-13 PF Debt'!#REF!</definedName>
    <definedName name="prime" localSheetId="39">'[1]R-13 PF Debt'!#REF!</definedName>
    <definedName name="prime" localSheetId="40">'[1]R-13 PF Debt'!#REF!</definedName>
    <definedName name="prime" localSheetId="41">'[1]R-13 PF Debt'!#REF!</definedName>
    <definedName name="prime" localSheetId="42">'[1]R-13 PF Debt'!#REF!</definedName>
    <definedName name="prime" localSheetId="43">'[1]R-13 PF Debt'!#REF!</definedName>
    <definedName name="prime" localSheetId="44">'[1]R-13 PF Debt'!#REF!</definedName>
    <definedName name="prime" localSheetId="45">'[1]R-13 PF Debt'!#REF!</definedName>
    <definedName name="prime" localSheetId="46">'[1]R-13 PF Debt'!#REF!</definedName>
    <definedName name="prime" localSheetId="47">'[1]R-13 PF Debt'!#REF!</definedName>
    <definedName name="prime" localSheetId="48">'[1]R-13 PF Debt'!#REF!</definedName>
    <definedName name="prime" localSheetId="9">'[1]R-13 PF Debt'!#REF!</definedName>
    <definedName name="prime" localSheetId="8">'Debt Int'!#REF!</definedName>
    <definedName name="prime" localSheetId="3">'[2]R-13 PF Debt'!#REF!</definedName>
    <definedName name="prime">'[1]R-13 PF Debt'!#REF!</definedName>
    <definedName name="_xlnm.Print_Area" localSheetId="6">' Capital '!$A$1:$K$26</definedName>
    <definedName name="_xlnm.Print_Area" localSheetId="10">'Adj 1.01'!$2:$77</definedName>
    <definedName name="_xlnm.Print_Area" localSheetId="11">'Adj 1.02'!$2:$77</definedName>
    <definedName name="_xlnm.Print_Area" localSheetId="12">'Adj 1.03'!$2:$77</definedName>
    <definedName name="_xlnm.Print_Area" localSheetId="13">'Adj 1.04'!$2:$77</definedName>
    <definedName name="_xlnm.Print_Area" localSheetId="14">'Adj 2.01'!$2:$77</definedName>
    <definedName name="_xlnm.Print_Area" localSheetId="15">'Adj 2.02'!$2:$77</definedName>
    <definedName name="_xlnm.Print_Area" localSheetId="16">'Adj 2.03'!$2:$77</definedName>
    <definedName name="_xlnm.Print_Area" localSheetId="17">'Adj 2.04'!$2:$77</definedName>
    <definedName name="_xlnm.Print_Area" localSheetId="18">'Adj 2.05'!$2:$77</definedName>
    <definedName name="_xlnm.Print_Area" localSheetId="19">'Adj 2.06'!$2:$77</definedName>
    <definedName name="_xlnm.Print_Area" localSheetId="20">'Adj 2.07'!$2:$77</definedName>
    <definedName name="_xlnm.Print_Area" localSheetId="21">'Adj 2.08'!$2:$77</definedName>
    <definedName name="_xlnm.Print_Area" localSheetId="22">'Adj 2.09'!$2:$77</definedName>
    <definedName name="_xlnm.Print_Area" localSheetId="23">'Adj 2.10'!$2:$77</definedName>
    <definedName name="_xlnm.Print_Area" localSheetId="24">'Adj 2.11'!$2:$77</definedName>
    <definedName name="_xlnm.Print_Area" localSheetId="25">'Adj 2.12'!$2:$77</definedName>
    <definedName name="_xlnm.Print_Area" localSheetId="26">'Adj 2.13'!$2:$77</definedName>
    <definedName name="_xlnm.Print_Area" localSheetId="27">'Adj 2.14'!$2:$77</definedName>
    <definedName name="_xlnm.Print_Area" localSheetId="28">'Adj 2.15'!$2:$77</definedName>
    <definedName name="_xlnm.Print_Area" localSheetId="29">'Adj 2.16'!$2:$77</definedName>
    <definedName name="_xlnm.Print_Area" localSheetId="30">'Adj 2.17'!$2:$77</definedName>
    <definedName name="_xlnm.Print_Area" localSheetId="31">'Adj 2.18'!$2:$77</definedName>
    <definedName name="_xlnm.Print_Area" localSheetId="32">'Adj 3.00'!$A$2:$C$77</definedName>
    <definedName name="_xlnm.Print_Area" localSheetId="33">'Adj 3.01'!$A$2:$C$77</definedName>
    <definedName name="_xlnm.Print_Area" localSheetId="34">'Adj 3.02'!$A$2:$C$77</definedName>
    <definedName name="_xlnm.Print_Area" localSheetId="35">'Adj 3.03'!$A$2:$C$77</definedName>
    <definedName name="_xlnm.Print_Area" localSheetId="36">'Adj 3.04'!$A$2:$C$77</definedName>
    <definedName name="_xlnm.Print_Area" localSheetId="37">'Adj 3.05'!$A$2:$C$77</definedName>
    <definedName name="_xlnm.Print_Area" localSheetId="38">'Adj 3.06'!$A$2:$C$77</definedName>
    <definedName name="_xlnm.Print_Area" localSheetId="39">'Adj 3.07'!$A$2:$C$77</definedName>
    <definedName name="_xlnm.Print_Area" localSheetId="40">'Adj 3.08'!$A$2:$C$77</definedName>
    <definedName name="_xlnm.Print_Area" localSheetId="41">'Adj 3.09'!$A$2:$C$77</definedName>
    <definedName name="_xlnm.Print_Area" localSheetId="42">'Adj 4.00'!$A$2:$C$77</definedName>
    <definedName name="_xlnm.Print_Area" localSheetId="43">'Adj 4.01'!$A$2:$C$77</definedName>
    <definedName name="_xlnm.Print_Area" localSheetId="44">'Adj 4.02'!$A$2:$C$77</definedName>
    <definedName name="_xlnm.Print_Area" localSheetId="45">'Adj 4.03'!$A$2:$C$77</definedName>
    <definedName name="_xlnm.Print_Area" localSheetId="46">'Adj 4.04'!$A$2:$C$77</definedName>
    <definedName name="_xlnm.Print_Area" localSheetId="47">'Adj 4.05'!$A$1:$C$77</definedName>
    <definedName name="_xlnm.Print_Area" localSheetId="48">'Adj 4.06'!$A$2:$C$77</definedName>
    <definedName name="_xlnm.Print_Area" localSheetId="9">Attrition!$A$5:$G$77</definedName>
    <definedName name="_xlnm.Print_Area" localSheetId="5">Conv!$A$1:$H$25</definedName>
    <definedName name="_xlnm.Print_Area" localSheetId="8">'Debt Int'!$A$1:$H$31</definedName>
    <definedName name="_xlnm.Print_Area" localSheetId="2">'Pro Forma'!$A$5:$T$77</definedName>
    <definedName name="_xlnm.Print_Area" localSheetId="1">Restating!$A$5:$Y$77</definedName>
    <definedName name="_xlnm.Print_Area" localSheetId="0">ROO!$A$2:$I$76</definedName>
    <definedName name="_xlnm.Print_Area" localSheetId="4">'RR Calculation'!$A$1:$H$39</definedName>
    <definedName name="_xlnm.Print_Area" localSheetId="3">'RR Summary'!$A$1:$Q$75</definedName>
    <definedName name="_xlnm.Print_Area" localSheetId="49">'XXX-#, PF # Prod Prop Adj'!$A$4:$J$107</definedName>
    <definedName name="Print_for_CBReport" localSheetId="10">#REF!</definedName>
    <definedName name="Print_for_CBReport" localSheetId="11">#REF!</definedName>
    <definedName name="Print_for_CBReport" localSheetId="12">#REF!</definedName>
    <definedName name="Print_for_CBReport" localSheetId="13">#REF!</definedName>
    <definedName name="Print_for_CBReport" localSheetId="14">#REF!</definedName>
    <definedName name="Print_for_CBReport" localSheetId="15">#REF!</definedName>
    <definedName name="Print_for_CBReport" localSheetId="16">#REF!</definedName>
    <definedName name="Print_for_CBReport" localSheetId="17">#REF!</definedName>
    <definedName name="Print_for_CBReport" localSheetId="18">#REF!</definedName>
    <definedName name="Print_for_CBReport" localSheetId="19">#REF!</definedName>
    <definedName name="Print_for_CBReport" localSheetId="20">#REF!</definedName>
    <definedName name="Print_for_CBReport" localSheetId="21">#REF!</definedName>
    <definedName name="Print_for_CBReport" localSheetId="22">#REF!</definedName>
    <definedName name="Print_for_CBReport" localSheetId="23">#REF!</definedName>
    <definedName name="Print_for_CBReport" localSheetId="24">#REF!</definedName>
    <definedName name="Print_for_CBReport" localSheetId="25">#REF!</definedName>
    <definedName name="Print_for_CBReport" localSheetId="26">#REF!</definedName>
    <definedName name="Print_for_CBReport" localSheetId="27">#REF!</definedName>
    <definedName name="Print_for_CBReport" localSheetId="28">#REF!</definedName>
    <definedName name="Print_for_CBReport" localSheetId="29">#REF!</definedName>
    <definedName name="Print_for_CBReport" localSheetId="30">#REF!</definedName>
    <definedName name="Print_for_CBReport" localSheetId="31">#REF!</definedName>
    <definedName name="Print_for_CBReport" localSheetId="32">#REF!</definedName>
    <definedName name="Print_for_CBReport" localSheetId="33">#REF!</definedName>
    <definedName name="Print_for_CBReport" localSheetId="34">#REF!</definedName>
    <definedName name="Print_for_CBReport" localSheetId="35">#REF!</definedName>
    <definedName name="Print_for_CBReport" localSheetId="36">#REF!</definedName>
    <definedName name="Print_for_CBReport" localSheetId="37">#REF!</definedName>
    <definedName name="Print_for_CBReport" localSheetId="38">#REF!</definedName>
    <definedName name="Print_for_CBReport" localSheetId="39">#REF!</definedName>
    <definedName name="Print_for_CBReport" localSheetId="40">#REF!</definedName>
    <definedName name="Print_for_CBReport" localSheetId="41">#REF!</definedName>
    <definedName name="Print_for_CBReport" localSheetId="42">#REF!</definedName>
    <definedName name="Print_for_CBReport" localSheetId="43">#REF!</definedName>
    <definedName name="Print_for_CBReport" localSheetId="44">#REF!</definedName>
    <definedName name="Print_for_CBReport" localSheetId="45">#REF!</definedName>
    <definedName name="Print_for_CBReport" localSheetId="46">#REF!</definedName>
    <definedName name="Print_for_CBReport" localSheetId="47">#REF!</definedName>
    <definedName name="Print_for_CBReport" localSheetId="48">#REF!</definedName>
    <definedName name="Print_for_CBReport" localSheetId="9">#REF!</definedName>
    <definedName name="Print_for_CBReport" localSheetId="8">#REF!</definedName>
    <definedName name="Print_for_CBReport" localSheetId="0">#REF!</definedName>
    <definedName name="Print_for_CBReport" localSheetId="3">#REF!</definedName>
    <definedName name="Print_for_CBReport" localSheetId="49">'XXX-#, PF # Prod Prop Adj'!$A$1:$J$101</definedName>
    <definedName name="Print_for_CBReport">#REF!</definedName>
    <definedName name="Print_for_Checking" localSheetId="10">#REF!:#REF!</definedName>
    <definedName name="Print_for_Checking" localSheetId="11">#REF!:#REF!</definedName>
    <definedName name="Print_for_Checking" localSheetId="12">#REF!:#REF!</definedName>
    <definedName name="Print_for_Checking" localSheetId="13">#REF!:#REF!</definedName>
    <definedName name="Print_for_Checking" localSheetId="14">#REF!:#REF!</definedName>
    <definedName name="Print_for_Checking" localSheetId="15">#REF!:#REF!</definedName>
    <definedName name="Print_for_Checking" localSheetId="16">#REF!:#REF!</definedName>
    <definedName name="Print_for_Checking" localSheetId="17">#REF!:#REF!</definedName>
    <definedName name="Print_for_Checking" localSheetId="18">#REF!:#REF!</definedName>
    <definedName name="Print_for_Checking" localSheetId="19">#REF!:#REF!</definedName>
    <definedName name="Print_for_Checking" localSheetId="20">#REF!:#REF!</definedName>
    <definedName name="Print_for_Checking" localSheetId="21">#REF!:#REF!</definedName>
    <definedName name="Print_for_Checking" localSheetId="22">#REF!:#REF!</definedName>
    <definedName name="Print_for_Checking" localSheetId="23">#REF!:#REF!</definedName>
    <definedName name="Print_for_Checking" localSheetId="24">#REF!:#REF!</definedName>
    <definedName name="Print_for_Checking" localSheetId="25">#REF!:#REF!</definedName>
    <definedName name="Print_for_Checking" localSheetId="26">#REF!:#REF!</definedName>
    <definedName name="Print_for_Checking" localSheetId="27">#REF!:#REF!</definedName>
    <definedName name="Print_for_Checking" localSheetId="28">#REF!:#REF!</definedName>
    <definedName name="Print_for_Checking" localSheetId="29">#REF!:#REF!</definedName>
    <definedName name="Print_for_Checking" localSheetId="30">#REF!:#REF!</definedName>
    <definedName name="Print_for_Checking" localSheetId="31">#REF!:#REF!</definedName>
    <definedName name="Print_for_Checking" localSheetId="32">#REF!:#REF!</definedName>
    <definedName name="Print_for_Checking" localSheetId="33">#REF!:#REF!</definedName>
    <definedName name="Print_for_Checking" localSheetId="34">#REF!:#REF!</definedName>
    <definedName name="Print_for_Checking" localSheetId="35">#REF!:#REF!</definedName>
    <definedName name="Print_for_Checking" localSheetId="36">#REF!:#REF!</definedName>
    <definedName name="Print_for_Checking" localSheetId="37">#REF!:#REF!</definedName>
    <definedName name="Print_for_Checking" localSheetId="38">#REF!:#REF!</definedName>
    <definedName name="Print_for_Checking" localSheetId="39">#REF!:#REF!</definedName>
    <definedName name="Print_for_Checking" localSheetId="40">#REF!:#REF!</definedName>
    <definedName name="Print_for_Checking" localSheetId="41">#REF!:#REF!</definedName>
    <definedName name="Print_for_Checking" localSheetId="42">#REF!:#REF!</definedName>
    <definedName name="Print_for_Checking" localSheetId="43">#REF!:#REF!</definedName>
    <definedName name="Print_for_Checking" localSheetId="44">#REF!:#REF!</definedName>
    <definedName name="Print_for_Checking" localSheetId="45">#REF!:#REF!</definedName>
    <definedName name="Print_for_Checking" localSheetId="46">#REF!:#REF!</definedName>
    <definedName name="Print_for_Checking" localSheetId="47">#REF!:#REF!</definedName>
    <definedName name="Print_for_Checking" localSheetId="48">#REF!:#REF!</definedName>
    <definedName name="Print_for_Checking" localSheetId="9">#REF!:#REF!</definedName>
    <definedName name="Print_for_Checking" localSheetId="8">#REF!</definedName>
    <definedName name="Print_for_Checking" localSheetId="0">#REF!</definedName>
    <definedName name="Print_for_Checking" localSheetId="3">[3]PFRstmtSheet!$A$1:'[3]PFRstmtSheet'!$J$107</definedName>
    <definedName name="Print_for_Checking" localSheetId="49">'XXX-#, PF # Prod Prop Adj'!#REF!:'XXX-#, PF # Prod Prop Adj'!#REF!</definedName>
    <definedName name="Print_for_Checking">#REF!:#REF!</definedName>
    <definedName name="_xlnm.Print_Titles" localSheetId="10">'Adj 1.01'!$A:$B,'Adj 1.01'!$5:$13</definedName>
    <definedName name="_xlnm.Print_Titles" localSheetId="11">'Adj 1.02'!$A:$B,'Adj 1.02'!$5:$13</definedName>
    <definedName name="_xlnm.Print_Titles" localSheetId="12">'Adj 1.03'!$A:$B,'Adj 1.03'!$5:$13</definedName>
    <definedName name="_xlnm.Print_Titles" localSheetId="13">'Adj 1.04'!$A:$B,'Adj 1.04'!$5:$13</definedName>
    <definedName name="_xlnm.Print_Titles" localSheetId="14">'Adj 2.01'!$A:$B,'Adj 2.01'!$5:$13</definedName>
    <definedName name="_xlnm.Print_Titles" localSheetId="15">'Adj 2.02'!$A:$B,'Adj 2.02'!$5:$13</definedName>
    <definedName name="_xlnm.Print_Titles" localSheetId="16">'Adj 2.03'!$A:$B,'Adj 2.03'!$5:$13</definedName>
    <definedName name="_xlnm.Print_Titles" localSheetId="17">'Adj 2.04'!$A:$B,'Adj 2.04'!$5:$13</definedName>
    <definedName name="_xlnm.Print_Titles" localSheetId="18">'Adj 2.05'!$A:$B,'Adj 2.05'!$5:$13</definedName>
    <definedName name="_xlnm.Print_Titles" localSheetId="19">'Adj 2.06'!$A:$B,'Adj 2.06'!$5:$13</definedName>
    <definedName name="_xlnm.Print_Titles" localSheetId="20">'Adj 2.07'!$A:$B,'Adj 2.07'!$5:$13</definedName>
    <definedName name="_xlnm.Print_Titles" localSheetId="21">'Adj 2.08'!$A:$B,'Adj 2.08'!$5:$13</definedName>
    <definedName name="_xlnm.Print_Titles" localSheetId="22">'Adj 2.09'!$A:$B,'Adj 2.09'!$5:$13</definedName>
    <definedName name="_xlnm.Print_Titles" localSheetId="23">'Adj 2.10'!$A:$B,'Adj 2.10'!$5:$13</definedName>
    <definedName name="_xlnm.Print_Titles" localSheetId="24">'Adj 2.11'!$A:$B,'Adj 2.11'!$5:$13</definedName>
    <definedName name="_xlnm.Print_Titles" localSheetId="25">'Adj 2.12'!$A:$B,'Adj 2.12'!$5:$13</definedName>
    <definedName name="_xlnm.Print_Titles" localSheetId="26">'Adj 2.13'!$A:$B,'Adj 2.13'!$5:$13</definedName>
    <definedName name="_xlnm.Print_Titles" localSheetId="27">'Adj 2.14'!$A:$B,'Adj 2.14'!$5:$13</definedName>
    <definedName name="_xlnm.Print_Titles" localSheetId="28">'Adj 2.15'!$A:$B,'Adj 2.15'!$5:$13</definedName>
    <definedName name="_xlnm.Print_Titles" localSheetId="29">'Adj 2.16'!$A:$B,'Adj 2.16'!$5:$13</definedName>
    <definedName name="_xlnm.Print_Titles" localSheetId="30">'Adj 2.17'!$A:$B,'Adj 2.17'!$5:$13</definedName>
    <definedName name="_xlnm.Print_Titles" localSheetId="31">'Adj 2.18'!$A:$B,'Adj 2.18'!$5:$13</definedName>
    <definedName name="_xlnm.Print_Titles" localSheetId="32">'Adj 3.00'!$A:$B,'Adj 3.00'!$5:$13</definedName>
    <definedName name="_xlnm.Print_Titles" localSheetId="33">'Adj 3.01'!$A:$B,'Adj 3.01'!$5:$13</definedName>
    <definedName name="_xlnm.Print_Titles" localSheetId="34">'Adj 3.02'!$A:$B,'Adj 3.02'!$5:$13</definedName>
    <definedName name="_xlnm.Print_Titles" localSheetId="35">'Adj 3.03'!$A:$B,'Adj 3.03'!$5:$13</definedName>
    <definedName name="_xlnm.Print_Titles" localSheetId="36">'Adj 3.04'!$A:$B,'Adj 3.04'!$5:$13</definedName>
    <definedName name="_xlnm.Print_Titles" localSheetId="37">'Adj 3.05'!$A:$B,'Adj 3.05'!$5:$13</definedName>
    <definedName name="_xlnm.Print_Titles" localSheetId="38">'Adj 3.06'!$A:$B,'Adj 3.06'!$5:$13</definedName>
    <definedName name="_xlnm.Print_Titles" localSheetId="39">'Adj 3.07'!$A:$B,'Adj 3.07'!$5:$13</definedName>
    <definedName name="_xlnm.Print_Titles" localSheetId="40">'Adj 3.08'!$A:$B,'Adj 3.08'!$5:$13</definedName>
    <definedName name="_xlnm.Print_Titles" localSheetId="41">'Adj 3.09'!$A:$B,'Adj 3.09'!$5:$13</definedName>
    <definedName name="_xlnm.Print_Titles" localSheetId="42">'Adj 4.00'!$A:$B,'Adj 4.00'!$5:$13</definedName>
    <definedName name="_xlnm.Print_Titles" localSheetId="43">'Adj 4.01'!$A:$B,'Adj 4.01'!$5:$13</definedName>
    <definedName name="_xlnm.Print_Titles" localSheetId="44">'Adj 4.02'!$A:$B,'Adj 4.02'!$5:$13</definedName>
    <definedName name="_xlnm.Print_Titles" localSheetId="45">'Adj 4.03'!$A:$B,'Adj 4.03'!$5:$13</definedName>
    <definedName name="_xlnm.Print_Titles" localSheetId="46">'Adj 4.04'!$A:$B,'Adj 4.04'!$5:$13</definedName>
    <definedName name="_xlnm.Print_Titles" localSheetId="47">'Adj 4.05'!$A:$B,'Adj 4.05'!$5:$13</definedName>
    <definedName name="_xlnm.Print_Titles" localSheetId="48">'Adj 4.06'!$A:$B,'Adj 4.06'!$5:$13</definedName>
    <definedName name="_xlnm.Print_Titles" localSheetId="9">Attrition!$A:$B,Attrition!$5:$13</definedName>
    <definedName name="_xlnm.Print_Titles" localSheetId="2">'Pro Forma'!$A:$B,'Pro Forma'!$5:$13</definedName>
    <definedName name="_xlnm.Print_Titles" localSheetId="1">Restating!$A:$B,Restating!$5:$13</definedName>
    <definedName name="_xlnm.Print_Titles" localSheetId="0">ROO!$A:$B,ROO!$2:$9</definedName>
    <definedName name="Summary" localSheetId="10">#REF!</definedName>
    <definedName name="Summary" localSheetId="11">#REF!</definedName>
    <definedName name="Summary" localSheetId="12">#REF!</definedName>
    <definedName name="Summary" localSheetId="13">#REF!</definedName>
    <definedName name="Summary" localSheetId="14">#REF!</definedName>
    <definedName name="Summary" localSheetId="15">#REF!</definedName>
    <definedName name="Summary" localSheetId="16">#REF!</definedName>
    <definedName name="Summary" localSheetId="17">#REF!</definedName>
    <definedName name="Summary" localSheetId="18">#REF!</definedName>
    <definedName name="Summary" localSheetId="19">#REF!</definedName>
    <definedName name="Summary" localSheetId="20">#REF!</definedName>
    <definedName name="Summary" localSheetId="21">#REF!</definedName>
    <definedName name="Summary" localSheetId="22">#REF!</definedName>
    <definedName name="Summary" localSheetId="23">#REF!</definedName>
    <definedName name="Summary" localSheetId="24">#REF!</definedName>
    <definedName name="Summary" localSheetId="25">#REF!</definedName>
    <definedName name="Summary" localSheetId="26">#REF!</definedName>
    <definedName name="Summary" localSheetId="27">#REF!</definedName>
    <definedName name="Summary" localSheetId="28">#REF!</definedName>
    <definedName name="Summary" localSheetId="29">#REF!</definedName>
    <definedName name="Summary" localSheetId="30">#REF!</definedName>
    <definedName name="Summary" localSheetId="31">#REF!</definedName>
    <definedName name="Summary" localSheetId="32">#REF!</definedName>
    <definedName name="Summary" localSheetId="33">#REF!</definedName>
    <definedName name="Summary" localSheetId="34">#REF!</definedName>
    <definedName name="Summary" localSheetId="35">#REF!</definedName>
    <definedName name="Summary" localSheetId="36">#REF!</definedName>
    <definedName name="Summary" localSheetId="37">#REF!</definedName>
    <definedName name="Summary" localSheetId="38">#REF!</definedName>
    <definedName name="Summary" localSheetId="39">#REF!</definedName>
    <definedName name="Summary" localSheetId="40">#REF!</definedName>
    <definedName name="Summary" localSheetId="41">#REF!</definedName>
    <definedName name="Summary" localSheetId="42">#REF!</definedName>
    <definedName name="Summary" localSheetId="43">#REF!</definedName>
    <definedName name="Summary" localSheetId="44">#REF!</definedName>
    <definedName name="Summary" localSheetId="45">#REF!</definedName>
    <definedName name="Summary" localSheetId="46">#REF!</definedName>
    <definedName name="Summary" localSheetId="47">#REF!</definedName>
    <definedName name="Summary" localSheetId="48">#REF!</definedName>
    <definedName name="Summary" localSheetId="9">#REF!</definedName>
    <definedName name="Summary">#REF!</definedName>
    <definedName name="Test_Yr">[4]cover!$B$12</definedName>
    <definedName name="TR" localSheetId="10">#REF!</definedName>
    <definedName name="TR" localSheetId="11">#REF!</definedName>
    <definedName name="TR" localSheetId="12">#REF!</definedName>
    <definedName name="TR" localSheetId="13">#REF!</definedName>
    <definedName name="TR" localSheetId="14">#REF!</definedName>
    <definedName name="TR" localSheetId="15">#REF!</definedName>
    <definedName name="TR" localSheetId="16">#REF!</definedName>
    <definedName name="TR" localSheetId="17">#REF!</definedName>
    <definedName name="TR" localSheetId="18">#REF!</definedName>
    <definedName name="TR" localSheetId="19">#REF!</definedName>
    <definedName name="TR" localSheetId="20">#REF!</definedName>
    <definedName name="TR" localSheetId="21">#REF!</definedName>
    <definedName name="TR" localSheetId="22">#REF!</definedName>
    <definedName name="TR" localSheetId="23">#REF!</definedName>
    <definedName name="TR" localSheetId="24">#REF!</definedName>
    <definedName name="TR" localSheetId="25">#REF!</definedName>
    <definedName name="TR" localSheetId="26">#REF!</definedName>
    <definedName name="TR" localSheetId="27">#REF!</definedName>
    <definedName name="TR" localSheetId="28">#REF!</definedName>
    <definedName name="TR" localSheetId="29">#REF!</definedName>
    <definedName name="TR" localSheetId="30">#REF!</definedName>
    <definedName name="TR" localSheetId="31">#REF!</definedName>
    <definedName name="TR" localSheetId="32">#REF!</definedName>
    <definedName name="TR" localSheetId="33">#REF!</definedName>
    <definedName name="TR" localSheetId="34">#REF!</definedName>
    <definedName name="TR" localSheetId="35">#REF!</definedName>
    <definedName name="TR" localSheetId="36">#REF!</definedName>
    <definedName name="TR" localSheetId="37">#REF!</definedName>
    <definedName name="TR" localSheetId="38">#REF!</definedName>
    <definedName name="TR" localSheetId="39">#REF!</definedName>
    <definedName name="TR" localSheetId="40">#REF!</definedName>
    <definedName name="TR" localSheetId="41">#REF!</definedName>
    <definedName name="TR" localSheetId="42">#REF!</definedName>
    <definedName name="TR" localSheetId="43">#REF!</definedName>
    <definedName name="TR" localSheetId="44">#REF!</definedName>
    <definedName name="TR" localSheetId="45">#REF!</definedName>
    <definedName name="TR" localSheetId="46">#REF!</definedName>
    <definedName name="TR" localSheetId="47">#REF!</definedName>
    <definedName name="TR" localSheetId="48">#REF!</definedName>
    <definedName name="TR" localSheetId="9">#REF!</definedName>
    <definedName name="TR">#REF!</definedName>
    <definedName name="WA_Elec" localSheetId="10">#REF!</definedName>
    <definedName name="WA_Elec" localSheetId="11">#REF!</definedName>
    <definedName name="WA_Elec" localSheetId="12">#REF!</definedName>
    <definedName name="WA_Elec" localSheetId="13">#REF!</definedName>
    <definedName name="WA_Elec" localSheetId="14">#REF!</definedName>
    <definedName name="WA_Elec" localSheetId="15">#REF!</definedName>
    <definedName name="WA_Elec" localSheetId="16">#REF!</definedName>
    <definedName name="WA_Elec" localSheetId="17">#REF!</definedName>
    <definedName name="WA_Elec" localSheetId="18">#REF!</definedName>
    <definedName name="WA_Elec" localSheetId="19">#REF!</definedName>
    <definedName name="WA_Elec" localSheetId="20">#REF!</definedName>
    <definedName name="WA_Elec" localSheetId="21">#REF!</definedName>
    <definedName name="WA_Elec" localSheetId="22">#REF!</definedName>
    <definedName name="WA_Elec" localSheetId="23">#REF!</definedName>
    <definedName name="WA_Elec" localSheetId="24">#REF!</definedName>
    <definedName name="WA_Elec" localSheetId="25">#REF!</definedName>
    <definedName name="WA_Elec" localSheetId="26">#REF!</definedName>
    <definedName name="WA_Elec" localSheetId="27">#REF!</definedName>
    <definedName name="WA_Elec" localSheetId="28">#REF!</definedName>
    <definedName name="WA_Elec" localSheetId="29">#REF!</definedName>
    <definedName name="WA_Elec" localSheetId="30">#REF!</definedName>
    <definedName name="WA_Elec" localSheetId="31">#REF!</definedName>
    <definedName name="WA_Elec" localSheetId="32">#REF!</definedName>
    <definedName name="WA_Elec" localSheetId="33">#REF!</definedName>
    <definedName name="WA_Elec" localSheetId="34">#REF!</definedName>
    <definedName name="WA_Elec" localSheetId="35">#REF!</definedName>
    <definedName name="WA_Elec" localSheetId="36">#REF!</definedName>
    <definedName name="WA_Elec" localSheetId="37">#REF!</definedName>
    <definedName name="WA_Elec" localSheetId="38">#REF!</definedName>
    <definedName name="WA_Elec" localSheetId="39">#REF!</definedName>
    <definedName name="WA_Elec" localSheetId="40">#REF!</definedName>
    <definedName name="WA_Elec" localSheetId="41">#REF!</definedName>
    <definedName name="WA_Elec" localSheetId="42">#REF!</definedName>
    <definedName name="WA_Elec" localSheetId="43">#REF!</definedName>
    <definedName name="WA_Elec" localSheetId="44">#REF!</definedName>
    <definedName name="WA_Elec" localSheetId="45">#REF!</definedName>
    <definedName name="WA_Elec" localSheetId="46">#REF!</definedName>
    <definedName name="WA_Elec" localSheetId="47">#REF!</definedName>
    <definedName name="WA_Elec" localSheetId="48">#REF!</definedName>
    <definedName name="WA_Elec" localSheetId="9">#REF!</definedName>
    <definedName name="WA_Elec" localSheetId="8">#REF!</definedName>
    <definedName name="WA_Elec" localSheetId="0">#REF!</definedName>
    <definedName name="WA_Elec" localSheetId="3">#REF!</definedName>
    <definedName name="WA_Elec">#REF!</definedName>
    <definedName name="WA_Gas" localSheetId="10">#REF!</definedName>
    <definedName name="WA_Gas" localSheetId="11">#REF!</definedName>
    <definedName name="WA_Gas" localSheetId="12">#REF!</definedName>
    <definedName name="WA_Gas" localSheetId="13">#REF!</definedName>
    <definedName name="WA_Gas" localSheetId="14">#REF!</definedName>
    <definedName name="WA_Gas" localSheetId="15">#REF!</definedName>
    <definedName name="WA_Gas" localSheetId="16">#REF!</definedName>
    <definedName name="WA_Gas" localSheetId="17">#REF!</definedName>
    <definedName name="WA_Gas" localSheetId="18">#REF!</definedName>
    <definedName name="WA_Gas" localSheetId="19">#REF!</definedName>
    <definedName name="WA_Gas" localSheetId="20">#REF!</definedName>
    <definedName name="WA_Gas" localSheetId="21">#REF!</definedName>
    <definedName name="WA_Gas" localSheetId="22">#REF!</definedName>
    <definedName name="WA_Gas" localSheetId="23">#REF!</definedName>
    <definedName name="WA_Gas" localSheetId="24">#REF!</definedName>
    <definedName name="WA_Gas" localSheetId="25">#REF!</definedName>
    <definedName name="WA_Gas" localSheetId="26">#REF!</definedName>
    <definedName name="WA_Gas" localSheetId="27">#REF!</definedName>
    <definedName name="WA_Gas" localSheetId="28">#REF!</definedName>
    <definedName name="WA_Gas" localSheetId="29">#REF!</definedName>
    <definedName name="WA_Gas" localSheetId="30">#REF!</definedName>
    <definedName name="WA_Gas" localSheetId="31">#REF!</definedName>
    <definedName name="WA_Gas" localSheetId="32">#REF!</definedName>
    <definedName name="WA_Gas" localSheetId="33">#REF!</definedName>
    <definedName name="WA_Gas" localSheetId="34">#REF!</definedName>
    <definedName name="WA_Gas" localSheetId="35">#REF!</definedName>
    <definedName name="WA_Gas" localSheetId="36">#REF!</definedName>
    <definedName name="WA_Gas" localSheetId="37">#REF!</definedName>
    <definedName name="WA_Gas" localSheetId="38">#REF!</definedName>
    <definedName name="WA_Gas" localSheetId="39">#REF!</definedName>
    <definedName name="WA_Gas" localSheetId="40">#REF!</definedName>
    <definedName name="WA_Gas" localSheetId="41">#REF!</definedName>
    <definedName name="WA_Gas" localSheetId="42">#REF!</definedName>
    <definedName name="WA_Gas" localSheetId="43">#REF!</definedName>
    <definedName name="WA_Gas" localSheetId="44">#REF!</definedName>
    <definedName name="WA_Gas" localSheetId="45">#REF!</definedName>
    <definedName name="WA_Gas" localSheetId="46">#REF!</definedName>
    <definedName name="WA_Gas" localSheetId="47">#REF!</definedName>
    <definedName name="WA_Gas" localSheetId="48">#REF!</definedName>
    <definedName name="WA_Gas" localSheetId="9">#REF!</definedName>
    <definedName name="WA_Gas" localSheetId="8">#REF!</definedName>
    <definedName name="WA_Gas" localSheetId="0">#REF!</definedName>
    <definedName name="WA_Gas" localSheetId="3">#REF!</definedName>
    <definedName name="WA_Gas">#REF!</definedName>
    <definedName name="Z_5BE913A1_B14F_11D2_B0DC_0000832CDFF0_.wvu.Cols" localSheetId="0" hidden="1">ROO!$F:$G</definedName>
    <definedName name="Z_5BE913A1_B14F_11D2_B0DC_0000832CDFF0_.wvu.PrintArea" localSheetId="0" hidden="1">ROO!$C$10:$G$76</definedName>
    <definedName name="Z_5BE913A1_B14F_11D2_B0DC_0000832CDFF0_.wvu.PrintTitles" localSheetId="0" hidden="1">ROO!$A:$B,ROO!$2:$9</definedName>
    <definedName name="Z_6E1B8C45_B07F_11D2_B0DC_0000832CDFF0_.wvu.Cols" localSheetId="10" hidden="1">'Adj 1.01'!#REF!,'Adj 1.01'!#REF!</definedName>
    <definedName name="Z_6E1B8C45_B07F_11D2_B0DC_0000832CDFF0_.wvu.Cols" localSheetId="11" hidden="1">'Adj 1.02'!#REF!,'Adj 1.02'!#REF!</definedName>
    <definedName name="Z_6E1B8C45_B07F_11D2_B0DC_0000832CDFF0_.wvu.Cols" localSheetId="12" hidden="1">'Adj 1.03'!#REF!,'Adj 1.03'!#REF!</definedName>
    <definedName name="Z_6E1B8C45_B07F_11D2_B0DC_0000832CDFF0_.wvu.Cols" localSheetId="13" hidden="1">'Adj 1.04'!#REF!,'Adj 1.04'!#REF!</definedName>
    <definedName name="Z_6E1B8C45_B07F_11D2_B0DC_0000832CDFF0_.wvu.Cols" localSheetId="14" hidden="1">'Adj 2.01'!#REF!,'Adj 2.01'!#REF!</definedName>
    <definedName name="Z_6E1B8C45_B07F_11D2_B0DC_0000832CDFF0_.wvu.Cols" localSheetId="15" hidden="1">'Adj 2.02'!#REF!,'Adj 2.02'!#REF!</definedName>
    <definedName name="Z_6E1B8C45_B07F_11D2_B0DC_0000832CDFF0_.wvu.Cols" localSheetId="16" hidden="1">'Adj 2.03'!#REF!,'Adj 2.03'!#REF!</definedName>
    <definedName name="Z_6E1B8C45_B07F_11D2_B0DC_0000832CDFF0_.wvu.Cols" localSheetId="17" hidden="1">'Adj 2.04'!#REF!,'Adj 2.04'!#REF!</definedName>
    <definedName name="Z_6E1B8C45_B07F_11D2_B0DC_0000832CDFF0_.wvu.Cols" localSheetId="18" hidden="1">'Adj 2.05'!#REF!,'Adj 2.05'!#REF!</definedName>
    <definedName name="Z_6E1B8C45_B07F_11D2_B0DC_0000832CDFF0_.wvu.Cols" localSheetId="19" hidden="1">'Adj 2.06'!#REF!,'Adj 2.06'!#REF!</definedName>
    <definedName name="Z_6E1B8C45_B07F_11D2_B0DC_0000832CDFF0_.wvu.Cols" localSheetId="20" hidden="1">'Adj 2.07'!#REF!,'Adj 2.07'!#REF!</definedName>
    <definedName name="Z_6E1B8C45_B07F_11D2_B0DC_0000832CDFF0_.wvu.Cols" localSheetId="21" hidden="1">'Adj 2.08'!#REF!,'Adj 2.08'!#REF!</definedName>
    <definedName name="Z_6E1B8C45_B07F_11D2_B0DC_0000832CDFF0_.wvu.Cols" localSheetId="22" hidden="1">'Adj 2.09'!#REF!,'Adj 2.09'!#REF!</definedName>
    <definedName name="Z_6E1B8C45_B07F_11D2_B0DC_0000832CDFF0_.wvu.Cols" localSheetId="23" hidden="1">'Adj 2.10'!#REF!,'Adj 2.10'!#REF!</definedName>
    <definedName name="Z_6E1B8C45_B07F_11D2_B0DC_0000832CDFF0_.wvu.Cols" localSheetId="24" hidden="1">'Adj 2.11'!#REF!,'Adj 2.11'!#REF!</definedName>
    <definedName name="Z_6E1B8C45_B07F_11D2_B0DC_0000832CDFF0_.wvu.Cols" localSheetId="25" hidden="1">'Adj 2.12'!#REF!,'Adj 2.12'!#REF!</definedName>
    <definedName name="Z_6E1B8C45_B07F_11D2_B0DC_0000832CDFF0_.wvu.Cols" localSheetId="26" hidden="1">'Adj 2.13'!#REF!,'Adj 2.13'!#REF!</definedName>
    <definedName name="Z_6E1B8C45_B07F_11D2_B0DC_0000832CDFF0_.wvu.Cols" localSheetId="27" hidden="1">'Adj 2.14'!#REF!,'Adj 2.14'!#REF!</definedName>
    <definedName name="Z_6E1B8C45_B07F_11D2_B0DC_0000832CDFF0_.wvu.Cols" localSheetId="28" hidden="1">'Adj 2.15'!#REF!,'Adj 2.15'!#REF!</definedName>
    <definedName name="Z_6E1B8C45_B07F_11D2_B0DC_0000832CDFF0_.wvu.Cols" localSheetId="29" hidden="1">'Adj 2.16'!#REF!,'Adj 2.16'!#REF!</definedName>
    <definedName name="Z_6E1B8C45_B07F_11D2_B0DC_0000832CDFF0_.wvu.Cols" localSheetId="30" hidden="1">'Adj 2.17'!#REF!,'Adj 2.17'!#REF!</definedName>
    <definedName name="Z_6E1B8C45_B07F_11D2_B0DC_0000832CDFF0_.wvu.Cols" localSheetId="31" hidden="1">'Adj 2.18'!#REF!,'Adj 2.18'!#REF!</definedName>
    <definedName name="Z_6E1B8C45_B07F_11D2_B0DC_0000832CDFF0_.wvu.Cols" localSheetId="32" hidden="1">'Adj 3.00'!#REF!,'Adj 3.00'!$C:$I</definedName>
    <definedName name="Z_6E1B8C45_B07F_11D2_B0DC_0000832CDFF0_.wvu.Cols" localSheetId="33" hidden="1">'Adj 3.01'!#REF!,'Adj 3.01'!$C:$I</definedName>
    <definedName name="Z_6E1B8C45_B07F_11D2_B0DC_0000832CDFF0_.wvu.Cols" localSheetId="34" hidden="1">'Adj 3.02'!#REF!,'Adj 3.02'!$C:$C</definedName>
    <definedName name="Z_6E1B8C45_B07F_11D2_B0DC_0000832CDFF0_.wvu.Cols" localSheetId="35" hidden="1">'Adj 3.03'!#REF!,'Adj 3.03'!$C:$C</definedName>
    <definedName name="Z_6E1B8C45_B07F_11D2_B0DC_0000832CDFF0_.wvu.Cols" localSheetId="36" hidden="1">'Adj 3.04'!#REF!,'Adj 3.04'!$C:$C</definedName>
    <definedName name="Z_6E1B8C45_B07F_11D2_B0DC_0000832CDFF0_.wvu.Cols" localSheetId="37" hidden="1">'Adj 3.05'!#REF!,'Adj 3.05'!$C:$I</definedName>
    <definedName name="Z_6E1B8C45_B07F_11D2_B0DC_0000832CDFF0_.wvu.Cols" localSheetId="38" hidden="1">'Adj 3.06'!#REF!,'Adj 3.06'!$C:$I</definedName>
    <definedName name="Z_6E1B8C45_B07F_11D2_B0DC_0000832CDFF0_.wvu.Cols" localSheetId="39" hidden="1">'Adj 3.07'!#REF!,'Adj 3.07'!$C:$I</definedName>
    <definedName name="Z_6E1B8C45_B07F_11D2_B0DC_0000832CDFF0_.wvu.Cols" localSheetId="40" hidden="1">'Adj 3.08'!#REF!,'Adj 3.08'!$C:$I</definedName>
    <definedName name="Z_6E1B8C45_B07F_11D2_B0DC_0000832CDFF0_.wvu.Cols" localSheetId="41" hidden="1">'Adj 3.09'!#REF!,'Adj 3.09'!$C:$I</definedName>
    <definedName name="Z_6E1B8C45_B07F_11D2_B0DC_0000832CDFF0_.wvu.Cols" localSheetId="42" hidden="1">'Adj 4.00'!#REF!,'Adj 4.00'!$C:$I</definedName>
    <definedName name="Z_6E1B8C45_B07F_11D2_B0DC_0000832CDFF0_.wvu.Cols" localSheetId="43" hidden="1">'Adj 4.01'!#REF!,'Adj 4.01'!$C:$I</definedName>
    <definedName name="Z_6E1B8C45_B07F_11D2_B0DC_0000832CDFF0_.wvu.Cols" localSheetId="44" hidden="1">'Adj 4.02'!#REF!,'Adj 4.02'!$C:$I</definedName>
    <definedName name="Z_6E1B8C45_B07F_11D2_B0DC_0000832CDFF0_.wvu.Cols" localSheetId="45" hidden="1">'Adj 4.03'!#REF!,'Adj 4.03'!$C:$I</definedName>
    <definedName name="Z_6E1B8C45_B07F_11D2_B0DC_0000832CDFF0_.wvu.Cols" localSheetId="46" hidden="1">'Adj 4.04'!#REF!,'Adj 4.04'!$C:$I</definedName>
    <definedName name="Z_6E1B8C45_B07F_11D2_B0DC_0000832CDFF0_.wvu.Cols" localSheetId="47" hidden="1">'Adj 4.05'!#REF!,'Adj 4.05'!$C:$I</definedName>
    <definedName name="Z_6E1B8C45_B07F_11D2_B0DC_0000832CDFF0_.wvu.Cols" localSheetId="48" hidden="1">'Adj 4.06'!#REF!,'Adj 4.06'!$C:$I</definedName>
    <definedName name="Z_6E1B8C45_B07F_11D2_B0DC_0000832CDFF0_.wvu.Cols" localSheetId="9" hidden="1">Attrition!#REF!,Attrition!$D:$M</definedName>
    <definedName name="Z_6E1B8C45_B07F_11D2_B0DC_0000832CDFF0_.wvu.Cols" localSheetId="2" hidden="1">'Pro Forma'!#REF!,'Pro Forma'!$D:$Z</definedName>
    <definedName name="Z_6E1B8C45_B07F_11D2_B0DC_0000832CDFF0_.wvu.Cols" localSheetId="1" hidden="1">Restating!#REF!,Restating!#REF!</definedName>
    <definedName name="Z_6E1B8C45_B07F_11D2_B0DC_0000832CDFF0_.wvu.PrintArea" localSheetId="10" hidden="1">'Adj 1.01'!$C:$C</definedName>
    <definedName name="Z_6E1B8C45_B07F_11D2_B0DC_0000832CDFF0_.wvu.PrintArea" localSheetId="11" hidden="1">'Adj 1.02'!$C:$C</definedName>
    <definedName name="Z_6E1B8C45_B07F_11D2_B0DC_0000832CDFF0_.wvu.PrintArea" localSheetId="12" hidden="1">'Adj 1.03'!$C:$C</definedName>
    <definedName name="Z_6E1B8C45_B07F_11D2_B0DC_0000832CDFF0_.wvu.PrintArea" localSheetId="13" hidden="1">'Adj 1.04'!$C:$C</definedName>
    <definedName name="Z_6E1B8C45_B07F_11D2_B0DC_0000832CDFF0_.wvu.PrintArea" localSheetId="14" hidden="1">'Adj 2.01'!$C:$C</definedName>
    <definedName name="Z_6E1B8C45_B07F_11D2_B0DC_0000832CDFF0_.wvu.PrintArea" localSheetId="15" hidden="1">'Adj 2.02'!$C:$C</definedName>
    <definedName name="Z_6E1B8C45_B07F_11D2_B0DC_0000832CDFF0_.wvu.PrintArea" localSheetId="16" hidden="1">'Adj 2.03'!$C:$C</definedName>
    <definedName name="Z_6E1B8C45_B07F_11D2_B0DC_0000832CDFF0_.wvu.PrintArea" localSheetId="17" hidden="1">'Adj 2.04'!$C:$C</definedName>
    <definedName name="Z_6E1B8C45_B07F_11D2_B0DC_0000832CDFF0_.wvu.PrintArea" localSheetId="18" hidden="1">'Adj 2.05'!$C:$C</definedName>
    <definedName name="Z_6E1B8C45_B07F_11D2_B0DC_0000832CDFF0_.wvu.PrintArea" localSheetId="19" hidden="1">'Adj 2.06'!$C:$C</definedName>
    <definedName name="Z_6E1B8C45_B07F_11D2_B0DC_0000832CDFF0_.wvu.PrintArea" localSheetId="20" hidden="1">'Adj 2.07'!$C:$C</definedName>
    <definedName name="Z_6E1B8C45_B07F_11D2_B0DC_0000832CDFF0_.wvu.PrintArea" localSheetId="21" hidden="1">'Adj 2.08'!$C:$C</definedName>
    <definedName name="Z_6E1B8C45_B07F_11D2_B0DC_0000832CDFF0_.wvu.PrintArea" localSheetId="22" hidden="1">'Adj 2.09'!$C:$C</definedName>
    <definedName name="Z_6E1B8C45_B07F_11D2_B0DC_0000832CDFF0_.wvu.PrintArea" localSheetId="23" hidden="1">'Adj 2.10'!$C:$C</definedName>
    <definedName name="Z_6E1B8C45_B07F_11D2_B0DC_0000832CDFF0_.wvu.PrintArea" localSheetId="24" hidden="1">'Adj 2.11'!$C:$C</definedName>
    <definedName name="Z_6E1B8C45_B07F_11D2_B0DC_0000832CDFF0_.wvu.PrintArea" localSheetId="25" hidden="1">'Adj 2.12'!$C:$C</definedName>
    <definedName name="Z_6E1B8C45_B07F_11D2_B0DC_0000832CDFF0_.wvu.PrintArea" localSheetId="26" hidden="1">'Adj 2.13'!$C:$C</definedName>
    <definedName name="Z_6E1B8C45_B07F_11D2_B0DC_0000832CDFF0_.wvu.PrintArea" localSheetId="27" hidden="1">'Adj 2.14'!$C:$C</definedName>
    <definedName name="Z_6E1B8C45_B07F_11D2_B0DC_0000832CDFF0_.wvu.PrintArea" localSheetId="28" hidden="1">'Adj 2.15'!$C:$C</definedName>
    <definedName name="Z_6E1B8C45_B07F_11D2_B0DC_0000832CDFF0_.wvu.PrintArea" localSheetId="29" hidden="1">'Adj 2.16'!$C:$C</definedName>
    <definedName name="Z_6E1B8C45_B07F_11D2_B0DC_0000832CDFF0_.wvu.PrintArea" localSheetId="30" hidden="1">'Adj 2.17'!$C:$C</definedName>
    <definedName name="Z_6E1B8C45_B07F_11D2_B0DC_0000832CDFF0_.wvu.PrintArea" localSheetId="31" hidden="1">'Adj 2.18'!#REF!</definedName>
    <definedName name="Z_6E1B8C45_B07F_11D2_B0DC_0000832CDFF0_.wvu.PrintArea" localSheetId="32" hidden="1">'Adj 3.00'!$C:$C</definedName>
    <definedName name="Z_6E1B8C45_B07F_11D2_B0DC_0000832CDFF0_.wvu.PrintArea" localSheetId="33" hidden="1">'Adj 3.01'!$C:$C</definedName>
    <definedName name="Z_6E1B8C45_B07F_11D2_B0DC_0000832CDFF0_.wvu.PrintArea" localSheetId="34" hidden="1">'Adj 3.02'!$C:$C</definedName>
    <definedName name="Z_6E1B8C45_B07F_11D2_B0DC_0000832CDFF0_.wvu.PrintArea" localSheetId="35" hidden="1">'Adj 3.03'!$C:$C</definedName>
    <definedName name="Z_6E1B8C45_B07F_11D2_B0DC_0000832CDFF0_.wvu.PrintArea" localSheetId="36" hidden="1">'Adj 3.04'!$C:$C</definedName>
    <definedName name="Z_6E1B8C45_B07F_11D2_B0DC_0000832CDFF0_.wvu.PrintArea" localSheetId="37" hidden="1">'Adj 3.05'!$C:$C</definedName>
    <definedName name="Z_6E1B8C45_B07F_11D2_B0DC_0000832CDFF0_.wvu.PrintArea" localSheetId="38" hidden="1">'Adj 3.06'!$C:$C</definedName>
    <definedName name="Z_6E1B8C45_B07F_11D2_B0DC_0000832CDFF0_.wvu.PrintArea" localSheetId="39" hidden="1">'Adj 3.07'!$C:$C</definedName>
    <definedName name="Z_6E1B8C45_B07F_11D2_B0DC_0000832CDFF0_.wvu.PrintArea" localSheetId="40" hidden="1">'Adj 3.08'!$C:$C</definedName>
    <definedName name="Z_6E1B8C45_B07F_11D2_B0DC_0000832CDFF0_.wvu.PrintArea" localSheetId="41" hidden="1">'Adj 3.09'!$C:$C</definedName>
    <definedName name="Z_6E1B8C45_B07F_11D2_B0DC_0000832CDFF0_.wvu.PrintArea" localSheetId="42" hidden="1">'Adj 4.00'!$C:$C</definedName>
    <definedName name="Z_6E1B8C45_B07F_11D2_B0DC_0000832CDFF0_.wvu.PrintArea" localSheetId="43" hidden="1">'Adj 4.01'!$C:$C</definedName>
    <definedName name="Z_6E1B8C45_B07F_11D2_B0DC_0000832CDFF0_.wvu.PrintArea" localSheetId="44" hidden="1">'Adj 4.02'!$C:$C</definedName>
    <definedName name="Z_6E1B8C45_B07F_11D2_B0DC_0000832CDFF0_.wvu.PrintArea" localSheetId="45" hidden="1">'Adj 4.03'!#REF!</definedName>
    <definedName name="Z_6E1B8C45_B07F_11D2_B0DC_0000832CDFF0_.wvu.PrintArea" localSheetId="46" hidden="1">'Adj 4.04'!#REF!</definedName>
    <definedName name="Z_6E1B8C45_B07F_11D2_B0DC_0000832CDFF0_.wvu.PrintArea" localSheetId="47" hidden="1">'Adj 4.05'!#REF!</definedName>
    <definedName name="Z_6E1B8C45_B07F_11D2_B0DC_0000832CDFF0_.wvu.PrintArea" localSheetId="48" hidden="1">'Adj 4.06'!#REF!</definedName>
    <definedName name="Z_6E1B8C45_B07F_11D2_B0DC_0000832CDFF0_.wvu.PrintArea" localSheetId="9" hidden="1">Attrition!$C:$F</definedName>
    <definedName name="Z_6E1B8C45_B07F_11D2_B0DC_0000832CDFF0_.wvu.PrintArea" localSheetId="2" hidden="1">'Pro Forma'!$C:$P</definedName>
    <definedName name="Z_6E1B8C45_B07F_11D2_B0DC_0000832CDFF0_.wvu.PrintArea" localSheetId="1" hidden="1">Restating!$C:$X</definedName>
    <definedName name="Z_6E1B8C45_B07F_11D2_B0DC_0000832CDFF0_.wvu.PrintArea" localSheetId="49" hidden="1">'XXX-#, PF # Prod Prop Adj'!$A$1:$K$101</definedName>
    <definedName name="Z_6E1B8C45_B07F_11D2_B0DC_0000832CDFF0_.wvu.PrintTitles" localSheetId="10" hidden="1">'Adj 1.01'!$A:$B,'Adj 1.01'!$5:$13</definedName>
    <definedName name="Z_6E1B8C45_B07F_11D2_B0DC_0000832CDFF0_.wvu.PrintTitles" localSheetId="11" hidden="1">'Adj 1.02'!$A:$B,'Adj 1.02'!$5:$13</definedName>
    <definedName name="Z_6E1B8C45_B07F_11D2_B0DC_0000832CDFF0_.wvu.PrintTitles" localSheetId="12" hidden="1">'Adj 1.03'!$A:$B,'Adj 1.03'!$5:$13</definedName>
    <definedName name="Z_6E1B8C45_B07F_11D2_B0DC_0000832CDFF0_.wvu.PrintTitles" localSheetId="13" hidden="1">'Adj 1.04'!$A:$B,'Adj 1.04'!$5:$13</definedName>
    <definedName name="Z_6E1B8C45_B07F_11D2_B0DC_0000832CDFF0_.wvu.PrintTitles" localSheetId="14" hidden="1">'Adj 2.01'!$A:$B,'Adj 2.01'!$5:$13</definedName>
    <definedName name="Z_6E1B8C45_B07F_11D2_B0DC_0000832CDFF0_.wvu.PrintTitles" localSheetId="15" hidden="1">'Adj 2.02'!$A:$B,'Adj 2.02'!$5:$13</definedName>
    <definedName name="Z_6E1B8C45_B07F_11D2_B0DC_0000832CDFF0_.wvu.PrintTitles" localSheetId="16" hidden="1">'Adj 2.03'!$A:$B,'Adj 2.03'!$5:$13</definedName>
    <definedName name="Z_6E1B8C45_B07F_11D2_B0DC_0000832CDFF0_.wvu.PrintTitles" localSheetId="17" hidden="1">'Adj 2.04'!$A:$B,'Adj 2.04'!$5:$13</definedName>
    <definedName name="Z_6E1B8C45_B07F_11D2_B0DC_0000832CDFF0_.wvu.PrintTitles" localSheetId="18" hidden="1">'Adj 2.05'!$A:$B,'Adj 2.05'!$5:$13</definedName>
    <definedName name="Z_6E1B8C45_B07F_11D2_B0DC_0000832CDFF0_.wvu.PrintTitles" localSheetId="19" hidden="1">'Adj 2.06'!$A:$B,'Adj 2.06'!$5:$13</definedName>
    <definedName name="Z_6E1B8C45_B07F_11D2_B0DC_0000832CDFF0_.wvu.PrintTitles" localSheetId="20" hidden="1">'Adj 2.07'!$A:$B,'Adj 2.07'!$5:$13</definedName>
    <definedName name="Z_6E1B8C45_B07F_11D2_B0DC_0000832CDFF0_.wvu.PrintTitles" localSheetId="21" hidden="1">'Adj 2.08'!$A:$B,'Adj 2.08'!$5:$13</definedName>
    <definedName name="Z_6E1B8C45_B07F_11D2_B0DC_0000832CDFF0_.wvu.PrintTitles" localSheetId="22" hidden="1">'Adj 2.09'!$A:$B,'Adj 2.09'!$5:$13</definedName>
    <definedName name="Z_6E1B8C45_B07F_11D2_B0DC_0000832CDFF0_.wvu.PrintTitles" localSheetId="23" hidden="1">'Adj 2.10'!$A:$B,'Adj 2.10'!$5:$13</definedName>
    <definedName name="Z_6E1B8C45_B07F_11D2_B0DC_0000832CDFF0_.wvu.PrintTitles" localSheetId="24" hidden="1">'Adj 2.11'!$A:$B,'Adj 2.11'!$5:$13</definedName>
    <definedName name="Z_6E1B8C45_B07F_11D2_B0DC_0000832CDFF0_.wvu.PrintTitles" localSheetId="25" hidden="1">'Adj 2.12'!$A:$B,'Adj 2.12'!$5:$13</definedName>
    <definedName name="Z_6E1B8C45_B07F_11D2_B0DC_0000832CDFF0_.wvu.PrintTitles" localSheetId="26" hidden="1">'Adj 2.13'!$A:$B,'Adj 2.13'!$5:$13</definedName>
    <definedName name="Z_6E1B8C45_B07F_11D2_B0DC_0000832CDFF0_.wvu.PrintTitles" localSheetId="27" hidden="1">'Adj 2.14'!$A:$B,'Adj 2.14'!$5:$13</definedName>
    <definedName name="Z_6E1B8C45_B07F_11D2_B0DC_0000832CDFF0_.wvu.PrintTitles" localSheetId="28" hidden="1">'Adj 2.15'!$A:$B,'Adj 2.15'!$5:$13</definedName>
    <definedName name="Z_6E1B8C45_B07F_11D2_B0DC_0000832CDFF0_.wvu.PrintTitles" localSheetId="29" hidden="1">'Adj 2.16'!$A:$B,'Adj 2.16'!$5:$13</definedName>
    <definedName name="Z_6E1B8C45_B07F_11D2_B0DC_0000832CDFF0_.wvu.PrintTitles" localSheetId="30" hidden="1">'Adj 2.17'!$A:$B,'Adj 2.17'!$5:$13</definedName>
    <definedName name="Z_6E1B8C45_B07F_11D2_B0DC_0000832CDFF0_.wvu.PrintTitles" localSheetId="31" hidden="1">'Adj 2.18'!$A:$B,'Adj 2.18'!$5:$13</definedName>
    <definedName name="Z_6E1B8C45_B07F_11D2_B0DC_0000832CDFF0_.wvu.PrintTitles" localSheetId="32" hidden="1">'Adj 3.00'!$A:$B,'Adj 3.00'!$5:$13</definedName>
    <definedName name="Z_6E1B8C45_B07F_11D2_B0DC_0000832CDFF0_.wvu.PrintTitles" localSheetId="33" hidden="1">'Adj 3.01'!$A:$B,'Adj 3.01'!$5:$13</definedName>
    <definedName name="Z_6E1B8C45_B07F_11D2_B0DC_0000832CDFF0_.wvu.PrintTitles" localSheetId="34" hidden="1">'Adj 3.02'!$A:$B,'Adj 3.02'!$5:$13</definedName>
    <definedName name="Z_6E1B8C45_B07F_11D2_B0DC_0000832CDFF0_.wvu.PrintTitles" localSheetId="35" hidden="1">'Adj 3.03'!$A:$B,'Adj 3.03'!$5:$13</definedName>
    <definedName name="Z_6E1B8C45_B07F_11D2_B0DC_0000832CDFF0_.wvu.PrintTitles" localSheetId="36" hidden="1">'Adj 3.04'!$A:$B,'Adj 3.04'!$5:$13</definedName>
    <definedName name="Z_6E1B8C45_B07F_11D2_B0DC_0000832CDFF0_.wvu.PrintTitles" localSheetId="37" hidden="1">'Adj 3.05'!$A:$B,'Adj 3.05'!$5:$13</definedName>
    <definedName name="Z_6E1B8C45_B07F_11D2_B0DC_0000832CDFF0_.wvu.PrintTitles" localSheetId="38" hidden="1">'Adj 3.06'!$A:$B,'Adj 3.06'!$5:$13</definedName>
    <definedName name="Z_6E1B8C45_B07F_11D2_B0DC_0000832CDFF0_.wvu.PrintTitles" localSheetId="39" hidden="1">'Adj 3.07'!$A:$B,'Adj 3.07'!$5:$13</definedName>
    <definedName name="Z_6E1B8C45_B07F_11D2_B0DC_0000832CDFF0_.wvu.PrintTitles" localSheetId="40" hidden="1">'Adj 3.08'!$A:$B,'Adj 3.08'!$5:$13</definedName>
    <definedName name="Z_6E1B8C45_B07F_11D2_B0DC_0000832CDFF0_.wvu.PrintTitles" localSheetId="41" hidden="1">'Adj 3.09'!$A:$B,'Adj 3.09'!$5:$13</definedName>
    <definedName name="Z_6E1B8C45_B07F_11D2_B0DC_0000832CDFF0_.wvu.PrintTitles" localSheetId="42" hidden="1">'Adj 4.00'!$A:$B,'Adj 4.00'!$5:$13</definedName>
    <definedName name="Z_6E1B8C45_B07F_11D2_B0DC_0000832CDFF0_.wvu.PrintTitles" localSheetId="43" hidden="1">'Adj 4.01'!$A:$B,'Adj 4.01'!$5:$13</definedName>
    <definedName name="Z_6E1B8C45_B07F_11D2_B0DC_0000832CDFF0_.wvu.PrintTitles" localSheetId="44" hidden="1">'Adj 4.02'!$A:$B,'Adj 4.02'!$5:$13</definedName>
    <definedName name="Z_6E1B8C45_B07F_11D2_B0DC_0000832CDFF0_.wvu.PrintTitles" localSheetId="45" hidden="1">'Adj 4.03'!$A:$B,'Adj 4.03'!$5:$13</definedName>
    <definedName name="Z_6E1B8C45_B07F_11D2_B0DC_0000832CDFF0_.wvu.PrintTitles" localSheetId="46" hidden="1">'Adj 4.04'!$A:$B,'Adj 4.04'!$5:$13</definedName>
    <definedName name="Z_6E1B8C45_B07F_11D2_B0DC_0000832CDFF0_.wvu.PrintTitles" localSheetId="47" hidden="1">'Adj 4.05'!$A:$B,'Adj 4.05'!$5:$13</definedName>
    <definedName name="Z_6E1B8C45_B07F_11D2_B0DC_0000832CDFF0_.wvu.PrintTitles" localSheetId="48" hidden="1">'Adj 4.06'!$A:$B,'Adj 4.06'!$5:$13</definedName>
    <definedName name="Z_6E1B8C45_B07F_11D2_B0DC_0000832CDFF0_.wvu.PrintTitles" localSheetId="9" hidden="1">Attrition!$A:$B,Attrition!$5:$13</definedName>
    <definedName name="Z_6E1B8C45_B07F_11D2_B0DC_0000832CDFF0_.wvu.PrintTitles" localSheetId="2" hidden="1">'Pro Forma'!$A:$B,'Pro Forma'!$5:$13</definedName>
    <definedName name="Z_6E1B8C45_B07F_11D2_B0DC_0000832CDFF0_.wvu.PrintTitles" localSheetId="1" hidden="1">Restating!$A:$B,Restating!$5:$13</definedName>
    <definedName name="Z_6E1B8C45_B07F_11D2_B0DC_0000832CDFF0_.wvu.Rows" localSheetId="49" hidden="1">'XXX-#, PF # Prod Prop Adj'!#REF!,'XXX-#, PF # Prod Prop Adj'!$28:$42,'XXX-#, PF # Prod Prop Adj'!$44:$44,'XXX-#, PF # Prod Prop Adj'!$51:$62,'XXX-#, PF # Prod Prop Adj'!$100:$100,'XXX-#, PF # Prod Prop Adj'!#REF!,'XXX-#, PF # Prod Prop Adj'!#REF!</definedName>
    <definedName name="Z_A15D1962_B049_11D2_8670_0000832CEEE8_.wvu.Cols" localSheetId="10" hidden="1">'Adj 1.01'!#REF!</definedName>
    <definedName name="Z_A15D1962_B049_11D2_8670_0000832CEEE8_.wvu.Cols" localSheetId="11" hidden="1">'Adj 1.02'!#REF!</definedName>
    <definedName name="Z_A15D1962_B049_11D2_8670_0000832CEEE8_.wvu.Cols" localSheetId="12" hidden="1">'Adj 1.03'!#REF!</definedName>
    <definedName name="Z_A15D1962_B049_11D2_8670_0000832CEEE8_.wvu.Cols" localSheetId="13" hidden="1">'Adj 1.04'!#REF!</definedName>
    <definedName name="Z_A15D1962_B049_11D2_8670_0000832CEEE8_.wvu.Cols" localSheetId="14" hidden="1">'Adj 2.01'!#REF!</definedName>
    <definedName name="Z_A15D1962_B049_11D2_8670_0000832CEEE8_.wvu.Cols" localSheetId="15" hidden="1">'Adj 2.02'!#REF!</definedName>
    <definedName name="Z_A15D1962_B049_11D2_8670_0000832CEEE8_.wvu.Cols" localSheetId="16" hidden="1">'Adj 2.03'!#REF!</definedName>
    <definedName name="Z_A15D1962_B049_11D2_8670_0000832CEEE8_.wvu.Cols" localSheetId="17" hidden="1">'Adj 2.04'!#REF!</definedName>
    <definedName name="Z_A15D1962_B049_11D2_8670_0000832CEEE8_.wvu.Cols" localSheetId="18" hidden="1">'Adj 2.05'!#REF!</definedName>
    <definedName name="Z_A15D1962_B049_11D2_8670_0000832CEEE8_.wvu.Cols" localSheetId="19" hidden="1">'Adj 2.06'!#REF!</definedName>
    <definedName name="Z_A15D1962_B049_11D2_8670_0000832CEEE8_.wvu.Cols" localSheetId="20" hidden="1">'Adj 2.07'!#REF!</definedName>
    <definedName name="Z_A15D1962_B049_11D2_8670_0000832CEEE8_.wvu.Cols" localSheetId="21" hidden="1">'Adj 2.08'!#REF!</definedName>
    <definedName name="Z_A15D1962_B049_11D2_8670_0000832CEEE8_.wvu.Cols" localSheetId="22" hidden="1">'Adj 2.09'!#REF!</definedName>
    <definedName name="Z_A15D1962_B049_11D2_8670_0000832CEEE8_.wvu.Cols" localSheetId="23" hidden="1">'Adj 2.10'!#REF!</definedName>
    <definedName name="Z_A15D1962_B049_11D2_8670_0000832CEEE8_.wvu.Cols" localSheetId="24" hidden="1">'Adj 2.11'!#REF!</definedName>
    <definedName name="Z_A15D1962_B049_11D2_8670_0000832CEEE8_.wvu.Cols" localSheetId="25" hidden="1">'Adj 2.12'!#REF!</definedName>
    <definedName name="Z_A15D1962_B049_11D2_8670_0000832CEEE8_.wvu.Cols" localSheetId="26" hidden="1">'Adj 2.13'!#REF!</definedName>
    <definedName name="Z_A15D1962_B049_11D2_8670_0000832CEEE8_.wvu.Cols" localSheetId="27" hidden="1">'Adj 2.14'!#REF!</definedName>
    <definedName name="Z_A15D1962_B049_11D2_8670_0000832CEEE8_.wvu.Cols" localSheetId="28" hidden="1">'Adj 2.15'!#REF!</definedName>
    <definedName name="Z_A15D1962_B049_11D2_8670_0000832CEEE8_.wvu.Cols" localSheetId="29" hidden="1">'Adj 2.16'!#REF!</definedName>
    <definedName name="Z_A15D1962_B049_11D2_8670_0000832CEEE8_.wvu.Cols" localSheetId="30" hidden="1">'Adj 2.17'!#REF!</definedName>
    <definedName name="Z_A15D1962_B049_11D2_8670_0000832CEEE8_.wvu.Cols" localSheetId="31" hidden="1">'Adj 2.18'!#REF!</definedName>
    <definedName name="Z_A15D1962_B049_11D2_8670_0000832CEEE8_.wvu.Cols" localSheetId="32" hidden="1">'Adj 3.00'!$C:$J</definedName>
    <definedName name="Z_A15D1962_B049_11D2_8670_0000832CEEE8_.wvu.Cols" localSheetId="33" hidden="1">'Adj 3.01'!$C:$J</definedName>
    <definedName name="Z_A15D1962_B049_11D2_8670_0000832CEEE8_.wvu.Cols" localSheetId="34" hidden="1">'Adj 3.02'!$C:$C</definedName>
    <definedName name="Z_A15D1962_B049_11D2_8670_0000832CEEE8_.wvu.Cols" localSheetId="35" hidden="1">'Adj 3.03'!$C:$C</definedName>
    <definedName name="Z_A15D1962_B049_11D2_8670_0000832CEEE8_.wvu.Cols" localSheetId="36" hidden="1">'Adj 3.04'!$C:$C</definedName>
    <definedName name="Z_A15D1962_B049_11D2_8670_0000832CEEE8_.wvu.Cols" localSheetId="37" hidden="1">'Adj 3.05'!$C:$J</definedName>
    <definedName name="Z_A15D1962_B049_11D2_8670_0000832CEEE8_.wvu.Cols" localSheetId="38" hidden="1">'Adj 3.06'!$C:$J</definedName>
    <definedName name="Z_A15D1962_B049_11D2_8670_0000832CEEE8_.wvu.Cols" localSheetId="39" hidden="1">'Adj 3.07'!$C:$J</definedName>
    <definedName name="Z_A15D1962_B049_11D2_8670_0000832CEEE8_.wvu.Cols" localSheetId="40" hidden="1">'Adj 3.08'!$C:$J</definedName>
    <definedName name="Z_A15D1962_B049_11D2_8670_0000832CEEE8_.wvu.Cols" localSheetId="41" hidden="1">'Adj 3.09'!$C:$J</definedName>
    <definedName name="Z_A15D1962_B049_11D2_8670_0000832CEEE8_.wvu.Cols" localSheetId="42" hidden="1">'Adj 4.00'!$C:$J</definedName>
    <definedName name="Z_A15D1962_B049_11D2_8670_0000832CEEE8_.wvu.Cols" localSheetId="43" hidden="1">'Adj 4.01'!$C:$J</definedName>
    <definedName name="Z_A15D1962_B049_11D2_8670_0000832CEEE8_.wvu.Cols" localSheetId="44" hidden="1">'Adj 4.02'!$C:$J</definedName>
    <definedName name="Z_A15D1962_B049_11D2_8670_0000832CEEE8_.wvu.Cols" localSheetId="45" hidden="1">'Adj 4.03'!$C:$J</definedName>
    <definedName name="Z_A15D1962_B049_11D2_8670_0000832CEEE8_.wvu.Cols" localSheetId="46" hidden="1">'Adj 4.04'!$C:$J</definedName>
    <definedName name="Z_A15D1962_B049_11D2_8670_0000832CEEE8_.wvu.Cols" localSheetId="47" hidden="1">'Adj 4.05'!$C:$J</definedName>
    <definedName name="Z_A15D1962_B049_11D2_8670_0000832CEEE8_.wvu.Cols" localSheetId="48" hidden="1">'Adj 4.06'!$C:$J</definedName>
    <definedName name="Z_A15D1962_B049_11D2_8670_0000832CEEE8_.wvu.Cols" localSheetId="9" hidden="1">Attrition!$D:$N</definedName>
    <definedName name="Z_A15D1962_B049_11D2_8670_0000832CEEE8_.wvu.Cols" localSheetId="2" hidden="1">'Pro Forma'!$D:$AA</definedName>
    <definedName name="Z_A15D1962_B049_11D2_8670_0000832CEEE8_.wvu.Cols" localSheetId="1" hidden="1">Restating!#REF!</definedName>
    <definedName name="Z_A15D1962_B049_11D2_8670_0000832CEEE8_.wvu.Rows" localSheetId="49" hidden="1">'XXX-#, PF # Prod Prop Adj'!$51:$56,'XXX-#, PF # Prod Prop Adj'!#REF!</definedName>
    <definedName name="Z_A15D1964_B049_11D2_8670_0000832CEEE8_.wvu.Cols" localSheetId="0" hidden="1">ROO!$F:$G</definedName>
    <definedName name="Z_A15D1964_B049_11D2_8670_0000832CEEE8_.wvu.PrintArea" localSheetId="0" hidden="1">ROO!$C$10:$G$76</definedName>
    <definedName name="Z_A15D1964_B049_11D2_8670_0000832CEEE8_.wvu.PrintTitles" localSheetId="0" hidden="1">ROO!$A:$B,ROO!$2:$9</definedName>
    <definedName name="Z_DBE9AC2E_288B_409B_9D2E_596C9640AC61_.wvu.Cols" localSheetId="3" hidden="1">'RR Summary'!$F:$G,'RR Summary'!$L:$M</definedName>
    <definedName name="Z_DBE9AC2E_288B_409B_9D2E_596C9640AC61_.wvu.PrintArea" localSheetId="3" hidden="1">'RR Summary'!$A$2:$P$67</definedName>
    <definedName name="Z_DBE9AC2E_288B_409B_9D2E_596C9640AC61_.wvu.Rows" localSheetId="3" hidden="1">'RR Summary'!$33:$37,'RR Summary'!$56:$56</definedName>
  </definedNames>
  <calcPr calcId="145621"/>
  <customWorkbookViews>
    <customWorkbookView name="Don Falkner - Personal View" guid="{6E1B8C45-B07F-11D2-B0DC-0000832CDFF0}" mergeInterval="0" personalView="1" maximized="1" windowWidth="1020" windowHeight="604" tabRatio="768" activeSheetId="3"/>
    <customWorkbookView name="Kathy Mitchell - Personal View" guid="{A15D1962-B049-11D2-8670-0000832CEEE8}" mergeInterval="0" personalView="1" maximized="1" windowWidth="796" windowHeight="436" tabRatio="768" activeSheetId="2"/>
  </customWorkbookViews>
</workbook>
</file>

<file path=xl/calcChain.xml><?xml version="1.0" encoding="utf-8"?>
<calcChain xmlns="http://schemas.openxmlformats.org/spreadsheetml/2006/main">
  <c r="F47" i="84" l="1"/>
  <c r="F53" i="1" l="1"/>
  <c r="E53" i="1"/>
  <c r="D53" i="1"/>
  <c r="C47" i="122"/>
  <c r="G14" i="87"/>
  <c r="C52" i="134"/>
  <c r="C53" i="138"/>
  <c r="C53" i="128"/>
  <c r="C52" i="128"/>
  <c r="C52" i="126"/>
  <c r="C52" i="125"/>
  <c r="C52" i="123"/>
  <c r="C52" i="121"/>
  <c r="C52" i="131"/>
  <c r="C52" i="119"/>
  <c r="C52" i="118"/>
  <c r="C52" i="116"/>
  <c r="C52" i="115"/>
  <c r="C52" i="114"/>
  <c r="C52" i="113"/>
  <c r="C52" i="112"/>
  <c r="C52" i="111"/>
  <c r="C52" i="110"/>
  <c r="C52" i="109"/>
  <c r="C54" i="108"/>
  <c r="C52" i="105" l="1"/>
  <c r="C52" i="104"/>
  <c r="C53" i="101"/>
  <c r="C53" i="99" l="1"/>
  <c r="C103" i="100"/>
  <c r="I52" i="1" l="1"/>
  <c r="J52" i="1"/>
  <c r="N52" i="1"/>
  <c r="O52" i="1"/>
  <c r="P52" i="1"/>
  <c r="Q52" i="1"/>
  <c r="R52" i="1"/>
  <c r="S52" i="1"/>
  <c r="T52" i="1"/>
  <c r="U52" i="1"/>
  <c r="W52" i="1"/>
  <c r="S52" i="84"/>
  <c r="S58" i="84" s="1"/>
  <c r="H68" i="96" l="1"/>
  <c r="M68" i="96"/>
  <c r="N68" i="96"/>
  <c r="P68" i="96"/>
  <c r="H69" i="96"/>
  <c r="M69" i="96"/>
  <c r="N69" i="96"/>
  <c r="P69" i="96"/>
  <c r="H70" i="96"/>
  <c r="M70" i="96"/>
  <c r="N70" i="96"/>
  <c r="P70" i="96"/>
  <c r="D71" i="96"/>
  <c r="H71" i="96"/>
  <c r="M71" i="96" l="1"/>
  <c r="P71" i="96"/>
  <c r="C52" i="117"/>
  <c r="V52" i="1" s="1"/>
  <c r="Y52" i="1"/>
  <c r="K52" i="1"/>
  <c r="H52" i="1"/>
  <c r="C52" i="124" l="1"/>
  <c r="C52" i="120"/>
  <c r="C52" i="106"/>
  <c r="C52" i="103"/>
  <c r="C57" i="117" l="1"/>
  <c r="M22" i="89" l="1"/>
  <c r="M75" i="84" l="1"/>
  <c r="M74" i="84"/>
  <c r="M68" i="84"/>
  <c r="M70" i="84" s="1"/>
  <c r="M65" i="84"/>
  <c r="M34" i="84"/>
  <c r="M33" i="84"/>
  <c r="M103" i="84"/>
  <c r="M98" i="84"/>
  <c r="M92" i="84"/>
  <c r="M82" i="84"/>
  <c r="M67" i="84"/>
  <c r="M46" i="84"/>
  <c r="M30" i="84"/>
  <c r="C103" i="138"/>
  <c r="C98" i="138"/>
  <c r="C92" i="138"/>
  <c r="C82" i="138"/>
  <c r="C70" i="138"/>
  <c r="C67" i="138"/>
  <c r="C46" i="138"/>
  <c r="C36" i="138"/>
  <c r="C47" i="138" s="1"/>
  <c r="C30" i="138"/>
  <c r="W28" i="1"/>
  <c r="M36" i="84" l="1"/>
  <c r="M77" i="84"/>
  <c r="M47" i="84"/>
  <c r="M83" i="84" s="1"/>
  <c r="C77" i="138"/>
  <c r="C83" i="138"/>
  <c r="C49" i="138"/>
  <c r="C85" i="138"/>
  <c r="C100" i="138"/>
  <c r="C102" i="138" s="1"/>
  <c r="C104" i="138" s="1"/>
  <c r="C52" i="138" s="1"/>
  <c r="M52" i="84" s="1"/>
  <c r="M49" i="84" l="1"/>
  <c r="M85" i="84"/>
  <c r="M100" i="84"/>
  <c r="M102" i="84" s="1"/>
  <c r="M104" i="84" s="1"/>
  <c r="C99" i="137"/>
  <c r="G98" i="137"/>
  <c r="F98" i="137"/>
  <c r="E98" i="137"/>
  <c r="D98" i="137"/>
  <c r="C98" i="137" s="1"/>
  <c r="C97" i="137"/>
  <c r="C96" i="137"/>
  <c r="C95" i="137"/>
  <c r="G92" i="137"/>
  <c r="F92" i="137"/>
  <c r="E92" i="137"/>
  <c r="D92" i="137"/>
  <c r="C92" i="137" s="1"/>
  <c r="C90" i="137"/>
  <c r="C89" i="137"/>
  <c r="C88" i="137"/>
  <c r="C84" i="137"/>
  <c r="G82" i="137"/>
  <c r="F82" i="137"/>
  <c r="E82" i="137"/>
  <c r="C75" i="137"/>
  <c r="G70" i="137"/>
  <c r="F70" i="137"/>
  <c r="E70" i="137"/>
  <c r="D70" i="137"/>
  <c r="C70" i="137" s="1"/>
  <c r="C68" i="137"/>
  <c r="G67" i="137"/>
  <c r="G77" i="137" s="1"/>
  <c r="F67" i="137"/>
  <c r="F77" i="137" s="1"/>
  <c r="E67" i="137"/>
  <c r="E77" i="137" s="1"/>
  <c r="D67" i="137"/>
  <c r="D77" i="137" s="1"/>
  <c r="C66" i="137"/>
  <c r="C65" i="137"/>
  <c r="C63" i="137"/>
  <c r="C62" i="137"/>
  <c r="C56" i="137"/>
  <c r="C55" i="137"/>
  <c r="C54" i="137"/>
  <c r="G46" i="137"/>
  <c r="F46" i="137"/>
  <c r="E46" i="137"/>
  <c r="D46" i="137"/>
  <c r="C45" i="137"/>
  <c r="C44" i="137"/>
  <c r="C43" i="137"/>
  <c r="C40" i="137"/>
  <c r="C39" i="137"/>
  <c r="C38" i="137"/>
  <c r="G36" i="137"/>
  <c r="F36" i="137"/>
  <c r="E36" i="137"/>
  <c r="D36" i="137"/>
  <c r="C35" i="137"/>
  <c r="G30" i="137"/>
  <c r="F30" i="137"/>
  <c r="E30" i="137"/>
  <c r="D30" i="137"/>
  <c r="C29" i="137"/>
  <c r="C28" i="137"/>
  <c r="C26" i="137"/>
  <c r="C25" i="137"/>
  <c r="C20" i="137"/>
  <c r="D19" i="137"/>
  <c r="D21" i="137" s="1"/>
  <c r="C18" i="137"/>
  <c r="C17" i="137"/>
  <c r="C16" i="137"/>
  <c r="C30" i="137" l="1"/>
  <c r="D47" i="137"/>
  <c r="D83" i="137" s="1"/>
  <c r="F47" i="137"/>
  <c r="C27" i="137"/>
  <c r="C34" i="137"/>
  <c r="E47" i="137"/>
  <c r="G47" i="137"/>
  <c r="D82" i="137"/>
  <c r="D49" i="137"/>
  <c r="C36" i="137"/>
  <c r="E83" i="137"/>
  <c r="E49" i="137"/>
  <c r="G83" i="137"/>
  <c r="G49" i="137"/>
  <c r="F83" i="137"/>
  <c r="F49" i="137"/>
  <c r="C64" i="137"/>
  <c r="F100" i="137"/>
  <c r="C33" i="137"/>
  <c r="C46" i="137"/>
  <c r="C67" i="137"/>
  <c r="E100" i="137"/>
  <c r="G100" i="137"/>
  <c r="E85" i="137"/>
  <c r="G85" i="137"/>
  <c r="F85" i="137"/>
  <c r="G11" i="86"/>
  <c r="G13" i="86"/>
  <c r="G15" i="86" s="1"/>
  <c r="G17" i="86" s="1"/>
  <c r="G18" i="86" s="1"/>
  <c r="G20" i="86" s="1"/>
  <c r="C77" i="137" l="1"/>
  <c r="C19" i="137"/>
  <c r="C83" i="137"/>
  <c r="C47" i="137"/>
  <c r="D100" i="137"/>
  <c r="D85" i="137"/>
  <c r="C44" i="134"/>
  <c r="C27" i="134"/>
  <c r="C21" i="137" l="1"/>
  <c r="C49" i="137"/>
  <c r="C82" i="137" l="1"/>
  <c r="J45" i="84"/>
  <c r="I52" i="84"/>
  <c r="H52" i="84"/>
  <c r="G52" i="84"/>
  <c r="E52" i="84"/>
  <c r="L68" i="84"/>
  <c r="L75" i="84"/>
  <c r="L64" i="84"/>
  <c r="L52" i="84"/>
  <c r="L27" i="84"/>
  <c r="S44" i="84"/>
  <c r="S34" i="84"/>
  <c r="S27" i="84"/>
  <c r="E103" i="137" l="1"/>
  <c r="E102" i="137"/>
  <c r="E104" i="137" s="1"/>
  <c r="E52" i="137" s="1"/>
  <c r="C85" i="137"/>
  <c r="C100" i="137" s="1"/>
  <c r="C43" i="117"/>
  <c r="F103" i="137" l="1"/>
  <c r="F102" i="137"/>
  <c r="J35" i="84"/>
  <c r="J29" i="84"/>
  <c r="I43" i="84"/>
  <c r="H43" i="84"/>
  <c r="H39" i="84"/>
  <c r="H38" i="84"/>
  <c r="H33" i="84"/>
  <c r="H25" i="84"/>
  <c r="G43" i="84"/>
  <c r="G25" i="84"/>
  <c r="F43" i="84"/>
  <c r="F39" i="84"/>
  <c r="F38" i="84"/>
  <c r="F33" i="84"/>
  <c r="F25" i="84"/>
  <c r="E25" i="84"/>
  <c r="E20" i="84"/>
  <c r="D26" i="84"/>
  <c r="D25" i="84"/>
  <c r="D20" i="84"/>
  <c r="D18" i="84"/>
  <c r="Y43" i="1"/>
  <c r="V43" i="1"/>
  <c r="U33" i="1"/>
  <c r="T43" i="1"/>
  <c r="T39" i="1"/>
  <c r="T33" i="1"/>
  <c r="T25" i="1"/>
  <c r="S39" i="1"/>
  <c r="S35" i="1"/>
  <c r="S28" i="1"/>
  <c r="S16" i="1"/>
  <c r="R34" i="1"/>
  <c r="Q35" i="1"/>
  <c r="P43" i="1"/>
  <c r="O38" i="1"/>
  <c r="N25" i="1"/>
  <c r="M25" i="1"/>
  <c r="L55" i="1"/>
  <c r="L54" i="1"/>
  <c r="L52" i="1"/>
  <c r="K43" i="1"/>
  <c r="J43" i="1"/>
  <c r="G52" i="1"/>
  <c r="I38" i="1"/>
  <c r="H83" i="1"/>
  <c r="H82" i="1"/>
  <c r="H35" i="1"/>
  <c r="H20" i="1"/>
  <c r="H16" i="1"/>
  <c r="G54" i="1"/>
  <c r="F72" i="1"/>
  <c r="E49" i="1"/>
  <c r="E43" i="1"/>
  <c r="E38" i="1"/>
  <c r="E26" i="1"/>
  <c r="E27" i="1"/>
  <c r="E28" i="1"/>
  <c r="E29" i="1"/>
  <c r="E25" i="1"/>
  <c r="F104" i="137" l="1"/>
  <c r="F52" i="137" s="1"/>
  <c r="G103" i="137"/>
  <c r="G102" i="137"/>
  <c r="D103" i="137"/>
  <c r="D102" i="137"/>
  <c r="D104" i="137" s="1"/>
  <c r="D52" i="137" s="1"/>
  <c r="C98" i="136"/>
  <c r="C92" i="136"/>
  <c r="C82" i="136"/>
  <c r="C70" i="136"/>
  <c r="C67" i="136"/>
  <c r="C77" i="136" s="1"/>
  <c r="C46" i="136"/>
  <c r="C36" i="136"/>
  <c r="C30" i="136"/>
  <c r="C98" i="135"/>
  <c r="C92" i="135"/>
  <c r="C82" i="135"/>
  <c r="C70" i="135"/>
  <c r="C67" i="135"/>
  <c r="C77" i="135" s="1"/>
  <c r="C46" i="135"/>
  <c r="C36" i="135"/>
  <c r="C30" i="135"/>
  <c r="C98" i="134"/>
  <c r="C92" i="134"/>
  <c r="C82" i="134"/>
  <c r="C70" i="134"/>
  <c r="C67" i="134"/>
  <c r="C77" i="134" s="1"/>
  <c r="C46" i="134"/>
  <c r="C36" i="134"/>
  <c r="C30" i="134"/>
  <c r="C98" i="133"/>
  <c r="C92" i="133"/>
  <c r="C82" i="133"/>
  <c r="C70" i="133"/>
  <c r="C67" i="133"/>
  <c r="C77" i="133" s="1"/>
  <c r="C46" i="133"/>
  <c r="C36" i="133"/>
  <c r="C30" i="133"/>
  <c r="C98" i="132"/>
  <c r="C92" i="132"/>
  <c r="C82" i="132"/>
  <c r="C70" i="132"/>
  <c r="C67" i="132"/>
  <c r="C77" i="132" s="1"/>
  <c r="C46" i="132"/>
  <c r="C36" i="132"/>
  <c r="C30" i="132"/>
  <c r="C103" i="131"/>
  <c r="C98" i="131"/>
  <c r="C92" i="131"/>
  <c r="C70" i="131"/>
  <c r="C67" i="131"/>
  <c r="C46" i="131"/>
  <c r="C36" i="131"/>
  <c r="C30" i="131"/>
  <c r="C19" i="131"/>
  <c r="C21" i="131" s="1"/>
  <c r="C98" i="130"/>
  <c r="C92" i="130"/>
  <c r="C82" i="130"/>
  <c r="C70" i="130"/>
  <c r="C67" i="130"/>
  <c r="C46" i="130"/>
  <c r="C36" i="130"/>
  <c r="C30" i="130"/>
  <c r="C98" i="129"/>
  <c r="C92" i="129"/>
  <c r="C70" i="129"/>
  <c r="C67" i="129"/>
  <c r="C77" i="129" s="1"/>
  <c r="C46" i="129"/>
  <c r="C36" i="129"/>
  <c r="C30" i="129"/>
  <c r="C19" i="129"/>
  <c r="C21" i="129" s="1"/>
  <c r="C98" i="128"/>
  <c r="C92" i="128"/>
  <c r="C82" i="128"/>
  <c r="C70" i="128"/>
  <c r="C67" i="128"/>
  <c r="C77" i="128" s="1"/>
  <c r="C46" i="128"/>
  <c r="C36" i="128"/>
  <c r="C30" i="128"/>
  <c r="C98" i="127"/>
  <c r="C92" i="127"/>
  <c r="C70" i="127"/>
  <c r="C67" i="127"/>
  <c r="C77" i="127" s="1"/>
  <c r="C46" i="127"/>
  <c r="C36" i="127"/>
  <c r="C30" i="127"/>
  <c r="C19" i="127"/>
  <c r="C21" i="127" s="1"/>
  <c r="C98" i="126"/>
  <c r="C92" i="126"/>
  <c r="C70" i="126"/>
  <c r="C67" i="126"/>
  <c r="C77" i="126" s="1"/>
  <c r="C46" i="126"/>
  <c r="C36" i="126"/>
  <c r="C30" i="126"/>
  <c r="C19" i="126"/>
  <c r="C21" i="126" s="1"/>
  <c r="C98" i="125"/>
  <c r="C92" i="125"/>
  <c r="C70" i="125"/>
  <c r="C67" i="125"/>
  <c r="C46" i="125"/>
  <c r="C36" i="125"/>
  <c r="C30" i="125"/>
  <c r="C19" i="125"/>
  <c r="C21" i="125" s="1"/>
  <c r="C98" i="124"/>
  <c r="C92" i="124"/>
  <c r="C70" i="124"/>
  <c r="C67" i="124"/>
  <c r="C77" i="124" s="1"/>
  <c r="C46" i="124"/>
  <c r="C36" i="124"/>
  <c r="C30" i="124"/>
  <c r="C19" i="124"/>
  <c r="C21" i="124" s="1"/>
  <c r="C98" i="123"/>
  <c r="C92" i="123"/>
  <c r="C70" i="123"/>
  <c r="C67" i="123"/>
  <c r="C77" i="123" s="1"/>
  <c r="C46" i="123"/>
  <c r="C36" i="123"/>
  <c r="C30" i="123"/>
  <c r="C19" i="123"/>
  <c r="C21" i="123" s="1"/>
  <c r="C98" i="122"/>
  <c r="C92" i="122"/>
  <c r="C70" i="122"/>
  <c r="C67" i="122"/>
  <c r="C77" i="122" s="1"/>
  <c r="C46" i="122"/>
  <c r="C36" i="122"/>
  <c r="C30" i="122"/>
  <c r="C19" i="122"/>
  <c r="C21" i="122" s="1"/>
  <c r="C98" i="121"/>
  <c r="C92" i="121"/>
  <c r="C70" i="121"/>
  <c r="C67" i="121"/>
  <c r="C77" i="121" s="1"/>
  <c r="C46" i="121"/>
  <c r="C36" i="121"/>
  <c r="C30" i="121"/>
  <c r="C19" i="121"/>
  <c r="C21" i="121" s="1"/>
  <c r="C99" i="120"/>
  <c r="C92" i="120"/>
  <c r="C69" i="120"/>
  <c r="C66" i="120"/>
  <c r="C77" i="120" s="1"/>
  <c r="C46" i="120"/>
  <c r="C36" i="120"/>
  <c r="C30" i="120"/>
  <c r="C19" i="120"/>
  <c r="C21" i="120" s="1"/>
  <c r="B5" i="120"/>
  <c r="C104" i="107"/>
  <c r="C99" i="107"/>
  <c r="C92" i="107"/>
  <c r="C69" i="107"/>
  <c r="C66" i="107"/>
  <c r="C77" i="107" s="1"/>
  <c r="C46" i="107"/>
  <c r="C47" i="107" s="1"/>
  <c r="C83" i="107" s="1"/>
  <c r="C36" i="107"/>
  <c r="C30" i="107"/>
  <c r="C19" i="107"/>
  <c r="C21" i="107" s="1"/>
  <c r="C99" i="106"/>
  <c r="C92" i="106"/>
  <c r="C77" i="106"/>
  <c r="C66" i="106"/>
  <c r="C46" i="106"/>
  <c r="C47" i="106" s="1"/>
  <c r="C83" i="106" s="1"/>
  <c r="C85" i="106" s="1"/>
  <c r="C101" i="106" s="1"/>
  <c r="C103" i="106" s="1"/>
  <c r="C105" i="106" s="1"/>
  <c r="C36" i="106"/>
  <c r="C30" i="106"/>
  <c r="C19" i="106"/>
  <c r="C21" i="106" s="1"/>
  <c r="C99" i="119"/>
  <c r="C92" i="119"/>
  <c r="C69" i="119"/>
  <c r="C66" i="119"/>
  <c r="C77" i="119" s="1"/>
  <c r="C46" i="119"/>
  <c r="C36" i="119"/>
  <c r="C30" i="119"/>
  <c r="C19" i="119"/>
  <c r="C21" i="119" s="1"/>
  <c r="B5" i="119"/>
  <c r="C99" i="118"/>
  <c r="C92" i="118"/>
  <c r="C69" i="118"/>
  <c r="C66" i="118"/>
  <c r="C77" i="118" s="1"/>
  <c r="C46" i="118"/>
  <c r="C36" i="118"/>
  <c r="C30" i="118"/>
  <c r="C19" i="118"/>
  <c r="C21" i="118" s="1"/>
  <c r="B5" i="118"/>
  <c r="C99" i="117"/>
  <c r="C92" i="117"/>
  <c r="C69" i="117"/>
  <c r="C66" i="117"/>
  <c r="C77" i="117" s="1"/>
  <c r="C46" i="117"/>
  <c r="C36" i="117"/>
  <c r="C30" i="117"/>
  <c r="C19" i="117"/>
  <c r="C21" i="117" s="1"/>
  <c r="B5" i="117"/>
  <c r="C99" i="116"/>
  <c r="C92" i="116"/>
  <c r="C69" i="116"/>
  <c r="C66" i="116"/>
  <c r="C77" i="116" s="1"/>
  <c r="C46" i="116"/>
  <c r="C36" i="116"/>
  <c r="C30" i="116"/>
  <c r="C19" i="116"/>
  <c r="C21" i="116" s="1"/>
  <c r="B5" i="116"/>
  <c r="C99" i="115"/>
  <c r="C92" i="115"/>
  <c r="C69" i="115"/>
  <c r="C66" i="115"/>
  <c r="C77" i="115" s="1"/>
  <c r="C46" i="115"/>
  <c r="C36" i="115"/>
  <c r="C30" i="115"/>
  <c r="C19" i="115"/>
  <c r="C21" i="115" s="1"/>
  <c r="B5" i="115"/>
  <c r="C99" i="114"/>
  <c r="C92" i="114"/>
  <c r="C69" i="114"/>
  <c r="C66" i="114"/>
  <c r="C77" i="114" s="1"/>
  <c r="C46" i="114"/>
  <c r="C36" i="114"/>
  <c r="C30" i="114"/>
  <c r="C19" i="114"/>
  <c r="C21" i="114" s="1"/>
  <c r="B5" i="114"/>
  <c r="C104" i="113"/>
  <c r="C99" i="113"/>
  <c r="C92" i="113"/>
  <c r="C69" i="113"/>
  <c r="C66" i="113"/>
  <c r="C77" i="113" s="1"/>
  <c r="C53" i="113"/>
  <c r="C46" i="113"/>
  <c r="C36" i="113"/>
  <c r="C30" i="113"/>
  <c r="C19" i="113"/>
  <c r="C21" i="113" s="1"/>
  <c r="B5" i="113"/>
  <c r="C99" i="112"/>
  <c r="C92" i="112"/>
  <c r="C69" i="112"/>
  <c r="C66" i="112"/>
  <c r="C77" i="112" s="1"/>
  <c r="C46" i="112"/>
  <c r="C36" i="112"/>
  <c r="C30" i="112"/>
  <c r="C19" i="112"/>
  <c r="C21" i="112" s="1"/>
  <c r="B5" i="112"/>
  <c r="C99" i="111"/>
  <c r="C92" i="111"/>
  <c r="C69" i="111"/>
  <c r="C66" i="111"/>
  <c r="C77" i="111" s="1"/>
  <c r="C46" i="111"/>
  <c r="C36" i="111"/>
  <c r="C30" i="111"/>
  <c r="C19" i="111"/>
  <c r="C21" i="111" s="1"/>
  <c r="B5" i="111"/>
  <c r="C99" i="110"/>
  <c r="C92" i="110"/>
  <c r="C69" i="110"/>
  <c r="C66" i="110"/>
  <c r="C77" i="110" s="1"/>
  <c r="C46" i="110"/>
  <c r="C36" i="110"/>
  <c r="C30" i="110"/>
  <c r="C19" i="110"/>
  <c r="C21" i="110" s="1"/>
  <c r="B5" i="110"/>
  <c r="C99" i="109"/>
  <c r="C92" i="109"/>
  <c r="C69" i="109"/>
  <c r="C66" i="109"/>
  <c r="C77" i="109" s="1"/>
  <c r="C46" i="109"/>
  <c r="C36" i="109"/>
  <c r="C30" i="109"/>
  <c r="C19" i="109"/>
  <c r="C21" i="109" s="1"/>
  <c r="B5" i="109"/>
  <c r="C99" i="108"/>
  <c r="C92" i="108"/>
  <c r="C69" i="108"/>
  <c r="C66" i="108"/>
  <c r="C77" i="108" s="1"/>
  <c r="C46" i="108"/>
  <c r="C36" i="108"/>
  <c r="C30" i="108"/>
  <c r="C19" i="108"/>
  <c r="C21" i="108" s="1"/>
  <c r="B5" i="108"/>
  <c r="B5" i="107"/>
  <c r="B5" i="106"/>
  <c r="C47" i="118" l="1"/>
  <c r="C83" i="118" s="1"/>
  <c r="G104" i="137"/>
  <c r="G52" i="137" s="1"/>
  <c r="C102" i="137"/>
  <c r="C103" i="137"/>
  <c r="C47" i="136"/>
  <c r="C47" i="135"/>
  <c r="C49" i="135" s="1"/>
  <c r="C47" i="134"/>
  <c r="C83" i="134" s="1"/>
  <c r="C47" i="133"/>
  <c r="C47" i="132"/>
  <c r="C83" i="136"/>
  <c r="C49" i="136"/>
  <c r="C100" i="136"/>
  <c r="C85" i="136"/>
  <c r="C83" i="135"/>
  <c r="C85" i="135" s="1"/>
  <c r="C83" i="133"/>
  <c r="C49" i="133"/>
  <c r="C100" i="133"/>
  <c r="C85" i="133"/>
  <c r="C83" i="132"/>
  <c r="C49" i="132"/>
  <c r="C100" i="132"/>
  <c r="C85" i="132"/>
  <c r="C77" i="130"/>
  <c r="C47" i="130"/>
  <c r="C49" i="130" s="1"/>
  <c r="C47" i="129"/>
  <c r="C83" i="129" s="1"/>
  <c r="C47" i="128"/>
  <c r="C47" i="127"/>
  <c r="C83" i="127" s="1"/>
  <c r="C47" i="126"/>
  <c r="C83" i="126" s="1"/>
  <c r="C47" i="125"/>
  <c r="C83" i="125" s="1"/>
  <c r="C77" i="125"/>
  <c r="C47" i="124"/>
  <c r="C83" i="124" s="1"/>
  <c r="C47" i="123"/>
  <c r="C83" i="123" s="1"/>
  <c r="C83" i="122"/>
  <c r="C47" i="121"/>
  <c r="C83" i="121" s="1"/>
  <c r="C47" i="131"/>
  <c r="C82" i="131"/>
  <c r="C83" i="131"/>
  <c r="C77" i="131"/>
  <c r="C83" i="130"/>
  <c r="C85" i="130" s="1"/>
  <c r="C100" i="130"/>
  <c r="C82" i="129"/>
  <c r="C49" i="129"/>
  <c r="C83" i="128"/>
  <c r="C49" i="128"/>
  <c r="C82" i="127"/>
  <c r="C82" i="126"/>
  <c r="C49" i="126"/>
  <c r="C82" i="125"/>
  <c r="C49" i="125"/>
  <c r="C82" i="124"/>
  <c r="C49" i="124"/>
  <c r="C82" i="123"/>
  <c r="C49" i="123"/>
  <c r="C82" i="122"/>
  <c r="C103" i="122"/>
  <c r="C82" i="121"/>
  <c r="C49" i="121"/>
  <c r="C47" i="120"/>
  <c r="C83" i="120" s="1"/>
  <c r="C82" i="120"/>
  <c r="C85" i="120" s="1"/>
  <c r="C101" i="120" s="1"/>
  <c r="C49" i="120"/>
  <c r="C47" i="119"/>
  <c r="C83" i="119" s="1"/>
  <c r="C47" i="117"/>
  <c r="C83" i="117" s="1"/>
  <c r="C47" i="116"/>
  <c r="C83" i="116" s="1"/>
  <c r="C47" i="115"/>
  <c r="C83" i="115" s="1"/>
  <c r="C47" i="114"/>
  <c r="C83" i="114" s="1"/>
  <c r="C47" i="113"/>
  <c r="C83" i="113" s="1"/>
  <c r="C47" i="112"/>
  <c r="C83" i="112" s="1"/>
  <c r="C47" i="111"/>
  <c r="C83" i="111" s="1"/>
  <c r="C47" i="110"/>
  <c r="C83" i="110" s="1"/>
  <c r="C47" i="109"/>
  <c r="C83" i="109" s="1"/>
  <c r="C47" i="108"/>
  <c r="C83" i="108" s="1"/>
  <c r="C49" i="107"/>
  <c r="C57" i="107" s="1"/>
  <c r="C82" i="107"/>
  <c r="C85" i="107" s="1"/>
  <c r="C101" i="107" s="1"/>
  <c r="C103" i="107" s="1"/>
  <c r="C105" i="107" s="1"/>
  <c r="C49" i="106"/>
  <c r="C57" i="106" s="1"/>
  <c r="C82" i="119"/>
  <c r="C85" i="119" s="1"/>
  <c r="C101" i="119" s="1"/>
  <c r="C49" i="119"/>
  <c r="C82" i="118"/>
  <c r="C85" i="118" s="1"/>
  <c r="C101" i="118" s="1"/>
  <c r="C49" i="118"/>
  <c r="C82" i="117"/>
  <c r="C49" i="117"/>
  <c r="C82" i="116"/>
  <c r="C85" i="116" s="1"/>
  <c r="C101" i="116" s="1"/>
  <c r="C82" i="115"/>
  <c r="C85" i="115" s="1"/>
  <c r="C101" i="115" s="1"/>
  <c r="C49" i="115"/>
  <c r="C82" i="114"/>
  <c r="C85" i="114" s="1"/>
  <c r="C101" i="114" s="1"/>
  <c r="C49" i="114"/>
  <c r="C82" i="113"/>
  <c r="C85" i="113" s="1"/>
  <c r="C101" i="113" s="1"/>
  <c r="C103" i="113" s="1"/>
  <c r="C105" i="113" s="1"/>
  <c r="C49" i="113"/>
  <c r="C82" i="112"/>
  <c r="C85" i="112" s="1"/>
  <c r="C101" i="112" s="1"/>
  <c r="C49" i="112"/>
  <c r="C49" i="111"/>
  <c r="C82" i="111"/>
  <c r="C85" i="111" s="1"/>
  <c r="C101" i="111" s="1"/>
  <c r="C82" i="110"/>
  <c r="C85" i="110" s="1"/>
  <c r="C101" i="110" s="1"/>
  <c r="C49" i="110"/>
  <c r="C82" i="109"/>
  <c r="C85" i="109" s="1"/>
  <c r="C101" i="109" s="1"/>
  <c r="C49" i="109"/>
  <c r="C82" i="108"/>
  <c r="C85" i="108" s="1"/>
  <c r="C101" i="108" s="1"/>
  <c r="C49" i="108"/>
  <c r="C99" i="105"/>
  <c r="C92" i="105"/>
  <c r="C69" i="105"/>
  <c r="C66" i="105"/>
  <c r="C77" i="105" s="1"/>
  <c r="C46" i="105"/>
  <c r="C36" i="105"/>
  <c r="C30" i="105"/>
  <c r="C19" i="105"/>
  <c r="C21" i="105" s="1"/>
  <c r="B5" i="105"/>
  <c r="C99" i="104"/>
  <c r="C92" i="104"/>
  <c r="C69" i="104"/>
  <c r="C66" i="104"/>
  <c r="C46" i="104"/>
  <c r="C36" i="104"/>
  <c r="C30" i="104"/>
  <c r="C19" i="104"/>
  <c r="C21" i="104" s="1"/>
  <c r="B5" i="104"/>
  <c r="C99" i="103"/>
  <c r="C92" i="103"/>
  <c r="C69" i="103"/>
  <c r="C66" i="103"/>
  <c r="C77" i="103" s="1"/>
  <c r="C46" i="103"/>
  <c r="C36" i="103"/>
  <c r="C30" i="103"/>
  <c r="C19" i="103"/>
  <c r="C21" i="103" s="1"/>
  <c r="B5" i="103"/>
  <c r="C99" i="102"/>
  <c r="C92" i="102"/>
  <c r="C69" i="102"/>
  <c r="C66" i="102"/>
  <c r="C77" i="102" s="1"/>
  <c r="C46" i="102"/>
  <c r="C36" i="102"/>
  <c r="C30" i="102"/>
  <c r="C19" i="102"/>
  <c r="C21" i="102" s="1"/>
  <c r="B5" i="102"/>
  <c r="C99" i="101"/>
  <c r="C92" i="101"/>
  <c r="C69" i="101"/>
  <c r="C66" i="101"/>
  <c r="C77" i="101" s="1"/>
  <c r="C46" i="101"/>
  <c r="C36" i="101"/>
  <c r="C30" i="101"/>
  <c r="C19" i="101"/>
  <c r="C21" i="101" s="1"/>
  <c r="B5" i="101"/>
  <c r="C99" i="100"/>
  <c r="C92" i="100"/>
  <c r="C69" i="100"/>
  <c r="C66" i="100"/>
  <c r="C46" i="100"/>
  <c r="C36" i="100"/>
  <c r="C30" i="100"/>
  <c r="C19" i="100"/>
  <c r="C21" i="100" s="1"/>
  <c r="B5" i="100"/>
  <c r="C49" i="116" l="1"/>
  <c r="C104" i="137"/>
  <c r="C100" i="135"/>
  <c r="C49" i="134"/>
  <c r="C85" i="134"/>
  <c r="C100" i="134"/>
  <c r="C85" i="117"/>
  <c r="C101" i="117" s="1"/>
  <c r="C49" i="122"/>
  <c r="C49" i="127"/>
  <c r="C85" i="131"/>
  <c r="C100" i="129"/>
  <c r="C85" i="129"/>
  <c r="C100" i="128"/>
  <c r="C85" i="128"/>
  <c r="C100" i="127"/>
  <c r="C85" i="127"/>
  <c r="C100" i="126"/>
  <c r="C85" i="126"/>
  <c r="C100" i="125"/>
  <c r="C85" i="125"/>
  <c r="C100" i="124"/>
  <c r="C85" i="124"/>
  <c r="C100" i="123"/>
  <c r="C102" i="123" s="1"/>
  <c r="C85" i="123"/>
  <c r="C100" i="122"/>
  <c r="C85" i="122"/>
  <c r="C103" i="121"/>
  <c r="C100" i="121"/>
  <c r="C102" i="121" s="1"/>
  <c r="C85" i="121"/>
  <c r="C57" i="113"/>
  <c r="C47" i="105"/>
  <c r="C83" i="105" s="1"/>
  <c r="C47" i="104"/>
  <c r="C83" i="104" s="1"/>
  <c r="C77" i="104"/>
  <c r="C47" i="103"/>
  <c r="C83" i="103" s="1"/>
  <c r="C82" i="105"/>
  <c r="C85" i="105" s="1"/>
  <c r="C101" i="105" s="1"/>
  <c r="C82" i="104"/>
  <c r="C85" i="104" s="1"/>
  <c r="C101" i="104" s="1"/>
  <c r="C49" i="104"/>
  <c r="C82" i="103"/>
  <c r="C85" i="103" s="1"/>
  <c r="C101" i="103" s="1"/>
  <c r="C49" i="103"/>
  <c r="C47" i="100"/>
  <c r="C83" i="100" s="1"/>
  <c r="C47" i="102"/>
  <c r="C82" i="102"/>
  <c r="C85" i="102" s="1"/>
  <c r="C101" i="102" s="1"/>
  <c r="C49" i="102"/>
  <c r="C104" i="102"/>
  <c r="C47" i="101"/>
  <c r="C82" i="101"/>
  <c r="C85" i="101" s="1"/>
  <c r="C101" i="101" s="1"/>
  <c r="C49" i="101"/>
  <c r="C82" i="100"/>
  <c r="C85" i="100" s="1"/>
  <c r="C101" i="100" s="1"/>
  <c r="C49" i="100"/>
  <c r="C77" i="100"/>
  <c r="C104" i="100"/>
  <c r="D74" i="1"/>
  <c r="D16" i="1"/>
  <c r="C104" i="99"/>
  <c r="C99" i="99"/>
  <c r="C92" i="99"/>
  <c r="C69" i="99"/>
  <c r="C66" i="99"/>
  <c r="C77" i="99" s="1"/>
  <c r="C46" i="99"/>
  <c r="C36" i="99"/>
  <c r="C30" i="99"/>
  <c r="C19" i="99"/>
  <c r="C21" i="99" s="1"/>
  <c r="B5" i="99"/>
  <c r="C102" i="122" l="1"/>
  <c r="C104" i="122" s="1"/>
  <c r="C52" i="122" s="1"/>
  <c r="F52" i="84" s="1"/>
  <c r="C52" i="137"/>
  <c r="C104" i="121"/>
  <c r="C100" i="131"/>
  <c r="C102" i="131" s="1"/>
  <c r="C102" i="124"/>
  <c r="C103" i="123"/>
  <c r="C104" i="123" s="1"/>
  <c r="C49" i="105"/>
  <c r="C103" i="102"/>
  <c r="C105" i="102" s="1"/>
  <c r="C104" i="101"/>
  <c r="C103" i="101"/>
  <c r="C105" i="100"/>
  <c r="C52" i="100" s="1"/>
  <c r="E52" i="1" s="1"/>
  <c r="C47" i="99"/>
  <c r="C83" i="99" s="1"/>
  <c r="C82" i="99"/>
  <c r="C49" i="99"/>
  <c r="C104" i="131" l="1"/>
  <c r="C103" i="124"/>
  <c r="C105" i="101"/>
  <c r="C52" i="101" s="1"/>
  <c r="C85" i="99"/>
  <c r="D52" i="84" l="1"/>
  <c r="C103" i="130"/>
  <c r="C102" i="130"/>
  <c r="C103" i="125"/>
  <c r="C102" i="125"/>
  <c r="C104" i="124"/>
  <c r="C104" i="103"/>
  <c r="C103" i="103"/>
  <c r="C101" i="99"/>
  <c r="C103" i="99" s="1"/>
  <c r="C105" i="99" s="1"/>
  <c r="C52" i="99" s="1"/>
  <c r="C103" i="135" l="1"/>
  <c r="C102" i="135"/>
  <c r="C103" i="132"/>
  <c r="C102" i="132"/>
  <c r="C104" i="130"/>
  <c r="C52" i="130" s="1"/>
  <c r="C103" i="126"/>
  <c r="C102" i="126"/>
  <c r="C104" i="125"/>
  <c r="C105" i="103"/>
  <c r="C57" i="103" s="1"/>
  <c r="C104" i="104"/>
  <c r="C103" i="104"/>
  <c r="C104" i="132" l="1"/>
  <c r="C52" i="132" s="1"/>
  <c r="C103" i="136"/>
  <c r="C102" i="136"/>
  <c r="C104" i="135"/>
  <c r="C52" i="135" s="1"/>
  <c r="C103" i="129"/>
  <c r="C102" i="129"/>
  <c r="C103" i="128"/>
  <c r="C102" i="128"/>
  <c r="C103" i="127"/>
  <c r="C104" i="127" s="1"/>
  <c r="C52" i="127" s="1"/>
  <c r="C104" i="126"/>
  <c r="J52" i="84" s="1"/>
  <c r="C52" i="84" s="1"/>
  <c r="C104" i="109"/>
  <c r="C103" i="109"/>
  <c r="C104" i="108"/>
  <c r="C53" i="108" s="1"/>
  <c r="C103" i="108"/>
  <c r="C105" i="104"/>
  <c r="C57" i="104" s="1"/>
  <c r="C104" i="105"/>
  <c r="C103" i="105"/>
  <c r="C104" i="136" l="1"/>
  <c r="C52" i="136" s="1"/>
  <c r="C103" i="134"/>
  <c r="C102" i="134"/>
  <c r="C103" i="133"/>
  <c r="C102" i="133"/>
  <c r="C104" i="129"/>
  <c r="C52" i="129" s="1"/>
  <c r="C104" i="128"/>
  <c r="C105" i="109"/>
  <c r="C57" i="109" s="1"/>
  <c r="C105" i="108"/>
  <c r="C105" i="105"/>
  <c r="C57" i="105" s="1"/>
  <c r="C104" i="134" l="1"/>
  <c r="C104" i="133"/>
  <c r="C52" i="133" s="1"/>
  <c r="C104" i="114"/>
  <c r="C103" i="114"/>
  <c r="C104" i="111"/>
  <c r="C103" i="111"/>
  <c r="C105" i="111" s="1"/>
  <c r="C57" i="111" s="1"/>
  <c r="C104" i="110"/>
  <c r="C103" i="110"/>
  <c r="C57" i="108"/>
  <c r="C105" i="110" l="1"/>
  <c r="C57" i="110" s="1"/>
  <c r="C105" i="114"/>
  <c r="C57" i="114" s="1"/>
  <c r="C104" i="115"/>
  <c r="C103" i="115"/>
  <c r="C104" i="112"/>
  <c r="C103" i="112"/>
  <c r="C105" i="115" l="1"/>
  <c r="C57" i="115" s="1"/>
  <c r="C104" i="116"/>
  <c r="C103" i="116"/>
  <c r="C105" i="112"/>
  <c r="C57" i="112" s="1"/>
  <c r="J52" i="96"/>
  <c r="Q98" i="84"/>
  <c r="Q92" i="84"/>
  <c r="Q82" i="84"/>
  <c r="Q70" i="84"/>
  <c r="Q67" i="84"/>
  <c r="Q46" i="84"/>
  <c r="Q36" i="84"/>
  <c r="Q30" i="84"/>
  <c r="E33" i="96"/>
  <c r="Q77" i="84" l="1"/>
  <c r="C105" i="116"/>
  <c r="C57" i="116" s="1"/>
  <c r="C104" i="117"/>
  <c r="C103" i="117"/>
  <c r="Q47" i="84"/>
  <c r="Q83" i="84" s="1"/>
  <c r="Q49" i="84" l="1"/>
  <c r="C105" i="117"/>
  <c r="C104" i="118"/>
  <c r="C103" i="118"/>
  <c r="Q100" i="84"/>
  <c r="Q85" i="84"/>
  <c r="C84" i="1"/>
  <c r="C105" i="118" l="1"/>
  <c r="C57" i="118" s="1"/>
  <c r="C104" i="119"/>
  <c r="C103" i="119"/>
  <c r="C105" i="119" s="1"/>
  <c r="G99" i="1"/>
  <c r="G92" i="1"/>
  <c r="G69" i="1"/>
  <c r="G66" i="1"/>
  <c r="G46" i="1"/>
  <c r="G36" i="1"/>
  <c r="G30" i="1"/>
  <c r="G19" i="1"/>
  <c r="G21" i="1" s="1"/>
  <c r="G47" i="1" l="1"/>
  <c r="G49" i="1" s="1"/>
  <c r="G77" i="1"/>
  <c r="C104" i="120"/>
  <c r="C103" i="120"/>
  <c r="C105" i="120" s="1"/>
  <c r="G82" i="1"/>
  <c r="G85" i="1" s="1"/>
  <c r="G101" i="1" s="1"/>
  <c r="C57" i="120" l="1"/>
  <c r="C96" i="1" l="1"/>
  <c r="C97" i="1"/>
  <c r="C98" i="1"/>
  <c r="C95" i="1"/>
  <c r="C89" i="1"/>
  <c r="C90" i="1"/>
  <c r="C91" i="1"/>
  <c r="C88" i="1"/>
  <c r="C62" i="1"/>
  <c r="C63" i="1"/>
  <c r="C64" i="1"/>
  <c r="C65" i="1"/>
  <c r="C67" i="1"/>
  <c r="C68" i="1"/>
  <c r="C70" i="1"/>
  <c r="C71" i="1"/>
  <c r="C72" i="1"/>
  <c r="C73" i="1"/>
  <c r="C74" i="1"/>
  <c r="C61" i="1"/>
  <c r="C55" i="1"/>
  <c r="C45" i="1"/>
  <c r="C44" i="1"/>
  <c r="C43" i="1"/>
  <c r="C39" i="1"/>
  <c r="C40" i="1"/>
  <c r="C38" i="1"/>
  <c r="C34" i="1"/>
  <c r="C35" i="1"/>
  <c r="C33" i="1"/>
  <c r="C26" i="1"/>
  <c r="C27" i="1"/>
  <c r="C28" i="1"/>
  <c r="C29" i="1"/>
  <c r="C25" i="1"/>
  <c r="C20" i="1"/>
  <c r="C18" i="1"/>
  <c r="C17" i="1"/>
  <c r="C16" i="1"/>
  <c r="Y99" i="1"/>
  <c r="Y92" i="1"/>
  <c r="Y69" i="1"/>
  <c r="Y66" i="1"/>
  <c r="Y46" i="1"/>
  <c r="Y36" i="1"/>
  <c r="Y30" i="1"/>
  <c r="Y19" i="1"/>
  <c r="Y21" i="1" s="1"/>
  <c r="Y82" i="1" s="1"/>
  <c r="Y77" i="1" l="1"/>
  <c r="Y47" i="1"/>
  <c r="Y83" i="1" s="1"/>
  <c r="Y85" i="1" s="1"/>
  <c r="Y101" i="1" s="1"/>
  <c r="Y49" i="1" l="1"/>
  <c r="F15" i="85"/>
  <c r="C53" i="83" l="1"/>
  <c r="E56" i="96"/>
  <c r="D56" i="96" l="1"/>
  <c r="C54" i="84"/>
  <c r="C55" i="84"/>
  <c r="F52" i="83" s="1"/>
  <c r="F51" i="83"/>
  <c r="C63" i="84" l="1"/>
  <c r="C64" i="84"/>
  <c r="C65" i="84"/>
  <c r="C66" i="84"/>
  <c r="C68" i="84"/>
  <c r="C75" i="84"/>
  <c r="C62" i="84"/>
  <c r="C56" i="84"/>
  <c r="C39" i="84"/>
  <c r="C40" i="84"/>
  <c r="C43" i="84"/>
  <c r="C44" i="84"/>
  <c r="C45" i="84"/>
  <c r="C38" i="84"/>
  <c r="C34" i="84"/>
  <c r="C35" i="84"/>
  <c r="C33" i="84"/>
  <c r="C29" i="84"/>
  <c r="C28" i="84"/>
  <c r="F24" i="83" s="1"/>
  <c r="C27" i="84"/>
  <c r="C26" i="84"/>
  <c r="C25" i="84"/>
  <c r="C20" i="84"/>
  <c r="C84" i="84"/>
  <c r="C88" i="84"/>
  <c r="C89" i="84"/>
  <c r="C90" i="84"/>
  <c r="C95" i="84"/>
  <c r="C96" i="84"/>
  <c r="C97" i="84"/>
  <c r="C99" i="84"/>
  <c r="C18" i="84"/>
  <c r="C17" i="84"/>
  <c r="C16" i="84"/>
  <c r="R82" i="84"/>
  <c r="S82" i="84"/>
  <c r="T82" i="84"/>
  <c r="R92" i="84"/>
  <c r="S92" i="84"/>
  <c r="T92" i="84"/>
  <c r="R98" i="84"/>
  <c r="S98" i="84"/>
  <c r="T98" i="84"/>
  <c r="R30" i="84"/>
  <c r="S30" i="84"/>
  <c r="T30" i="84"/>
  <c r="R36" i="84"/>
  <c r="S36" i="84"/>
  <c r="T36" i="84"/>
  <c r="R46" i="84"/>
  <c r="S46" i="84"/>
  <c r="T46" i="84"/>
  <c r="R67" i="84"/>
  <c r="S67" i="84"/>
  <c r="T67" i="84"/>
  <c r="R70" i="84"/>
  <c r="S70" i="84"/>
  <c r="T70" i="84"/>
  <c r="L30" i="84"/>
  <c r="L36" i="84"/>
  <c r="L46" i="84"/>
  <c r="L67" i="84"/>
  <c r="L70" i="84"/>
  <c r="L82" i="84"/>
  <c r="L92" i="84"/>
  <c r="L98" i="84"/>
  <c r="E19" i="84"/>
  <c r="E21" i="84" s="1"/>
  <c r="F19" i="84"/>
  <c r="F21" i="84" s="1"/>
  <c r="G19" i="84"/>
  <c r="G21" i="84" s="1"/>
  <c r="H19" i="84"/>
  <c r="H21" i="84" s="1"/>
  <c r="I19" i="84"/>
  <c r="I21" i="84" s="1"/>
  <c r="J19" i="84"/>
  <c r="J21" i="84" s="1"/>
  <c r="K19" i="84"/>
  <c r="K21" i="84" s="1"/>
  <c r="N19" i="84"/>
  <c r="N21" i="84" s="1"/>
  <c r="E30" i="84"/>
  <c r="F30" i="84"/>
  <c r="G30" i="84"/>
  <c r="H30" i="84"/>
  <c r="I30" i="84"/>
  <c r="J30" i="84"/>
  <c r="K30" i="84"/>
  <c r="N30" i="84"/>
  <c r="O30" i="84"/>
  <c r="P30" i="84"/>
  <c r="E36" i="84"/>
  <c r="F36" i="84"/>
  <c r="G36" i="84"/>
  <c r="H36" i="84"/>
  <c r="I36" i="84"/>
  <c r="J36" i="84"/>
  <c r="K36" i="84"/>
  <c r="N36" i="84"/>
  <c r="O36" i="84"/>
  <c r="P36" i="84"/>
  <c r="E46" i="84"/>
  <c r="F46" i="84"/>
  <c r="G46" i="84"/>
  <c r="G47" i="84" s="1"/>
  <c r="H46" i="84"/>
  <c r="I46" i="84"/>
  <c r="J46" i="84"/>
  <c r="K46" i="84"/>
  <c r="N46" i="84"/>
  <c r="N47" i="84" s="1"/>
  <c r="O46" i="84"/>
  <c r="P46" i="84"/>
  <c r="P47" i="84" s="1"/>
  <c r="P49" i="84" s="1"/>
  <c r="E47" i="84"/>
  <c r="H47" i="84"/>
  <c r="I47" i="84"/>
  <c r="E67" i="84"/>
  <c r="F67" i="84"/>
  <c r="F77" i="84" s="1"/>
  <c r="G67" i="84"/>
  <c r="H67" i="84"/>
  <c r="I67" i="84"/>
  <c r="J67" i="84"/>
  <c r="K67" i="84"/>
  <c r="N67" i="84"/>
  <c r="O67" i="84"/>
  <c r="P67" i="84"/>
  <c r="E70" i="84"/>
  <c r="F70" i="84"/>
  <c r="G70" i="84"/>
  <c r="H70" i="84"/>
  <c r="I70" i="84"/>
  <c r="J70" i="84"/>
  <c r="K70" i="84"/>
  <c r="K77" i="84" s="1"/>
  <c r="N70" i="84"/>
  <c r="O70" i="84"/>
  <c r="O77" i="84" s="1"/>
  <c r="P70" i="84"/>
  <c r="P77" i="84" s="1"/>
  <c r="H77" i="84"/>
  <c r="D24" i="83"/>
  <c r="E24" i="83" s="1"/>
  <c r="D69" i="83"/>
  <c r="D60" i="83"/>
  <c r="D52" i="83"/>
  <c r="E52" i="83" s="1"/>
  <c r="G52" i="83" s="1"/>
  <c r="I52" i="83" s="1"/>
  <c r="Q66" i="1"/>
  <c r="R66" i="1"/>
  <c r="S66" i="1"/>
  <c r="T66" i="1"/>
  <c r="U66" i="1"/>
  <c r="Q69" i="1"/>
  <c r="Q77" i="1" s="1"/>
  <c r="R69" i="1"/>
  <c r="S69" i="1"/>
  <c r="T69" i="1"/>
  <c r="U69" i="1"/>
  <c r="O66" i="1"/>
  <c r="P66" i="1"/>
  <c r="P77" i="1" s="1"/>
  <c r="O69" i="1"/>
  <c r="P69" i="1"/>
  <c r="O77" i="1"/>
  <c r="T77" i="1" l="1"/>
  <c r="R77" i="1"/>
  <c r="U77" i="1"/>
  <c r="T77" i="84"/>
  <c r="R77" i="84"/>
  <c r="S77" i="84"/>
  <c r="R47" i="84"/>
  <c r="R49" i="84" s="1"/>
  <c r="F49" i="84"/>
  <c r="N49" i="84"/>
  <c r="H49" i="84"/>
  <c r="T47" i="84"/>
  <c r="T49" i="84" s="1"/>
  <c r="S77" i="1"/>
  <c r="I49" i="84"/>
  <c r="G49" i="84"/>
  <c r="L77" i="84"/>
  <c r="L47" i="84"/>
  <c r="L83" i="84" s="1"/>
  <c r="I77" i="84"/>
  <c r="G77" i="84"/>
  <c r="N77" i="84"/>
  <c r="J77" i="84"/>
  <c r="O47" i="84"/>
  <c r="O49" i="84" s="1"/>
  <c r="E49" i="84"/>
  <c r="S47" i="84"/>
  <c r="S49" i="84" s="1"/>
  <c r="R83" i="84"/>
  <c r="R100" i="84" s="1"/>
  <c r="K47" i="84"/>
  <c r="J47" i="84"/>
  <c r="J49" i="84" s="1"/>
  <c r="E77" i="84"/>
  <c r="K46" i="96" l="1"/>
  <c r="T83" i="84"/>
  <c r="T85" i="84" s="1"/>
  <c r="R85" i="84"/>
  <c r="L49" i="84"/>
  <c r="L100" i="84"/>
  <c r="L85" i="84"/>
  <c r="S83" i="84"/>
  <c r="S85" i="84" s="1"/>
  <c r="K49" i="84"/>
  <c r="T100" i="84" l="1"/>
  <c r="S100" i="84"/>
  <c r="E46" i="1"/>
  <c r="J41" i="82" l="1"/>
  <c r="J42" i="82"/>
  <c r="J43" i="82"/>
  <c r="H44" i="82"/>
  <c r="I44" i="82"/>
  <c r="J44" i="82"/>
  <c r="G44" i="82"/>
  <c r="F44" i="82" l="1"/>
  <c r="O14" i="86" l="1"/>
  <c r="O16" i="86"/>
  <c r="M29" i="86"/>
  <c r="M30" i="86" s="1"/>
  <c r="M31" i="86" s="1"/>
  <c r="C49" i="82" l="1"/>
  <c r="C50" i="82"/>
  <c r="C51" i="82"/>
  <c r="C52" i="82"/>
  <c r="C53" i="82"/>
  <c r="C54" i="82"/>
  <c r="C55" i="82"/>
  <c r="C56" i="82"/>
  <c r="C57" i="82"/>
  <c r="C58" i="82"/>
  <c r="C48" i="82"/>
  <c r="D49" i="82"/>
  <c r="D50" i="82"/>
  <c r="D51" i="82"/>
  <c r="D52" i="82"/>
  <c r="D53" i="82"/>
  <c r="D54" i="82"/>
  <c r="D55" i="82"/>
  <c r="D56" i="82"/>
  <c r="D57" i="82"/>
  <c r="D58" i="82"/>
  <c r="D48" i="82"/>
  <c r="C14" i="82"/>
  <c r="C15" i="82"/>
  <c r="C16" i="82"/>
  <c r="C17" i="82"/>
  <c r="C18" i="82"/>
  <c r="C19" i="82"/>
  <c r="C20" i="82"/>
  <c r="C21" i="82"/>
  <c r="C22" i="82"/>
  <c r="C23" i="82"/>
  <c r="C24" i="82"/>
  <c r="C25" i="82"/>
  <c r="C26" i="82"/>
  <c r="C27" i="82"/>
  <c r="C28" i="82"/>
  <c r="C29" i="82"/>
  <c r="C30" i="82"/>
  <c r="C31" i="82"/>
  <c r="C32" i="82"/>
  <c r="C33" i="82"/>
  <c r="C34" i="82"/>
  <c r="C35" i="82"/>
  <c r="C36" i="82"/>
  <c r="C37" i="82"/>
  <c r="C38" i="82"/>
  <c r="C39" i="82"/>
  <c r="C40" i="82"/>
  <c r="C13" i="82"/>
  <c r="D14" i="82"/>
  <c r="D15" i="82"/>
  <c r="D16" i="82"/>
  <c r="D17" i="82"/>
  <c r="D18" i="82"/>
  <c r="D19" i="82"/>
  <c r="D20" i="82"/>
  <c r="D21" i="82"/>
  <c r="D22" i="82"/>
  <c r="D23" i="82"/>
  <c r="D24" i="82"/>
  <c r="D25" i="82"/>
  <c r="D26" i="82"/>
  <c r="D27" i="82"/>
  <c r="D28" i="82"/>
  <c r="D29" i="82"/>
  <c r="D30" i="82"/>
  <c r="D31" i="82"/>
  <c r="D32" i="82"/>
  <c r="D33" i="82"/>
  <c r="D34" i="82"/>
  <c r="D35" i="82"/>
  <c r="D36" i="82"/>
  <c r="D37" i="82"/>
  <c r="D38" i="82"/>
  <c r="D39" i="82"/>
  <c r="D40" i="82"/>
  <c r="D13" i="82"/>
  <c r="K66" i="1" l="1"/>
  <c r="K77" i="1" s="1"/>
  <c r="D12" i="83" l="1"/>
  <c r="J13" i="85" l="1"/>
  <c r="G53" i="137" l="1"/>
  <c r="G58" i="137" s="1"/>
  <c r="E53" i="137"/>
  <c r="F53" i="137"/>
  <c r="F58" i="137" s="1"/>
  <c r="D53" i="137"/>
  <c r="C53" i="121"/>
  <c r="C58" i="121" s="1"/>
  <c r="C53" i="123"/>
  <c r="C58" i="123" s="1"/>
  <c r="C53" i="126"/>
  <c r="C58" i="126" s="1"/>
  <c r="C53" i="129"/>
  <c r="C58" i="129" s="1"/>
  <c r="C53" i="133"/>
  <c r="C58" i="133" s="1"/>
  <c r="C53" i="135"/>
  <c r="C58" i="135" s="1"/>
  <c r="C53" i="122"/>
  <c r="C58" i="122" s="1"/>
  <c r="C53" i="124"/>
  <c r="C58" i="124" s="1"/>
  <c r="C53" i="127"/>
  <c r="C58" i="127" s="1"/>
  <c r="C53" i="132"/>
  <c r="C58" i="132" s="1"/>
  <c r="C53" i="134"/>
  <c r="C58" i="134" s="1"/>
  <c r="C53" i="136"/>
  <c r="C58" i="136" s="1"/>
  <c r="C53" i="125"/>
  <c r="C58" i="125" s="1"/>
  <c r="C57" i="101"/>
  <c r="C53" i="102"/>
  <c r="C57" i="102" s="1"/>
  <c r="C53" i="130"/>
  <c r="C53" i="131"/>
  <c r="C58" i="131" s="1"/>
  <c r="C53" i="100"/>
  <c r="C57" i="100" s="1"/>
  <c r="C57" i="99"/>
  <c r="Q53" i="84"/>
  <c r="G53" i="1"/>
  <c r="G57" i="1" s="1"/>
  <c r="J14" i="96" s="1"/>
  <c r="F53" i="84"/>
  <c r="P53" i="84"/>
  <c r="O53" i="84"/>
  <c r="H53" i="84"/>
  <c r="K53" i="84"/>
  <c r="N53" i="84"/>
  <c r="R53" i="84"/>
  <c r="J53" i="84"/>
  <c r="S53" i="84"/>
  <c r="I53" i="84"/>
  <c r="E53" i="84"/>
  <c r="G53" i="84"/>
  <c r="T53" i="84"/>
  <c r="E35" i="96"/>
  <c r="B5" i="1"/>
  <c r="L53" i="84" l="1"/>
  <c r="C58" i="128"/>
  <c r="C53" i="137"/>
  <c r="D58" i="137"/>
  <c r="C58" i="137" s="1"/>
  <c r="M53" i="84"/>
  <c r="M58" i="84" s="1"/>
  <c r="J47" i="96" s="1"/>
  <c r="L47" i="96" s="1"/>
  <c r="N47" i="96" s="1"/>
  <c r="P47" i="96" s="1"/>
  <c r="C58" i="138"/>
  <c r="B5" i="137"/>
  <c r="B5" i="138"/>
  <c r="B5" i="136"/>
  <c r="B5" i="134"/>
  <c r="B5" i="132"/>
  <c r="B5" i="131"/>
  <c r="B5" i="129"/>
  <c r="B5" i="127"/>
  <c r="B5" i="125"/>
  <c r="B5" i="123"/>
  <c r="B5" i="121"/>
  <c r="B5" i="135"/>
  <c r="B5" i="133"/>
  <c r="B5" i="130"/>
  <c r="B5" i="128"/>
  <c r="B5" i="126"/>
  <c r="B5" i="124"/>
  <c r="B5" i="122"/>
  <c r="J50" i="82"/>
  <c r="H58" i="82"/>
  <c r="H57" i="82"/>
  <c r="H56" i="82"/>
  <c r="H55" i="82"/>
  <c r="H54" i="82"/>
  <c r="H53" i="82"/>
  <c r="H52" i="82"/>
  <c r="H51" i="82"/>
  <c r="H50" i="82"/>
  <c r="H48" i="82"/>
  <c r="F58" i="82"/>
  <c r="F57" i="82"/>
  <c r="J40" i="82"/>
  <c r="J39" i="82"/>
  <c r="J38" i="82"/>
  <c r="J37" i="82"/>
  <c r="J36" i="82"/>
  <c r="J35" i="82"/>
  <c r="J34" i="82"/>
  <c r="J33" i="82"/>
  <c r="J32" i="82"/>
  <c r="J31" i="82"/>
  <c r="J30" i="82"/>
  <c r="J29" i="82"/>
  <c r="J28" i="82"/>
  <c r="J27" i="82"/>
  <c r="J26" i="82"/>
  <c r="J25" i="82"/>
  <c r="J24" i="82"/>
  <c r="J23" i="82"/>
  <c r="J22" i="82"/>
  <c r="J21" i="82"/>
  <c r="J20" i="82"/>
  <c r="J19" i="82"/>
  <c r="I19" i="82"/>
  <c r="H19" i="82"/>
  <c r="J18" i="82"/>
  <c r="J17" i="82"/>
  <c r="J16" i="82"/>
  <c r="J15" i="82"/>
  <c r="J55" i="82"/>
  <c r="I55" i="82"/>
  <c r="K98" i="84"/>
  <c r="K92" i="84"/>
  <c r="G55" i="82"/>
  <c r="F55" i="82"/>
  <c r="F98" i="84"/>
  <c r="F92" i="84"/>
  <c r="G50" i="82"/>
  <c r="F50" i="82"/>
  <c r="D30" i="1"/>
  <c r="E30" i="1"/>
  <c r="F30" i="1"/>
  <c r="G15" i="82" s="1"/>
  <c r="I42" i="82"/>
  <c r="I41" i="82"/>
  <c r="H42" i="82"/>
  <c r="G42" i="82"/>
  <c r="G41" i="82"/>
  <c r="F42" i="82"/>
  <c r="F41" i="82"/>
  <c r="R99" i="1"/>
  <c r="Q99" i="1"/>
  <c r="P99" i="1"/>
  <c r="O99" i="1"/>
  <c r="N99" i="1"/>
  <c r="R92" i="1"/>
  <c r="Q92" i="1"/>
  <c r="P92" i="1"/>
  <c r="O92" i="1"/>
  <c r="N92" i="1"/>
  <c r="I26" i="82"/>
  <c r="I25" i="82"/>
  <c r="I24" i="82"/>
  <c r="I23" i="82"/>
  <c r="N69" i="1"/>
  <c r="I22" i="82" s="1"/>
  <c r="H26" i="82"/>
  <c r="H24" i="82"/>
  <c r="H23" i="82"/>
  <c r="N66" i="1"/>
  <c r="R46" i="1"/>
  <c r="Q46" i="1"/>
  <c r="P46" i="1"/>
  <c r="O46" i="1"/>
  <c r="N46" i="1"/>
  <c r="R36" i="1"/>
  <c r="Q36" i="1"/>
  <c r="P36" i="1"/>
  <c r="O36" i="1"/>
  <c r="N36" i="1"/>
  <c r="R30" i="1"/>
  <c r="G26" i="82" s="1"/>
  <c r="Q30" i="1"/>
  <c r="G25" i="82" s="1"/>
  <c r="P30" i="1"/>
  <c r="G24" i="82" s="1"/>
  <c r="O30" i="1"/>
  <c r="G23" i="82" s="1"/>
  <c r="N30" i="1"/>
  <c r="R19" i="1"/>
  <c r="R21" i="1" s="1"/>
  <c r="F26" i="82" s="1"/>
  <c r="Q19" i="1"/>
  <c r="Q21" i="1" s="1"/>
  <c r="F25" i="82" s="1"/>
  <c r="P19" i="1"/>
  <c r="P21" i="1" s="1"/>
  <c r="F24" i="82" s="1"/>
  <c r="O19" i="1"/>
  <c r="O21" i="1" s="1"/>
  <c r="F23" i="82" s="1"/>
  <c r="N19" i="1"/>
  <c r="N21" i="1" s="1"/>
  <c r="F22" i="82" s="1"/>
  <c r="F70" i="83"/>
  <c r="F71" i="83"/>
  <c r="D70" i="83"/>
  <c r="G13" i="82" l="1"/>
  <c r="N77" i="1"/>
  <c r="K21" i="96" s="1"/>
  <c r="G14" i="82"/>
  <c r="H41" i="82"/>
  <c r="N47" i="1"/>
  <c r="N83" i="1" s="1"/>
  <c r="K24" i="96"/>
  <c r="J46" i="82"/>
  <c r="J45" i="82"/>
  <c r="K18" i="96"/>
  <c r="K40" i="96"/>
  <c r="K25" i="96"/>
  <c r="K23" i="96"/>
  <c r="K22" i="96"/>
  <c r="E70" i="83"/>
  <c r="G70" i="83" s="1"/>
  <c r="I70" i="83" s="1"/>
  <c r="H22" i="82"/>
  <c r="H25" i="82"/>
  <c r="G22" i="82"/>
  <c r="K45" i="96"/>
  <c r="F83" i="84"/>
  <c r="K82" i="84"/>
  <c r="F82" i="84"/>
  <c r="R47" i="1"/>
  <c r="R83" i="1" s="1"/>
  <c r="Q47" i="1"/>
  <c r="Q83" i="1" s="1"/>
  <c r="P47" i="1"/>
  <c r="P83" i="1" s="1"/>
  <c r="O47" i="1"/>
  <c r="O83" i="1" s="1"/>
  <c r="N82" i="1"/>
  <c r="Q82" i="1"/>
  <c r="O82" i="1"/>
  <c r="P82" i="1"/>
  <c r="R82" i="1"/>
  <c r="R49" i="1" l="1"/>
  <c r="Q49" i="1"/>
  <c r="P85" i="1"/>
  <c r="P101" i="1" s="1"/>
  <c r="O49" i="1"/>
  <c r="N85" i="1"/>
  <c r="N101" i="1" s="1"/>
  <c r="K83" i="84"/>
  <c r="F85" i="84"/>
  <c r="F100" i="84"/>
  <c r="R85" i="1"/>
  <c r="R101" i="1" s="1"/>
  <c r="Q85" i="1"/>
  <c r="Q101" i="1" s="1"/>
  <c r="P49" i="1"/>
  <c r="O85" i="1"/>
  <c r="O101" i="1" s="1"/>
  <c r="N49" i="1"/>
  <c r="K85" i="84" l="1"/>
  <c r="K100" i="84"/>
  <c r="E64" i="82"/>
  <c r="I59" i="82" l="1"/>
  <c r="J59" i="82"/>
  <c r="J60" i="82" l="1"/>
  <c r="J66" i="82" s="1"/>
  <c r="J68" i="82" s="1"/>
  <c r="J70" i="82" l="1"/>
  <c r="K58" i="83" l="1"/>
  <c r="P98" i="84" l="1"/>
  <c r="P92" i="84"/>
  <c r="P82" i="84"/>
  <c r="G58" i="82"/>
  <c r="K19" i="1"/>
  <c r="K21" i="1" s="1"/>
  <c r="F19" i="82" s="1"/>
  <c r="F43" i="82"/>
  <c r="G43" i="82"/>
  <c r="K30" i="1"/>
  <c r="G19" i="82" s="1"/>
  <c r="K36" i="1"/>
  <c r="K46" i="1"/>
  <c r="H43" i="82"/>
  <c r="I43" i="82"/>
  <c r="K92" i="1"/>
  <c r="K99" i="1"/>
  <c r="K47" i="1" l="1"/>
  <c r="K49" i="1" s="1"/>
  <c r="K83" i="1" l="1"/>
  <c r="K85" i="1" s="1"/>
  <c r="K101" i="1" s="1"/>
  <c r="K50" i="96"/>
  <c r="P83" i="84"/>
  <c r="P85" i="84" l="1"/>
  <c r="P100" i="84"/>
  <c r="E93" i="82"/>
  <c r="C1" i="82" l="1"/>
  <c r="J15" i="85" l="1"/>
  <c r="J14" i="85"/>
  <c r="A7" i="87"/>
  <c r="C1" i="87"/>
  <c r="E58" i="96" l="1"/>
  <c r="K9" i="96" l="1"/>
  <c r="O98" i="84" l="1"/>
  <c r="N98" i="84"/>
  <c r="J98" i="84"/>
  <c r="I98" i="84"/>
  <c r="H98" i="84"/>
  <c r="G98" i="84"/>
  <c r="E98" i="84"/>
  <c r="D98" i="84"/>
  <c r="O92" i="84"/>
  <c r="N92" i="84"/>
  <c r="J92" i="84"/>
  <c r="I92" i="84"/>
  <c r="H92" i="84"/>
  <c r="G92" i="84"/>
  <c r="E92" i="84"/>
  <c r="D92" i="84"/>
  <c r="O82" i="84"/>
  <c r="C92" i="84" l="1"/>
  <c r="C98" i="84"/>
  <c r="D70" i="84"/>
  <c r="C70" i="84" s="1"/>
  <c r="K44" i="96" l="1"/>
  <c r="D67" i="84"/>
  <c r="C67" i="84" s="1"/>
  <c r="K49" i="96" l="1"/>
  <c r="K48" i="96"/>
  <c r="K43" i="96"/>
  <c r="K42" i="96" l="1"/>
  <c r="K41" i="96"/>
  <c r="G57" i="82"/>
  <c r="G52" i="82"/>
  <c r="G56" i="82"/>
  <c r="D19" i="84"/>
  <c r="C19" i="84" s="1"/>
  <c r="F12" i="83"/>
  <c r="D102" i="1"/>
  <c r="D104" i="1" s="1"/>
  <c r="X99" i="1"/>
  <c r="W99" i="1"/>
  <c r="V99" i="1"/>
  <c r="U99" i="1"/>
  <c r="T99" i="1"/>
  <c r="S99" i="1"/>
  <c r="L99" i="1"/>
  <c r="M99" i="1"/>
  <c r="J99" i="1"/>
  <c r="I99" i="1"/>
  <c r="H99" i="1"/>
  <c r="F99" i="1"/>
  <c r="E99" i="1"/>
  <c r="D99" i="1"/>
  <c r="X92" i="1"/>
  <c r="W92" i="1"/>
  <c r="V92" i="1"/>
  <c r="U92" i="1"/>
  <c r="T92" i="1"/>
  <c r="S92" i="1"/>
  <c r="L92" i="1"/>
  <c r="M92" i="1"/>
  <c r="J92" i="1"/>
  <c r="I92" i="1"/>
  <c r="H92" i="1"/>
  <c r="F92" i="1"/>
  <c r="E92" i="1"/>
  <c r="D92" i="1"/>
  <c r="C92" i="1" s="1"/>
  <c r="I40" i="82"/>
  <c r="I39" i="82"/>
  <c r="I38" i="82"/>
  <c r="I37" i="82"/>
  <c r="I36" i="82"/>
  <c r="I35" i="82"/>
  <c r="I34" i="82"/>
  <c r="I33" i="82"/>
  <c r="X69" i="1"/>
  <c r="I32" i="82" s="1"/>
  <c r="W69" i="1"/>
  <c r="I31" i="82" s="1"/>
  <c r="V69" i="1"/>
  <c r="I30" i="82" s="1"/>
  <c r="I29" i="82"/>
  <c r="I28" i="82"/>
  <c r="I27" i="82"/>
  <c r="L69" i="1"/>
  <c r="M69" i="1"/>
  <c r="I21" i="82" s="1"/>
  <c r="J69" i="1"/>
  <c r="I18" i="82" s="1"/>
  <c r="I69" i="1"/>
  <c r="I17" i="82" s="1"/>
  <c r="H69" i="1"/>
  <c r="I16" i="82" s="1"/>
  <c r="F69" i="1"/>
  <c r="I15" i="82" s="1"/>
  <c r="E69" i="1"/>
  <c r="I14" i="82" s="1"/>
  <c r="D69" i="1"/>
  <c r="C69" i="1" s="1"/>
  <c r="X66" i="1"/>
  <c r="X77" i="1" s="1"/>
  <c r="W66" i="1"/>
  <c r="W77" i="1" s="1"/>
  <c r="V66" i="1"/>
  <c r="V77" i="1" s="1"/>
  <c r="L66" i="1"/>
  <c r="M66" i="1"/>
  <c r="J66" i="1"/>
  <c r="J77" i="1" s="1"/>
  <c r="I66" i="1"/>
  <c r="H66" i="1"/>
  <c r="H77" i="1" s="1"/>
  <c r="F66" i="1"/>
  <c r="E66" i="1"/>
  <c r="E77" i="1" s="1"/>
  <c r="D66" i="1"/>
  <c r="X46" i="1"/>
  <c r="W46" i="1"/>
  <c r="V46" i="1"/>
  <c r="U46" i="1"/>
  <c r="T46" i="1"/>
  <c r="S46" i="1"/>
  <c r="L46" i="1"/>
  <c r="M46" i="1"/>
  <c r="J46" i="1"/>
  <c r="I46" i="1"/>
  <c r="H46" i="1"/>
  <c r="F46" i="1"/>
  <c r="D46" i="1"/>
  <c r="X36" i="1"/>
  <c r="W36" i="1"/>
  <c r="V36" i="1"/>
  <c r="U36" i="1"/>
  <c r="T36" i="1"/>
  <c r="S36" i="1"/>
  <c r="L36" i="1"/>
  <c r="M36" i="1"/>
  <c r="J36" i="1"/>
  <c r="I36" i="1"/>
  <c r="H36" i="1"/>
  <c r="F36" i="1"/>
  <c r="E36" i="1"/>
  <c r="E47" i="1" s="1"/>
  <c r="D36" i="1"/>
  <c r="C36" i="1" l="1"/>
  <c r="C99" i="1"/>
  <c r="C46" i="1"/>
  <c r="C66" i="1"/>
  <c r="C77" i="1" s="1"/>
  <c r="I13" i="82"/>
  <c r="D77" i="1"/>
  <c r="F77" i="1"/>
  <c r="M77" i="1"/>
  <c r="K20" i="96" s="1"/>
  <c r="I20" i="82"/>
  <c r="I45" i="82" s="1"/>
  <c r="L77" i="1"/>
  <c r="I77" i="1"/>
  <c r="D71" i="83"/>
  <c r="K12" i="96"/>
  <c r="H14" i="82"/>
  <c r="H16" i="82"/>
  <c r="K17" i="96"/>
  <c r="H20" i="82"/>
  <c r="H28" i="82"/>
  <c r="K27" i="96"/>
  <c r="H30" i="82"/>
  <c r="K29" i="96"/>
  <c r="H32" i="82"/>
  <c r="K31" i="96"/>
  <c r="H34" i="82"/>
  <c r="H36" i="82"/>
  <c r="H38" i="82"/>
  <c r="H40" i="82"/>
  <c r="H13" i="82"/>
  <c r="H15" i="82"/>
  <c r="H17" i="82"/>
  <c r="K16" i="96"/>
  <c r="H21" i="82"/>
  <c r="K26" i="96"/>
  <c r="H27" i="82"/>
  <c r="K28" i="96"/>
  <c r="H29" i="82"/>
  <c r="K30" i="96"/>
  <c r="H31" i="82"/>
  <c r="H33" i="82"/>
  <c r="H35" i="82"/>
  <c r="H37" i="82"/>
  <c r="H39" i="82"/>
  <c r="K15" i="96"/>
  <c r="K19" i="96"/>
  <c r="G51" i="82"/>
  <c r="G53" i="82"/>
  <c r="G24" i="83"/>
  <c r="I24" i="83" s="1"/>
  <c r="G54" i="82"/>
  <c r="C104" i="1"/>
  <c r="D21" i="84"/>
  <c r="C21" i="84" s="1"/>
  <c r="D36" i="84"/>
  <c r="C36" i="84" s="1"/>
  <c r="D46" i="84"/>
  <c r="C46" i="84" s="1"/>
  <c r="G40" i="82"/>
  <c r="G39" i="82"/>
  <c r="G38" i="82"/>
  <c r="G37" i="82"/>
  <c r="G36" i="82"/>
  <c r="G35" i="82"/>
  <c r="G34" i="82"/>
  <c r="G33" i="82"/>
  <c r="X30" i="1"/>
  <c r="G32" i="82" s="1"/>
  <c r="W30" i="1"/>
  <c r="G31" i="82" s="1"/>
  <c r="V30" i="1"/>
  <c r="G30" i="82" s="1"/>
  <c r="U30" i="1"/>
  <c r="G29" i="82" s="1"/>
  <c r="T30" i="1"/>
  <c r="S30" i="1"/>
  <c r="G27" i="82" s="1"/>
  <c r="L30" i="1"/>
  <c r="G20" i="82" s="1"/>
  <c r="M30" i="1"/>
  <c r="G21" i="82" s="1"/>
  <c r="J30" i="1"/>
  <c r="G18" i="82" s="1"/>
  <c r="I30" i="1"/>
  <c r="G17" i="82" s="1"/>
  <c r="H30" i="1"/>
  <c r="X19" i="1"/>
  <c r="W19" i="1"/>
  <c r="V19" i="1"/>
  <c r="U19" i="1"/>
  <c r="T19" i="1"/>
  <c r="S19" i="1"/>
  <c r="L19" i="1"/>
  <c r="M19" i="1"/>
  <c r="J19" i="1"/>
  <c r="I19" i="1"/>
  <c r="H19" i="1"/>
  <c r="F19" i="1"/>
  <c r="E19" i="1"/>
  <c r="D19" i="1"/>
  <c r="B5" i="84"/>
  <c r="K11" i="96" l="1"/>
  <c r="C19" i="1"/>
  <c r="K13" i="96"/>
  <c r="G28" i="82"/>
  <c r="C30" i="1"/>
  <c r="I46" i="82"/>
  <c r="I60" i="82" s="1"/>
  <c r="I66" i="82" s="1"/>
  <c r="I68" i="82" s="1"/>
  <c r="G16" i="82"/>
  <c r="H45" i="82"/>
  <c r="I83" i="84"/>
  <c r="S47" i="1"/>
  <c r="S83" i="1" s="1"/>
  <c r="U47" i="1"/>
  <c r="U83" i="1" s="1"/>
  <c r="W47" i="1"/>
  <c r="W83" i="1" s="1"/>
  <c r="E83" i="1"/>
  <c r="I47" i="1"/>
  <c r="D47" i="1"/>
  <c r="H47" i="1"/>
  <c r="F47" i="1" s="1"/>
  <c r="J47" i="1"/>
  <c r="J83" i="1" s="1"/>
  <c r="L47" i="1"/>
  <c r="L83" i="1" s="1"/>
  <c r="V47" i="1"/>
  <c r="V83" i="1" s="1"/>
  <c r="X47" i="1"/>
  <c r="X83" i="1" s="1"/>
  <c r="O83" i="84"/>
  <c r="O100" i="84" s="1"/>
  <c r="T47" i="1"/>
  <c r="M47" i="1"/>
  <c r="H83" i="84"/>
  <c r="F48" i="82"/>
  <c r="D82" i="84"/>
  <c r="K33" i="96" l="1"/>
  <c r="K35" i="96"/>
  <c r="C47" i="1"/>
  <c r="G45" i="82"/>
  <c r="I70" i="82"/>
  <c r="D83" i="1"/>
  <c r="I83" i="1"/>
  <c r="O85" i="84"/>
  <c r="T83" i="1"/>
  <c r="M83" i="1"/>
  <c r="F38" i="82"/>
  <c r="N83" i="84"/>
  <c r="G83" i="84"/>
  <c r="C83" i="1" l="1"/>
  <c r="F37" i="82"/>
  <c r="X21" i="1"/>
  <c r="F32" i="82" s="1"/>
  <c r="L21" i="1"/>
  <c r="F20" i="82" s="1"/>
  <c r="J83" i="84"/>
  <c r="M21" i="1" l="1"/>
  <c r="F21" i="82" s="1"/>
  <c r="L49" i="1"/>
  <c r="W21" i="1"/>
  <c r="F31" i="82" s="1"/>
  <c r="X82" i="1"/>
  <c r="X85" i="1" s="1"/>
  <c r="X101" i="1" s="1"/>
  <c r="X49" i="1"/>
  <c r="F36" i="82"/>
  <c r="L82" i="1"/>
  <c r="L85" i="1" s="1"/>
  <c r="V21" i="1" l="1"/>
  <c r="F30" i="82" s="1"/>
  <c r="W49" i="1"/>
  <c r="J21" i="1"/>
  <c r="F18" i="82" s="1"/>
  <c r="M82" i="1"/>
  <c r="M49" i="1"/>
  <c r="F35" i="82"/>
  <c r="W82" i="1"/>
  <c r="F34" i="82" l="1"/>
  <c r="I21" i="1"/>
  <c r="F17" i="82" s="1"/>
  <c r="J49" i="1"/>
  <c r="U21" i="1"/>
  <c r="F29" i="82" s="1"/>
  <c r="V49" i="1"/>
  <c r="V57" i="1" s="1"/>
  <c r="V82" i="1"/>
  <c r="W85" i="1"/>
  <c r="W101" i="1" s="1"/>
  <c r="J82" i="1"/>
  <c r="J85" i="1" s="1"/>
  <c r="M85" i="1"/>
  <c r="M101" i="1" s="1"/>
  <c r="H26" i="83"/>
  <c r="J101" i="1" l="1"/>
  <c r="U82" i="1"/>
  <c r="U85" i="1" s="1"/>
  <c r="U101" i="1" s="1"/>
  <c r="V85" i="1"/>
  <c r="V101" i="1" s="1"/>
  <c r="T21" i="1"/>
  <c r="F28" i="82" s="1"/>
  <c r="U49" i="1"/>
  <c r="H21" i="1"/>
  <c r="I82" i="1"/>
  <c r="I85" i="1" s="1"/>
  <c r="I101" i="1" s="1"/>
  <c r="I49" i="1"/>
  <c r="F16" i="82" l="1"/>
  <c r="H49" i="1"/>
  <c r="F21" i="1"/>
  <c r="F15" i="82" s="1"/>
  <c r="H85" i="1"/>
  <c r="S21" i="1"/>
  <c r="T82" i="1"/>
  <c r="T85" i="1" s="1"/>
  <c r="T49" i="1"/>
  <c r="T101" i="1" l="1"/>
  <c r="E21" i="1"/>
  <c r="F14" i="82" s="1"/>
  <c r="F82" i="1"/>
  <c r="F85" i="1" s="1"/>
  <c r="F101" i="1" s="1"/>
  <c r="F49" i="1"/>
  <c r="S82" i="1"/>
  <c r="S85" i="1" s="1"/>
  <c r="S101" i="1" s="1"/>
  <c r="L101" i="1" s="1"/>
  <c r="S49" i="1"/>
  <c r="H101" i="1"/>
  <c r="F54" i="82"/>
  <c r="N82" i="84" l="1"/>
  <c r="N85" i="84" s="1"/>
  <c r="F56" i="82"/>
  <c r="D21" i="1"/>
  <c r="C21" i="1" s="1"/>
  <c r="E82" i="1"/>
  <c r="C68" i="83"/>
  <c r="J82" i="84"/>
  <c r="J85" i="84" s="1"/>
  <c r="F53" i="82"/>
  <c r="F13" i="82" l="1"/>
  <c r="E85" i="1"/>
  <c r="E101" i="1" s="1"/>
  <c r="N100" i="84"/>
  <c r="D82" i="1"/>
  <c r="C82" i="1" s="1"/>
  <c r="D49" i="1"/>
  <c r="C49" i="1" s="1"/>
  <c r="C65" i="83"/>
  <c r="C75" i="83" s="1"/>
  <c r="E14" i="89" s="1"/>
  <c r="F52" i="82"/>
  <c r="I82" i="84"/>
  <c r="J100" i="84"/>
  <c r="O15" i="86"/>
  <c r="O17" i="86" s="1"/>
  <c r="O19" i="86" s="1"/>
  <c r="O21" i="86" s="1"/>
  <c r="O22" i="86" s="1"/>
  <c r="O24" i="86" s="1"/>
  <c r="F31" i="83"/>
  <c r="F72" i="83"/>
  <c r="D72" i="83"/>
  <c r="E72" i="83" s="1"/>
  <c r="A8" i="87"/>
  <c r="A9" i="87" s="1"/>
  <c r="A10" i="87" s="1"/>
  <c r="A11" i="87" s="1"/>
  <c r="A12" i="87" s="1"/>
  <c r="A13" i="87" s="1"/>
  <c r="A14" i="87" s="1"/>
  <c r="A15" i="87" s="1"/>
  <c r="A16" i="87" s="1"/>
  <c r="A17" i="87" s="1"/>
  <c r="A18" i="87" s="1"/>
  <c r="A19" i="87" s="1"/>
  <c r="A20" i="87" s="1"/>
  <c r="A21" i="87" s="1"/>
  <c r="A22" i="87" s="1"/>
  <c r="A23" i="87" s="1"/>
  <c r="A24" i="87" s="1"/>
  <c r="A25" i="87" s="1"/>
  <c r="A26" i="87" s="1"/>
  <c r="A27" i="87" s="1"/>
  <c r="A28" i="87" s="1"/>
  <c r="A29" i="87" s="1"/>
  <c r="A30" i="87" s="1"/>
  <c r="A31" i="87" s="1"/>
  <c r="A32" i="87" s="1"/>
  <c r="A33" i="87" s="1"/>
  <c r="F93" i="82"/>
  <c r="H11" i="82" l="1"/>
  <c r="H46" i="82" s="1"/>
  <c r="D85" i="1"/>
  <c r="C85" i="1" s="1"/>
  <c r="C42" i="83"/>
  <c r="C15" i="83"/>
  <c r="C26" i="83"/>
  <c r="G11" i="82" s="1"/>
  <c r="G46" i="82" s="1"/>
  <c r="I85" i="84"/>
  <c r="I100" i="84"/>
  <c r="F51" i="82"/>
  <c r="H82" i="84"/>
  <c r="G72" i="83"/>
  <c r="I72" i="83" s="1"/>
  <c r="F32" i="96" l="1"/>
  <c r="F14" i="96"/>
  <c r="L55" i="96"/>
  <c r="L52" i="96"/>
  <c r="L14" i="96"/>
  <c r="F51" i="96"/>
  <c r="H51" i="96" s="1"/>
  <c r="F53" i="96"/>
  <c r="H53" i="96" s="1"/>
  <c r="F12" i="96"/>
  <c r="F15" i="96"/>
  <c r="F17" i="96"/>
  <c r="F19" i="96"/>
  <c r="F21" i="96"/>
  <c r="F23" i="96"/>
  <c r="F25" i="96"/>
  <c r="F27" i="96"/>
  <c r="F29" i="96"/>
  <c r="F31" i="96"/>
  <c r="F52" i="96"/>
  <c r="H52" i="96" s="1"/>
  <c r="F54" i="96"/>
  <c r="H54" i="96" s="1"/>
  <c r="F13" i="96"/>
  <c r="F16" i="96"/>
  <c r="F18" i="96"/>
  <c r="F20" i="96"/>
  <c r="F22" i="96"/>
  <c r="F24" i="96"/>
  <c r="F26" i="96"/>
  <c r="F28" i="96"/>
  <c r="F30" i="96"/>
  <c r="F11" i="96"/>
  <c r="D101" i="1"/>
  <c r="C32" i="83"/>
  <c r="G82" i="84"/>
  <c r="H100" i="84"/>
  <c r="H85" i="84"/>
  <c r="F33" i="96" l="1"/>
  <c r="N34" i="86"/>
  <c r="F40" i="96"/>
  <c r="F42" i="96"/>
  <c r="F44" i="96"/>
  <c r="F48" i="96"/>
  <c r="F49" i="96"/>
  <c r="F39" i="96"/>
  <c r="F41" i="96"/>
  <c r="F43" i="96"/>
  <c r="F45" i="96"/>
  <c r="F50" i="96"/>
  <c r="F38" i="96"/>
  <c r="Q84" i="96"/>
  <c r="G20" i="87"/>
  <c r="G85" i="84"/>
  <c r="G100" i="84"/>
  <c r="F56" i="96" l="1"/>
  <c r="D30" i="84"/>
  <c r="C30" i="84" s="1"/>
  <c r="F23" i="83"/>
  <c r="D61" i="83"/>
  <c r="E61" i="83" s="1"/>
  <c r="D47" i="84" l="1"/>
  <c r="C47" i="84" s="1"/>
  <c r="G48" i="82"/>
  <c r="C49" i="84" l="1"/>
  <c r="D23" i="83"/>
  <c r="E23" i="83" s="1"/>
  <c r="G23" i="83" s="1"/>
  <c r="I23" i="83" s="1"/>
  <c r="D83" i="84"/>
  <c r="D77" i="84"/>
  <c r="D53" i="84" s="1"/>
  <c r="C53" i="84" s="1"/>
  <c r="F50" i="83" s="1"/>
  <c r="F60" i="83"/>
  <c r="F62" i="83"/>
  <c r="F63" i="83"/>
  <c r="F64" i="83"/>
  <c r="E60" i="83"/>
  <c r="D62" i="83"/>
  <c r="E62" i="83" s="1"/>
  <c r="D63" i="83"/>
  <c r="E63" i="83" s="1"/>
  <c r="D64" i="83"/>
  <c r="E64" i="83" s="1"/>
  <c r="F66" i="83"/>
  <c r="D66" i="83"/>
  <c r="E66" i="83" s="1"/>
  <c r="F67" i="83"/>
  <c r="D67" i="83"/>
  <c r="E67" i="83" s="1"/>
  <c r="F69" i="83"/>
  <c r="E69" i="83"/>
  <c r="F13" i="83"/>
  <c r="F22" i="83"/>
  <c r="F25" i="83"/>
  <c r="F29" i="83"/>
  <c r="F30" i="83"/>
  <c r="F34" i="83"/>
  <c r="F35" i="83"/>
  <c r="F36" i="83"/>
  <c r="F39" i="83"/>
  <c r="F40" i="83"/>
  <c r="F41" i="83"/>
  <c r="E12" i="83"/>
  <c r="G12" i="83" s="1"/>
  <c r="D13" i="83"/>
  <c r="E13" i="83" s="1"/>
  <c r="D14" i="83"/>
  <c r="E14" i="83" s="1"/>
  <c r="D16" i="83"/>
  <c r="E16" i="83" s="1"/>
  <c r="D21" i="83"/>
  <c r="D22" i="83"/>
  <c r="E22" i="83" s="1"/>
  <c r="D25" i="83"/>
  <c r="E25" i="83" s="1"/>
  <c r="D29" i="83"/>
  <c r="D30" i="83"/>
  <c r="E30" i="83" s="1"/>
  <c r="D31" i="83"/>
  <c r="E31" i="83" s="1"/>
  <c r="G31" i="83" s="1"/>
  <c r="D34" i="83"/>
  <c r="E34" i="83" s="1"/>
  <c r="D35" i="83"/>
  <c r="E35" i="83" s="1"/>
  <c r="D36" i="83"/>
  <c r="E36" i="83" s="1"/>
  <c r="D39" i="83"/>
  <c r="E39" i="83" s="1"/>
  <c r="D40" i="83"/>
  <c r="E40" i="83" s="1"/>
  <c r="D41" i="83"/>
  <c r="E41" i="83" s="1"/>
  <c r="C17" i="83"/>
  <c r="F11" i="82" s="1"/>
  <c r="E71" i="83"/>
  <c r="G71" i="83" s="1"/>
  <c r="I71" i="83" s="1"/>
  <c r="C44" i="83"/>
  <c r="C37" i="83"/>
  <c r="D85" i="84" l="1"/>
  <c r="K38" i="96"/>
  <c r="C77" i="84"/>
  <c r="G62" i="83"/>
  <c r="I62" i="83" s="1"/>
  <c r="G60" i="83"/>
  <c r="I60" i="83" s="1"/>
  <c r="G64" i="83"/>
  <c r="I64" i="83" s="1"/>
  <c r="D68" i="83"/>
  <c r="G36" i="83"/>
  <c r="I36" i="83" s="1"/>
  <c r="D37" i="83"/>
  <c r="G13" i="83"/>
  <c r="I13" i="83" s="1"/>
  <c r="G39" i="83"/>
  <c r="G40" i="83"/>
  <c r="I40" i="83" s="1"/>
  <c r="G34" i="83"/>
  <c r="C46" i="83"/>
  <c r="C56" i="83" s="1"/>
  <c r="F37" i="83"/>
  <c r="G69" i="83"/>
  <c r="I69" i="83" s="1"/>
  <c r="F32" i="83"/>
  <c r="G63" i="83"/>
  <c r="I63" i="83" s="1"/>
  <c r="G66" i="83"/>
  <c r="I66" i="83" s="1"/>
  <c r="I68" i="83" s="1"/>
  <c r="G41" i="83"/>
  <c r="I41" i="83" s="1"/>
  <c r="E42" i="83"/>
  <c r="G30" i="83"/>
  <c r="I30" i="83" s="1"/>
  <c r="F68" i="83"/>
  <c r="D65" i="83"/>
  <c r="D42" i="83"/>
  <c r="G35" i="83"/>
  <c r="I35" i="83" s="1"/>
  <c r="D26" i="83"/>
  <c r="D15" i="83"/>
  <c r="G22" i="83"/>
  <c r="I22" i="83" s="1"/>
  <c r="G25" i="83"/>
  <c r="I25" i="83" s="1"/>
  <c r="F42" i="83"/>
  <c r="D32" i="83"/>
  <c r="G67" i="83"/>
  <c r="E68" i="83"/>
  <c r="E37" i="83"/>
  <c r="E15" i="83"/>
  <c r="E29" i="83"/>
  <c r="E21" i="83"/>
  <c r="E26" i="83" s="1"/>
  <c r="C76" i="83" l="1"/>
  <c r="D9" i="96"/>
  <c r="D100" i="84"/>
  <c r="E65" i="83"/>
  <c r="E75" i="83" s="1"/>
  <c r="D75" i="83"/>
  <c r="D17" i="83"/>
  <c r="E17" i="83" s="1"/>
  <c r="D44" i="83"/>
  <c r="E44" i="83" s="1"/>
  <c r="G42" i="83"/>
  <c r="G37" i="83"/>
  <c r="F16" i="83"/>
  <c r="G29" i="83"/>
  <c r="E32" i="83"/>
  <c r="G68" i="83"/>
  <c r="I29" i="83" l="1"/>
  <c r="J9" i="96"/>
  <c r="F9" i="96"/>
  <c r="D46" i="83"/>
  <c r="G16" i="83"/>
  <c r="I16" i="83" s="1"/>
  <c r="E46" i="83"/>
  <c r="G32" i="83"/>
  <c r="L9" i="96" l="1"/>
  <c r="G59" i="82"/>
  <c r="G60" i="82" s="1"/>
  <c r="G66" i="82" l="1"/>
  <c r="G68" i="82" l="1"/>
  <c r="G70" i="82" l="1"/>
  <c r="F21" i="83" l="1"/>
  <c r="D103" i="1"/>
  <c r="D105" i="1" s="1"/>
  <c r="E83" i="84" l="1"/>
  <c r="C83" i="84" s="1"/>
  <c r="F26" i="83"/>
  <c r="F44" i="83" s="1"/>
  <c r="G21" i="83"/>
  <c r="I21" i="83" s="1"/>
  <c r="I26" i="83" s="1"/>
  <c r="G26" i="83" l="1"/>
  <c r="G44" i="83"/>
  <c r="E102" i="1" l="1"/>
  <c r="F102" i="1" s="1"/>
  <c r="G102" i="1" s="1"/>
  <c r="D52" i="1"/>
  <c r="E104" i="1"/>
  <c r="G104" i="1" l="1"/>
  <c r="G103" i="1"/>
  <c r="D57" i="1"/>
  <c r="J11" i="96" s="1"/>
  <c r="F40" i="82"/>
  <c r="E103" i="1"/>
  <c r="E105" i="1" s="1"/>
  <c r="F103" i="1"/>
  <c r="H102" i="1"/>
  <c r="F104" i="1"/>
  <c r="G105" i="1" l="1"/>
  <c r="L11" i="96"/>
  <c r="E57" i="1"/>
  <c r="J12" i="96" s="1"/>
  <c r="L12" i="96" s="1"/>
  <c r="F46" i="82"/>
  <c r="F45" i="82"/>
  <c r="H103" i="1"/>
  <c r="I102" i="1"/>
  <c r="H104" i="1"/>
  <c r="F105" i="1"/>
  <c r="F52" i="1" s="1"/>
  <c r="H105" i="1" l="1"/>
  <c r="F57" i="1"/>
  <c r="I103" i="1"/>
  <c r="J102" i="1"/>
  <c r="K102" i="1" s="1"/>
  <c r="I104" i="1"/>
  <c r="H57" i="1" l="1"/>
  <c r="J15" i="96" s="1"/>
  <c r="L15" i="96" s="1"/>
  <c r="J13" i="96"/>
  <c r="I105" i="1"/>
  <c r="J103" i="1"/>
  <c r="M102" i="1"/>
  <c r="J104" i="1"/>
  <c r="L13" i="96" l="1"/>
  <c r="M103" i="1"/>
  <c r="L102" i="1"/>
  <c r="O102" i="1" s="1"/>
  <c r="M104" i="1"/>
  <c r="I57" i="1"/>
  <c r="J105" i="1"/>
  <c r="J57" i="1" s="1"/>
  <c r="J17" i="96" l="1"/>
  <c r="L17" i="96" s="1"/>
  <c r="J16" i="96"/>
  <c r="Q102" i="1"/>
  <c r="O104" i="1"/>
  <c r="O103" i="1"/>
  <c r="R104" i="1"/>
  <c r="R53" i="1" s="1"/>
  <c r="R103" i="1"/>
  <c r="M53" i="1"/>
  <c r="L103" i="1"/>
  <c r="S102" i="1"/>
  <c r="L104" i="1"/>
  <c r="M105" i="1"/>
  <c r="M54" i="1" s="1"/>
  <c r="L16" i="96" l="1"/>
  <c r="C54" i="1"/>
  <c r="D51" i="83" s="1"/>
  <c r="E51" i="83" s="1"/>
  <c r="G51" i="83" s="1"/>
  <c r="I51" i="83" s="1"/>
  <c r="Q104" i="1"/>
  <c r="Q103" i="1"/>
  <c r="R105" i="1"/>
  <c r="R57" i="1" s="1"/>
  <c r="O105" i="1"/>
  <c r="O57" i="1" s="1"/>
  <c r="M57" i="1"/>
  <c r="J20" i="96" s="1"/>
  <c r="L105" i="1"/>
  <c r="S103" i="1"/>
  <c r="T102" i="1"/>
  <c r="S104" i="1"/>
  <c r="J25" i="96" l="1"/>
  <c r="L25" i="96" s="1"/>
  <c r="J22" i="96"/>
  <c r="L22" i="96" s="1"/>
  <c r="Q105" i="1"/>
  <c r="Q57" i="1" s="1"/>
  <c r="L20" i="96"/>
  <c r="L57" i="1"/>
  <c r="S105" i="1"/>
  <c r="S57" i="1" s="1"/>
  <c r="T104" i="1"/>
  <c r="T103" i="1"/>
  <c r="U102" i="1"/>
  <c r="J19" i="96" l="1"/>
  <c r="L19" i="96" s="1"/>
  <c r="J24" i="96"/>
  <c r="L24" i="96" s="1"/>
  <c r="J26" i="96"/>
  <c r="L26" i="96" s="1"/>
  <c r="T105" i="1"/>
  <c r="U103" i="1"/>
  <c r="V102" i="1"/>
  <c r="U104" i="1"/>
  <c r="T57" i="1" l="1"/>
  <c r="J27" i="96" s="1"/>
  <c r="L27" i="96" s="1"/>
  <c r="U105" i="1"/>
  <c r="U57" i="1" s="1"/>
  <c r="J28" i="96" s="1"/>
  <c r="L28" i="96" s="1"/>
  <c r="V104" i="1"/>
  <c r="V103" i="1"/>
  <c r="W102" i="1"/>
  <c r="V105" i="1" l="1"/>
  <c r="W103" i="1"/>
  <c r="X102" i="1"/>
  <c r="Y102" i="1" s="1"/>
  <c r="W104" i="1"/>
  <c r="Y104" i="1" l="1"/>
  <c r="Y103" i="1"/>
  <c r="J29" i="96"/>
  <c r="L29" i="96" s="1"/>
  <c r="D35" i="96"/>
  <c r="D58" i="96" s="1"/>
  <c r="W105" i="1"/>
  <c r="X104" i="1"/>
  <c r="X103" i="1"/>
  <c r="Y105" i="1" l="1"/>
  <c r="Y57" i="1" s="1"/>
  <c r="J32" i="96" s="1"/>
  <c r="L32" i="96" s="1"/>
  <c r="W57" i="1"/>
  <c r="J30" i="96" s="1"/>
  <c r="L30" i="96" s="1"/>
  <c r="X105" i="1"/>
  <c r="N102" i="1" l="1"/>
  <c r="N104" i="1" s="1"/>
  <c r="K103" i="1"/>
  <c r="K105" i="1" s="1"/>
  <c r="P102" i="1" l="1"/>
  <c r="P104" i="1" s="1"/>
  <c r="N103" i="1"/>
  <c r="N105" i="1" s="1"/>
  <c r="K57" i="1" l="1"/>
  <c r="J18" i="96" s="1"/>
  <c r="P103" i="1"/>
  <c r="P105" i="1" s="1"/>
  <c r="P57" i="1" s="1"/>
  <c r="N57" i="1"/>
  <c r="L18" i="96" l="1"/>
  <c r="J23" i="96"/>
  <c r="L23" i="96" s="1"/>
  <c r="J21" i="96"/>
  <c r="L21" i="96" s="1"/>
  <c r="J16" i="85"/>
  <c r="E16" i="89" l="1"/>
  <c r="M19" i="89" s="1"/>
  <c r="G78" i="82"/>
  <c r="G13" i="87" l="1"/>
  <c r="E78" i="82"/>
  <c r="Q79" i="96" l="1"/>
  <c r="F78" i="82"/>
  <c r="M55" i="96" l="1"/>
  <c r="N55" i="96" s="1"/>
  <c r="P55" i="96" s="1"/>
  <c r="M51" i="96"/>
  <c r="M45" i="96"/>
  <c r="M41" i="96"/>
  <c r="M30" i="96"/>
  <c r="M26" i="96"/>
  <c r="N26" i="96" s="1"/>
  <c r="M22" i="96"/>
  <c r="N22" i="96" s="1"/>
  <c r="M18" i="96"/>
  <c r="M14" i="96"/>
  <c r="N14" i="96" s="1"/>
  <c r="M54" i="96"/>
  <c r="M50" i="96"/>
  <c r="M44" i="96"/>
  <c r="M40" i="96"/>
  <c r="M29" i="96"/>
  <c r="M25" i="96"/>
  <c r="M21" i="96"/>
  <c r="M17" i="96"/>
  <c r="M12" i="96"/>
  <c r="M46" i="96"/>
  <c r="M13" i="96"/>
  <c r="M53" i="96"/>
  <c r="M49" i="96"/>
  <c r="M43" i="96"/>
  <c r="M32" i="96"/>
  <c r="N32" i="96" s="1"/>
  <c r="M28" i="96"/>
  <c r="N28" i="96" s="1"/>
  <c r="M24" i="96"/>
  <c r="M20" i="96"/>
  <c r="N20" i="96" s="1"/>
  <c r="M16" i="96"/>
  <c r="M9" i="96"/>
  <c r="M52" i="96"/>
  <c r="N52" i="96" s="1"/>
  <c r="P52" i="96" s="1"/>
  <c r="M48" i="96"/>
  <c r="M42" i="96"/>
  <c r="M31" i="96"/>
  <c r="M27" i="96"/>
  <c r="N27" i="96" s="1"/>
  <c r="M23" i="96"/>
  <c r="N23" i="96" s="1"/>
  <c r="M19" i="96"/>
  <c r="M15" i="96"/>
  <c r="M11" i="96"/>
  <c r="M38" i="96"/>
  <c r="H32" i="96"/>
  <c r="P32" i="96" s="1"/>
  <c r="H14" i="96"/>
  <c r="P14" i="96" s="1"/>
  <c r="G14" i="96"/>
  <c r="G32" i="96"/>
  <c r="G12" i="96"/>
  <c r="H12" i="96" s="1"/>
  <c r="G13" i="96"/>
  <c r="H13" i="96" s="1"/>
  <c r="G26" i="96"/>
  <c r="H26" i="96" s="1"/>
  <c r="P26" i="96" s="1"/>
  <c r="G27" i="96"/>
  <c r="H27" i="96" s="1"/>
  <c r="P27" i="96" s="1"/>
  <c r="G29" i="96"/>
  <c r="H29" i="96" s="1"/>
  <c r="G31" i="96"/>
  <c r="H31" i="96" s="1"/>
  <c r="G28" i="96"/>
  <c r="H28" i="96" s="1"/>
  <c r="G30" i="96"/>
  <c r="H30" i="96" s="1"/>
  <c r="G42" i="96"/>
  <c r="H42" i="96" s="1"/>
  <c r="G44" i="96"/>
  <c r="H44" i="96" s="1"/>
  <c r="G48" i="96"/>
  <c r="H48" i="96" s="1"/>
  <c r="G49" i="96"/>
  <c r="H49" i="96" s="1"/>
  <c r="G39" i="96"/>
  <c r="G41" i="96"/>
  <c r="H41" i="96" s="1"/>
  <c r="G43" i="96"/>
  <c r="H43" i="96" s="1"/>
  <c r="G45" i="96"/>
  <c r="H45" i="96" s="1"/>
  <c r="G50" i="96"/>
  <c r="H50" i="96" s="1"/>
  <c r="G38" i="96"/>
  <c r="G40" i="96"/>
  <c r="H40" i="96" s="1"/>
  <c r="G24" i="96"/>
  <c r="H24" i="96" s="1"/>
  <c r="G19" i="96"/>
  <c r="H19" i="96" s="1"/>
  <c r="G21" i="96"/>
  <c r="H21" i="96" s="1"/>
  <c r="G15" i="96"/>
  <c r="H15" i="96" s="1"/>
  <c r="G17" i="96"/>
  <c r="H17" i="96" s="1"/>
  <c r="G11" i="96"/>
  <c r="G22" i="96"/>
  <c r="H22" i="96" s="1"/>
  <c r="G23" i="96"/>
  <c r="H23" i="96" s="1"/>
  <c r="G25" i="96"/>
  <c r="H25" i="96" s="1"/>
  <c r="G18" i="96"/>
  <c r="H18" i="96" s="1"/>
  <c r="G20" i="96"/>
  <c r="H20" i="96" s="1"/>
  <c r="G16" i="96"/>
  <c r="H16" i="96" s="1"/>
  <c r="G9" i="96"/>
  <c r="H9" i="96" s="1"/>
  <c r="N11" i="96"/>
  <c r="N9" i="96"/>
  <c r="N29" i="96"/>
  <c r="N30" i="96"/>
  <c r="N21" i="96"/>
  <c r="N24" i="96"/>
  <c r="N25" i="96"/>
  <c r="Q80" i="96"/>
  <c r="Q81" i="96" s="1"/>
  <c r="N19" i="96"/>
  <c r="N16" i="96"/>
  <c r="N18" i="96"/>
  <c r="N13" i="96"/>
  <c r="N17" i="96"/>
  <c r="N12" i="96"/>
  <c r="P28" i="96" l="1"/>
  <c r="N15" i="96"/>
  <c r="M33" i="96"/>
  <c r="M35" i="96"/>
  <c r="G33" i="96"/>
  <c r="H38" i="96"/>
  <c r="G56" i="96"/>
  <c r="P15" i="96"/>
  <c r="P12" i="96"/>
  <c r="P18" i="96"/>
  <c r="P19" i="96"/>
  <c r="P25" i="96"/>
  <c r="P22" i="96"/>
  <c r="P24" i="96"/>
  <c r="P21" i="96"/>
  <c r="P29" i="96"/>
  <c r="P17" i="96"/>
  <c r="P13" i="96"/>
  <c r="P16" i="96"/>
  <c r="P23" i="96"/>
  <c r="P20" i="96"/>
  <c r="P30" i="96"/>
  <c r="F35" i="96"/>
  <c r="F58" i="96" s="1"/>
  <c r="G35" i="96"/>
  <c r="H39" i="96"/>
  <c r="H11" i="96"/>
  <c r="H33" i="96" s="1"/>
  <c r="H56" i="96" l="1"/>
  <c r="H35" i="96"/>
  <c r="P11" i="96"/>
  <c r="G58" i="96"/>
  <c r="H58" i="96" l="1"/>
  <c r="G24" i="87" s="1"/>
  <c r="F59" i="82"/>
  <c r="F60" i="82" s="1"/>
  <c r="F66" i="82" s="1"/>
  <c r="F68" i="82" l="1"/>
  <c r="E85" i="82"/>
  <c r="E88" i="82" s="1"/>
  <c r="F85" i="82"/>
  <c r="F88" i="82" s="1"/>
  <c r="F70" i="82" l="1"/>
  <c r="F14" i="83"/>
  <c r="G14" i="83" l="1"/>
  <c r="I14" i="83" s="1"/>
  <c r="F15" i="83"/>
  <c r="G15" i="83" l="1"/>
  <c r="E82" i="84"/>
  <c r="C82" i="84" s="1"/>
  <c r="F17" i="83"/>
  <c r="F46" i="83" l="1"/>
  <c r="G17" i="83"/>
  <c r="G46" i="83" s="1"/>
  <c r="E85" i="84"/>
  <c r="E100" i="84"/>
  <c r="C85" i="84" l="1"/>
  <c r="C100" i="84" s="1"/>
  <c r="H59" i="82"/>
  <c r="H60" i="82" s="1"/>
  <c r="H66" i="82" s="1"/>
  <c r="H68" i="82" l="1"/>
  <c r="E76" i="82"/>
  <c r="F76" i="82"/>
  <c r="F80" i="82" l="1"/>
  <c r="F82" i="82"/>
  <c r="H70" i="82"/>
  <c r="E80" i="82"/>
  <c r="E82" i="82"/>
  <c r="E91" i="82" l="1"/>
  <c r="E95" i="82" s="1"/>
  <c r="E97" i="82" s="1"/>
  <c r="F91" i="82"/>
  <c r="F95" i="82" s="1"/>
  <c r="F97" i="82" s="1"/>
  <c r="G97" i="82" s="1"/>
  <c r="F61" i="83"/>
  <c r="G95" i="82" l="1"/>
  <c r="G61" i="83"/>
  <c r="I61" i="83" s="1"/>
  <c r="I65" i="83" s="1"/>
  <c r="I75" i="83" s="1"/>
  <c r="F65" i="83"/>
  <c r="K39" i="96" l="1"/>
  <c r="G65" i="83"/>
  <c r="G75" i="83" s="1"/>
  <c r="M18" i="89" s="1"/>
  <c r="M20" i="89" s="1"/>
  <c r="M24" i="89" s="1"/>
  <c r="M26" i="89" s="1"/>
  <c r="F75" i="83"/>
  <c r="M39" i="96" l="1"/>
  <c r="K56" i="96"/>
  <c r="G12" i="87"/>
  <c r="E18" i="89"/>
  <c r="M56" i="96" l="1"/>
  <c r="M58" i="96" s="1"/>
  <c r="K58" i="96"/>
  <c r="Q82" i="96" s="1"/>
  <c r="Q83" i="96" s="1"/>
  <c r="Q85" i="96" s="1"/>
  <c r="G18" i="89" l="1"/>
  <c r="G21" i="89" s="1"/>
  <c r="G26" i="89" s="1"/>
  <c r="G28" i="89" l="1"/>
  <c r="G32" i="89" s="1"/>
  <c r="C101" i="1" l="1"/>
  <c r="C103" i="1" s="1"/>
  <c r="C105" i="1" s="1"/>
  <c r="D101" i="84" l="1"/>
  <c r="D102" i="84" s="1"/>
  <c r="F101" i="84" l="1"/>
  <c r="E101" i="84"/>
  <c r="D103" i="84"/>
  <c r="F103" i="84" l="1"/>
  <c r="F102" i="84"/>
  <c r="E103" i="84"/>
  <c r="G101" i="84"/>
  <c r="E102" i="84"/>
  <c r="D104" i="84"/>
  <c r="F104" i="84" l="1"/>
  <c r="F58" i="84" s="1"/>
  <c r="J40" i="96" s="1"/>
  <c r="L40" i="96" s="1"/>
  <c r="D58" i="84"/>
  <c r="G103" i="84"/>
  <c r="G102" i="84"/>
  <c r="H101" i="84"/>
  <c r="E104" i="84"/>
  <c r="E58" i="84" s="1"/>
  <c r="J39" i="96" s="1"/>
  <c r="L39" i="96" s="1"/>
  <c r="N39" i="96" s="1"/>
  <c r="P39" i="96" s="1"/>
  <c r="N40" i="96" l="1"/>
  <c r="P40" i="96" s="1"/>
  <c r="G104" i="84"/>
  <c r="G58" i="84" s="1"/>
  <c r="J41" i="96" s="1"/>
  <c r="L41" i="96" s="1"/>
  <c r="N41" i="96" s="1"/>
  <c r="P41" i="96" s="1"/>
  <c r="H103" i="84"/>
  <c r="O101" i="84"/>
  <c r="H102" i="84"/>
  <c r="H104" i="84" s="1"/>
  <c r="H58" i="84" s="1"/>
  <c r="J42" i="96" s="1"/>
  <c r="L42" i="96" s="1"/>
  <c r="N42" i="96" s="1"/>
  <c r="P42" i="96" s="1"/>
  <c r="I101" i="84"/>
  <c r="J38" i="96"/>
  <c r="I102" i="84" l="1"/>
  <c r="J101" i="84"/>
  <c r="Q101" i="84" s="1"/>
  <c r="I103" i="84"/>
  <c r="P101" i="84"/>
  <c r="O102" i="84"/>
  <c r="O103" i="84"/>
  <c r="T101" i="84"/>
  <c r="L38" i="96"/>
  <c r="Q103" i="84" l="1"/>
  <c r="Q102" i="84"/>
  <c r="N38" i="96"/>
  <c r="T103" i="84"/>
  <c r="T102" i="84"/>
  <c r="O104" i="84"/>
  <c r="O52" i="84" s="1"/>
  <c r="J49" i="96" s="1"/>
  <c r="I104" i="84"/>
  <c r="P103" i="84"/>
  <c r="P102" i="84"/>
  <c r="N101" i="84"/>
  <c r="J103" i="84"/>
  <c r="L101" i="84"/>
  <c r="K101" i="84"/>
  <c r="J102" i="84"/>
  <c r="L49" i="96" l="1"/>
  <c r="N49" i="96" s="1"/>
  <c r="P49" i="96" s="1"/>
  <c r="Q104" i="84"/>
  <c r="Q52" i="84" s="1"/>
  <c r="Q58" i="84" s="1"/>
  <c r="J51" i="96" s="1"/>
  <c r="L51" i="96" s="1"/>
  <c r="N51" i="96" s="1"/>
  <c r="P51" i="96" s="1"/>
  <c r="J104" i="84"/>
  <c r="J58" i="84" s="1"/>
  <c r="J44" i="96" s="1"/>
  <c r="L44" i="96" s="1"/>
  <c r="N44" i="96" s="1"/>
  <c r="P44" i="96" s="1"/>
  <c r="L103" i="84"/>
  <c r="L102" i="84"/>
  <c r="N103" i="84"/>
  <c r="S101" i="84"/>
  <c r="N102" i="84"/>
  <c r="N104" i="84" s="1"/>
  <c r="N52" i="84" s="1"/>
  <c r="N58" i="84" s="1"/>
  <c r="J48" i="96" s="1"/>
  <c r="L48" i="96" s="1"/>
  <c r="N48" i="96" s="1"/>
  <c r="K103" i="84"/>
  <c r="K104" i="84" s="1"/>
  <c r="K52" i="84" s="1"/>
  <c r="R101" i="84"/>
  <c r="P104" i="84"/>
  <c r="P52" i="84" s="1"/>
  <c r="P58" i="84" s="1"/>
  <c r="J50" i="96" s="1"/>
  <c r="I58" i="84"/>
  <c r="T104" i="84"/>
  <c r="T52" i="84" s="1"/>
  <c r="T58" i="84" s="1"/>
  <c r="J54" i="96" s="1"/>
  <c r="L54" i="96" s="1"/>
  <c r="N54" i="96" s="1"/>
  <c r="P54" i="96" s="1"/>
  <c r="P38" i="96"/>
  <c r="L50" i="96" l="1"/>
  <c r="N50" i="96" s="1"/>
  <c r="P50" i="96" s="1"/>
  <c r="P48" i="96"/>
  <c r="K58" i="84"/>
  <c r="S103" i="84"/>
  <c r="S102" i="84"/>
  <c r="L104" i="84"/>
  <c r="C102" i="84"/>
  <c r="J43" i="96"/>
  <c r="R103" i="84"/>
  <c r="R102" i="84"/>
  <c r="C103" i="84"/>
  <c r="R104" i="84" l="1"/>
  <c r="R52" i="84" s="1"/>
  <c r="R58" i="84" s="1"/>
  <c r="J45" i="96"/>
  <c r="L45" i="96" s="1"/>
  <c r="L43" i="96"/>
  <c r="C104" i="84"/>
  <c r="S104" i="84"/>
  <c r="J53" i="96" s="1"/>
  <c r="L53" i="96" s="1"/>
  <c r="N53" i="96" s="1"/>
  <c r="P53" i="96" s="1"/>
  <c r="L58" i="84"/>
  <c r="J46" i="96" s="1"/>
  <c r="L46" i="96" s="1"/>
  <c r="N46" i="96" s="1"/>
  <c r="P46" i="96" s="1"/>
  <c r="N45" i="96" l="1"/>
  <c r="P45" i="96" s="1"/>
  <c r="L56" i="96"/>
  <c r="J56" i="96"/>
  <c r="C58" i="84"/>
  <c r="F49" i="83"/>
  <c r="F53" i="83" s="1"/>
  <c r="N43" i="96"/>
  <c r="N56" i="96" l="1"/>
  <c r="F56" i="83"/>
  <c r="P43" i="96"/>
  <c r="P56" i="96" l="1"/>
  <c r="D33" i="96" l="1"/>
  <c r="C52" i="1" l="1"/>
  <c r="D49" i="83" s="1"/>
  <c r="E49" i="83" l="1"/>
  <c r="G49" i="83" l="1"/>
  <c r="E53" i="83"/>
  <c r="C57" i="119" l="1"/>
  <c r="X53" i="1"/>
  <c r="C53" i="1" l="1"/>
  <c r="X57" i="1"/>
  <c r="J31" i="96" s="1"/>
  <c r="J33" i="96" l="1"/>
  <c r="L31" i="96"/>
  <c r="J35" i="96"/>
  <c r="J58" i="96" s="1"/>
  <c r="C57" i="1"/>
  <c r="D50" i="83"/>
  <c r="L33" i="96" l="1"/>
  <c r="N31" i="96"/>
  <c r="L35" i="96"/>
  <c r="L58" i="96" s="1"/>
  <c r="E50" i="83"/>
  <c r="G50" i="83" s="1"/>
  <c r="D53" i="83"/>
  <c r="D56" i="83" s="1"/>
  <c r="E56" i="83" s="1"/>
  <c r="E76" i="83" l="1"/>
  <c r="G56" i="83"/>
  <c r="I50" i="83"/>
  <c r="G53" i="83"/>
  <c r="N33" i="96"/>
  <c r="N35" i="96"/>
  <c r="N58" i="96" s="1"/>
  <c r="P31" i="96"/>
  <c r="P33" i="96" s="1"/>
  <c r="P58" i="96" s="1"/>
  <c r="G76" i="83" l="1"/>
  <c r="G16" i="87"/>
  <c r="G18" i="87" s="1"/>
  <c r="G22" i="87" s="1"/>
  <c r="N59" i="96" l="1"/>
  <c r="G25" i="87"/>
  <c r="H12" i="83"/>
  <c r="H10" i="83" s="1"/>
  <c r="M12" i="86"/>
  <c r="M16" i="86" l="1"/>
  <c r="M2" i="86"/>
  <c r="M15" i="86"/>
  <c r="M14" i="86"/>
  <c r="K12" i="83"/>
  <c r="I12" i="83"/>
  <c r="I15" i="83" s="1"/>
  <c r="I17" i="83" s="1"/>
  <c r="K9" i="83"/>
  <c r="N62" i="96" s="1"/>
  <c r="H15" i="83"/>
  <c r="H17" i="83" s="1"/>
  <c r="P59" i="96"/>
  <c r="P60" i="96" s="1"/>
  <c r="N60" i="96"/>
  <c r="Q60" i="96" s="1"/>
  <c r="M17" i="86" l="1"/>
  <c r="M19" i="86" s="1"/>
  <c r="M21" i="86" s="1"/>
  <c r="M22" i="86" s="1"/>
  <c r="M24" i="86" s="1"/>
  <c r="H34" i="83"/>
  <c r="H39" i="83"/>
  <c r="H31" i="83"/>
  <c r="N2" i="86"/>
  <c r="M6" i="86"/>
  <c r="H32" i="83" l="1"/>
  <c r="I31" i="83"/>
  <c r="I32" i="83" s="1"/>
  <c r="H37" i="83"/>
  <c r="I34" i="83"/>
  <c r="I37" i="83" s="1"/>
  <c r="O2" i="86"/>
  <c r="O6" i="86" s="1"/>
  <c r="N4" i="86"/>
  <c r="N6" i="86" s="1"/>
  <c r="H42" i="83"/>
  <c r="I39" i="83"/>
  <c r="I42" i="83" s="1"/>
  <c r="I44" i="83" l="1"/>
  <c r="I46" i="83" s="1"/>
  <c r="H44" i="83"/>
  <c r="H46" i="83" s="1"/>
  <c r="H49" i="83" s="1"/>
  <c r="H53" i="83" s="1"/>
  <c r="H56" i="83" s="1"/>
  <c r="I49" i="83" l="1"/>
  <c r="I53" i="83" s="1"/>
  <c r="I56" i="83" s="1"/>
  <c r="I76" i="83" s="1"/>
</calcChain>
</file>

<file path=xl/comments1.xml><?xml version="1.0" encoding="utf-8"?>
<comments xmlns="http://schemas.openxmlformats.org/spreadsheetml/2006/main">
  <authors>
    <author>Huang, Joanna (UTC)</author>
  </authors>
  <commentList>
    <comment ref="J56" authorId="0">
      <text>
        <r>
          <rPr>
            <sz val="9"/>
            <color indexed="81"/>
            <rFont val="Tahoma"/>
            <family val="2"/>
          </rPr>
          <t xml:space="preserve">diff $3k due to rounding 
</t>
        </r>
      </text>
    </comment>
    <comment ref="H58" authorId="0">
      <text>
        <r>
          <rPr>
            <b/>
            <sz val="9"/>
            <color indexed="81"/>
            <rFont val="Tahoma"/>
            <family val="2"/>
          </rPr>
          <t>Diff $1k due to rounding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Edward Keating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Edward Keating:</t>
        </r>
        <r>
          <rPr>
            <sz val="8"/>
            <color indexed="81"/>
            <rFont val="Tahoma"/>
            <family val="2"/>
          </rPr>
          <t xml:space="preserve">
EMA-2
</t>
        </r>
      </text>
    </comment>
  </commentList>
</comments>
</file>

<file path=xl/sharedStrings.xml><?xml version="1.0" encoding="utf-8"?>
<sst xmlns="http://schemas.openxmlformats.org/spreadsheetml/2006/main" count="4098" uniqueCount="407">
  <si>
    <t xml:space="preserve">Deferred </t>
  </si>
  <si>
    <t>Settlement</t>
  </si>
  <si>
    <t>Eliminate</t>
  </si>
  <si>
    <t>Restate</t>
  </si>
  <si>
    <t>Pro Forma</t>
  </si>
  <si>
    <t>Line</t>
  </si>
  <si>
    <t>FIT</t>
  </si>
  <si>
    <t>Common</t>
  </si>
  <si>
    <t>Power</t>
  </si>
  <si>
    <t>Restated</t>
  </si>
  <si>
    <t>No.</t>
  </si>
  <si>
    <t>DESCRIPTION</t>
  </si>
  <si>
    <t>Rate Base</t>
  </si>
  <si>
    <t>Adjustment</t>
  </si>
  <si>
    <t>Supply</t>
  </si>
  <si>
    <t>Taxes</t>
  </si>
  <si>
    <t>Expense</t>
  </si>
  <si>
    <t>Damages</t>
  </si>
  <si>
    <t>Revenues</t>
  </si>
  <si>
    <t>Expenses</t>
  </si>
  <si>
    <t>EXPENSES</t>
  </si>
  <si>
    <t>RATE BASE</t>
  </si>
  <si>
    <t>Transmission</t>
  </si>
  <si>
    <t>RATE OF RETURN</t>
  </si>
  <si>
    <t>Description</t>
  </si>
  <si>
    <t xml:space="preserve">     Restated Total</t>
  </si>
  <si>
    <t>WA Power</t>
  </si>
  <si>
    <t>Weighted</t>
  </si>
  <si>
    <t>Cost</t>
  </si>
  <si>
    <t>Proposed Rate of Return</t>
  </si>
  <si>
    <t>Net Operating Income Requirement</t>
  </si>
  <si>
    <t>Total</t>
  </si>
  <si>
    <t>Conversion Factor</t>
  </si>
  <si>
    <t>Revenue Requirement</t>
  </si>
  <si>
    <t>Adjustments</t>
  </si>
  <si>
    <t>Percent</t>
  </si>
  <si>
    <t>Revenue Conversion Factor</t>
  </si>
  <si>
    <t>Pro Forma Rate Base</t>
  </si>
  <si>
    <t>Normalization</t>
  </si>
  <si>
    <t xml:space="preserve">    Pro Forma Total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</si>
  <si>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</si>
  <si>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</si>
  <si>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</si>
  <si>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</si>
  <si>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</si>
  <si>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</si>
  <si>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</si>
  <si>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Production and Transmission  </t>
  </si>
  <si>
    <t xml:space="preserve">Operating Expenses  </t>
  </si>
  <si>
    <t xml:space="preserve">Purchased Power  </t>
  </si>
  <si>
    <t xml:space="preserve">Depreciation and Amortization  </t>
  </si>
  <si>
    <t xml:space="preserve">Taxes  </t>
  </si>
  <si>
    <t xml:space="preserve">Total Production &amp; Transmission  </t>
  </si>
  <si>
    <t xml:space="preserve">Distribution  </t>
  </si>
  <si>
    <t xml:space="preserve">Depreciation  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</si>
  <si>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</si>
  <si>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</si>
  <si>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</si>
  <si>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</si>
  <si>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</si>
  <si>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</si>
  <si>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</si>
  <si>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</si>
  <si>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</si>
  <si>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 </t>
  </si>
  <si>
    <t xml:space="preserve">Deferred Income Taxes  </t>
  </si>
  <si>
    <t xml:space="preserve">NET OPERATING INCOME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</si>
  <si>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</si>
  <si>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</si>
  <si>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</si>
  <si>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</si>
  <si>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</si>
  <si>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</si>
  <si>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 xml:space="preserve">Total Accum. Depreciation &amp; Amort.  </t>
  </si>
  <si>
    <t xml:space="preserve">TOTAL RATE BASE  </t>
  </si>
  <si>
    <t>Revenue</t>
  </si>
  <si>
    <t>Labor</t>
  </si>
  <si>
    <t>NonExec</t>
  </si>
  <si>
    <t>Exec</t>
  </si>
  <si>
    <t>Rev/Exp</t>
  </si>
  <si>
    <t>Adj</t>
  </si>
  <si>
    <t>Production Factor</t>
  </si>
  <si>
    <t>Proposed Production and Transmission Revenue Requirement</t>
  </si>
  <si>
    <t>Debt Cost</t>
  </si>
  <si>
    <t>Tax Effect</t>
  </si>
  <si>
    <t>(Rate Base x Debt Cost x -35%)</t>
  </si>
  <si>
    <t>Net Expense</t>
  </si>
  <si>
    <t>(Expense - Revenue)</t>
  </si>
  <si>
    <t>(Net Expense x -.35%)</t>
  </si>
  <si>
    <t>Total Prod/Trans</t>
  </si>
  <si>
    <t>Prod/Trans Rev Requirement per kWh</t>
  </si>
  <si>
    <t>Revenue Credit on Load Change</t>
  </si>
  <si>
    <t>Conversion Factor (Excl. Rev. Rel. Exp.)</t>
  </si>
  <si>
    <t>1 - Tax Rate</t>
  </si>
  <si>
    <t>Prod/Trans</t>
  </si>
  <si>
    <t>Calculation of Proposed Retail Revenue Credit Rate</t>
  </si>
  <si>
    <t xml:space="preserve">Pro Forma </t>
  </si>
  <si>
    <t>Total Debt</t>
  </si>
  <si>
    <t>RESULT OF OPERATIONS</t>
  </si>
  <si>
    <t>(000's of Dollars)</t>
  </si>
  <si>
    <t>(a)</t>
  </si>
  <si>
    <t>(b)</t>
  </si>
  <si>
    <t>(c)</t>
  </si>
  <si>
    <t>(e)</t>
  </si>
  <si>
    <t>(f)</t>
  </si>
  <si>
    <t>(g)</t>
  </si>
  <si>
    <t>(h)</t>
  </si>
  <si>
    <t>(i)</t>
  </si>
  <si>
    <t>Results</t>
  </si>
  <si>
    <t>Unadjusted</t>
  </si>
  <si>
    <t xml:space="preserve">Restating </t>
  </si>
  <si>
    <t>Staff</t>
  </si>
  <si>
    <t>Source</t>
  </si>
  <si>
    <t>Schedule 1.2</t>
  </si>
  <si>
    <t>(b) + (c)</t>
  </si>
  <si>
    <t>Schedule 1.3</t>
  </si>
  <si>
    <t>INCOME TAX COMPUTATION</t>
  </si>
  <si>
    <t xml:space="preserve">  Revenues</t>
  </si>
  <si>
    <t xml:space="preserve">  Expenses</t>
  </si>
  <si>
    <t>Book Income before Income Taxes</t>
  </si>
  <si>
    <t>SCHEDULE M ADDITIONS</t>
  </si>
  <si>
    <t>Book Depreciation</t>
  </si>
  <si>
    <t>Other</t>
  </si>
  <si>
    <t xml:space="preserve">   Total Sch M Additions</t>
  </si>
  <si>
    <t>SCHEDULE M DEDUCTIONS</t>
  </si>
  <si>
    <t xml:space="preserve">  Total Sch M Deductions</t>
  </si>
  <si>
    <t xml:space="preserve">   Tax Rate </t>
  </si>
  <si>
    <t>Federal Income Tax</t>
  </si>
  <si>
    <t>Deferred Tax</t>
  </si>
  <si>
    <t>Total Regulatory Federal Income Tax</t>
  </si>
  <si>
    <t>Contributions in Aid of Construction</t>
  </si>
  <si>
    <t>Avista Corporation</t>
  </si>
  <si>
    <t>Total Income Taxes</t>
  </si>
  <si>
    <t>Deferred Power Costs</t>
  </si>
  <si>
    <t xml:space="preserve">  Interest Expense</t>
  </si>
  <si>
    <t>WUTC Regulatory Fee</t>
  </si>
  <si>
    <t>Total Revenue Sensitive Items</t>
  </si>
  <si>
    <t>Total adjustments</t>
  </si>
  <si>
    <t>of Total</t>
  </si>
  <si>
    <t>Utility Revenue Tax</t>
  </si>
  <si>
    <t>Effective Income Tax Rate at 35%</t>
  </si>
  <si>
    <t>Net Operating Income before FIT</t>
  </si>
  <si>
    <t>Preferred Stock</t>
  </si>
  <si>
    <t>Common Stock</t>
  </si>
  <si>
    <t>Ln 4 - Ln 9</t>
  </si>
  <si>
    <t>Ln 9 + Ln 13</t>
  </si>
  <si>
    <t>Revenue Requirement Computation</t>
  </si>
  <si>
    <t>At</t>
  </si>
  <si>
    <t>Total Pro Forma Average Rate Base</t>
  </si>
  <si>
    <t>Weighted Cost of Capital</t>
  </si>
  <si>
    <t>Operating Income Requirement</t>
  </si>
  <si>
    <t>Pro Forma Net Operating Income (Loss)</t>
  </si>
  <si>
    <t>Operating Income Deficiency</t>
  </si>
  <si>
    <t>Additional Revenue Requirement</t>
  </si>
  <si>
    <t>Restating</t>
  </si>
  <si>
    <t>Source:</t>
  </si>
  <si>
    <t>(j)</t>
  </si>
  <si>
    <t>(k)</t>
  </si>
  <si>
    <t>(l)</t>
  </si>
  <si>
    <t>(m)</t>
  </si>
  <si>
    <t>(n)</t>
  </si>
  <si>
    <t>Restate Excise Taxes</t>
  </si>
  <si>
    <t>Revenue Normalization</t>
  </si>
  <si>
    <t xml:space="preserve">(000's of Dollars)   </t>
  </si>
  <si>
    <t>Amount</t>
  </si>
  <si>
    <t>Weighted Cost of Debt</t>
  </si>
  <si>
    <t>Pro Forma Interest Expense</t>
  </si>
  <si>
    <t>Interest Expense Per Books</t>
  </si>
  <si>
    <t>Adjustment to Interest Expense</t>
  </si>
  <si>
    <t>Income Tax Effect</t>
  </si>
  <si>
    <t>(o)</t>
  </si>
  <si>
    <t>(p)</t>
  </si>
  <si>
    <t>(q)</t>
  </si>
  <si>
    <t>(s)</t>
  </si>
  <si>
    <t>(t)</t>
  </si>
  <si>
    <t>(u)</t>
  </si>
  <si>
    <t>(v)</t>
  </si>
  <si>
    <t>Section 199 - Domestic Production Activites Deduction</t>
  </si>
  <si>
    <t>Tax Depreciation</t>
  </si>
  <si>
    <t>NOI</t>
  </si>
  <si>
    <t>Net Rate Base</t>
  </si>
  <si>
    <t>Difference</t>
  </si>
  <si>
    <t>Eliminate B &amp; O Taxes</t>
  </si>
  <si>
    <t>Injuries and  Damages</t>
  </si>
  <si>
    <t>Eliminate WA Power Cost Defer</t>
  </si>
  <si>
    <t>Nez Perce Settlement Adjustment</t>
  </si>
  <si>
    <t>Uncollect. Expense</t>
  </si>
  <si>
    <t>Regulatory Expense</t>
  </si>
  <si>
    <t>Net Gains/losses</t>
  </si>
  <si>
    <t>Pro Forma Adjustments</t>
  </si>
  <si>
    <t>Power Supply</t>
  </si>
  <si>
    <t>Prod Property Adj</t>
  </si>
  <si>
    <t>Labor NonExec</t>
  </si>
  <si>
    <t>Labor Exec</t>
  </si>
  <si>
    <t>Transmission Rev/Exp</t>
  </si>
  <si>
    <t>Amount filed</t>
  </si>
  <si>
    <t>Revenue Requirement Impact</t>
  </si>
  <si>
    <t>Rate of Return / Capital Structure Impact</t>
  </si>
  <si>
    <t>(d)</t>
  </si>
  <si>
    <t>(g)-(d)</t>
  </si>
  <si>
    <t xml:space="preserve"> Impact of Change in Weighted Cost of Capital</t>
  </si>
  <si>
    <t>Avista Filed Capital Structure</t>
  </si>
  <si>
    <t>Staff Adjusted Capital Structure</t>
  </si>
  <si>
    <t>Staff Weighted Cost of Capital</t>
  </si>
  <si>
    <t>Avista Filed Weighted Cost of Capital</t>
  </si>
  <si>
    <t>Reduction in Weighted Cost of Capital</t>
  </si>
  <si>
    <t>Staff Adjusted Rate Base</t>
  </si>
  <si>
    <t>Deferred  FIT Rate Base</t>
  </si>
  <si>
    <t>Office Space Charges to Subsidiaries</t>
  </si>
  <si>
    <t>** Pro Forma Debt is computed using Staff proposed debt rates and Staff Pro Forma Rate Base</t>
  </si>
  <si>
    <t>Linked Data</t>
  </si>
  <si>
    <t>% Increase in Revenue</t>
  </si>
  <si>
    <t>$  Increase in Revenue</t>
  </si>
  <si>
    <t>Linked</t>
  </si>
  <si>
    <t>Subsidiaries</t>
  </si>
  <si>
    <t>Public Utility Tax Rate</t>
  </si>
  <si>
    <t>Uncollectable</t>
  </si>
  <si>
    <t>Uncollectable effect</t>
  </si>
  <si>
    <t>Net PU Tax Rate</t>
  </si>
  <si>
    <t>Add: AFUDC interest deducted for taxes</t>
  </si>
  <si>
    <t>DR</t>
  </si>
  <si>
    <t>Employee</t>
  </si>
  <si>
    <t>Benefits</t>
  </si>
  <si>
    <t>Insurance</t>
  </si>
  <si>
    <t>2010 WA Retail Load in Power Supply</t>
  </si>
  <si>
    <t>12ME09 2008</t>
  </si>
  <si>
    <t>Misc Restating</t>
  </si>
  <si>
    <t>Employee Benefits</t>
  </si>
  <si>
    <t xml:space="preserve">* Revenue Requirement Impact of adjustments based on company filed Weighted Cost of Capital </t>
  </si>
  <si>
    <t>Test Year WA Normalized Retail Load</t>
  </si>
  <si>
    <t>Acc Depreciation</t>
  </si>
  <si>
    <t>Load-Adjusted Production/Transmission Costs</t>
  </si>
  <si>
    <t>Staff / Settlement Adjusted</t>
  </si>
  <si>
    <t>Corrected Production Property Adjustment</t>
  </si>
  <si>
    <t>Originally filed</t>
  </si>
  <si>
    <t>Highlighted - Settlement</t>
  </si>
  <si>
    <t>Working Capital</t>
  </si>
  <si>
    <t>Amortized Investment Tax Credit</t>
  </si>
  <si>
    <t>Amortized ITC</t>
  </si>
  <si>
    <t>CDR</t>
  </si>
  <si>
    <t>Working</t>
  </si>
  <si>
    <t>Capital</t>
  </si>
  <si>
    <t>(r)</t>
  </si>
  <si>
    <t>Sum (c) thru (ah) + staff proposed</t>
  </si>
  <si>
    <t>Accumulated Depreciation</t>
  </si>
  <si>
    <t>Accum. Provision for Amortization</t>
  </si>
  <si>
    <t>Gain on Sale of Building</t>
  </si>
  <si>
    <t>Customer Deposits</t>
  </si>
  <si>
    <t>Deferred FIT</t>
  </si>
  <si>
    <t>Gain on sale of Building</t>
  </si>
  <si>
    <t>Keating</t>
  </si>
  <si>
    <t>Foisy</t>
  </si>
  <si>
    <t>Breda</t>
  </si>
  <si>
    <t>Completed?</t>
  </si>
  <si>
    <t>Contested?</t>
  </si>
  <si>
    <t>Taxable Income Ln 5 + Ln 10 - Ln 15</t>
  </si>
  <si>
    <t>Sum (c) thru (o)</t>
  </si>
  <si>
    <t>Ln 6 thru 8</t>
  </si>
  <si>
    <t>35% x Ln 11</t>
  </si>
  <si>
    <t>1 - (Ln 14 / Ln 4)</t>
  </si>
  <si>
    <t>Ln 7 x Ln 8</t>
  </si>
  <si>
    <t>Ln 9 - Ln 11</t>
  </si>
  <si>
    <t>Ln 13 / Ln 15</t>
  </si>
  <si>
    <t>Ln 17 - Ln 19</t>
  </si>
  <si>
    <t>Preferred Trust</t>
  </si>
  <si>
    <t>Production Property Adjustment</t>
  </si>
  <si>
    <t>Interest Adjustment</t>
  </si>
  <si>
    <t>EMA-2</t>
  </si>
  <si>
    <t>Taxable Income (Ln 3 thru Ln 5)+ Ln 10 - Ln 15</t>
  </si>
  <si>
    <t>Hidden</t>
  </si>
  <si>
    <t>Restating Adjustments</t>
  </si>
  <si>
    <t>Blue Indicates Linked Data</t>
  </si>
  <si>
    <t>Revenue Conversion Factor Computation</t>
  </si>
  <si>
    <t>Total Interest Deducted</t>
  </si>
  <si>
    <t>Interest Expense</t>
  </si>
  <si>
    <t>Other: AFUDC deducted in filing but not in case</t>
  </si>
  <si>
    <t>(d) + (e)</t>
  </si>
  <si>
    <t>Exhibit Number</t>
  </si>
  <si>
    <t>Total Sch M Additions</t>
  </si>
  <si>
    <t>Total Sch M Deductions</t>
  </si>
  <si>
    <t xml:space="preserve">Tax Rate </t>
  </si>
  <si>
    <t>Exhibit No. ___ (XXX-2)</t>
  </si>
  <si>
    <t>RR Impact</t>
  </si>
  <si>
    <t>Adjusted RR</t>
  </si>
  <si>
    <t xml:space="preserve"> Impact of Δ in Weighted COC</t>
  </si>
  <si>
    <t>Restating Adjustment R-xx</t>
  </si>
  <si>
    <t>Pro Forma Adjustment PF #</t>
  </si>
  <si>
    <t>Production Plant</t>
  </si>
  <si>
    <t>Sched 1.1, Ln 65, Col (f)</t>
  </si>
  <si>
    <t>Sched 4, Ln 11</t>
  </si>
  <si>
    <t>computed</t>
  </si>
  <si>
    <t>From</t>
  </si>
  <si>
    <t>To</t>
  </si>
  <si>
    <t>Sched 1.1, Ln 46, Col (f)</t>
  </si>
  <si>
    <t>Sched 3, Ln 16</t>
  </si>
  <si>
    <t>Sched 1.1, Ln 3, Col (g)</t>
  </si>
  <si>
    <t>Company WP</t>
  </si>
  <si>
    <t>per WAC</t>
  </si>
  <si>
    <t>Uncollectibles</t>
  </si>
  <si>
    <t>Sched 2, Ln 15</t>
  </si>
  <si>
    <t>Pro Forma Cost of Capital</t>
  </si>
  <si>
    <t>Per Books Results</t>
  </si>
  <si>
    <t>Total Adjusted</t>
  </si>
  <si>
    <t xml:space="preserve">     Restating Total</t>
  </si>
  <si>
    <t>E</t>
  </si>
  <si>
    <t>Per Books</t>
  </si>
  <si>
    <t>Blue Indicates Linked Cell</t>
  </si>
  <si>
    <t>Sched 4, Ln 8</t>
  </si>
  <si>
    <t>computed (Ln 9 * Ln 11)</t>
  </si>
  <si>
    <t>computed (Ln 16 - Ln 19)</t>
  </si>
  <si>
    <t>computed (-Ln 21 * 35%)</t>
  </si>
  <si>
    <t xml:space="preserve">Sch 1.2, Ln 38, Col (ah) </t>
  </si>
  <si>
    <t>per DOR adjusted for Uncollectibles</t>
  </si>
  <si>
    <t xml:space="preserve">Regulatory </t>
  </si>
  <si>
    <t>Losses</t>
  </si>
  <si>
    <t>Restating Incentives Adj</t>
  </si>
  <si>
    <t>Restate Debt Interest</t>
  </si>
  <si>
    <t>R-30 (af)</t>
  </si>
  <si>
    <t>R-31 (ag)</t>
  </si>
  <si>
    <t>R-32 (ah)</t>
  </si>
  <si>
    <t>R-2 (ae)</t>
  </si>
  <si>
    <t>Debt</t>
  </si>
  <si>
    <t>Interest</t>
  </si>
  <si>
    <t>CS2</t>
  </si>
  <si>
    <t>Maintenance</t>
  </si>
  <si>
    <t>Incentive</t>
  </si>
  <si>
    <t>PCB</t>
  </si>
  <si>
    <t>Transformer</t>
  </si>
  <si>
    <t>Misc.</t>
  </si>
  <si>
    <t xml:space="preserve">Revenue </t>
  </si>
  <si>
    <t>Nte</t>
  </si>
  <si>
    <t xml:space="preserve">Gains / </t>
  </si>
  <si>
    <t>Colstrip /</t>
  </si>
  <si>
    <t xml:space="preserve">Excise </t>
  </si>
  <si>
    <t xml:space="preserve"> Taxes</t>
  </si>
  <si>
    <t>Office Spcae</t>
  </si>
  <si>
    <t xml:space="preserve">Charges to </t>
  </si>
  <si>
    <t>A/R Expenses</t>
  </si>
  <si>
    <t>Net Perce</t>
  </si>
  <si>
    <t>Cost Defer</t>
  </si>
  <si>
    <t>FIT / DFIT</t>
  </si>
  <si>
    <t>ITC / PTC</t>
  </si>
  <si>
    <t xml:space="preserve">Injuries </t>
  </si>
  <si>
    <t xml:space="preserve">and </t>
  </si>
  <si>
    <t>Uncollect.</t>
  </si>
  <si>
    <t xml:space="preserve"> B &amp; O</t>
  </si>
  <si>
    <t>Deferred</t>
  </si>
  <si>
    <t xml:space="preserve">Debits and </t>
  </si>
  <si>
    <t>Credits</t>
  </si>
  <si>
    <t>Regulatory Amortization</t>
  </si>
  <si>
    <t>e</t>
  </si>
  <si>
    <t>Deferred Debits and Credits</t>
  </si>
  <si>
    <t>2011</t>
  </si>
  <si>
    <t xml:space="preserve">O &amp; M </t>
  </si>
  <si>
    <t>Offsets</t>
  </si>
  <si>
    <t>Depreciation</t>
  </si>
  <si>
    <t xml:space="preserve"> Study</t>
  </si>
  <si>
    <t xml:space="preserve">Retail </t>
  </si>
  <si>
    <t>Revenue Credit</t>
  </si>
  <si>
    <t xml:space="preserve">Planned </t>
  </si>
  <si>
    <t>Capital Addition</t>
  </si>
  <si>
    <t>2012</t>
  </si>
  <si>
    <t>2013 AMA</t>
  </si>
  <si>
    <t>DSM</t>
  </si>
  <si>
    <t>Attrition Adjustment</t>
  </si>
  <si>
    <t>SCHEDULE  M  DEDUCTIONS</t>
  </si>
  <si>
    <t>Debt Interest</t>
  </si>
  <si>
    <t>FIT/DFIT/ITC/PTC eXPENSE</t>
  </si>
  <si>
    <t>Eliminate A/R Expense</t>
  </si>
  <si>
    <t>Net Gain / Losses</t>
  </si>
  <si>
    <t>PCB Transformer restating</t>
  </si>
  <si>
    <t>Colstrip / CS2 Maintenance</t>
  </si>
  <si>
    <t>Total Restating Adjustments</t>
  </si>
  <si>
    <t xml:space="preserve">Restated </t>
  </si>
  <si>
    <t>Restate 2011 Capital</t>
  </si>
  <si>
    <t>Capital Additions 2012</t>
  </si>
  <si>
    <t>Capital Additions 2013</t>
  </si>
  <si>
    <t>Retail Revenue Credit</t>
  </si>
  <si>
    <t>Depreciation Study</t>
  </si>
  <si>
    <t>O &amp; M Offsets</t>
  </si>
  <si>
    <t>Pro Forma Results</t>
  </si>
  <si>
    <t>?</t>
  </si>
  <si>
    <t>Huang</t>
  </si>
  <si>
    <t>Buckley/Mickelson</t>
  </si>
  <si>
    <t>Buckley/Breda</t>
  </si>
  <si>
    <t>Breda/Buckley</t>
  </si>
  <si>
    <t>Adjustment 2.17</t>
  </si>
  <si>
    <t>ok</t>
  </si>
  <si>
    <t>Non-Recurring</t>
  </si>
  <si>
    <t>Correction</t>
  </si>
  <si>
    <t>FIT Correction</t>
  </si>
  <si>
    <t>Restate Non-Recurring Expense</t>
  </si>
  <si>
    <t>Pro Forma Capital Addition</t>
  </si>
  <si>
    <t>Total  Rate Base - Per Book</t>
  </si>
  <si>
    <t>Attrition</t>
  </si>
  <si>
    <t>Schedule 2.0, line 17</t>
  </si>
  <si>
    <t>Staff Proposed</t>
  </si>
  <si>
    <t>at Present Rate</t>
  </si>
  <si>
    <t xml:space="preserve">Before </t>
  </si>
  <si>
    <t>After Attrition</t>
  </si>
  <si>
    <t>Property Tax</t>
  </si>
  <si>
    <t xml:space="preserve"> Property</t>
  </si>
  <si>
    <t>Smart Grid</t>
  </si>
  <si>
    <t>Disallowance</t>
  </si>
  <si>
    <t>Decrease</t>
  </si>
  <si>
    <t>(f) + (g)</t>
  </si>
  <si>
    <t>Smart Grid Disallowance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</si>
</sst>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_);\(#,###\)"/>
    <numFmt numFmtId="165" formatCode="_(&quot;$&quot;#,###_);_(&quot;$&quot;\ \(#,###\);_(* _);_(@_)"/>
    <numFmt numFmtId="166" formatCode="0.000000"/>
    <numFmt numFmtId="167" formatCode="0.000%"/>
    <numFmt numFmtId="168" formatCode="_(* #,##0_);_(* \(#,##0\);_(* &quot;-&quot;??_);_(@_)"/>
    <numFmt numFmtId="169" formatCode="_(&quot;$&quot;* #,##0.00000_);_(&quot;$&quot;* \(#,##0.00000\);_(&quot;$&quot;* &quot;-&quot;??_);_(@_)"/>
    <numFmt numFmtId="170" formatCode="#,##0.000000"/>
    <numFmt numFmtId="171" formatCode="#,###_);\(#,###\)\,\ "/>
    <numFmt numFmtId="172" formatCode="0.0000%"/>
    <numFmt numFmtId="173" formatCode="0.00000"/>
    <numFmt numFmtId="174" formatCode="0.00%;\(0.00%\)"/>
    <numFmt numFmtId="175" formatCode="&quot;Increase of &quot;0.00%"/>
    <numFmt numFmtId="176" formatCode="_(&quot;$&quot;\ #,##0_);_(&quot;$&quot;\ \(#,##0\);_(&quot;$&quot;\ &quot;-&quot;??_);_(@_)"/>
    <numFmt numFmtId="177" formatCode="_(* #,##0.00_);_(* \(#,##0.00\);_(* &quot;-&quot;_);_(@_)"/>
    <numFmt numFmtId="178" formatCode="0.0%"/>
    <numFmt numFmtId="179" formatCode="&quot;decrease of &quot;0.00%"/>
  </numFmts>
  <fonts count="53">
    <font>
      <sz val="12"/>
      <name val="Times New Roman"/>
      <family val="1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sz val="10"/>
      <color rgb="FF1317AD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sz val="9"/>
      <color indexed="57"/>
      <name val="Arial"/>
      <family val="2"/>
    </font>
    <font>
      <b/>
      <sz val="9"/>
      <color indexed="57"/>
      <name val="Arial"/>
      <family val="2"/>
    </font>
    <font>
      <b/>
      <sz val="9"/>
      <color indexed="10"/>
      <name val="Arial"/>
      <family val="2"/>
    </font>
    <font>
      <sz val="9"/>
      <color indexed="17"/>
      <name val="Arial"/>
      <family val="2"/>
    </font>
    <font>
      <b/>
      <sz val="9"/>
      <color indexed="17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sz val="9"/>
      <color rgb="FF0000FF"/>
      <name val="Arial"/>
      <family val="2"/>
    </font>
    <font>
      <sz val="7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10"/>
      <name val="Times New Roman"/>
      <family val="1"/>
    </font>
    <font>
      <i/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71">
    <xf numFmtId="37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14" fontId="9" fillId="0" borderId="0"/>
    <xf numFmtId="37" fontId="10" fillId="0" borderId="0"/>
    <xf numFmtId="41" fontId="5" fillId="0" borderId="0"/>
    <xf numFmtId="0" fontId="12" fillId="0" borderId="0"/>
    <xf numFmtId="0" fontId="4" fillId="0" borderId="0"/>
    <xf numFmtId="0" fontId="4" fillId="0" borderId="0"/>
    <xf numFmtId="41" fontId="9" fillId="0" borderId="0"/>
    <xf numFmtId="0" fontId="12" fillId="0" borderId="0"/>
    <xf numFmtId="37" fontId="10" fillId="0" borderId="0"/>
    <xf numFmtId="0" fontId="4" fillId="0" borderId="0"/>
    <xf numFmtId="0" fontId="4" fillId="0" borderId="0"/>
    <xf numFmtId="171" fontId="4" fillId="0" borderId="0"/>
    <xf numFmtId="9" fontId="3" fillId="0" borderId="0" applyFont="0" applyFill="0" applyBorder="0" applyAlignment="0" applyProtection="0"/>
    <xf numFmtId="1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" fillId="0" borderId="0"/>
    <xf numFmtId="0" fontId="3" fillId="0" borderId="0"/>
    <xf numFmtId="0" fontId="13" fillId="0" borderId="0"/>
    <xf numFmtId="14" fontId="6" fillId="0" borderId="0"/>
    <xf numFmtId="41" fontId="6" fillId="0" borderId="0"/>
    <xf numFmtId="43" fontId="14" fillId="0" borderId="0" applyFont="0" applyFill="0" applyBorder="0" applyAlignment="0" applyProtection="0"/>
    <xf numFmtId="0" fontId="14" fillId="0" borderId="0"/>
    <xf numFmtId="0" fontId="15" fillId="0" borderId="0"/>
    <xf numFmtId="14" fontId="6" fillId="0" borderId="0"/>
    <xf numFmtId="14" fontId="6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5" fillId="0" borderId="0"/>
    <xf numFmtId="41" fontId="3" fillId="0" borderId="0" applyFont="0" applyFill="0" applyBorder="0" applyAlignment="0" applyProtection="0"/>
    <xf numFmtId="37" fontId="10" fillId="0" borderId="0"/>
    <xf numFmtId="37" fontId="10" fillId="0" borderId="0"/>
    <xf numFmtId="0" fontId="10" fillId="0" borderId="0"/>
    <xf numFmtId="37" fontId="10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1" fillId="11" borderId="0"/>
    <xf numFmtId="0" fontId="3" fillId="0" borderId="0"/>
  </cellStyleXfs>
  <cellXfs count="759">
    <xf numFmtId="37" fontId="0" fillId="0" borderId="0" xfId="0"/>
    <xf numFmtId="171" fontId="3" fillId="0" borderId="0" xfId="16" applyFont="1" applyFill="1"/>
    <xf numFmtId="171" fontId="3" fillId="0" borderId="0" xfId="16" applyFont="1"/>
    <xf numFmtId="171" fontId="3" fillId="7" borderId="0" xfId="16" applyFont="1" applyFill="1"/>
    <xf numFmtId="3" fontId="3" fillId="7" borderId="0" xfId="16" applyNumberFormat="1" applyFont="1" applyFill="1"/>
    <xf numFmtId="3" fontId="3" fillId="0" borderId="0" xfId="16" applyNumberFormat="1" applyFont="1" applyFill="1"/>
    <xf numFmtId="171" fontId="18" fillId="0" borderId="0" xfId="16" applyFont="1" applyAlignment="1">
      <alignment horizontal="center"/>
    </xf>
    <xf numFmtId="171" fontId="18" fillId="7" borderId="0" xfId="16" applyFont="1" applyFill="1" applyAlignment="1">
      <alignment horizontal="center"/>
    </xf>
    <xf numFmtId="171" fontId="18" fillId="0" borderId="0" xfId="16" applyFont="1" applyFill="1" applyBorder="1" applyAlignment="1">
      <alignment horizontal="center"/>
    </xf>
    <xf numFmtId="171" fontId="3" fillId="0" borderId="0" xfId="16" applyFont="1" applyFill="1" applyBorder="1"/>
    <xf numFmtId="3" fontId="18" fillId="0" borderId="0" xfId="16" applyNumberFormat="1" applyFont="1" applyFill="1" applyBorder="1" applyAlignment="1">
      <alignment horizontal="center"/>
    </xf>
    <xf numFmtId="171" fontId="18" fillId="0" borderId="10" xfId="16" applyFont="1" applyFill="1" applyBorder="1" applyAlignment="1">
      <alignment horizontal="center"/>
    </xf>
    <xf numFmtId="3" fontId="18" fillId="0" borderId="10" xfId="16" applyNumberFormat="1" applyFont="1" applyFill="1" applyBorder="1" applyAlignment="1">
      <alignment horizontal="center"/>
    </xf>
    <xf numFmtId="171" fontId="3" fillId="0" borderId="0" xfId="16" applyFont="1" applyAlignment="1">
      <alignment horizontal="center"/>
    </xf>
    <xf numFmtId="0" fontId="3" fillId="0" borderId="0" xfId="14" applyFont="1" applyFill="1"/>
    <xf numFmtId="5" fontId="3" fillId="0" borderId="0" xfId="14" applyNumberFormat="1" applyFont="1" applyFill="1"/>
    <xf numFmtId="5" fontId="3" fillId="0" borderId="0" xfId="16" applyNumberFormat="1" applyFont="1" applyFill="1"/>
    <xf numFmtId="5" fontId="3" fillId="0" borderId="0" xfId="10" applyNumberFormat="1" applyFont="1" applyFill="1"/>
    <xf numFmtId="5" fontId="3" fillId="0" borderId="0" xfId="2" applyNumberFormat="1" applyFont="1" applyFill="1"/>
    <xf numFmtId="5" fontId="3" fillId="0" borderId="0" xfId="16" applyNumberFormat="1" applyFont="1"/>
    <xf numFmtId="37" fontId="3" fillId="0" borderId="0" xfId="14" applyNumberFormat="1" applyFont="1" applyFill="1"/>
    <xf numFmtId="37" fontId="3" fillId="0" borderId="0" xfId="16" applyNumberFormat="1" applyFont="1" applyFill="1"/>
    <xf numFmtId="168" fontId="3" fillId="0" borderId="0" xfId="1" applyNumberFormat="1" applyFont="1" applyFill="1" applyProtection="1">
      <protection locked="0"/>
    </xf>
    <xf numFmtId="168" fontId="3" fillId="0" borderId="0" xfId="1" applyNumberFormat="1" applyFont="1" applyFill="1"/>
    <xf numFmtId="168" fontId="3" fillId="0" borderId="10" xfId="1" applyNumberFormat="1" applyFont="1" applyFill="1" applyBorder="1"/>
    <xf numFmtId="168" fontId="3" fillId="0" borderId="3" xfId="1" applyNumberFormat="1" applyFont="1" applyFill="1" applyBorder="1"/>
    <xf numFmtId="168" fontId="3" fillId="0" borderId="10" xfId="1" applyNumberFormat="1" applyFont="1" applyFill="1" applyBorder="1" applyProtection="1">
      <protection locked="0"/>
    </xf>
    <xf numFmtId="168" fontId="3" fillId="0" borderId="12" xfId="1" applyNumberFormat="1" applyFont="1" applyFill="1" applyBorder="1"/>
    <xf numFmtId="168" fontId="3" fillId="0" borderId="0" xfId="1" applyNumberFormat="1" applyFont="1" applyFill="1" applyBorder="1"/>
    <xf numFmtId="168" fontId="3" fillId="0" borderId="0" xfId="1" applyNumberFormat="1" applyFont="1" applyFill="1" applyBorder="1" applyProtection="1">
      <protection locked="0"/>
    </xf>
    <xf numFmtId="37" fontId="3" fillId="0" borderId="0" xfId="16" applyNumberFormat="1" applyFont="1" applyFill="1" applyBorder="1"/>
    <xf numFmtId="164" fontId="3" fillId="0" borderId="0" xfId="10" applyNumberFormat="1" applyFont="1" applyFill="1" applyBorder="1"/>
    <xf numFmtId="5" fontId="3" fillId="0" borderId="13" xfId="2" applyNumberFormat="1" applyFont="1" applyFill="1" applyBorder="1"/>
    <xf numFmtId="5" fontId="3" fillId="0" borderId="13" xfId="16" applyNumberFormat="1" applyFont="1" applyFill="1" applyBorder="1"/>
    <xf numFmtId="41" fontId="3" fillId="0" borderId="0" xfId="2" applyFont="1" applyFill="1"/>
    <xf numFmtId="164" fontId="3" fillId="0" borderId="0" xfId="10" applyNumberFormat="1" applyFont="1" applyFill="1"/>
    <xf numFmtId="5" fontId="3" fillId="0" borderId="0" xfId="1" applyNumberFormat="1" applyFont="1" applyFill="1"/>
    <xf numFmtId="164" fontId="3" fillId="7" borderId="0" xfId="16" applyNumberFormat="1" applyFont="1" applyFill="1"/>
    <xf numFmtId="171" fontId="3" fillId="7" borderId="0" xfId="16" applyFont="1" applyFill="1" applyBorder="1"/>
    <xf numFmtId="171" fontId="3" fillId="0" borderId="0" xfId="16" applyFont="1" applyBorder="1"/>
    <xf numFmtId="10" fontId="3" fillId="0" borderId="13" xfId="17" applyNumberFormat="1" applyFont="1" applyFill="1" applyBorder="1"/>
    <xf numFmtId="10" fontId="3" fillId="0" borderId="19" xfId="17" applyNumberFormat="1" applyFont="1" applyFill="1" applyBorder="1"/>
    <xf numFmtId="10" fontId="3" fillId="0" borderId="0" xfId="17" applyNumberFormat="1" applyFont="1" applyFill="1" applyBorder="1"/>
    <xf numFmtId="3" fontId="3" fillId="0" borderId="0" xfId="16" applyNumberFormat="1" applyFont="1"/>
    <xf numFmtId="171" fontId="19" fillId="0" borderId="12" xfId="16" applyFont="1" applyFill="1" applyBorder="1" applyAlignment="1">
      <alignment horizontal="right"/>
    </xf>
    <xf numFmtId="3" fontId="19" fillId="0" borderId="12" xfId="16" applyNumberFormat="1" applyFont="1" applyFill="1" applyBorder="1" applyAlignment="1">
      <alignment horizontal="center"/>
    </xf>
    <xf numFmtId="0" fontId="3" fillId="0" borderId="0" xfId="16" applyNumberFormat="1" applyFont="1" applyFill="1" applyAlignment="1">
      <alignment horizontal="center"/>
    </xf>
    <xf numFmtId="0" fontId="3" fillId="7" borderId="0" xfId="16" applyNumberFormat="1" applyFont="1" applyFill="1" applyAlignment="1">
      <alignment horizontal="center" vertical="justify"/>
    </xf>
    <xf numFmtId="171" fontId="3" fillId="0" borderId="0" xfId="16" applyFont="1" applyAlignment="1">
      <alignment horizontal="center" vertical="justify"/>
    </xf>
    <xf numFmtId="0" fontId="3" fillId="0" borderId="0" xfId="16" applyNumberFormat="1" applyFont="1" applyFill="1" applyAlignment="1">
      <alignment horizontal="center" vertical="justify"/>
    </xf>
    <xf numFmtId="0" fontId="18" fillId="0" borderId="0" xfId="16" applyNumberFormat="1" applyFont="1" applyFill="1" applyBorder="1" applyAlignment="1">
      <alignment horizontal="center" vertical="justify"/>
    </xf>
    <xf numFmtId="0" fontId="18" fillId="0" borderId="10" xfId="16" applyNumberFormat="1" applyFont="1" applyFill="1" applyBorder="1" applyAlignment="1">
      <alignment horizontal="center" vertical="justify"/>
    </xf>
    <xf numFmtId="0" fontId="3" fillId="0" borderId="7" xfId="16" applyNumberFormat="1" applyFont="1" applyFill="1" applyBorder="1" applyAlignment="1">
      <alignment horizontal="center" vertical="justify"/>
    </xf>
    <xf numFmtId="0" fontId="3" fillId="0" borderId="7" xfId="14" applyNumberFormat="1" applyFont="1" applyFill="1" applyBorder="1" applyAlignment="1">
      <alignment horizontal="center" vertical="justify"/>
    </xf>
    <xf numFmtId="37" fontId="3" fillId="0" borderId="7" xfId="14" applyNumberFormat="1" applyFont="1" applyFill="1" applyBorder="1" applyAlignment="1">
      <alignment horizontal="center" vertical="justify"/>
    </xf>
    <xf numFmtId="0" fontId="3" fillId="0" borderId="0" xfId="16" applyNumberFormat="1" applyFont="1" applyAlignment="1">
      <alignment horizontal="center" vertical="justify"/>
    </xf>
    <xf numFmtId="0" fontId="3" fillId="7" borderId="0" xfId="14" applyNumberFormat="1" applyFont="1" applyFill="1" applyAlignment="1">
      <alignment horizontal="center"/>
    </xf>
    <xf numFmtId="3" fontId="3" fillId="7" borderId="0" xfId="14" applyNumberFormat="1" applyFont="1" applyFill="1"/>
    <xf numFmtId="3" fontId="3" fillId="8" borderId="0" xfId="14" applyNumberFormat="1" applyFont="1" applyFill="1" applyAlignment="1">
      <alignment horizontal="center"/>
    </xf>
    <xf numFmtId="0" fontId="3" fillId="0" borderId="0" xfId="14" applyFont="1" applyFill="1" applyAlignment="1">
      <alignment horizontal="center"/>
    </xf>
    <xf numFmtId="3" fontId="3" fillId="0" borderId="0" xfId="14" applyNumberFormat="1" applyFont="1" applyFill="1" applyBorder="1" applyAlignment="1">
      <alignment horizontal="center"/>
    </xf>
    <xf numFmtId="3" fontId="3" fillId="0" borderId="0" xfId="14" applyNumberFormat="1" applyFont="1" applyFill="1" applyBorder="1"/>
    <xf numFmtId="0" fontId="3" fillId="0" borderId="0" xfId="14" applyNumberFormat="1" applyFont="1" applyAlignment="1">
      <alignment horizontal="left"/>
    </xf>
    <xf numFmtId="0" fontId="3" fillId="0" borderId="0" xfId="14" applyFont="1"/>
    <xf numFmtId="0" fontId="3" fillId="0" borderId="0" xfId="14" applyNumberFormat="1" applyFont="1" applyAlignment="1">
      <alignment horizontal="center"/>
    </xf>
    <xf numFmtId="3" fontId="3" fillId="0" borderId="0" xfId="14" applyNumberFormat="1" applyFont="1" applyFill="1"/>
    <xf numFmtId="3" fontId="3" fillId="0" borderId="0" xfId="14" applyNumberFormat="1" applyFont="1" applyFill="1" applyAlignment="1">
      <alignment horizontal="center"/>
    </xf>
    <xf numFmtId="37" fontId="3" fillId="0" borderId="0" xfId="0" applyFont="1"/>
    <xf numFmtId="3" fontId="18" fillId="0" borderId="0" xfId="14" applyNumberFormat="1" applyFont="1" applyFill="1" applyBorder="1" applyAlignment="1">
      <alignment horizontal="center"/>
    </xf>
    <xf numFmtId="0" fontId="18" fillId="0" borderId="0" xfId="14" applyNumberFormat="1" applyFont="1" applyAlignment="1">
      <alignment horizontal="center"/>
    </xf>
    <xf numFmtId="0" fontId="18" fillId="0" borderId="0" xfId="14" applyFont="1" applyFill="1" applyAlignment="1">
      <alignment horizontal="center"/>
    </xf>
    <xf numFmtId="0" fontId="18" fillId="0" borderId="0" xfId="14" applyFont="1" applyFill="1" applyBorder="1" applyAlignment="1">
      <alignment horizontal="center"/>
    </xf>
    <xf numFmtId="0" fontId="3" fillId="0" borderId="0" xfId="14" applyFont="1" applyFill="1" applyBorder="1" applyAlignment="1">
      <alignment horizontal="center"/>
    </xf>
    <xf numFmtId="0" fontId="3" fillId="0" borderId="7" xfId="16" applyNumberFormat="1" applyFont="1" applyBorder="1" applyAlignment="1">
      <alignment horizontal="center"/>
    </xf>
    <xf numFmtId="3" fontId="3" fillId="0" borderId="0" xfId="14" applyNumberFormat="1" applyFont="1"/>
    <xf numFmtId="0" fontId="3" fillId="0" borderId="7" xfId="14" applyNumberFormat="1" applyFont="1" applyBorder="1" applyAlignment="1">
      <alignment horizontal="center"/>
    </xf>
    <xf numFmtId="5" fontId="3" fillId="0" borderId="0" xfId="14" applyNumberFormat="1" applyFont="1"/>
    <xf numFmtId="165" fontId="3" fillId="0" borderId="0" xfId="10" applyNumberFormat="1" applyFont="1" applyFill="1" applyBorder="1"/>
    <xf numFmtId="37" fontId="3" fillId="0" borderId="0" xfId="14" applyNumberFormat="1" applyFont="1"/>
    <xf numFmtId="37" fontId="3" fillId="0" borderId="0" xfId="16" applyNumberFormat="1" applyFont="1"/>
    <xf numFmtId="168" fontId="3" fillId="0" borderId="0" xfId="1" applyNumberFormat="1" applyFont="1"/>
    <xf numFmtId="37" fontId="3" fillId="0" borderId="0" xfId="14" applyNumberFormat="1" applyFont="1" applyFill="1" applyBorder="1"/>
    <xf numFmtId="168" fontId="3" fillId="0" borderId="0" xfId="1" applyNumberFormat="1" applyFont="1" applyBorder="1"/>
    <xf numFmtId="171" fontId="3" fillId="0" borderId="0" xfId="16" applyFont="1" applyFill="1" applyBorder="1" applyAlignment="1"/>
    <xf numFmtId="0" fontId="3" fillId="7" borderId="0" xfId="16" applyNumberFormat="1" applyFont="1" applyFill="1" applyBorder="1" applyAlignment="1">
      <alignment horizontal="center"/>
    </xf>
    <xf numFmtId="10" fontId="3" fillId="7" borderId="0" xfId="17" applyNumberFormat="1" applyFont="1" applyFill="1"/>
    <xf numFmtId="41" fontId="3" fillId="0" borderId="0" xfId="7" applyFont="1" applyBorder="1" applyAlignment="1">
      <alignment horizontal="left"/>
    </xf>
    <xf numFmtId="41" fontId="3" fillId="0" borderId="0" xfId="7" applyFont="1" applyBorder="1"/>
    <xf numFmtId="10" fontId="3" fillId="0" borderId="0" xfId="17" applyNumberFormat="1" applyFont="1" applyFill="1"/>
    <xf numFmtId="0" fontId="3" fillId="0" borderId="0" xfId="16" applyNumberFormat="1" applyFont="1" applyBorder="1" applyAlignment="1">
      <alignment horizontal="center"/>
    </xf>
    <xf numFmtId="170" fontId="3" fillId="0" borderId="0" xfId="14" applyNumberFormat="1" applyFont="1" applyFill="1"/>
    <xf numFmtId="171" fontId="3" fillId="0" borderId="0" xfId="16" applyFont="1" applyBorder="1" applyAlignment="1">
      <alignment horizontal="right"/>
    </xf>
    <xf numFmtId="168" fontId="3" fillId="0" borderId="0" xfId="1" applyNumberFormat="1" applyFont="1" applyFill="1" applyBorder="1" applyAlignment="1">
      <alignment horizontal="right"/>
    </xf>
    <xf numFmtId="168" fontId="3" fillId="0" borderId="3" xfId="1" applyNumberFormat="1" applyFont="1" applyFill="1" applyBorder="1" applyAlignment="1">
      <alignment horizontal="right"/>
    </xf>
    <xf numFmtId="10" fontId="3" fillId="0" borderId="10" xfId="17" applyNumberFormat="1" applyFont="1" applyFill="1" applyBorder="1" applyAlignment="1">
      <alignment horizontal="right"/>
    </xf>
    <xf numFmtId="41" fontId="18" fillId="0" borderId="0" xfId="7" applyFont="1" applyBorder="1"/>
    <xf numFmtId="5" fontId="3" fillId="0" borderId="17" xfId="16" applyNumberFormat="1" applyFont="1" applyBorder="1"/>
    <xf numFmtId="5" fontId="3" fillId="0" borderId="17" xfId="16" applyNumberFormat="1" applyFont="1" applyFill="1" applyBorder="1"/>
    <xf numFmtId="4" fontId="3" fillId="0" borderId="0" xfId="14" applyNumberFormat="1" applyFont="1"/>
    <xf numFmtId="3" fontId="19" fillId="0" borderId="0" xfId="14" applyNumberFormat="1" applyFont="1" applyFill="1" applyBorder="1" applyAlignment="1">
      <alignment horizontal="left"/>
    </xf>
    <xf numFmtId="37" fontId="3" fillId="7" borderId="0" xfId="0" applyFont="1" applyFill="1"/>
    <xf numFmtId="37" fontId="3" fillId="0" borderId="0" xfId="0" applyFont="1" applyFill="1"/>
    <xf numFmtId="3" fontId="3" fillId="0" borderId="0" xfId="14" applyNumberFormat="1" applyFont="1" applyAlignment="1">
      <alignment horizontal="center"/>
    </xf>
    <xf numFmtId="3" fontId="3" fillId="0" borderId="0" xfId="14" applyNumberFormat="1" applyFont="1" applyBorder="1" applyAlignment="1">
      <alignment horizontal="center"/>
    </xf>
    <xf numFmtId="37" fontId="18" fillId="0" borderId="0" xfId="0" applyFont="1" applyFill="1" applyAlignment="1">
      <alignment horizontal="centerContinuous"/>
    </xf>
    <xf numFmtId="164" fontId="3" fillId="0" borderId="0" xfId="14" applyNumberFormat="1" applyFont="1" applyFill="1"/>
    <xf numFmtId="37" fontId="3" fillId="0" borderId="0" xfId="0" applyFont="1" applyFill="1" applyBorder="1"/>
    <xf numFmtId="164" fontId="3" fillId="0" borderId="10" xfId="14" applyNumberFormat="1" applyFont="1" applyFill="1" applyBorder="1"/>
    <xf numFmtId="37" fontId="3" fillId="0" borderId="0" xfId="0" applyFont="1" applyFill="1" applyAlignment="1">
      <alignment horizontal="center"/>
    </xf>
    <xf numFmtId="167" fontId="3" fillId="0" borderId="0" xfId="17" applyNumberFormat="1" applyFont="1" applyFill="1" applyBorder="1"/>
    <xf numFmtId="5" fontId="3" fillId="0" borderId="0" xfId="0" applyNumberFormat="1" applyFont="1" applyFill="1"/>
    <xf numFmtId="37" fontId="3" fillId="0" borderId="10" xfId="14" applyNumberFormat="1" applyFont="1" applyFill="1" applyBorder="1"/>
    <xf numFmtId="5" fontId="3" fillId="0" borderId="13" xfId="14" applyNumberFormat="1" applyFont="1" applyFill="1" applyBorder="1"/>
    <xf numFmtId="165" fontId="3" fillId="0" borderId="0" xfId="14" applyNumberFormat="1" applyFont="1" applyFill="1"/>
    <xf numFmtId="5" fontId="3" fillId="0" borderId="0" xfId="1" applyNumberFormat="1" applyFont="1" applyBorder="1"/>
    <xf numFmtId="0" fontId="19" fillId="0" borderId="0" xfId="14" applyFont="1" applyBorder="1" applyAlignment="1">
      <alignment horizontal="right"/>
    </xf>
    <xf numFmtId="37" fontId="3" fillId="7" borderId="0" xfId="6" applyFont="1" applyFill="1"/>
    <xf numFmtId="37" fontId="3" fillId="0" borderId="0" xfId="6" applyFont="1" applyFill="1"/>
    <xf numFmtId="37" fontId="3" fillId="0" borderId="0" xfId="6" applyFont="1" applyFill="1" applyAlignment="1">
      <alignment horizontal="center"/>
    </xf>
    <xf numFmtId="37" fontId="3" fillId="0" borderId="0" xfId="13" applyFont="1" applyAlignment="1">
      <alignment horizontal="center"/>
    </xf>
    <xf numFmtId="37" fontId="3" fillId="0" borderId="0" xfId="13" applyFont="1" applyBorder="1" applyAlignment="1">
      <alignment horizontal="center"/>
    </xf>
    <xf numFmtId="37" fontId="3" fillId="0" borderId="0" xfId="6" applyFont="1" applyFill="1" applyBorder="1" applyAlignment="1">
      <alignment horizontal="center"/>
    </xf>
    <xf numFmtId="37" fontId="3" fillId="0" borderId="0" xfId="6" applyFont="1" applyAlignment="1">
      <alignment horizontal="center"/>
    </xf>
    <xf numFmtId="37" fontId="3" fillId="0" borderId="0" xfId="6" applyFont="1"/>
    <xf numFmtId="37" fontId="20" fillId="0" borderId="0" xfId="6" applyFont="1" applyFill="1" applyAlignment="1">
      <alignment horizontal="right"/>
    </xf>
    <xf numFmtId="41" fontId="3" fillId="0" borderId="0" xfId="11" applyFont="1"/>
    <xf numFmtId="37" fontId="3" fillId="0" borderId="5" xfId="6" applyFont="1" applyFill="1" applyBorder="1" applyAlignment="1"/>
    <xf numFmtId="37" fontId="3" fillId="0" borderId="8" xfId="6" applyFont="1" applyBorder="1" applyAlignment="1">
      <alignment horizontal="center"/>
    </xf>
    <xf numFmtId="37" fontId="3" fillId="0" borderId="7" xfId="11" applyNumberFormat="1" applyFont="1" applyBorder="1" applyAlignment="1">
      <alignment horizontal="center"/>
    </xf>
    <xf numFmtId="37" fontId="3" fillId="0" borderId="14" xfId="6" applyFont="1" applyFill="1" applyBorder="1"/>
    <xf numFmtId="37" fontId="3" fillId="0" borderId="0" xfId="6" applyFont="1" applyBorder="1"/>
    <xf numFmtId="37" fontId="3" fillId="0" borderId="4" xfId="6" applyFont="1" applyFill="1" applyBorder="1" applyAlignment="1">
      <alignment horizontal="center"/>
    </xf>
    <xf numFmtId="168" fontId="3" fillId="0" borderId="7" xfId="1" applyNumberFormat="1" applyFont="1" applyFill="1" applyBorder="1"/>
    <xf numFmtId="37" fontId="3" fillId="0" borderId="5" xfId="6" applyFont="1" applyFill="1" applyBorder="1"/>
    <xf numFmtId="168" fontId="3" fillId="0" borderId="5" xfId="1" applyNumberFormat="1" applyFont="1" applyFill="1" applyBorder="1"/>
    <xf numFmtId="41" fontId="3" fillId="0" borderId="0" xfId="6" applyNumberFormat="1" applyFont="1" applyFill="1" applyBorder="1"/>
    <xf numFmtId="37" fontId="3" fillId="0" borderId="0" xfId="6" applyFont="1" applyFill="1" applyBorder="1"/>
    <xf numFmtId="37" fontId="3" fillId="0" borderId="0" xfId="6" applyFont="1" applyFill="1" applyAlignment="1">
      <alignment horizontal="right"/>
    </xf>
    <xf numFmtId="168" fontId="3" fillId="0" borderId="14" xfId="1" applyNumberFormat="1" applyFont="1" applyFill="1" applyBorder="1"/>
    <xf numFmtId="41" fontId="3" fillId="0" borderId="6" xfId="6" applyNumberFormat="1" applyFont="1" applyFill="1" applyBorder="1"/>
    <xf numFmtId="41" fontId="3" fillId="0" borderId="5" xfId="6" applyNumberFormat="1" applyFont="1" applyFill="1" applyBorder="1"/>
    <xf numFmtId="41" fontId="3" fillId="0" borderId="10" xfId="6" applyNumberFormat="1" applyFont="1" applyFill="1" applyBorder="1"/>
    <xf numFmtId="41" fontId="3" fillId="0" borderId="6" xfId="0" applyNumberFormat="1" applyFont="1" applyFill="1" applyBorder="1"/>
    <xf numFmtId="41" fontId="3" fillId="0" borderId="5" xfId="0" applyNumberFormat="1" applyFont="1" applyFill="1" applyBorder="1"/>
    <xf numFmtId="37" fontId="3" fillId="0" borderId="15" xfId="6" applyFont="1" applyBorder="1"/>
    <xf numFmtId="37" fontId="3" fillId="0" borderId="14" xfId="6" applyFont="1" applyBorder="1"/>
    <xf numFmtId="37" fontId="3" fillId="0" borderId="6" xfId="6" applyFont="1" applyFill="1" applyBorder="1"/>
    <xf numFmtId="37" fontId="3" fillId="0" borderId="0" xfId="6" applyFont="1" applyBorder="1" applyAlignment="1">
      <alignment horizontal="right"/>
    </xf>
    <xf numFmtId="37" fontId="3" fillId="0" borderId="0" xfId="6" applyFont="1" applyFill="1" applyBorder="1" applyAlignment="1"/>
    <xf numFmtId="37" fontId="18" fillId="0" borderId="0" xfId="6" applyFont="1" applyFill="1"/>
    <xf numFmtId="37" fontId="18" fillId="0" borderId="0" xfId="6" applyFont="1" applyFill="1" applyBorder="1" applyAlignment="1">
      <alignment horizontal="right"/>
    </xf>
    <xf numFmtId="10" fontId="3" fillId="0" borderId="0" xfId="17" applyNumberFormat="1" applyFont="1" applyBorder="1"/>
    <xf numFmtId="37" fontId="21" fillId="0" borderId="0" xfId="6" applyFont="1" applyFill="1"/>
    <xf numFmtId="37" fontId="21" fillId="0" borderId="0" xfId="6" applyFont="1" applyAlignment="1"/>
    <xf numFmtId="37" fontId="21" fillId="0" borderId="0" xfId="6" applyFont="1"/>
    <xf numFmtId="10" fontId="3" fillId="0" borderId="0" xfId="18" applyFont="1"/>
    <xf numFmtId="10" fontId="3" fillId="0" borderId="0" xfId="18" applyNumberFormat="1" applyFont="1"/>
    <xf numFmtId="168" fontId="22" fillId="0" borderId="0" xfId="3" applyNumberFormat="1" applyFont="1" applyFill="1" applyBorder="1"/>
    <xf numFmtId="10" fontId="3" fillId="0" borderId="0" xfId="18" applyFont="1" applyFill="1" applyAlignment="1">
      <alignment horizontal="center"/>
    </xf>
    <xf numFmtId="37" fontId="3" fillId="0" borderId="0" xfId="13" applyFont="1"/>
    <xf numFmtId="37" fontId="3" fillId="0" borderId="10" xfId="13" applyFont="1" applyBorder="1" applyAlignment="1">
      <alignment horizontal="center"/>
    </xf>
    <xf numFmtId="168" fontId="18" fillId="0" borderId="0" xfId="3" applyNumberFormat="1" applyFont="1" applyFill="1" applyAlignment="1">
      <alignment horizontal="right"/>
    </xf>
    <xf numFmtId="10" fontId="3" fillId="0" borderId="0" xfId="18" applyFont="1" applyFill="1"/>
    <xf numFmtId="167" fontId="3" fillId="0" borderId="0" xfId="18" applyNumberFormat="1" applyFont="1" applyFill="1"/>
    <xf numFmtId="10" fontId="3" fillId="0" borderId="0" xfId="18" applyNumberFormat="1" applyFont="1" applyFill="1"/>
    <xf numFmtId="168" fontId="3" fillId="7" borderId="0" xfId="1" applyNumberFormat="1" applyFont="1" applyFill="1"/>
    <xf numFmtId="10" fontId="3" fillId="0" borderId="0" xfId="17" applyNumberFormat="1" applyFont="1"/>
    <xf numFmtId="168" fontId="18" fillId="0" borderId="0" xfId="3" applyNumberFormat="1" applyFont="1" applyAlignment="1">
      <alignment horizontal="right"/>
    </xf>
    <xf numFmtId="10" fontId="3" fillId="0" borderId="12" xfId="18" applyFont="1" applyBorder="1"/>
    <xf numFmtId="10" fontId="3" fillId="0" borderId="12" xfId="17" applyNumberFormat="1" applyFont="1" applyBorder="1"/>
    <xf numFmtId="10" fontId="3" fillId="0" borderId="0" xfId="18" applyFont="1" applyBorder="1"/>
    <xf numFmtId="10" fontId="3" fillId="0" borderId="0" xfId="18" applyNumberFormat="1" applyFont="1" applyBorder="1"/>
    <xf numFmtId="37" fontId="3" fillId="7" borderId="0" xfId="6" applyFont="1" applyFill="1" applyBorder="1"/>
    <xf numFmtId="37" fontId="3" fillId="0" borderId="1" xfId="6" applyFont="1" applyFill="1" applyBorder="1" applyAlignment="1">
      <alignment horizontal="center"/>
    </xf>
    <xf numFmtId="37" fontId="3" fillId="0" borderId="12" xfId="6" applyFont="1" applyFill="1" applyBorder="1"/>
    <xf numFmtId="41" fontId="3" fillId="0" borderId="12" xfId="6" applyNumberFormat="1" applyFont="1" applyFill="1" applyBorder="1"/>
    <xf numFmtId="41" fontId="3" fillId="0" borderId="0" xfId="11" applyFont="1" applyAlignment="1">
      <alignment horizontal="center"/>
    </xf>
    <xf numFmtId="37" fontId="3" fillId="0" borderId="2" xfId="6" applyFont="1" applyFill="1" applyBorder="1"/>
    <xf numFmtId="37" fontId="3" fillId="0" borderId="3" xfId="6" applyFont="1" applyFill="1" applyBorder="1"/>
    <xf numFmtId="37" fontId="3" fillId="0" borderId="4" xfId="6" applyFont="1" applyFill="1" applyBorder="1"/>
    <xf numFmtId="41" fontId="3" fillId="0" borderId="8" xfId="0" applyNumberFormat="1" applyFont="1" applyFill="1" applyBorder="1"/>
    <xf numFmtId="41" fontId="3" fillId="0" borderId="9" xfId="0" applyNumberFormat="1" applyFont="1" applyFill="1" applyBorder="1"/>
    <xf numFmtId="168" fontId="3" fillId="0" borderId="8" xfId="1" applyNumberFormat="1" applyFont="1" applyFill="1" applyBorder="1"/>
    <xf numFmtId="37" fontId="3" fillId="0" borderId="8" xfId="6" applyFont="1" applyFill="1" applyBorder="1"/>
    <xf numFmtId="37" fontId="3" fillId="0" borderId="1" xfId="6" applyFont="1" applyFill="1" applyBorder="1"/>
    <xf numFmtId="37" fontId="3" fillId="0" borderId="0" xfId="0" applyFont="1" applyAlignment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/>
    <xf numFmtId="37" fontId="18" fillId="0" borderId="0" xfId="0" applyNumberFormat="1" applyFont="1" applyFill="1" applyBorder="1" applyAlignment="1" applyProtection="1">
      <alignment horizontal="left"/>
    </xf>
    <xf numFmtId="41" fontId="18" fillId="0" borderId="0" xfId="0" applyNumberFormat="1" applyFont="1" applyFill="1" applyBorder="1" applyAlignment="1" applyProtection="1"/>
    <xf numFmtId="41" fontId="3" fillId="0" borderId="0" xfId="0" applyNumberFormat="1" applyFont="1" applyFill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/>
    <xf numFmtId="1" fontId="3" fillId="0" borderId="7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/>
    </xf>
    <xf numFmtId="41" fontId="18" fillId="0" borderId="0" xfId="0" applyNumberFormat="1" applyFont="1" applyFill="1" applyBorder="1" applyAlignment="1" applyProtection="1">
      <alignment horizontal="centerContinuous"/>
    </xf>
    <xf numFmtId="41" fontId="18" fillId="0" borderId="1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right"/>
    </xf>
    <xf numFmtId="176" fontId="22" fillId="0" borderId="0" xfId="4" applyNumberFormat="1" applyFont="1" applyFill="1" applyBorder="1" applyAlignment="1" applyProtection="1"/>
    <xf numFmtId="10" fontId="22" fillId="0" borderId="0" xfId="0" applyNumberFormat="1" applyFont="1" applyFill="1" applyBorder="1" applyAlignment="1" applyProtection="1"/>
    <xf numFmtId="0" fontId="3" fillId="0" borderId="0" xfId="51" applyFont="1" applyBorder="1" applyAlignment="1">
      <alignment horizontal="center"/>
    </xf>
    <xf numFmtId="168" fontId="3" fillId="0" borderId="12" xfId="0" applyNumberFormat="1" applyFont="1" applyFill="1" applyBorder="1" applyAlignment="1" applyProtection="1"/>
    <xf numFmtId="168" fontId="3" fillId="0" borderId="0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>
      <alignment horizontal="right"/>
    </xf>
    <xf numFmtId="5" fontId="22" fillId="0" borderId="0" xfId="0" applyNumberFormat="1" applyFont="1" applyFill="1" applyBorder="1" applyAlignment="1" applyProtection="1"/>
    <xf numFmtId="171" fontId="3" fillId="0" borderId="0" xfId="47" applyFont="1"/>
    <xf numFmtId="41" fontId="22" fillId="0" borderId="0" xfId="0" applyNumberFormat="1" applyFont="1" applyFill="1" applyBorder="1" applyAlignment="1" applyProtection="1"/>
    <xf numFmtId="172" fontId="22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right"/>
    </xf>
    <xf numFmtId="168" fontId="3" fillId="0" borderId="0" xfId="1" applyNumberFormat="1" applyFont="1" applyFill="1" applyBorder="1" applyAlignment="1" applyProtection="1"/>
    <xf numFmtId="168" fontId="3" fillId="0" borderId="17" xfId="1" applyNumberFormat="1" applyFont="1" applyFill="1" applyBorder="1" applyAlignment="1" applyProtection="1"/>
    <xf numFmtId="41" fontId="20" fillId="0" borderId="0" xfId="0" applyNumberFormat="1" applyFont="1" applyFill="1" applyBorder="1" applyAlignment="1" applyProtection="1"/>
    <xf numFmtId="1" fontId="3" fillId="0" borderId="0" xfId="0" applyNumberFormat="1" applyFont="1" applyAlignment="1">
      <alignment horizontal="center"/>
    </xf>
    <xf numFmtId="37" fontId="3" fillId="0" borderId="0" xfId="0" applyFont="1" applyAlignment="1">
      <alignment horizontal="right"/>
    </xf>
    <xf numFmtId="37" fontId="26" fillId="7" borderId="0" xfId="0" applyFont="1" applyFill="1"/>
    <xf numFmtId="41" fontId="18" fillId="0" borderId="0" xfId="11" applyFont="1"/>
    <xf numFmtId="0" fontId="3" fillId="0" borderId="0" xfId="12" applyFont="1"/>
    <xf numFmtId="0" fontId="3" fillId="0" borderId="0" xfId="12" applyFont="1" applyAlignment="1">
      <alignment horizontal="center"/>
    </xf>
    <xf numFmtId="37" fontId="3" fillId="7" borderId="0" xfId="0" applyFont="1" applyFill="1" applyAlignment="1"/>
    <xf numFmtId="0" fontId="3" fillId="0" borderId="0" xfId="8" applyFont="1"/>
    <xf numFmtId="0" fontId="3" fillId="0" borderId="0" xfId="8" applyFont="1" applyAlignment="1">
      <alignment horizontal="center"/>
    </xf>
    <xf numFmtId="41" fontId="20" fillId="0" borderId="0" xfId="11" applyFont="1"/>
    <xf numFmtId="172" fontId="3" fillId="2" borderId="25" xfId="17" applyNumberFormat="1" applyFont="1" applyFill="1" applyBorder="1" applyAlignment="1"/>
    <xf numFmtId="172" fontId="3" fillId="2" borderId="27" xfId="17" applyNumberFormat="1" applyFont="1" applyFill="1" applyBorder="1"/>
    <xf numFmtId="0" fontId="27" fillId="0" borderId="0" xfId="8" applyFont="1" applyBorder="1" applyAlignment="1">
      <alignment horizontal="left"/>
    </xf>
    <xf numFmtId="0" fontId="28" fillId="0" borderId="0" xfId="8" applyFont="1" applyBorder="1" applyAlignment="1">
      <alignment horizontal="center"/>
    </xf>
    <xf numFmtId="0" fontId="3" fillId="0" borderId="0" xfId="8" applyFont="1" applyBorder="1" applyAlignment="1"/>
    <xf numFmtId="0" fontId="24" fillId="0" borderId="0" xfId="12" applyFont="1" applyFill="1" applyBorder="1" applyAlignment="1">
      <alignment horizontal="right"/>
    </xf>
    <xf numFmtId="0" fontId="29" fillId="0" borderId="0" xfId="12" applyFont="1" applyFill="1" applyBorder="1" applyAlignment="1">
      <alignment horizontal="center"/>
    </xf>
    <xf numFmtId="0" fontId="18" fillId="0" borderId="0" xfId="12" applyFont="1" applyFill="1" applyBorder="1" applyAlignment="1">
      <alignment horizontal="center"/>
    </xf>
    <xf numFmtId="172" fontId="3" fillId="0" borderId="0" xfId="17" applyNumberFormat="1" applyFont="1" applyFill="1" applyBorder="1" applyAlignment="1"/>
    <xf numFmtId="37" fontId="18" fillId="2" borderId="21" xfId="0" applyFont="1" applyFill="1" applyBorder="1" applyAlignment="1">
      <alignment horizontal="center"/>
    </xf>
    <xf numFmtId="0" fontId="24" fillId="0" borderId="0" xfId="12" applyFont="1" applyFill="1" applyBorder="1" applyAlignment="1">
      <alignment horizontal="left"/>
    </xf>
    <xf numFmtId="0" fontId="3" fillId="0" borderId="0" xfId="12" applyFont="1" applyFill="1" applyBorder="1" applyAlignment="1"/>
    <xf numFmtId="166" fontId="3" fillId="0" borderId="0" xfId="12" applyNumberFormat="1" applyFont="1" applyFill="1" applyBorder="1" applyAlignment="1"/>
    <xf numFmtId="41" fontId="3" fillId="0" borderId="0" xfId="11" applyFont="1" applyBorder="1" applyAlignment="1">
      <alignment horizontal="center"/>
    </xf>
    <xf numFmtId="0" fontId="3" fillId="0" borderId="0" xfId="12" applyFont="1" applyFill="1" applyBorder="1" applyAlignment="1">
      <alignment horizontal="center"/>
    </xf>
    <xf numFmtId="37" fontId="18" fillId="2" borderId="23" xfId="0" applyFont="1" applyFill="1" applyBorder="1" applyAlignment="1">
      <alignment horizontal="center"/>
    </xf>
    <xf numFmtId="0" fontId="20" fillId="2" borderId="21" xfId="8" applyFont="1" applyFill="1" applyBorder="1" applyAlignment="1"/>
    <xf numFmtId="168" fontId="3" fillId="2" borderId="22" xfId="1" applyNumberFormat="1" applyFont="1" applyFill="1" applyBorder="1" applyAlignment="1"/>
    <xf numFmtId="0" fontId="18" fillId="0" borderId="0" xfId="12" applyFont="1" applyFill="1" applyBorder="1" applyAlignment="1">
      <alignment horizontal="right"/>
    </xf>
    <xf numFmtId="172" fontId="3" fillId="0" borderId="12" xfId="17" applyNumberFormat="1" applyFont="1" applyFill="1" applyBorder="1" applyAlignment="1"/>
    <xf numFmtId="168" fontId="3" fillId="2" borderId="22" xfId="1" applyNumberFormat="1" applyFont="1" applyFill="1" applyBorder="1"/>
    <xf numFmtId="168" fontId="3" fillId="2" borderId="24" xfId="1" applyNumberFormat="1" applyFont="1" applyFill="1" applyBorder="1"/>
    <xf numFmtId="172" fontId="3" fillId="0" borderId="17" xfId="17" applyNumberFormat="1" applyFont="1" applyFill="1" applyBorder="1" applyAlignment="1"/>
    <xf numFmtId="168" fontId="3" fillId="2" borderId="25" xfId="1" applyNumberFormat="1" applyFont="1" applyFill="1" applyBorder="1"/>
    <xf numFmtId="168" fontId="3" fillId="2" borderId="26" xfId="1" applyNumberFormat="1" applyFont="1" applyFill="1" applyBorder="1"/>
    <xf numFmtId="0" fontId="3" fillId="0" borderId="0" xfId="12" applyFont="1" applyFill="1" applyBorder="1" applyAlignment="1">
      <alignment horizontal="right"/>
    </xf>
    <xf numFmtId="173" fontId="3" fillId="0" borderId="0" xfId="12" applyNumberFormat="1" applyFont="1"/>
    <xf numFmtId="168" fontId="3" fillId="2" borderId="27" xfId="1" applyNumberFormat="1" applyFont="1" applyFill="1" applyBorder="1"/>
    <xf numFmtId="0" fontId="3" fillId="0" borderId="0" xfId="8" applyFont="1" applyAlignment="1">
      <alignment horizontal="right"/>
    </xf>
    <xf numFmtId="0" fontId="20" fillId="2" borderId="28" xfId="8" applyFont="1" applyFill="1" applyBorder="1" applyAlignment="1"/>
    <xf numFmtId="0" fontId="20" fillId="2" borderId="29" xfId="8" applyFont="1" applyFill="1" applyBorder="1" applyAlignment="1"/>
    <xf numFmtId="37" fontId="3" fillId="0" borderId="0" xfId="0" applyFont="1" applyAlignment="1">
      <alignment horizontal="center"/>
    </xf>
    <xf numFmtId="168" fontId="3" fillId="2" borderId="30" xfId="1" applyNumberFormat="1" applyFont="1" applyFill="1" applyBorder="1" applyAlignment="1"/>
    <xf numFmtId="168" fontId="3" fillId="2" borderId="31" xfId="1" applyNumberFormat="1" applyFont="1" applyFill="1" applyBorder="1" applyAlignment="1"/>
    <xf numFmtId="172" fontId="3" fillId="2" borderId="24" xfId="17" applyNumberFormat="1" applyFont="1" applyFill="1" applyBorder="1" applyAlignment="1"/>
    <xf numFmtId="172" fontId="3" fillId="2" borderId="22" xfId="17" applyNumberFormat="1" applyFont="1" applyFill="1" applyBorder="1"/>
    <xf numFmtId="168" fontId="3" fillId="2" borderId="30" xfId="1" applyNumberFormat="1" applyFont="1" applyFill="1" applyBorder="1"/>
    <xf numFmtId="168" fontId="3" fillId="2" borderId="31" xfId="1" applyNumberFormat="1" applyFont="1" applyFill="1" applyBorder="1"/>
    <xf numFmtId="168" fontId="3" fillId="2" borderId="32" xfId="1" applyNumberFormat="1" applyFont="1" applyFill="1" applyBorder="1"/>
    <xf numFmtId="168" fontId="3" fillId="2" borderId="33" xfId="1" applyNumberFormat="1" applyFont="1" applyFill="1" applyBorder="1"/>
    <xf numFmtId="41" fontId="18" fillId="0" borderId="0" xfId="11" applyFont="1" applyAlignment="1">
      <alignment horizontal="center"/>
    </xf>
    <xf numFmtId="37" fontId="3" fillId="0" borderId="0" xfId="0" applyFont="1" applyAlignment="1">
      <alignment horizontal="center" vertical="justify"/>
    </xf>
    <xf numFmtId="41" fontId="18" fillId="0" borderId="0" xfId="11" applyFont="1" applyAlignment="1">
      <alignment horizontal="center" vertical="justify"/>
    </xf>
    <xf numFmtId="41" fontId="3" fillId="0" borderId="0" xfId="11" applyFont="1" applyBorder="1" applyAlignment="1">
      <alignment horizontal="center" vertical="justify"/>
    </xf>
    <xf numFmtId="0" fontId="3" fillId="0" borderId="7" xfId="11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168" fontId="3" fillId="0" borderId="0" xfId="3" applyNumberFormat="1" applyFont="1"/>
    <xf numFmtId="168" fontId="3" fillId="0" borderId="0" xfId="3" applyNumberFormat="1" applyFont="1" applyFill="1" applyBorder="1"/>
    <xf numFmtId="37" fontId="3" fillId="0" borderId="0" xfId="13" applyFont="1" applyFill="1" applyBorder="1"/>
    <xf numFmtId="0" fontId="18" fillId="0" borderId="0" xfId="13" applyNumberFormat="1" applyFont="1" applyAlignment="1">
      <alignment horizontal="center"/>
    </xf>
    <xf numFmtId="37" fontId="18" fillId="0" borderId="0" xfId="13" applyFont="1"/>
    <xf numFmtId="0" fontId="3" fillId="0" borderId="0" xfId="13" applyNumberFormat="1" applyFont="1" applyAlignment="1">
      <alignment horizontal="center"/>
    </xf>
    <xf numFmtId="0" fontId="3" fillId="0" borderId="0" xfId="11" applyNumberFormat="1" applyFont="1" applyAlignment="1">
      <alignment horizontal="center"/>
    </xf>
    <xf numFmtId="37" fontId="18" fillId="0" borderId="0" xfId="13" applyFont="1" applyAlignment="1">
      <alignment horizontal="center"/>
    </xf>
    <xf numFmtId="37" fontId="18" fillId="0" borderId="0" xfId="13" applyFont="1" applyFill="1" applyBorder="1" applyAlignment="1">
      <alignment horizontal="center"/>
    </xf>
    <xf numFmtId="1" fontId="3" fillId="0" borderId="0" xfId="11" applyNumberFormat="1" applyFont="1" applyBorder="1" applyAlignment="1">
      <alignment horizontal="center"/>
    </xf>
    <xf numFmtId="37" fontId="21" fillId="0" borderId="0" xfId="13" applyFont="1" applyAlignment="1">
      <alignment horizontal="center"/>
    </xf>
    <xf numFmtId="37" fontId="3" fillId="0" borderId="0" xfId="13" applyFont="1" applyFill="1"/>
    <xf numFmtId="168" fontId="18" fillId="0" borderId="0" xfId="3" applyNumberFormat="1" applyFont="1" applyFill="1" applyBorder="1" applyAlignment="1">
      <alignment horizontal="center"/>
    </xf>
    <xf numFmtId="168" fontId="22" fillId="0" borderId="0" xfId="3" applyNumberFormat="1" applyFont="1" applyBorder="1"/>
    <xf numFmtId="10" fontId="3" fillId="0" borderId="0" xfId="18" applyFont="1" applyFill="1" applyBorder="1" applyAlignment="1">
      <alignment horizontal="center"/>
    </xf>
    <xf numFmtId="37" fontId="3" fillId="0" borderId="0" xfId="13" applyFont="1" applyFill="1" applyBorder="1" applyAlignment="1">
      <alignment horizontal="center"/>
    </xf>
    <xf numFmtId="168" fontId="18" fillId="0" borderId="0" xfId="3" applyNumberFormat="1" applyFont="1" applyFill="1" applyAlignment="1">
      <alignment horizontal="left"/>
    </xf>
    <xf numFmtId="10" fontId="3" fillId="0" borderId="0" xfId="18" applyFont="1" applyFill="1" applyBorder="1"/>
    <xf numFmtId="167" fontId="3" fillId="0" borderId="0" xfId="18" applyNumberFormat="1" applyFont="1" applyFill="1" applyBorder="1"/>
    <xf numFmtId="10" fontId="3" fillId="0" borderId="0" xfId="18" applyNumberFormat="1" applyFont="1" applyFill="1" applyBorder="1"/>
    <xf numFmtId="37" fontId="3" fillId="0" borderId="0" xfId="13" applyFont="1" applyBorder="1"/>
    <xf numFmtId="168" fontId="18" fillId="0" borderId="0" xfId="3" applyNumberFormat="1" applyFont="1" applyFill="1" applyBorder="1" applyAlignment="1">
      <alignment horizontal="right"/>
    </xf>
    <xf numFmtId="37" fontId="3" fillId="0" borderId="0" xfId="13" applyFont="1" applyAlignment="1">
      <alignment horizontal="right"/>
    </xf>
    <xf numFmtId="0" fontId="3" fillId="0" borderId="0" xfId="9" applyFont="1" applyAlignment="1"/>
    <xf numFmtId="0" fontId="3" fillId="0" borderId="0" xfId="9" applyFont="1" applyAlignment="1">
      <alignment horizontal="center"/>
    </xf>
    <xf numFmtId="37" fontId="3" fillId="7" borderId="0" xfId="13" applyFont="1" applyFill="1"/>
    <xf numFmtId="41" fontId="22" fillId="0" borderId="0" xfId="11" applyNumberFormat="1" applyFont="1" applyBorder="1" applyAlignment="1">
      <alignment horizontal="center"/>
    </xf>
    <xf numFmtId="14" fontId="3" fillId="0" borderId="0" xfId="13" applyNumberFormat="1" applyFont="1"/>
    <xf numFmtId="0" fontId="3" fillId="7" borderId="0" xfId="8" applyFont="1" applyFill="1" applyBorder="1" applyAlignment="1">
      <alignment horizontal="left"/>
    </xf>
    <xf numFmtId="10" fontId="22" fillId="0" borderId="0" xfId="18" applyFont="1" applyBorder="1"/>
    <xf numFmtId="10" fontId="22" fillId="7" borderId="0" xfId="18" applyFont="1" applyFill="1" applyBorder="1"/>
    <xf numFmtId="37" fontId="3" fillId="0" borderId="10" xfId="13" applyFont="1" applyBorder="1"/>
    <xf numFmtId="37" fontId="3" fillId="0" borderId="0" xfId="13" applyFont="1" applyAlignment="1">
      <alignment horizontal="left"/>
    </xf>
    <xf numFmtId="37" fontId="3" fillId="0" borderId="17" xfId="13" applyFont="1" applyBorder="1"/>
    <xf numFmtId="37" fontId="18" fillId="0" borderId="0" xfId="13" applyFont="1" applyFill="1" applyBorder="1" applyAlignment="1">
      <alignment horizontal="right"/>
    </xf>
    <xf numFmtId="37" fontId="3" fillId="0" borderId="0" xfId="13" applyFont="1" applyBorder="1" applyAlignment="1">
      <alignment horizontal="right"/>
    </xf>
    <xf numFmtId="37" fontId="18" fillId="0" borderId="0" xfId="13" applyFont="1" applyFill="1"/>
    <xf numFmtId="37" fontId="18" fillId="0" borderId="0" xfId="13" applyFont="1" applyFill="1" applyAlignment="1">
      <alignment horizontal="right"/>
    </xf>
    <xf numFmtId="37" fontId="3" fillId="0" borderId="13" xfId="13" applyFont="1" applyBorder="1"/>
    <xf numFmtId="37" fontId="18" fillId="0" borderId="0" xfId="13" applyFont="1" applyBorder="1"/>
    <xf numFmtId="37" fontId="18" fillId="0" borderId="0" xfId="13" applyFont="1" applyAlignment="1">
      <alignment horizontal="right"/>
    </xf>
    <xf numFmtId="37" fontId="23" fillId="0" borderId="0" xfId="13" applyFont="1" applyAlignment="1">
      <alignment horizontal="center"/>
    </xf>
    <xf numFmtId="37" fontId="3" fillId="0" borderId="10" xfId="13" applyFont="1" applyFill="1" applyBorder="1"/>
    <xf numFmtId="168" fontId="3" fillId="0" borderId="0" xfId="3" applyNumberFormat="1" applyFont="1" applyBorder="1"/>
    <xf numFmtId="37" fontId="3" fillId="0" borderId="0" xfId="6" applyFont="1" applyFill="1" applyBorder="1" applyAlignment="1">
      <alignment horizontal="right"/>
    </xf>
    <xf numFmtId="37" fontId="30" fillId="0" borderId="0" xfId="0" applyFont="1"/>
    <xf numFmtId="37" fontId="30" fillId="7" borderId="0" xfId="0" applyFont="1" applyFill="1" applyAlignment="1">
      <alignment horizontal="center"/>
    </xf>
    <xf numFmtId="37" fontId="31" fillId="7" borderId="0" xfId="0" applyFont="1" applyFill="1" applyBorder="1" applyAlignment="1">
      <alignment horizontal="center"/>
    </xf>
    <xf numFmtId="37" fontId="30" fillId="0" borderId="0" xfId="0" applyFont="1" applyBorder="1"/>
    <xf numFmtId="37" fontId="30" fillId="0" borderId="0" xfId="0" applyFont="1" applyBorder="1" applyAlignment="1">
      <alignment horizontal="center"/>
    </xf>
    <xf numFmtId="37" fontId="32" fillId="0" borderId="0" xfId="0" applyFont="1" applyAlignment="1">
      <alignment horizontal="center"/>
    </xf>
    <xf numFmtId="37" fontId="33" fillId="0" borderId="0" xfId="0" applyFont="1" applyBorder="1" applyAlignment="1">
      <alignment horizontal="center"/>
    </xf>
    <xf numFmtId="37" fontId="30" fillId="0" borderId="0" xfId="0" applyFont="1" applyAlignment="1">
      <alignment horizontal="center"/>
    </xf>
    <xf numFmtId="37" fontId="30" fillId="7" borderId="0" xfId="0" applyFont="1" applyFill="1" applyBorder="1" applyAlignment="1">
      <alignment horizontal="center"/>
    </xf>
    <xf numFmtId="37" fontId="30" fillId="0" borderId="10" xfId="0" applyFont="1" applyBorder="1" applyAlignment="1">
      <alignment horizontal="center"/>
    </xf>
    <xf numFmtId="37" fontId="32" fillId="0" borderId="10" xfId="0" applyFont="1" applyBorder="1" applyAlignment="1">
      <alignment horizontal="center"/>
    </xf>
    <xf numFmtId="3" fontId="30" fillId="0" borderId="0" xfId="0" applyNumberFormat="1" applyFont="1" applyAlignment="1">
      <alignment horizontal="center"/>
    </xf>
    <xf numFmtId="3" fontId="30" fillId="0" borderId="0" xfId="0" applyNumberFormat="1" applyFont="1"/>
    <xf numFmtId="37" fontId="34" fillId="0" borderId="0" xfId="0" applyFont="1"/>
    <xf numFmtId="168" fontId="30" fillId="0" borderId="0" xfId="1" applyNumberFormat="1" applyFont="1" applyFill="1" applyBorder="1"/>
    <xf numFmtId="5" fontId="30" fillId="0" borderId="0" xfId="0" applyNumberFormat="1" applyFont="1" applyBorder="1"/>
    <xf numFmtId="3" fontId="30" fillId="0" borderId="0" xfId="0" applyNumberFormat="1" applyFont="1" applyAlignment="1">
      <alignment horizontal="right"/>
    </xf>
    <xf numFmtId="168" fontId="30" fillId="0" borderId="0" xfId="1" applyNumberFormat="1" applyFont="1" applyBorder="1"/>
    <xf numFmtId="168" fontId="30" fillId="0" borderId="10" xfId="1" applyNumberFormat="1" applyFont="1" applyBorder="1"/>
    <xf numFmtId="37" fontId="34" fillId="0" borderId="0" xfId="0" applyFont="1" applyBorder="1"/>
    <xf numFmtId="37" fontId="34" fillId="0" borderId="0" xfId="0" applyNumberFormat="1" applyFont="1" applyBorder="1"/>
    <xf numFmtId="37" fontId="35" fillId="0" borderId="0" xfId="0" applyFont="1" applyAlignment="1">
      <alignment horizontal="center"/>
    </xf>
    <xf numFmtId="37" fontId="36" fillId="0" borderId="0" xfId="0" applyFont="1" applyBorder="1"/>
    <xf numFmtId="37" fontId="36" fillId="0" borderId="0" xfId="0" applyNumberFormat="1" applyFont="1" applyBorder="1"/>
    <xf numFmtId="37" fontId="37" fillId="0" borderId="0" xfId="0" applyFont="1" applyAlignment="1">
      <alignment horizontal="center"/>
    </xf>
    <xf numFmtId="37" fontId="36" fillId="0" borderId="0" xfId="0" applyFont="1"/>
    <xf numFmtId="37" fontId="31" fillId="0" borderId="0" xfId="0" applyFont="1"/>
    <xf numFmtId="37" fontId="31" fillId="0" borderId="0" xfId="0" applyFont="1" applyBorder="1"/>
    <xf numFmtId="37" fontId="31" fillId="0" borderId="0" xfId="0" applyNumberFormat="1" applyFont="1" applyBorder="1"/>
    <xf numFmtId="37" fontId="38" fillId="0" borderId="0" xfId="0" applyFont="1" applyAlignment="1">
      <alignment horizontal="center"/>
    </xf>
    <xf numFmtId="37" fontId="31" fillId="0" borderId="0" xfId="0" applyFont="1" applyAlignment="1">
      <alignment horizontal="center"/>
    </xf>
    <xf numFmtId="37" fontId="30" fillId="0" borderId="0" xfId="0" applyNumberFormat="1" applyFont="1" applyBorder="1"/>
    <xf numFmtId="37" fontId="39" fillId="0" borderId="0" xfId="0" applyFont="1" applyBorder="1"/>
    <xf numFmtId="37" fontId="39" fillId="0" borderId="0" xfId="0" applyNumberFormat="1" applyFont="1" applyBorder="1"/>
    <xf numFmtId="37" fontId="40" fillId="0" borderId="0" xfId="0" applyFont="1" applyAlignment="1">
      <alignment horizontal="center"/>
    </xf>
    <xf numFmtId="37" fontId="39" fillId="0" borderId="0" xfId="0" applyFont="1"/>
    <xf numFmtId="37" fontId="30" fillId="0" borderId="0" xfId="0" applyFont="1" applyFill="1" applyAlignment="1">
      <alignment horizontal="center"/>
    </xf>
    <xf numFmtId="6" fontId="30" fillId="0" borderId="0" xfId="4" applyNumberFormat="1" applyFont="1" applyBorder="1"/>
    <xf numFmtId="3" fontId="30" fillId="0" borderId="0" xfId="22" applyNumberFormat="1" applyFont="1"/>
    <xf numFmtId="168" fontId="30" fillId="0" borderId="15" xfId="1" applyNumberFormat="1" applyFont="1" applyBorder="1"/>
    <xf numFmtId="168" fontId="30" fillId="0" borderId="16" xfId="1" applyNumberFormat="1" applyFont="1" applyFill="1" applyBorder="1"/>
    <xf numFmtId="37" fontId="30" fillId="0" borderId="0" xfId="0" applyFont="1" applyFill="1"/>
    <xf numFmtId="9" fontId="30" fillId="7" borderId="0" xfId="0" applyNumberFormat="1" applyFont="1" applyFill="1" applyBorder="1" applyAlignment="1">
      <alignment horizontal="center"/>
    </xf>
    <xf numFmtId="10" fontId="32" fillId="7" borderId="0" xfId="0" applyNumberFormat="1" applyFont="1" applyFill="1" applyBorder="1" applyAlignment="1">
      <alignment horizontal="center"/>
    </xf>
    <xf numFmtId="10" fontId="32" fillId="0" borderId="0" xfId="0" applyNumberFormat="1" applyFont="1" applyBorder="1"/>
    <xf numFmtId="37" fontId="32" fillId="0" borderId="0" xfId="0" applyFont="1" applyBorder="1" applyAlignment="1">
      <alignment horizontal="right"/>
    </xf>
    <xf numFmtId="168" fontId="30" fillId="0" borderId="10" xfId="4" applyNumberFormat="1" applyFont="1" applyBorder="1"/>
    <xf numFmtId="168" fontId="30" fillId="0" borderId="12" xfId="4" applyNumberFormat="1" applyFont="1" applyBorder="1"/>
    <xf numFmtId="168" fontId="30" fillId="0" borderId="17" xfId="4" applyNumberFormat="1" applyFont="1" applyBorder="1"/>
    <xf numFmtId="168" fontId="30" fillId="0" borderId="0" xfId="4" applyNumberFormat="1" applyFont="1" applyBorder="1"/>
    <xf numFmtId="3" fontId="30" fillId="0" borderId="0" xfId="0" applyNumberFormat="1" applyFont="1" applyBorder="1"/>
    <xf numFmtId="6" fontId="30" fillId="0" borderId="0" xfId="0" applyNumberFormat="1" applyFont="1" applyBorder="1"/>
    <xf numFmtId="37" fontId="30" fillId="0" borderId="0" xfId="0" applyFont="1" applyFill="1" applyBorder="1"/>
    <xf numFmtId="10" fontId="30" fillId="0" borderId="0" xfId="17" applyNumberFormat="1" applyFont="1"/>
    <xf numFmtId="167" fontId="30" fillId="0" borderId="17" xfId="17" applyNumberFormat="1" applyFont="1" applyBorder="1"/>
    <xf numFmtId="6" fontId="30" fillId="0" borderId="12" xfId="0" applyNumberFormat="1" applyFont="1" applyBorder="1"/>
    <xf numFmtId="37" fontId="32" fillId="0" borderId="0" xfId="0" applyFont="1" applyFill="1" applyAlignment="1">
      <alignment horizontal="right"/>
    </xf>
    <xf numFmtId="5" fontId="30" fillId="0" borderId="13" xfId="0" applyNumberFormat="1" applyFont="1" applyFill="1" applyBorder="1"/>
    <xf numFmtId="37" fontId="30" fillId="0" borderId="34" xfId="0" applyFont="1" applyBorder="1"/>
    <xf numFmtId="37" fontId="30" fillId="7" borderId="0" xfId="0" applyFont="1" applyFill="1"/>
    <xf numFmtId="1" fontId="30" fillId="0" borderId="0" xfId="0" applyNumberFormat="1" applyFont="1" applyFill="1" applyAlignment="1">
      <alignment horizontal="center"/>
    </xf>
    <xf numFmtId="5" fontId="30" fillId="0" borderId="0" xfId="0" applyNumberFormat="1" applyFont="1" applyFill="1"/>
    <xf numFmtId="168" fontId="30" fillId="0" borderId="0" xfId="0" applyNumberFormat="1" applyFont="1" applyFill="1"/>
    <xf numFmtId="167" fontId="30" fillId="0" borderId="10" xfId="17" applyNumberFormat="1" applyFont="1" applyFill="1" applyBorder="1"/>
    <xf numFmtId="10" fontId="30" fillId="0" borderId="0" xfId="17" applyNumberFormat="1" applyFont="1" applyFill="1"/>
    <xf numFmtId="167" fontId="30" fillId="0" borderId="0" xfId="17" applyNumberFormat="1" applyFont="1" applyFill="1" applyBorder="1"/>
    <xf numFmtId="5" fontId="30" fillId="0" borderId="0" xfId="0" applyNumberFormat="1" applyFont="1" applyFill="1" applyBorder="1"/>
    <xf numFmtId="168" fontId="30" fillId="0" borderId="0" xfId="0" applyNumberFormat="1" applyFont="1" applyFill="1" applyBorder="1"/>
    <xf numFmtId="5" fontId="30" fillId="0" borderId="18" xfId="0" applyNumberFormat="1" applyFont="1" applyFill="1" applyBorder="1"/>
    <xf numFmtId="37" fontId="30" fillId="4" borderId="0" xfId="0" applyFont="1" applyFill="1"/>
    <xf numFmtId="169" fontId="30" fillId="4" borderId="0" xfId="4" applyNumberFormat="1" applyFont="1" applyFill="1"/>
    <xf numFmtId="168" fontId="30" fillId="4" borderId="0" xfId="0" applyNumberFormat="1" applyFont="1" applyFill="1"/>
    <xf numFmtId="37" fontId="31" fillId="7" borderId="0" xfId="0" applyFont="1" applyFill="1" applyAlignment="1">
      <alignment horizontal="center"/>
    </xf>
    <xf numFmtId="37" fontId="41" fillId="5" borderId="14" xfId="6" applyFont="1" applyFill="1" applyBorder="1" applyAlignment="1">
      <alignment horizontal="center"/>
    </xf>
    <xf numFmtId="37" fontId="42" fillId="0" borderId="0" xfId="13" applyFont="1"/>
    <xf numFmtId="171" fontId="3" fillId="6" borderId="15" xfId="16" applyFont="1" applyFill="1" applyBorder="1" applyAlignment="1">
      <alignment horizontal="center"/>
    </xf>
    <xf numFmtId="168" fontId="3" fillId="0" borderId="13" xfId="2" applyNumberFormat="1" applyFont="1" applyFill="1" applyBorder="1"/>
    <xf numFmtId="171" fontId="3" fillId="6" borderId="15" xfId="16" applyFont="1" applyFill="1" applyBorder="1" applyAlignment="1">
      <alignment horizontal="center"/>
    </xf>
    <xf numFmtId="37" fontId="3" fillId="0" borderId="0" xfId="14" applyNumberFormat="1" applyFont="1" applyFill="1" applyAlignment="1">
      <alignment horizontal="left" indent="1"/>
    </xf>
    <xf numFmtId="37" fontId="3" fillId="0" borderId="0" xfId="14" applyNumberFormat="1" applyFont="1" applyFill="1" applyAlignment="1">
      <alignment horizontal="left" indent="2"/>
    </xf>
    <xf numFmtId="5" fontId="3" fillId="0" borderId="0" xfId="14" applyNumberFormat="1" applyFont="1" applyFill="1" applyAlignment="1">
      <alignment horizontal="left" indent="1"/>
    </xf>
    <xf numFmtId="5" fontId="3" fillId="0" borderId="0" xfId="14" applyNumberFormat="1" applyFont="1" applyAlignment="1">
      <alignment horizontal="left" indent="1"/>
    </xf>
    <xf numFmtId="37" fontId="3" fillId="0" borderId="0" xfId="14" applyNumberFormat="1" applyFont="1" applyAlignment="1">
      <alignment horizontal="left" indent="1"/>
    </xf>
    <xf numFmtId="37" fontId="3" fillId="0" borderId="0" xfId="14" applyNumberFormat="1" applyFont="1" applyAlignment="1">
      <alignment horizontal="left" indent="2"/>
    </xf>
    <xf numFmtId="171" fontId="3" fillId="0" borderId="0" xfId="16" applyFont="1" applyBorder="1" applyAlignment="1">
      <alignment horizontal="left" indent="1"/>
    </xf>
    <xf numFmtId="171" fontId="3" fillId="0" borderId="0" xfId="16" applyFont="1" applyFill="1" applyAlignment="1">
      <alignment horizontal="center"/>
    </xf>
    <xf numFmtId="171" fontId="3" fillId="7" borderId="0" xfId="16" applyFont="1" applyFill="1" applyAlignment="1">
      <alignment horizontal="center"/>
    </xf>
    <xf numFmtId="0" fontId="3" fillId="0" borderId="0" xfId="14" applyNumberFormat="1" applyFont="1" applyFill="1"/>
    <xf numFmtId="0" fontId="3" fillId="0" borderId="0" xfId="14" applyNumberFormat="1" applyFont="1"/>
    <xf numFmtId="41" fontId="3" fillId="0" borderId="0" xfId="7" applyFont="1" applyBorder="1" applyAlignment="1">
      <alignment horizontal="left" indent="1"/>
    </xf>
    <xf numFmtId="171" fontId="3" fillId="0" borderId="0" xfId="16" applyFont="1" applyBorder="1" applyAlignment="1">
      <alignment horizontal="left" indent="2"/>
    </xf>
    <xf numFmtId="41" fontId="3" fillId="0" borderId="0" xfId="7" applyFont="1" applyBorder="1" applyAlignment="1">
      <alignment horizontal="left" indent="2"/>
    </xf>
    <xf numFmtId="37" fontId="18" fillId="0" borderId="0" xfId="6" applyFont="1" applyFill="1" applyAlignment="1">
      <alignment horizontal="right"/>
    </xf>
    <xf numFmtId="37" fontId="18" fillId="0" borderId="0" xfId="13" applyFont="1" applyAlignment="1">
      <alignment horizontal="center"/>
    </xf>
    <xf numFmtId="37" fontId="32" fillId="0" borderId="0" xfId="0" applyFont="1" applyBorder="1" applyAlignment="1">
      <alignment horizontal="center"/>
    </xf>
    <xf numFmtId="37" fontId="32" fillId="0" borderId="0" xfId="13" applyFont="1" applyAlignment="1">
      <alignment horizontal="center"/>
    </xf>
    <xf numFmtId="0" fontId="3" fillId="0" borderId="0" xfId="14" applyNumberFormat="1" applyFont="1" applyFill="1" applyAlignment="1">
      <alignment horizontal="center"/>
    </xf>
    <xf numFmtId="3" fontId="3" fillId="0" borderId="13" xfId="14" applyNumberFormat="1" applyFont="1" applyFill="1" applyBorder="1"/>
    <xf numFmtId="3" fontId="3" fillId="0" borderId="13" xfId="14" applyNumberFormat="1" applyFont="1" applyFill="1" applyBorder="1" applyAlignment="1">
      <alignment horizontal="center"/>
    </xf>
    <xf numFmtId="0" fontId="18" fillId="0" borderId="0" xfId="14" applyNumberFormat="1" applyFont="1" applyBorder="1" applyAlignment="1">
      <alignment horizontal="center"/>
    </xf>
    <xf numFmtId="0" fontId="3" fillId="0" borderId="0" xfId="16" applyNumberFormat="1" applyFont="1" applyFill="1" applyBorder="1" applyAlignment="1">
      <alignment horizontal="center" vertical="justify"/>
    </xf>
    <xf numFmtId="171" fontId="3" fillId="6" borderId="14" xfId="16" applyFont="1" applyFill="1" applyBorder="1" applyAlignment="1">
      <alignment horizontal="center"/>
    </xf>
    <xf numFmtId="171" fontId="3" fillId="6" borderId="16" xfId="16" applyFont="1" applyFill="1" applyBorder="1" applyAlignment="1">
      <alignment horizontal="center"/>
    </xf>
    <xf numFmtId="0" fontId="3" fillId="0" borderId="0" xfId="14" applyNumberFormat="1" applyFont="1" applyBorder="1" applyAlignment="1">
      <alignment horizontal="center"/>
    </xf>
    <xf numFmtId="0" fontId="19" fillId="0" borderId="10" xfId="14" applyFont="1" applyBorder="1" applyAlignment="1">
      <alignment horizontal="right"/>
    </xf>
    <xf numFmtId="0" fontId="18" fillId="0" borderId="0" xfId="14" applyFont="1" applyBorder="1" applyAlignment="1">
      <alignment horizontal="center"/>
    </xf>
    <xf numFmtId="0" fontId="18" fillId="0" borderId="10" xfId="14" applyNumberFormat="1" applyFont="1" applyBorder="1" applyAlignment="1">
      <alignment horizontal="center"/>
    </xf>
    <xf numFmtId="0" fontId="18" fillId="0" borderId="10" xfId="14" applyFont="1" applyBorder="1" applyAlignment="1">
      <alignment horizontal="center"/>
    </xf>
    <xf numFmtId="3" fontId="18" fillId="0" borderId="10" xfId="14" applyNumberFormat="1" applyFont="1" applyFill="1" applyBorder="1" applyAlignment="1">
      <alignment horizontal="center"/>
    </xf>
    <xf numFmtId="0" fontId="18" fillId="0" borderId="10" xfId="14" applyFont="1" applyFill="1" applyBorder="1" applyAlignment="1">
      <alignment horizontal="center"/>
    </xf>
    <xf numFmtId="5" fontId="3" fillId="6" borderId="14" xfId="14" applyNumberFormat="1" applyFont="1" applyFill="1" applyBorder="1" applyAlignment="1">
      <alignment horizontal="center"/>
    </xf>
    <xf numFmtId="165" fontId="18" fillId="0" borderId="0" xfId="10" applyNumberFormat="1" applyFont="1" applyFill="1" applyBorder="1" applyAlignment="1">
      <alignment horizontal="center"/>
    </xf>
    <xf numFmtId="3" fontId="18" fillId="0" borderId="0" xfId="14" applyNumberFormat="1" applyFont="1" applyBorder="1" applyAlignment="1">
      <alignment horizontal="center"/>
    </xf>
    <xf numFmtId="3" fontId="18" fillId="0" borderId="10" xfId="14" applyNumberFormat="1" applyFont="1" applyBorder="1" applyAlignment="1">
      <alignment horizontal="center"/>
    </xf>
    <xf numFmtId="3" fontId="18" fillId="0" borderId="10" xfId="14" quotePrefix="1" applyNumberFormat="1" applyFont="1" applyBorder="1" applyAlignment="1">
      <alignment horizontal="center"/>
    </xf>
    <xf numFmtId="41" fontId="18" fillId="0" borderId="10" xfId="11" applyFont="1" applyBorder="1" applyAlignment="1">
      <alignment horizontal="center"/>
    </xf>
    <xf numFmtId="10" fontId="3" fillId="0" borderId="10" xfId="18" applyNumberFormat="1" applyFont="1" applyFill="1" applyBorder="1"/>
    <xf numFmtId="10" fontId="3" fillId="0" borderId="10" xfId="18" applyFont="1" applyFill="1" applyBorder="1"/>
    <xf numFmtId="10" fontId="3" fillId="0" borderId="12" xfId="17" applyNumberFormat="1" applyFont="1" applyFill="1" applyBorder="1"/>
    <xf numFmtId="37" fontId="11" fillId="0" borderId="0" xfId="6" applyFont="1" applyFill="1" applyBorder="1" applyAlignment="1">
      <alignment horizontal="right"/>
    </xf>
    <xf numFmtId="37" fontId="3" fillId="0" borderId="0" xfId="6" applyFont="1" applyBorder="1" applyAlignment="1">
      <alignment horizontal="center"/>
    </xf>
    <xf numFmtId="41" fontId="18" fillId="0" borderId="0" xfId="11" applyFont="1" applyBorder="1" applyAlignment="1">
      <alignment horizontal="center"/>
    </xf>
    <xf numFmtId="37" fontId="3" fillId="0" borderId="7" xfId="6" applyFont="1" applyFill="1" applyBorder="1" applyAlignment="1"/>
    <xf numFmtId="168" fontId="3" fillId="0" borderId="8" xfId="1" applyNumberFormat="1" applyFont="1" applyBorder="1"/>
    <xf numFmtId="168" fontId="3" fillId="0" borderId="11" xfId="1" applyNumberFormat="1" applyFont="1" applyBorder="1"/>
    <xf numFmtId="168" fontId="3" fillId="0" borderId="11" xfId="1" applyNumberFormat="1" applyFont="1" applyFill="1" applyBorder="1"/>
    <xf numFmtId="37" fontId="11" fillId="0" borderId="0" xfId="6" applyFont="1" applyBorder="1" applyAlignment="1">
      <alignment horizontal="right"/>
    </xf>
    <xf numFmtId="37" fontId="3" fillId="0" borderId="2" xfId="6" applyFont="1" applyFill="1" applyBorder="1" applyAlignment="1">
      <alignment horizontal="center"/>
    </xf>
    <xf numFmtId="37" fontId="3" fillId="0" borderId="0" xfId="6" applyFont="1" applyFill="1" applyBorder="1" applyAlignment="1">
      <alignment wrapText="1"/>
    </xf>
    <xf numFmtId="37" fontId="3" fillId="0" borderId="0" xfId="0" applyFont="1" applyBorder="1" applyAlignment="1"/>
    <xf numFmtId="37" fontId="18" fillId="0" borderId="0" xfId="6" applyFont="1" applyBorder="1" applyAlignment="1">
      <alignment horizontal="center"/>
    </xf>
    <xf numFmtId="41" fontId="3" fillId="0" borderId="0" xfId="0" applyNumberFormat="1" applyFont="1" applyFill="1" applyBorder="1"/>
    <xf numFmtId="37" fontId="18" fillId="0" borderId="0" xfId="6" applyFont="1" applyFill="1" applyBorder="1"/>
    <xf numFmtId="37" fontId="18" fillId="0" borderId="11" xfId="6" applyFont="1" applyFill="1" applyBorder="1" applyAlignment="1">
      <alignment horizontal="center"/>
    </xf>
    <xf numFmtId="168" fontId="3" fillId="0" borderId="2" xfId="1" applyNumberFormat="1" applyFont="1" applyFill="1" applyBorder="1"/>
    <xf numFmtId="37" fontId="3" fillId="0" borderId="10" xfId="6" applyFont="1" applyFill="1" applyBorder="1"/>
    <xf numFmtId="41" fontId="3" fillId="0" borderId="3" xfId="6" applyNumberFormat="1" applyFont="1" applyFill="1" applyBorder="1"/>
    <xf numFmtId="41" fontId="3" fillId="0" borderId="1" xfId="6" applyNumberFormat="1" applyFont="1" applyFill="1" applyBorder="1"/>
    <xf numFmtId="41" fontId="3" fillId="0" borderId="2" xfId="6" applyNumberFormat="1" applyFont="1" applyFill="1" applyBorder="1"/>
    <xf numFmtId="168" fontId="3" fillId="0" borderId="1" xfId="1" applyNumberFormat="1" applyFont="1" applyFill="1" applyBorder="1"/>
    <xf numFmtId="37" fontId="18" fillId="0" borderId="12" xfId="6" applyFont="1" applyFill="1" applyBorder="1"/>
    <xf numFmtId="37" fontId="3" fillId="0" borderId="0" xfId="0" applyFont="1" applyFill="1" applyBorder="1" applyAlignment="1">
      <alignment horizontal="center" wrapText="1"/>
    </xf>
    <xf numFmtId="41" fontId="3" fillId="0" borderId="9" xfId="6" applyNumberFormat="1" applyFont="1" applyFill="1" applyBorder="1"/>
    <xf numFmtId="41" fontId="3" fillId="0" borderId="1" xfId="0" applyNumberFormat="1" applyFont="1" applyFill="1" applyBorder="1"/>
    <xf numFmtId="10" fontId="43" fillId="0" borderId="20" xfId="17" applyNumberFormat="1" applyFont="1" applyBorder="1"/>
    <xf numFmtId="10" fontId="43" fillId="0" borderId="35" xfId="17" applyNumberFormat="1" applyFont="1" applyBorder="1"/>
    <xf numFmtId="37" fontId="43" fillId="0" borderId="36" xfId="6" applyFont="1" applyBorder="1"/>
    <xf numFmtId="37" fontId="0" fillId="9" borderId="0" xfId="0" applyFill="1"/>
    <xf numFmtId="0" fontId="30" fillId="0" borderId="0" xfId="0" applyNumberFormat="1" applyFont="1" applyFill="1" applyBorder="1" applyAlignment="1" applyProtection="1">
      <alignment horizontal="center"/>
    </xf>
    <xf numFmtId="37" fontId="30" fillId="0" borderId="4" xfId="0" applyFont="1" applyBorder="1" applyAlignment="1">
      <alignment horizontal="center"/>
    </xf>
    <xf numFmtId="37" fontId="30" fillId="0" borderId="7" xfId="0" applyFont="1" applyBorder="1" applyAlignment="1">
      <alignment horizontal="center"/>
    </xf>
    <xf numFmtId="0" fontId="18" fillId="0" borderId="0" xfId="11" applyNumberFormat="1" applyFont="1" applyAlignment="1">
      <alignment horizontal="center"/>
    </xf>
    <xf numFmtId="0" fontId="18" fillId="0" borderId="10" xfId="11" applyNumberFormat="1" applyFont="1" applyBorder="1" applyAlignment="1">
      <alignment horizontal="center"/>
    </xf>
    <xf numFmtId="41" fontId="18" fillId="0" borderId="0" xfId="0" applyNumberFormat="1" applyFont="1" applyFill="1" applyBorder="1" applyAlignment="1" applyProtection="1">
      <alignment horizontal="center"/>
    </xf>
    <xf numFmtId="37" fontId="30" fillId="0" borderId="0" xfId="0" applyFont="1" applyAlignment="1">
      <alignment horizontal="right"/>
    </xf>
    <xf numFmtId="0" fontId="32" fillId="0" borderId="0" xfId="0" applyNumberFormat="1" applyFont="1" applyFill="1" applyBorder="1" applyAlignment="1" applyProtection="1"/>
    <xf numFmtId="37" fontId="32" fillId="0" borderId="0" xfId="13" applyFont="1" applyAlignment="1"/>
    <xf numFmtId="37" fontId="32" fillId="0" borderId="0" xfId="0" applyFont="1" applyBorder="1" applyAlignment="1"/>
    <xf numFmtId="37" fontId="3" fillId="0" borderId="0" xfId="14" applyNumberFormat="1" applyFont="1" applyFill="1" applyAlignment="1">
      <alignment horizontal="left"/>
    </xf>
    <xf numFmtId="0" fontId="3" fillId="7" borderId="0" xfId="0" applyNumberFormat="1" applyFont="1" applyFill="1" applyBorder="1" applyAlignment="1" applyProtection="1"/>
    <xf numFmtId="0" fontId="16" fillId="7" borderId="0" xfId="0" applyNumberFormat="1" applyFont="1" applyFill="1" applyBorder="1" applyAlignment="1" applyProtection="1">
      <alignment horizontal="center"/>
    </xf>
    <xf numFmtId="0" fontId="17" fillId="7" borderId="0" xfId="0" applyNumberFormat="1" applyFont="1" applyFill="1" applyBorder="1" applyAlignment="1" applyProtection="1">
      <alignment horizontal="right"/>
    </xf>
    <xf numFmtId="37" fontId="17" fillId="7" borderId="0" xfId="0" applyFont="1" applyFill="1"/>
    <xf numFmtId="37" fontId="3" fillId="7" borderId="0" xfId="0" applyFont="1" applyFill="1" applyAlignment="1">
      <alignment horizontal="right"/>
    </xf>
    <xf numFmtId="0" fontId="3" fillId="7" borderId="0" xfId="0" applyNumberFormat="1" applyFont="1" applyFill="1" applyBorder="1" applyAlignment="1" applyProtection="1">
      <alignment horizontal="left"/>
    </xf>
    <xf numFmtId="37" fontId="26" fillId="7" borderId="0" xfId="0" applyFont="1" applyFill="1" applyAlignment="1">
      <alignment horizontal="left"/>
    </xf>
    <xf numFmtId="0" fontId="16" fillId="7" borderId="0" xfId="0" applyNumberFormat="1" applyFont="1" applyFill="1" applyBorder="1" applyAlignment="1" applyProtection="1">
      <alignment horizontal="left"/>
    </xf>
    <xf numFmtId="0" fontId="17" fillId="7" borderId="0" xfId="0" applyNumberFormat="1" applyFont="1" applyFill="1" applyBorder="1" applyAlignment="1" applyProtection="1">
      <alignment horizontal="left"/>
    </xf>
    <xf numFmtId="37" fontId="3" fillId="7" borderId="0" xfId="0" applyFont="1" applyFill="1" applyAlignment="1">
      <alignment horizontal="left"/>
    </xf>
    <xf numFmtId="37" fontId="17" fillId="7" borderId="0" xfId="0" applyFont="1" applyFill="1" applyAlignment="1">
      <alignment horizontal="left"/>
    </xf>
    <xf numFmtId="0" fontId="3" fillId="7" borderId="0" xfId="8" applyFont="1" applyFill="1" applyAlignment="1">
      <alignment horizontal="left"/>
    </xf>
    <xf numFmtId="168" fontId="3" fillId="7" borderId="0" xfId="1" applyNumberFormat="1" applyFont="1" applyFill="1" applyBorder="1" applyAlignment="1" applyProtection="1">
      <alignment horizontal="left"/>
    </xf>
    <xf numFmtId="0" fontId="3" fillId="7" borderId="6" xfId="8" applyFont="1" applyFill="1" applyBorder="1" applyAlignment="1">
      <alignment horizontal="left"/>
    </xf>
    <xf numFmtId="168" fontId="3" fillId="7" borderId="6" xfId="1" applyNumberFormat="1" applyFont="1" applyFill="1" applyBorder="1" applyAlignment="1" applyProtection="1">
      <alignment horizontal="left"/>
    </xf>
    <xf numFmtId="37" fontId="3" fillId="7" borderId="6" xfId="0" applyFont="1" applyFill="1" applyBorder="1"/>
    <xf numFmtId="37" fontId="3" fillId="0" borderId="0" xfId="0" applyFont="1" applyBorder="1"/>
    <xf numFmtId="168" fontId="34" fillId="0" borderId="0" xfId="1" applyNumberFormat="1" applyFont="1" applyFill="1"/>
    <xf numFmtId="168" fontId="34" fillId="0" borderId="0" xfId="1" applyNumberFormat="1" applyFont="1" applyFill="1" applyBorder="1"/>
    <xf numFmtId="37" fontId="30" fillId="0" borderId="10" xfId="0" applyFont="1" applyFill="1" applyBorder="1"/>
    <xf numFmtId="10" fontId="3" fillId="7" borderId="0" xfId="17" applyNumberFormat="1" applyFont="1" applyFill="1" applyBorder="1"/>
    <xf numFmtId="10" fontId="3" fillId="7" borderId="10" xfId="17" applyNumberFormat="1" applyFont="1" applyFill="1" applyBorder="1"/>
    <xf numFmtId="174" fontId="3" fillId="7" borderId="0" xfId="17" applyNumberFormat="1" applyFont="1" applyFill="1" applyBorder="1"/>
    <xf numFmtId="37" fontId="3" fillId="7" borderId="10" xfId="6" applyFont="1" applyFill="1" applyBorder="1"/>
    <xf numFmtId="37" fontId="3" fillId="7" borderId="17" xfId="6" applyFont="1" applyFill="1" applyBorder="1"/>
    <xf numFmtId="37" fontId="30" fillId="0" borderId="0" xfId="0" applyFont="1" applyBorder="1" applyAlignment="1">
      <alignment horizontal="right"/>
    </xf>
    <xf numFmtId="168" fontId="44" fillId="0" borderId="0" xfId="1" applyNumberFormat="1" applyFont="1" applyFill="1" applyBorder="1"/>
    <xf numFmtId="37" fontId="30" fillId="0" borderId="0" xfId="0" applyFont="1" applyFill="1" applyAlignment="1">
      <alignment horizontal="center"/>
    </xf>
    <xf numFmtId="37" fontId="30" fillId="0" borderId="0" xfId="0" applyFont="1" applyFill="1" applyAlignment="1">
      <alignment horizontal="right"/>
    </xf>
    <xf numFmtId="168" fontId="30" fillId="0" borderId="14" xfId="1" applyNumberFormat="1" applyFont="1" applyFill="1" applyBorder="1"/>
    <xf numFmtId="37" fontId="30" fillId="0" borderId="10" xfId="0" applyFont="1" applyFill="1" applyBorder="1" applyAlignment="1">
      <alignment horizontal="center"/>
    </xf>
    <xf numFmtId="1" fontId="30" fillId="0" borderId="10" xfId="0" applyNumberFormat="1" applyFont="1" applyFill="1" applyBorder="1" applyAlignment="1">
      <alignment horizontal="center"/>
    </xf>
    <xf numFmtId="37" fontId="32" fillId="0" borderId="0" xfId="0" applyFont="1" applyAlignment="1">
      <alignment horizontal="right"/>
    </xf>
    <xf numFmtId="37" fontId="3" fillId="0" borderId="0" xfId="0" applyFont="1" applyFill="1" applyAlignment="1">
      <alignment horizontal="left"/>
    </xf>
    <xf numFmtId="0" fontId="18" fillId="7" borderId="0" xfId="0" applyNumberFormat="1" applyFont="1" applyFill="1" applyBorder="1" applyAlignment="1" applyProtection="1">
      <alignment horizontal="center"/>
    </xf>
    <xf numFmtId="0" fontId="3" fillId="7" borderId="0" xfId="0" applyNumberFormat="1" applyFont="1" applyFill="1" applyBorder="1" applyAlignment="1" applyProtection="1">
      <alignment horizontal="right"/>
    </xf>
    <xf numFmtId="176" fontId="22" fillId="7" borderId="0" xfId="4" applyNumberFormat="1" applyFont="1" applyFill="1" applyBorder="1" applyAlignment="1" applyProtection="1"/>
    <xf numFmtId="10" fontId="22" fillId="7" borderId="0" xfId="0" applyNumberFormat="1" applyFont="1" applyFill="1" applyBorder="1" applyAlignment="1" applyProtection="1"/>
    <xf numFmtId="168" fontId="3" fillId="7" borderId="0" xfId="0" applyNumberFormat="1" applyFont="1" applyFill="1" applyBorder="1" applyAlignment="1" applyProtection="1"/>
    <xf numFmtId="5" fontId="22" fillId="7" borderId="0" xfId="0" applyNumberFormat="1" applyFont="1" applyFill="1" applyBorder="1" applyAlignment="1" applyProtection="1"/>
    <xf numFmtId="41" fontId="22" fillId="7" borderId="0" xfId="0" applyNumberFormat="1" applyFont="1" applyFill="1" applyBorder="1" applyAlignment="1" applyProtection="1"/>
    <xf numFmtId="172" fontId="22" fillId="7" borderId="0" xfId="0" applyNumberFormat="1" applyFont="1" applyFill="1" applyBorder="1" applyAlignment="1" applyProtection="1"/>
    <xf numFmtId="168" fontId="3" fillId="7" borderId="0" xfId="1" applyNumberFormat="1" applyFont="1" applyFill="1" applyBorder="1" applyAlignment="1" applyProtection="1"/>
    <xf numFmtId="37" fontId="18" fillId="7" borderId="12" xfId="0" applyFont="1" applyFill="1" applyBorder="1" applyAlignment="1">
      <alignment horizontal="center"/>
    </xf>
    <xf numFmtId="37" fontId="18" fillId="7" borderId="15" xfId="0" applyFont="1" applyFill="1" applyBorder="1" applyAlignment="1">
      <alignment horizontal="center"/>
    </xf>
    <xf numFmtId="10" fontId="3" fillId="7" borderId="6" xfId="17" applyNumberFormat="1" applyFont="1" applyFill="1" applyBorder="1"/>
    <xf numFmtId="10" fontId="3" fillId="0" borderId="17" xfId="18" applyNumberFormat="1" applyFont="1" applyBorder="1"/>
    <xf numFmtId="37" fontId="3" fillId="7" borderId="6" xfId="13" applyFont="1" applyFill="1" applyBorder="1"/>
    <xf numFmtId="5" fontId="22" fillId="0" borderId="0" xfId="11" applyNumberFormat="1" applyFont="1" applyBorder="1" applyAlignment="1">
      <alignment horizontal="right"/>
    </xf>
    <xf numFmtId="41" fontId="22" fillId="7" borderId="0" xfId="11" applyFont="1" applyFill="1"/>
    <xf numFmtId="37" fontId="3" fillId="7" borderId="0" xfId="13" applyFont="1" applyFill="1" applyBorder="1" applyAlignment="1">
      <alignment horizontal="left"/>
    </xf>
    <xf numFmtId="37" fontId="3" fillId="7" borderId="0" xfId="13" applyFont="1" applyFill="1" applyBorder="1"/>
    <xf numFmtId="37" fontId="3" fillId="7" borderId="0" xfId="13" quotePrefix="1" applyFont="1" applyFill="1" applyBorder="1" applyAlignment="1">
      <alignment horizontal="left"/>
    </xf>
    <xf numFmtId="37" fontId="18" fillId="7" borderId="0" xfId="13" applyFont="1" applyFill="1" applyAlignment="1">
      <alignment horizontal="center"/>
    </xf>
    <xf numFmtId="14" fontId="3" fillId="7" borderId="0" xfId="13" applyNumberFormat="1" applyFont="1" applyFill="1"/>
    <xf numFmtId="41" fontId="3" fillId="7" borderId="0" xfId="11" applyFont="1" applyFill="1"/>
    <xf numFmtId="37" fontId="18" fillId="7" borderId="12" xfId="13" applyFont="1" applyFill="1" applyBorder="1" applyAlignment="1">
      <alignment horizontal="center"/>
    </xf>
    <xf numFmtId="37" fontId="18" fillId="7" borderId="15" xfId="13" applyFont="1" applyFill="1" applyBorder="1" applyAlignment="1">
      <alignment horizontal="center"/>
    </xf>
    <xf numFmtId="171" fontId="18" fillId="10" borderId="21" xfId="16" applyFont="1" applyFill="1" applyBorder="1" applyAlignment="1">
      <alignment horizontal="center"/>
    </xf>
    <xf numFmtId="10" fontId="18" fillId="10" borderId="22" xfId="17" applyNumberFormat="1" applyFont="1" applyFill="1" applyBorder="1" applyAlignment="1">
      <alignment horizontal="center"/>
    </xf>
    <xf numFmtId="171" fontId="18" fillId="10" borderId="24" xfId="16" applyFont="1" applyFill="1" applyBorder="1" applyAlignment="1">
      <alignment horizontal="center"/>
    </xf>
    <xf numFmtId="171" fontId="3" fillId="10" borderId="22" xfId="16" applyFont="1" applyFill="1" applyBorder="1"/>
    <xf numFmtId="5" fontId="18" fillId="10" borderId="22" xfId="16" applyNumberFormat="1" applyFont="1" applyFill="1" applyBorder="1" applyAlignment="1">
      <alignment horizontal="center"/>
    </xf>
    <xf numFmtId="171" fontId="18" fillId="10" borderId="27" xfId="16" applyFont="1" applyFill="1" applyBorder="1" applyAlignment="1">
      <alignment horizontal="center"/>
    </xf>
    <xf numFmtId="168" fontId="3" fillId="0" borderId="6" xfId="1" applyNumberFormat="1" applyFont="1" applyFill="1" applyBorder="1"/>
    <xf numFmtId="41" fontId="3" fillId="0" borderId="4" xfId="0" applyNumberFormat="1" applyFont="1" applyFill="1" applyBorder="1"/>
    <xf numFmtId="41" fontId="3" fillId="0" borderId="7" xfId="0" applyNumberFormat="1" applyFont="1" applyFill="1" applyBorder="1"/>
    <xf numFmtId="41" fontId="3" fillId="0" borderId="3" xfId="0" applyNumberFormat="1" applyFont="1" applyFill="1" applyBorder="1"/>
    <xf numFmtId="37" fontId="21" fillId="7" borderId="0" xfId="6" applyFont="1" applyFill="1" applyAlignment="1"/>
    <xf numFmtId="37" fontId="3" fillId="7" borderId="0" xfId="0" applyFont="1" applyFill="1" applyBorder="1"/>
    <xf numFmtId="5" fontId="3" fillId="7" borderId="0" xfId="2" applyNumberFormat="1" applyFont="1" applyFill="1" applyBorder="1"/>
    <xf numFmtId="2" fontId="18" fillId="0" borderId="0" xfId="11" applyNumberFormat="1" applyFont="1" applyFill="1" applyBorder="1" applyAlignment="1">
      <alignment horizontal="center"/>
    </xf>
    <xf numFmtId="2" fontId="18" fillId="0" borderId="0" xfId="11" applyNumberFormat="1" applyFont="1" applyFill="1" applyAlignment="1">
      <alignment horizontal="center"/>
    </xf>
    <xf numFmtId="2" fontId="18" fillId="0" borderId="0" xfId="14" applyNumberFormat="1" applyFont="1" applyFill="1" applyAlignment="1">
      <alignment horizontal="center"/>
    </xf>
    <xf numFmtId="168" fontId="1" fillId="0" borderId="0" xfId="1" applyNumberFormat="1" applyFont="1" applyFill="1" applyProtection="1">
      <protection locked="0"/>
    </xf>
    <xf numFmtId="168" fontId="47" fillId="0" borderId="0" xfId="1" applyNumberFormat="1" applyFont="1" applyFill="1" applyAlignment="1">
      <alignment horizontal="center"/>
    </xf>
    <xf numFmtId="39" fontId="18" fillId="0" borderId="0" xfId="11" applyNumberFormat="1" applyFont="1" applyFill="1" applyAlignment="1">
      <alignment horizontal="center"/>
    </xf>
    <xf numFmtId="37" fontId="18" fillId="0" borderId="0" xfId="0" applyFont="1" applyFill="1" applyBorder="1" applyAlignment="1">
      <alignment horizontal="center"/>
    </xf>
    <xf numFmtId="4" fontId="18" fillId="0" borderId="0" xfId="14" applyNumberFormat="1" applyFont="1" applyAlignment="1">
      <alignment horizontal="center"/>
    </xf>
    <xf numFmtId="168" fontId="1" fillId="0" borderId="10" xfId="1" applyNumberFormat="1" applyFont="1" applyFill="1" applyBorder="1"/>
    <xf numFmtId="5" fontId="3" fillId="0" borderId="10" xfId="1" applyNumberFormat="1" applyFont="1" applyFill="1" applyBorder="1"/>
    <xf numFmtId="37" fontId="3" fillId="0" borderId="0" xfId="6" applyFont="1" applyFill="1" applyBorder="1" applyAlignment="1">
      <alignment horizontal="center"/>
    </xf>
    <xf numFmtId="177" fontId="48" fillId="0" borderId="0" xfId="11" applyNumberFormat="1" applyFont="1" applyFill="1" applyAlignment="1">
      <alignment horizontal="center"/>
    </xf>
    <xf numFmtId="3" fontId="48" fillId="0" borderId="0" xfId="14" applyNumberFormat="1" applyFont="1" applyFill="1" applyBorder="1" applyAlignment="1">
      <alignment horizontal="center"/>
    </xf>
    <xf numFmtId="3" fontId="48" fillId="0" borderId="10" xfId="14" applyNumberFormat="1" applyFont="1" applyFill="1" applyBorder="1" applyAlignment="1">
      <alignment horizontal="center"/>
    </xf>
    <xf numFmtId="168" fontId="1" fillId="0" borderId="0" xfId="1" applyNumberFormat="1" applyFont="1" applyFill="1" applyBorder="1"/>
    <xf numFmtId="167" fontId="3" fillId="0" borderId="0" xfId="17" applyNumberFormat="1" applyFont="1" applyFill="1" applyBorder="1" applyAlignment="1" applyProtection="1"/>
    <xf numFmtId="41" fontId="3" fillId="0" borderId="10" xfId="0" applyNumberFormat="1" applyFont="1" applyFill="1" applyBorder="1"/>
    <xf numFmtId="41" fontId="3" fillId="0" borderId="7" xfId="6" applyNumberFormat="1" applyFont="1" applyFill="1" applyBorder="1"/>
    <xf numFmtId="37" fontId="3" fillId="0" borderId="3" xfId="6" applyFont="1" applyFill="1" applyBorder="1" applyAlignment="1"/>
    <xf numFmtId="39" fontId="3" fillId="0" borderId="0" xfId="24" applyNumberFormat="1" applyFont="1" applyFill="1" applyBorder="1" applyAlignment="1">
      <alignment horizontal="center"/>
    </xf>
    <xf numFmtId="39" fontId="3" fillId="0" borderId="0" xfId="24" applyNumberFormat="1" applyFont="1" applyFill="1" applyAlignment="1">
      <alignment horizontal="center"/>
    </xf>
    <xf numFmtId="5" fontId="3" fillId="0" borderId="0" xfId="1" applyNumberFormat="1" applyFont="1" applyFill="1" applyBorder="1"/>
    <xf numFmtId="168" fontId="3" fillId="0" borderId="13" xfId="1" applyNumberFormat="1" applyFont="1" applyFill="1" applyBorder="1"/>
    <xf numFmtId="168" fontId="3" fillId="0" borderId="13" xfId="14" applyNumberFormat="1" applyFont="1" applyFill="1" applyBorder="1"/>
    <xf numFmtId="37" fontId="46" fillId="0" borderId="10" xfId="6" applyFont="1" applyFill="1" applyBorder="1"/>
    <xf numFmtId="37" fontId="46" fillId="0" borderId="0" xfId="13" applyFont="1"/>
    <xf numFmtId="178" fontId="3" fillId="0" borderId="17" xfId="18" applyNumberFormat="1" applyFont="1" applyBorder="1"/>
    <xf numFmtId="3" fontId="47" fillId="8" borderId="0" xfId="14" applyNumberFormat="1" applyFont="1" applyFill="1" applyAlignment="1">
      <alignment horizontal="center"/>
    </xf>
    <xf numFmtId="3" fontId="47" fillId="0" borderId="0" xfId="14" applyNumberFormat="1" applyFont="1" applyFill="1" applyAlignment="1">
      <alignment horizontal="center"/>
    </xf>
    <xf numFmtId="3" fontId="47" fillId="0" borderId="13" xfId="14" applyNumberFormat="1" applyFont="1" applyFill="1" applyBorder="1" applyAlignment="1">
      <alignment horizontal="center"/>
    </xf>
    <xf numFmtId="3" fontId="47" fillId="0" borderId="0" xfId="14" applyNumberFormat="1" applyFont="1" applyFill="1"/>
    <xf numFmtId="2" fontId="46" fillId="0" borderId="0" xfId="11" applyNumberFormat="1" applyFont="1" applyFill="1" applyAlignment="1">
      <alignment horizontal="center"/>
    </xf>
    <xf numFmtId="3" fontId="46" fillId="0" borderId="0" xfId="14" applyNumberFormat="1" applyFont="1" applyFill="1" applyBorder="1" applyAlignment="1">
      <alignment horizontal="center"/>
    </xf>
    <xf numFmtId="0" fontId="46" fillId="0" borderId="0" xfId="14" applyFont="1" applyFill="1" applyBorder="1" applyAlignment="1">
      <alignment horizontal="center"/>
    </xf>
    <xf numFmtId="3" fontId="46" fillId="0" borderId="10" xfId="14" applyNumberFormat="1" applyFont="1" applyFill="1" applyBorder="1" applyAlignment="1">
      <alignment horizontal="center"/>
    </xf>
    <xf numFmtId="5" fontId="47" fillId="0" borderId="0" xfId="1" applyNumberFormat="1" applyFont="1" applyFill="1" applyBorder="1"/>
    <xf numFmtId="168" fontId="47" fillId="0" borderId="0" xfId="1" applyNumberFormat="1" applyFont="1" applyFill="1"/>
    <xf numFmtId="168" fontId="47" fillId="0" borderId="10" xfId="1" applyNumberFormat="1" applyFont="1" applyFill="1" applyBorder="1"/>
    <xf numFmtId="168" fontId="47" fillId="0" borderId="13" xfId="1" applyNumberFormat="1" applyFont="1" applyFill="1" applyBorder="1"/>
    <xf numFmtId="168" fontId="47" fillId="0" borderId="0" xfId="1" applyNumberFormat="1" applyFont="1" applyFill="1" applyBorder="1"/>
    <xf numFmtId="168" fontId="47" fillId="0" borderId="13" xfId="14" applyNumberFormat="1" applyFont="1" applyFill="1" applyBorder="1"/>
    <xf numFmtId="3" fontId="47" fillId="0" borderId="0" xfId="14" applyNumberFormat="1" applyFont="1"/>
    <xf numFmtId="3" fontId="47" fillId="7" borderId="0" xfId="14" applyNumberFormat="1" applyFont="1" applyFill="1"/>
    <xf numFmtId="168" fontId="47" fillId="0" borderId="0" xfId="1" applyNumberFormat="1" applyFont="1" applyBorder="1"/>
    <xf numFmtId="168" fontId="47" fillId="0" borderId="12" xfId="1" applyNumberFormat="1" applyFont="1" applyFill="1" applyBorder="1"/>
    <xf numFmtId="168" fontId="47" fillId="0" borderId="0" xfId="1" applyNumberFormat="1" applyFont="1"/>
    <xf numFmtId="10" fontId="47" fillId="0" borderId="10" xfId="17" applyNumberFormat="1" applyFont="1" applyFill="1" applyBorder="1" applyAlignment="1">
      <alignment horizontal="right"/>
    </xf>
    <xf numFmtId="168" fontId="47" fillId="0" borderId="3" xfId="1" applyNumberFormat="1" applyFont="1" applyFill="1" applyBorder="1" applyAlignment="1">
      <alignment horizontal="right"/>
    </xf>
    <xf numFmtId="5" fontId="47" fillId="0" borderId="17" xfId="16" applyNumberFormat="1" applyFont="1" applyBorder="1"/>
    <xf numFmtId="0" fontId="47" fillId="0" borderId="0" xfId="14" applyFont="1" applyFill="1"/>
    <xf numFmtId="37" fontId="47" fillId="0" borderId="0" xfId="0" applyFont="1" applyFill="1"/>
    <xf numFmtId="39" fontId="46" fillId="0" borderId="0" xfId="11" applyNumberFormat="1" applyFont="1" applyFill="1" applyAlignment="1">
      <alignment horizontal="center"/>
    </xf>
    <xf numFmtId="37" fontId="47" fillId="0" borderId="0" xfId="0" applyFont="1" applyFill="1" applyBorder="1"/>
    <xf numFmtId="5" fontId="47" fillId="0" borderId="13" xfId="14" applyNumberFormat="1" applyFont="1" applyFill="1" applyBorder="1"/>
    <xf numFmtId="5" fontId="47" fillId="0" borderId="0" xfId="1" applyNumberFormat="1" applyFont="1" applyFill="1"/>
    <xf numFmtId="5" fontId="47" fillId="0" borderId="0" xfId="1" applyNumberFormat="1" applyFont="1" applyBorder="1"/>
    <xf numFmtId="3" fontId="47" fillId="0" borderId="0" xfId="14" applyNumberFormat="1" applyFont="1" applyAlignment="1">
      <alignment horizontal="center"/>
    </xf>
    <xf numFmtId="165" fontId="46" fillId="0" borderId="0" xfId="10" applyNumberFormat="1" applyFont="1" applyFill="1" applyBorder="1" applyAlignment="1">
      <alignment horizontal="center"/>
    </xf>
    <xf numFmtId="3" fontId="46" fillId="0" borderId="0" xfId="14" applyNumberFormat="1" applyFont="1" applyBorder="1" applyAlignment="1">
      <alignment horizontal="center"/>
    </xf>
    <xf numFmtId="3" fontId="46" fillId="0" borderId="10" xfId="14" applyNumberFormat="1" applyFont="1" applyBorder="1" applyAlignment="1">
      <alignment horizontal="center"/>
    </xf>
    <xf numFmtId="3" fontId="47" fillId="0" borderId="0" xfId="14" applyNumberFormat="1" applyFont="1" applyBorder="1" applyAlignment="1">
      <alignment horizontal="center"/>
    </xf>
    <xf numFmtId="3" fontId="46" fillId="0" borderId="0" xfId="15" applyNumberFormat="1" applyFont="1" applyFill="1" applyAlignment="1">
      <alignment horizontal="center"/>
    </xf>
    <xf numFmtId="3" fontId="47" fillId="0" borderId="0" xfId="14" applyNumberFormat="1" applyFont="1" applyFill="1" applyBorder="1" applyAlignment="1">
      <alignment horizontal="center"/>
    </xf>
    <xf numFmtId="3" fontId="47" fillId="0" borderId="0" xfId="14" applyNumberFormat="1" applyFont="1" applyFill="1" applyBorder="1"/>
    <xf numFmtId="0" fontId="47" fillId="0" borderId="0" xfId="14" quotePrefix="1" applyNumberFormat="1" applyFont="1" applyAlignment="1">
      <alignment horizontal="center"/>
    </xf>
    <xf numFmtId="3" fontId="46" fillId="0" borderId="0" xfId="14" quotePrefix="1" applyNumberFormat="1" applyFont="1" applyBorder="1" applyAlignment="1">
      <alignment horizontal="center"/>
    </xf>
    <xf numFmtId="3" fontId="46" fillId="0" borderId="10" xfId="14" quotePrefix="1" applyNumberFormat="1" applyFont="1" applyBorder="1" applyAlignment="1">
      <alignment horizontal="center"/>
    </xf>
    <xf numFmtId="3" fontId="47" fillId="0" borderId="0" xfId="14" applyNumberFormat="1" applyFont="1" applyBorder="1" applyAlignment="1">
      <alignment horizontal="centerContinuous"/>
    </xf>
    <xf numFmtId="0" fontId="46" fillId="0" borderId="10" xfId="14" applyFont="1" applyFill="1" applyBorder="1" applyAlignment="1">
      <alignment horizontal="center"/>
    </xf>
    <xf numFmtId="3" fontId="47" fillId="0" borderId="37" xfId="14" applyNumberFormat="1" applyFont="1" applyFill="1" applyBorder="1"/>
    <xf numFmtId="37" fontId="3" fillId="0" borderId="9" xfId="6" applyFont="1" applyBorder="1"/>
    <xf numFmtId="41" fontId="3" fillId="0" borderId="8" xfId="6" applyNumberFormat="1" applyFont="1" applyFill="1" applyBorder="1"/>
    <xf numFmtId="37" fontId="46" fillId="4" borderId="0" xfId="6" applyFont="1" applyFill="1"/>
    <xf numFmtId="37" fontId="46" fillId="4" borderId="12" xfId="6" applyFont="1" applyFill="1" applyBorder="1"/>
    <xf numFmtId="3" fontId="19" fillId="0" borderId="12" xfId="16" applyNumberFormat="1" applyFont="1" applyFill="1" applyBorder="1" applyAlignment="1">
      <alignment horizontal="center" shrinkToFit="1"/>
    </xf>
    <xf numFmtId="5" fontId="3" fillId="0" borderId="0" xfId="0" applyNumberFormat="1" applyFont="1" applyFill="1" applyProtection="1">
      <protection locked="0"/>
    </xf>
    <xf numFmtId="41" fontId="3" fillId="0" borderId="0" xfId="2" applyFont="1" applyFill="1" applyBorder="1"/>
    <xf numFmtId="5" fontId="3" fillId="0" borderId="0" xfId="1" applyNumberFormat="1" applyFont="1" applyFill="1" applyProtection="1">
      <protection locked="0"/>
    </xf>
    <xf numFmtId="168" fontId="3" fillId="0" borderId="13" xfId="16" applyNumberFormat="1" applyFont="1" applyFill="1" applyBorder="1"/>
    <xf numFmtId="3" fontId="19" fillId="0" borderId="0" xfId="14" applyNumberFormat="1" applyFont="1" applyFill="1" applyAlignment="1">
      <alignment horizontal="left"/>
    </xf>
    <xf numFmtId="3" fontId="19" fillId="0" borderId="0" xfId="14" applyNumberFormat="1" applyFont="1" applyFill="1" applyAlignment="1">
      <alignment horizontal="left"/>
    </xf>
    <xf numFmtId="3" fontId="46" fillId="0" borderId="35" xfId="14" applyNumberFormat="1" applyFont="1" applyBorder="1" applyAlignment="1">
      <alignment horizontal="centerContinuous"/>
    </xf>
    <xf numFmtId="4" fontId="46" fillId="0" borderId="0" xfId="14" applyNumberFormat="1" applyFont="1" applyAlignment="1">
      <alignment horizontal="center"/>
    </xf>
    <xf numFmtId="0" fontId="46" fillId="0" borderId="0" xfId="14" applyFont="1" applyFill="1" applyAlignment="1">
      <alignment horizontal="center"/>
    </xf>
    <xf numFmtId="168" fontId="1" fillId="0" borderId="0" xfId="1" applyNumberFormat="1" applyFont="1" applyFill="1"/>
    <xf numFmtId="37" fontId="18" fillId="0" borderId="0" xfId="13" applyFont="1" applyAlignment="1">
      <alignment horizontal="center"/>
    </xf>
    <xf numFmtId="175" fontId="11" fillId="0" borderId="0" xfId="17" applyNumberFormat="1" applyFont="1" applyFill="1" applyBorder="1" applyAlignment="1">
      <alignment horizontal="center" shrinkToFit="1"/>
    </xf>
    <xf numFmtId="168" fontId="3" fillId="0" borderId="0" xfId="10" applyNumberFormat="1" applyFont="1" applyFill="1" applyBorder="1"/>
    <xf numFmtId="168" fontId="3" fillId="0" borderId="0" xfId="2" applyNumberFormat="1" applyFont="1" applyFill="1"/>
    <xf numFmtId="168" fontId="3" fillId="0" borderId="10" xfId="2" applyNumberFormat="1" applyFont="1" applyFill="1" applyBorder="1"/>
    <xf numFmtId="5" fontId="3" fillId="4" borderId="0" xfId="2" applyNumberFormat="1" applyFont="1" applyFill="1"/>
    <xf numFmtId="168" fontId="1" fillId="0" borderId="0" xfId="2" applyNumberFormat="1" applyFont="1" applyFill="1"/>
    <xf numFmtId="168" fontId="1" fillId="0" borderId="10" xfId="2" applyNumberFormat="1" applyFont="1" applyFill="1" applyBorder="1"/>
    <xf numFmtId="168" fontId="1" fillId="0" borderId="0" xfId="2" applyNumberFormat="1" applyFont="1" applyFill="1" applyBorder="1"/>
    <xf numFmtId="37" fontId="18" fillId="2" borderId="22" xfId="0" applyFont="1" applyFill="1" applyBorder="1" applyAlignment="1">
      <alignment horizontal="center"/>
    </xf>
    <xf numFmtId="179" fontId="11" fillId="0" borderId="0" xfId="17" applyNumberFormat="1" applyFont="1" applyFill="1" applyBorder="1" applyAlignment="1">
      <alignment horizontal="center" shrinkToFit="1"/>
    </xf>
    <xf numFmtId="0" fontId="1" fillId="0" borderId="0" xfId="14" applyNumberFormat="1" applyFont="1" applyFill="1"/>
    <xf numFmtId="0" fontId="1" fillId="0" borderId="0" xfId="14" applyNumberFormat="1" applyFont="1" applyAlignment="1">
      <alignment horizontal="center"/>
    </xf>
    <xf numFmtId="3" fontId="1" fillId="0" borderId="0" xfId="14" applyNumberFormat="1" applyFont="1" applyFill="1"/>
    <xf numFmtId="3" fontId="1" fillId="0" borderId="0" xfId="14" applyNumberFormat="1" applyFont="1" applyFill="1" applyAlignment="1">
      <alignment horizontal="center"/>
    </xf>
    <xf numFmtId="3" fontId="48" fillId="0" borderId="0" xfId="15" applyNumberFormat="1" applyFont="1" applyFill="1" applyAlignment="1">
      <alignment horizontal="center"/>
    </xf>
    <xf numFmtId="0" fontId="1" fillId="0" borderId="0" xfId="14" applyNumberFormat="1" applyFont="1" applyAlignment="1">
      <alignment horizontal="left"/>
    </xf>
    <xf numFmtId="0" fontId="1" fillId="0" borderId="0" xfId="14" applyNumberFormat="1" applyFont="1"/>
    <xf numFmtId="3" fontId="1" fillId="0" borderId="0" xfId="14" applyNumberFormat="1" applyFont="1" applyFill="1" applyBorder="1" applyAlignment="1">
      <alignment horizontal="center"/>
    </xf>
    <xf numFmtId="3" fontId="1" fillId="0" borderId="0" xfId="14" applyNumberFormat="1" applyFont="1" applyAlignment="1">
      <alignment horizontal="center"/>
    </xf>
    <xf numFmtId="0" fontId="48" fillId="0" borderId="0" xfId="14" applyNumberFormat="1" applyFont="1" applyAlignment="1">
      <alignment horizontal="center"/>
    </xf>
    <xf numFmtId="2" fontId="48" fillId="0" borderId="0" xfId="11" applyNumberFormat="1" applyFont="1" applyFill="1" applyBorder="1" applyAlignment="1">
      <alignment horizontal="center"/>
    </xf>
    <xf numFmtId="2" fontId="48" fillId="0" borderId="0" xfId="11" applyNumberFormat="1" applyFont="1" applyFill="1" applyAlignment="1">
      <alignment horizontal="center"/>
    </xf>
    <xf numFmtId="2" fontId="48" fillId="0" borderId="0" xfId="14" applyNumberFormat="1" applyFont="1" applyFill="1" applyAlignment="1">
      <alignment horizontal="center"/>
    </xf>
    <xf numFmtId="0" fontId="48" fillId="0" borderId="0" xfId="14" applyNumberFormat="1" applyFont="1" applyBorder="1" applyAlignment="1">
      <alignment horizontal="center"/>
    </xf>
    <xf numFmtId="0" fontId="48" fillId="0" borderId="0" xfId="14" applyFont="1" applyBorder="1" applyAlignment="1">
      <alignment horizontal="center"/>
    </xf>
    <xf numFmtId="0" fontId="48" fillId="0" borderId="0" xfId="14" applyFont="1" applyFill="1" applyBorder="1" applyAlignment="1">
      <alignment horizontal="center"/>
    </xf>
    <xf numFmtId="0" fontId="48" fillId="0" borderId="10" xfId="14" applyNumberFormat="1" applyFont="1" applyBorder="1" applyAlignment="1">
      <alignment horizontal="center"/>
    </xf>
    <xf numFmtId="0" fontId="48" fillId="0" borderId="10" xfId="14" applyFont="1" applyBorder="1" applyAlignment="1">
      <alignment horizontal="center"/>
    </xf>
    <xf numFmtId="0" fontId="1" fillId="0" borderId="0" xfId="14" applyNumberFormat="1" applyFont="1" applyBorder="1" applyAlignment="1">
      <alignment horizontal="center"/>
    </xf>
    <xf numFmtId="0" fontId="52" fillId="0" borderId="10" xfId="14" applyFont="1" applyBorder="1" applyAlignment="1">
      <alignment horizontal="right"/>
    </xf>
    <xf numFmtId="0" fontId="1" fillId="0" borderId="7" xfId="16" applyNumberFormat="1" applyFont="1" applyBorder="1" applyAlignment="1">
      <alignment horizontal="center"/>
    </xf>
    <xf numFmtId="171" fontId="1" fillId="6" borderId="14" xfId="16" applyFont="1" applyFill="1" applyBorder="1" applyAlignment="1">
      <alignment horizontal="center"/>
    </xf>
    <xf numFmtId="3" fontId="1" fillId="0" borderId="0" xfId="14" applyNumberFormat="1" applyFont="1"/>
    <xf numFmtId="3" fontId="1" fillId="0" borderId="0" xfId="14" applyNumberFormat="1" applyFont="1" applyFill="1" applyBorder="1"/>
    <xf numFmtId="0" fontId="1" fillId="0" borderId="7" xfId="14" applyNumberFormat="1" applyFont="1" applyBorder="1" applyAlignment="1">
      <alignment horizontal="center"/>
    </xf>
    <xf numFmtId="0" fontId="1" fillId="0" borderId="0" xfId="14" applyFont="1"/>
    <xf numFmtId="5" fontId="1" fillId="0" borderId="0" xfId="14" applyNumberFormat="1" applyFont="1"/>
    <xf numFmtId="5" fontId="1" fillId="0" borderId="0" xfId="1" applyNumberFormat="1" applyFont="1" applyFill="1"/>
    <xf numFmtId="5" fontId="1" fillId="0" borderId="0" xfId="1" applyNumberFormat="1" applyFont="1" applyFill="1" applyBorder="1"/>
    <xf numFmtId="37" fontId="1" fillId="0" borderId="0" xfId="14" applyNumberFormat="1" applyFont="1"/>
    <xf numFmtId="37" fontId="1" fillId="0" borderId="0" xfId="14" applyNumberFormat="1" applyFont="1" applyAlignment="1">
      <alignment horizontal="left" indent="1"/>
    </xf>
    <xf numFmtId="5" fontId="1" fillId="0" borderId="10" xfId="1" applyNumberFormat="1" applyFont="1" applyFill="1" applyBorder="1"/>
    <xf numFmtId="37" fontId="1" fillId="0" borderId="0" xfId="16" applyNumberFormat="1" applyFont="1"/>
    <xf numFmtId="37" fontId="1" fillId="0" borderId="0" xfId="14" applyNumberFormat="1" applyFont="1" applyFill="1" applyAlignment="1">
      <alignment horizontal="left" indent="1"/>
    </xf>
    <xf numFmtId="37" fontId="1" fillId="0" borderId="0" xfId="14" applyNumberFormat="1" applyFont="1" applyAlignment="1">
      <alignment horizontal="left" indent="2"/>
    </xf>
    <xf numFmtId="168" fontId="1" fillId="0" borderId="12" xfId="1" applyNumberFormat="1" applyFont="1" applyFill="1" applyBorder="1"/>
    <xf numFmtId="168" fontId="1" fillId="0" borderId="13" xfId="1" applyNumberFormat="1" applyFont="1" applyFill="1" applyBorder="1"/>
    <xf numFmtId="171" fontId="1" fillId="0" borderId="0" xfId="16" applyFont="1"/>
    <xf numFmtId="5" fontId="1" fillId="0" borderId="0" xfId="14" applyNumberFormat="1" applyFont="1" applyAlignment="1">
      <alignment horizontal="left" indent="1"/>
    </xf>
    <xf numFmtId="5" fontId="1" fillId="6" borderId="14" xfId="14" applyNumberFormat="1" applyFont="1" applyFill="1" applyBorder="1" applyAlignment="1">
      <alignment horizontal="center"/>
    </xf>
    <xf numFmtId="168" fontId="1" fillId="0" borderId="13" xfId="14" applyNumberFormat="1" applyFont="1" applyFill="1" applyBorder="1"/>
    <xf numFmtId="37" fontId="1" fillId="0" borderId="0" xfId="0" applyFont="1" applyFill="1"/>
    <xf numFmtId="0" fontId="1" fillId="0" borderId="0" xfId="14" quotePrefix="1" applyNumberFormat="1" applyFont="1" applyAlignment="1">
      <alignment horizontal="center"/>
    </xf>
    <xf numFmtId="3" fontId="1" fillId="0" borderId="37" xfId="14" applyNumberFormat="1" applyFont="1" applyBorder="1" applyAlignment="1">
      <alignment horizontal="center"/>
    </xf>
    <xf numFmtId="3" fontId="1" fillId="0" borderId="0" xfId="14" applyNumberFormat="1" applyFont="1" applyBorder="1" applyAlignment="1">
      <alignment horizontal="centerContinuous"/>
    </xf>
    <xf numFmtId="39" fontId="48" fillId="0" borderId="0" xfId="11" applyNumberFormat="1" applyFont="1" applyFill="1" applyAlignment="1">
      <alignment horizontal="center"/>
    </xf>
    <xf numFmtId="4" fontId="48" fillId="0" borderId="0" xfId="14" applyNumberFormat="1" applyFont="1" applyAlignment="1">
      <alignment horizontal="center"/>
    </xf>
    <xf numFmtId="165" fontId="48" fillId="0" borderId="0" xfId="10" applyNumberFormat="1" applyFont="1" applyFill="1" applyBorder="1" applyAlignment="1">
      <alignment horizontal="center"/>
    </xf>
    <xf numFmtId="37" fontId="1" fillId="0" borderId="0" xfId="0" applyFont="1" applyFill="1" applyBorder="1"/>
    <xf numFmtId="3" fontId="48" fillId="0" borderId="0" xfId="14" applyNumberFormat="1" applyFont="1" applyBorder="1" applyAlignment="1">
      <alignment horizontal="center"/>
    </xf>
    <xf numFmtId="3" fontId="48" fillId="0" borderId="0" xfId="14" quotePrefix="1" applyNumberFormat="1" applyFont="1" applyBorder="1" applyAlignment="1">
      <alignment horizontal="center"/>
    </xf>
    <xf numFmtId="37" fontId="48" fillId="0" borderId="0" xfId="0" applyFont="1" applyFill="1" applyBorder="1" applyAlignment="1">
      <alignment horizontal="center"/>
    </xf>
    <xf numFmtId="3" fontId="48" fillId="0" borderId="10" xfId="14" applyNumberFormat="1" applyFont="1" applyBorder="1" applyAlignment="1">
      <alignment horizontal="center"/>
    </xf>
    <xf numFmtId="3" fontId="48" fillId="0" borderId="10" xfId="14" quotePrefix="1" applyNumberFormat="1" applyFont="1" applyBorder="1" applyAlignment="1">
      <alignment horizontal="center"/>
    </xf>
    <xf numFmtId="0" fontId="48" fillId="0" borderId="10" xfId="14" applyFont="1" applyFill="1" applyBorder="1" applyAlignment="1">
      <alignment horizontal="center"/>
    </xf>
    <xf numFmtId="0" fontId="52" fillId="0" borderId="0" xfId="14" applyFont="1" applyBorder="1" applyAlignment="1">
      <alignment horizontal="right"/>
    </xf>
    <xf numFmtId="3" fontId="52" fillId="0" borderId="0" xfId="14" applyNumberFormat="1" applyFont="1" applyFill="1" applyBorder="1" applyAlignment="1">
      <alignment horizontal="left"/>
    </xf>
    <xf numFmtId="3" fontId="1" fillId="0" borderId="0" xfId="14" applyNumberFormat="1" applyFont="1" applyBorder="1" applyAlignment="1">
      <alignment horizontal="center"/>
    </xf>
    <xf numFmtId="0" fontId="1" fillId="0" borderId="0" xfId="14" applyFont="1" applyFill="1" applyBorder="1" applyAlignment="1">
      <alignment horizontal="center"/>
    </xf>
    <xf numFmtId="0" fontId="48" fillId="0" borderId="0" xfId="14" applyFont="1" applyFill="1" applyAlignment="1">
      <alignment horizontal="center"/>
    </xf>
    <xf numFmtId="5" fontId="1" fillId="0" borderId="13" xfId="14" applyNumberFormat="1" applyFont="1" applyFill="1" applyBorder="1"/>
    <xf numFmtId="5" fontId="1" fillId="0" borderId="39" xfId="1" applyNumberFormat="1" applyFont="1" applyFill="1" applyBorder="1"/>
    <xf numFmtId="3" fontId="3" fillId="0" borderId="0" xfId="16" applyNumberFormat="1" applyFont="1" applyFill="1" applyAlignment="1">
      <alignment horizontal="center"/>
    </xf>
    <xf numFmtId="171" fontId="45" fillId="10" borderId="21" xfId="16" applyFont="1" applyFill="1" applyBorder="1" applyAlignment="1">
      <alignment horizontal="center" vertical="center"/>
    </xf>
    <xf numFmtId="171" fontId="45" fillId="10" borderId="22" xfId="16" applyFont="1" applyFill="1" applyBorder="1" applyAlignment="1">
      <alignment horizontal="center" vertical="center"/>
    </xf>
    <xf numFmtId="171" fontId="45" fillId="10" borderId="23" xfId="16" applyFont="1" applyFill="1" applyBorder="1" applyAlignment="1">
      <alignment horizontal="center" vertical="center"/>
    </xf>
    <xf numFmtId="171" fontId="18" fillId="0" borderId="0" xfId="16" applyFont="1" applyAlignment="1">
      <alignment horizontal="center"/>
    </xf>
    <xf numFmtId="171" fontId="3" fillId="0" borderId="37" xfId="16" applyFont="1" applyBorder="1" applyAlignment="1">
      <alignment horizontal="center"/>
    </xf>
    <xf numFmtId="3" fontId="52" fillId="0" borderId="0" xfId="14" applyNumberFormat="1" applyFont="1" applyFill="1" applyAlignment="1">
      <alignment horizontal="left"/>
    </xf>
    <xf numFmtId="3" fontId="1" fillId="0" borderId="0" xfId="14" applyNumberFormat="1" applyFont="1" applyFill="1" applyAlignment="1">
      <alignment horizontal="center"/>
    </xf>
    <xf numFmtId="3" fontId="1" fillId="0" borderId="0" xfId="14" applyNumberFormat="1" applyFont="1" applyFill="1" applyBorder="1" applyAlignment="1">
      <alignment horizontal="center"/>
    </xf>
    <xf numFmtId="3" fontId="48" fillId="0" borderId="35" xfId="14" applyNumberFormat="1" applyFont="1" applyBorder="1" applyAlignment="1">
      <alignment horizontal="center"/>
    </xf>
    <xf numFmtId="37" fontId="3" fillId="0" borderId="0" xfId="0" applyFont="1" applyBorder="1" applyAlignment="1">
      <alignment horizontal="center"/>
    </xf>
    <xf numFmtId="37" fontId="3" fillId="0" borderId="38" xfId="0" applyFont="1" applyBorder="1" applyAlignment="1">
      <alignment horizontal="center" wrapText="1"/>
    </xf>
    <xf numFmtId="37" fontId="3" fillId="0" borderId="37" xfId="0" applyFont="1" applyBorder="1" applyAlignment="1">
      <alignment horizontal="center" wrapText="1"/>
    </xf>
    <xf numFmtId="37" fontId="3" fillId="7" borderId="0" xfId="6" applyFont="1" applyFill="1" applyBorder="1" applyAlignment="1">
      <alignment horizontal="right"/>
    </xf>
    <xf numFmtId="37" fontId="3" fillId="7" borderId="0" xfId="6" applyFont="1" applyFill="1" applyAlignment="1">
      <alignment horizontal="right"/>
    </xf>
    <xf numFmtId="37" fontId="21" fillId="7" borderId="0" xfId="6" applyFont="1" applyFill="1" applyAlignment="1">
      <alignment horizontal="center"/>
    </xf>
    <xf numFmtId="37" fontId="18" fillId="0" borderId="9" xfId="6" applyFont="1" applyFill="1" applyBorder="1" applyAlignment="1">
      <alignment horizontal="center"/>
    </xf>
    <xf numFmtId="37" fontId="18" fillId="0" borderId="10" xfId="6" applyFont="1" applyFill="1" applyBorder="1" applyAlignment="1">
      <alignment horizontal="center"/>
    </xf>
    <xf numFmtId="37" fontId="18" fillId="0" borderId="9" xfId="6" applyFont="1" applyBorder="1" applyAlignment="1">
      <alignment horizontal="center"/>
    </xf>
    <xf numFmtId="37" fontId="18" fillId="0" borderId="10" xfId="6" applyFont="1" applyBorder="1" applyAlignment="1">
      <alignment horizontal="center"/>
    </xf>
    <xf numFmtId="37" fontId="18" fillId="0" borderId="0" xfId="6" applyFont="1" applyBorder="1" applyAlignment="1">
      <alignment horizontal="center"/>
    </xf>
    <xf numFmtId="37" fontId="3" fillId="0" borderId="6" xfId="6" applyFont="1" applyBorder="1" applyAlignment="1">
      <alignment horizontal="left"/>
    </xf>
    <xf numFmtId="37" fontId="3" fillId="0" borderId="0" xfId="6" applyFont="1" applyAlignment="1">
      <alignment horizontal="left"/>
    </xf>
    <xf numFmtId="37" fontId="3" fillId="3" borderId="0" xfId="6" applyFont="1" applyFill="1" applyBorder="1" applyAlignment="1">
      <alignment horizontal="center"/>
    </xf>
    <xf numFmtId="171" fontId="3" fillId="0" borderId="0" xfId="16" applyFont="1" applyFill="1" applyBorder="1" applyAlignment="1">
      <alignment horizontal="center"/>
    </xf>
    <xf numFmtId="37" fontId="3" fillId="6" borderId="0" xfId="6" applyFont="1" applyFill="1" applyBorder="1" applyAlignment="1">
      <alignment horizontal="center"/>
    </xf>
    <xf numFmtId="37" fontId="3" fillId="0" borderId="3" xfId="6" applyFont="1" applyBorder="1" applyAlignment="1">
      <alignment horizontal="center"/>
    </xf>
    <xf numFmtId="37" fontId="3" fillId="0" borderId="0" xfId="6" applyFont="1" applyFill="1" applyBorder="1" applyAlignment="1">
      <alignment horizontal="center"/>
    </xf>
    <xf numFmtId="37" fontId="18" fillId="0" borderId="0" xfId="6" applyFont="1" applyFill="1" applyAlignment="1">
      <alignment horizontal="right"/>
    </xf>
    <xf numFmtId="0" fontId="18" fillId="0" borderId="0" xfId="0" applyNumberFormat="1" applyFont="1" applyFill="1" applyBorder="1" applyAlignment="1" applyProtection="1">
      <alignment horizontal="center"/>
    </xf>
    <xf numFmtId="0" fontId="18" fillId="7" borderId="10" xfId="12" applyFont="1" applyFill="1" applyBorder="1" applyAlignment="1">
      <alignment horizontal="center"/>
    </xf>
    <xf numFmtId="37" fontId="3" fillId="0" borderId="0" xfId="0" applyFont="1" applyAlignment="1">
      <alignment horizontal="center"/>
    </xf>
    <xf numFmtId="37" fontId="3" fillId="0" borderId="37" xfId="0" applyFont="1" applyBorder="1" applyAlignment="1">
      <alignment horizontal="center"/>
    </xf>
    <xf numFmtId="37" fontId="18" fillId="0" borderId="0" xfId="13" applyFont="1" applyAlignment="1">
      <alignment horizontal="center"/>
    </xf>
    <xf numFmtId="37" fontId="18" fillId="7" borderId="0" xfId="0" applyFont="1" applyFill="1" applyAlignment="1">
      <alignment horizontal="center"/>
    </xf>
    <xf numFmtId="37" fontId="18" fillId="2" borderId="30" xfId="0" applyFont="1" applyFill="1" applyBorder="1" applyAlignment="1">
      <alignment horizontal="center"/>
    </xf>
    <xf numFmtId="37" fontId="18" fillId="2" borderId="0" xfId="0" applyFont="1" applyFill="1" applyBorder="1" applyAlignment="1">
      <alignment horizontal="center"/>
    </xf>
    <xf numFmtId="37" fontId="3" fillId="7" borderId="32" xfId="0" applyFont="1" applyFill="1" applyBorder="1" applyAlignment="1">
      <alignment horizontal="center"/>
    </xf>
    <xf numFmtId="37" fontId="3" fillId="7" borderId="33" xfId="0" applyFont="1" applyFill="1" applyBorder="1" applyAlignment="1">
      <alignment horizontal="center"/>
    </xf>
    <xf numFmtId="168" fontId="18" fillId="0" borderId="0" xfId="3" applyNumberFormat="1" applyFont="1" applyFill="1" applyBorder="1" applyAlignment="1">
      <alignment horizontal="center"/>
    </xf>
    <xf numFmtId="37" fontId="18" fillId="7" borderId="10" xfId="0" applyFont="1" applyFill="1" applyBorder="1" applyAlignment="1">
      <alignment horizontal="center"/>
    </xf>
    <xf numFmtId="37" fontId="3" fillId="7" borderId="0" xfId="0" applyFont="1" applyFill="1" applyAlignment="1">
      <alignment horizontal="center"/>
    </xf>
    <xf numFmtId="37" fontId="3" fillId="7" borderId="37" xfId="0" applyFont="1" applyFill="1" applyBorder="1" applyAlignment="1">
      <alignment horizontal="center"/>
    </xf>
    <xf numFmtId="41" fontId="18" fillId="7" borderId="10" xfId="11" applyFont="1" applyFill="1" applyBorder="1" applyAlignment="1">
      <alignment horizontal="center"/>
    </xf>
    <xf numFmtId="37" fontId="18" fillId="0" borderId="0" xfId="13" applyFont="1" applyFill="1" applyBorder="1" applyAlignment="1">
      <alignment horizontal="right"/>
    </xf>
    <xf numFmtId="37" fontId="18" fillId="0" borderId="0" xfId="13" applyFont="1" applyFill="1" applyAlignment="1">
      <alignment horizontal="right"/>
    </xf>
    <xf numFmtId="37" fontId="18" fillId="0" borderId="0" xfId="13" applyFont="1" applyAlignment="1">
      <alignment horizontal="right"/>
    </xf>
    <xf numFmtId="37" fontId="18" fillId="0" borderId="6" xfId="13" applyFont="1" applyBorder="1" applyAlignment="1">
      <alignment horizontal="center"/>
    </xf>
    <xf numFmtId="3" fontId="18" fillId="0" borderId="35" xfId="14" applyNumberFormat="1" applyFont="1" applyBorder="1" applyAlignment="1">
      <alignment horizontal="center"/>
    </xf>
    <xf numFmtId="37" fontId="11" fillId="0" borderId="6" xfId="0" applyFont="1" applyFill="1" applyBorder="1" applyAlignment="1">
      <alignment horizontal="center" wrapText="1"/>
    </xf>
    <xf numFmtId="37" fontId="11" fillId="0" borderId="0" xfId="0" applyFont="1" applyFill="1" applyAlignment="1">
      <alignment horizontal="center" wrapText="1"/>
    </xf>
    <xf numFmtId="37" fontId="30" fillId="0" borderId="0" xfId="0" applyFont="1" applyFill="1" applyAlignment="1">
      <alignment horizontal="center"/>
    </xf>
    <xf numFmtId="0" fontId="30" fillId="0" borderId="0" xfId="0" applyNumberFormat="1" applyFont="1" applyFill="1" applyBorder="1" applyAlignment="1" applyProtection="1">
      <alignment horizontal="center"/>
    </xf>
    <xf numFmtId="0" fontId="32" fillId="0" borderId="0" xfId="0" applyNumberFormat="1" applyFont="1" applyFill="1" applyBorder="1" applyAlignment="1" applyProtection="1">
      <alignment horizontal="center"/>
    </xf>
    <xf numFmtId="37" fontId="32" fillId="0" borderId="0" xfId="13" applyFont="1" applyAlignment="1">
      <alignment horizontal="center"/>
    </xf>
    <xf numFmtId="37" fontId="32" fillId="0" borderId="0" xfId="0" applyFont="1" applyBorder="1" applyAlignment="1">
      <alignment horizontal="center"/>
    </xf>
  </cellXfs>
  <cellStyles count="71">
    <cellStyle name="Comma" xfId="1" builtinId="3"/>
    <cellStyle name="Comma 2" xfId="19"/>
    <cellStyle name="Comma 2 2" xfId="25"/>
    <cellStyle name="Comma 2 2 2" xfId="32"/>
    <cellStyle name="Comma 2 2 3" xfId="37"/>
    <cellStyle name="Comma 2 3" xfId="30"/>
    <cellStyle name="Comma 2 4" xfId="35"/>
    <cellStyle name="Comma 2 5" xfId="42"/>
    <cellStyle name="Comma 2 6" xfId="46"/>
    <cellStyle name="Comma 3" xfId="41"/>
    <cellStyle name="Comma 3 2" xfId="66"/>
    <cellStyle name="Comma 4" xfId="45"/>
    <cellStyle name="Comma 4 2" xfId="68"/>
    <cellStyle name="Comma 5" xfId="48"/>
    <cellStyle name="Comma_Avista WA GAS TY2006 Staff Rebuttal" xfId="2"/>
    <cellStyle name="Comma_TEMPLATE 01" xfId="3"/>
    <cellStyle name="Currency" xfId="4" builtinId="4"/>
    <cellStyle name="Currency 2" xfId="63"/>
    <cellStyle name="Date" xfId="5"/>
    <cellStyle name="Date 10" xfId="53"/>
    <cellStyle name="Date 11" xfId="54"/>
    <cellStyle name="Date 12" xfId="55"/>
    <cellStyle name="Date 2" xfId="23"/>
    <cellStyle name="Date 3" xfId="28"/>
    <cellStyle name="Date 4" xfId="29"/>
    <cellStyle name="Date 5" xfId="56"/>
    <cellStyle name="Date 6" xfId="57"/>
    <cellStyle name="Date 7" xfId="58"/>
    <cellStyle name="Date 8" xfId="59"/>
    <cellStyle name="Date 9" xfId="60"/>
    <cellStyle name="Manual-Input" xfId="69"/>
    <cellStyle name="Normal" xfId="0" builtinId="0"/>
    <cellStyle name="Normal 2" xfId="20"/>
    <cellStyle name="Normal 2 2" xfId="61"/>
    <cellStyle name="Normal 2 3" xfId="70"/>
    <cellStyle name="Normal 3" xfId="21"/>
    <cellStyle name="Normal 3 2" xfId="62"/>
    <cellStyle name="Normal 3 3" xfId="52"/>
    <cellStyle name="Normal 4" xfId="27"/>
    <cellStyle name="Normal 4 2" xfId="34"/>
    <cellStyle name="Normal 4 3" xfId="39"/>
    <cellStyle name="Normal 4 4" xfId="64"/>
    <cellStyle name="Normal 4 5" xfId="50"/>
    <cellStyle name="Normal 5" xfId="40"/>
    <cellStyle name="Normal 5 2" xfId="65"/>
    <cellStyle name="Normal 6" xfId="22"/>
    <cellStyle name="Normal 6 2" xfId="26"/>
    <cellStyle name="Normal 6 2 2" xfId="33"/>
    <cellStyle name="Normal 6 2 3" xfId="38"/>
    <cellStyle name="Normal 6 3" xfId="31"/>
    <cellStyle name="Normal 6 4" xfId="36"/>
    <cellStyle name="Normal 6 5" xfId="49"/>
    <cellStyle name="Normal 7" xfId="44"/>
    <cellStyle name="Normal 7 2" xfId="67"/>
    <cellStyle name="Normal 8" xfId="47"/>
    <cellStyle name="Normal_Avista WA ELEC TY2006 Staff Rebuttal 05 capstruc" xfId="6"/>
    <cellStyle name="Normal_Avista WA GAS TY2006 Staff Rebuttal" xfId="7"/>
    <cellStyle name="Normal_Bench response 01" xfId="8"/>
    <cellStyle name="Normal_Bench response 01 2" xfId="51"/>
    <cellStyle name="Normal_DFIT-WaGas_SUM" xfId="9"/>
    <cellStyle name="Normal_IDGas6_97" xfId="10"/>
    <cellStyle name="Normal_Inc. Stmt." xfId="11"/>
    <cellStyle name="Normal_Inc. Stmt. 2" xfId="24"/>
    <cellStyle name="Normal_scratch" xfId="12"/>
    <cellStyle name="Normal_TEMPLATE 01" xfId="13"/>
    <cellStyle name="Normal_WAElec6_97" xfId="14"/>
    <cellStyle name="Normal_WAGas6_97" xfId="15"/>
    <cellStyle name="Normal_WAGas6_97_Avista WA GAS TY2006 Staff Rebuttal" xfId="16"/>
    <cellStyle name="Percent" xfId="17" builtinId="5"/>
    <cellStyle name="Percent 2" xfId="43"/>
    <cellStyle name="Percent_TEMPLATE 01" xfId="18"/>
  </cellStyles>
  <dxfs count="0"/>
  <tableStyles count="0" defaultTableStyle="TableStyleMedium9" defaultPivotStyle="PivotStyleLight16"/>
  <colors>
    <mruColors>
      <color rgb="FF0000FF"/>
      <color rgb="FF1317A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4.xml"/><Relationship Id="rId62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2.xml"/><Relationship Id="rId6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vista\070804\Staff%20Testimony\Avista%20WA%20GAS%20TY2006%20DPK%20Exhibi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home\Avista\070804\Staff%20WP\trash\Avista%20WA%20GAS%20TY2006%20Staff%20Rebuttal%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home\Avista\070804\Staff%20WP\trash\Avista%20WA%20ELEC%20TY2006%20Staff%20Rebuttal%2005%20capstru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vista\TEMPLATE%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 Sch1.1"/>
      <sheetName val="Restating Adj Sch 1.2 "/>
      <sheetName val="Pro Forma Adj Sch 1.3 "/>
      <sheetName val="Summary of Adj Sch "/>
      <sheetName val="Revenue Requirement "/>
      <sheetName val="Rev Conv Factor "/>
      <sheetName val="Captial Structure"/>
      <sheetName val="R-13 PF Debt"/>
      <sheetName val="END"/>
      <sheetName val="ResultSumGas"/>
      <sheetName val="R-1 DFIT"/>
      <sheetName val="R-2 BldGain"/>
      <sheetName val="R-3 GasInv"/>
      <sheetName val="R-4 WznDSM"/>
      <sheetName val="R- 5 CustAdv"/>
      <sheetName val="R-6 WeatherGas"/>
      <sheetName val=" R- 7 B &amp; O"/>
      <sheetName val="R-8 PropTax"/>
      <sheetName val="R-9 UncollExp"/>
      <sheetName val="R-10 RegExp"/>
      <sheetName val="R-11 Inj &amp; Damages"/>
      <sheetName val="R-12 FIT"/>
      <sheetName val="R- 14 IncentOther"/>
      <sheetName val="R-15 GainsLosses"/>
      <sheetName val="R-16 ElimAR"/>
      <sheetName val="R-17 SubSpace"/>
      <sheetName val="R- 18 ExciseTax"/>
      <sheetName val="PF-1 Non-Exec Salaries"/>
      <sheetName val="PF-2 Exec Salaries"/>
      <sheetName val="PF-3 DepStudy"/>
      <sheetName val="PF-4 StorageContr"/>
      <sheetName val="Inputs"/>
      <sheetName val="## Proposed Rates"/>
      <sheetName val="#### blank"/>
      <sheetName val="## ConverFac_Exh"/>
      <sheetName val="CWIPAllo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 Sch1.1"/>
      <sheetName val="Restating Adj Sch 1.2 "/>
      <sheetName val="Pro Forma Adj Sch 1.3 "/>
      <sheetName val="Summary of Adj Sch 1.4"/>
      <sheetName val="Captial 2.0"/>
      <sheetName val="Rev Conv Factor 2.1"/>
      <sheetName val="Revenue Requirement 2.2"/>
      <sheetName val="ResultSumGas"/>
      <sheetName val="R-1 DFIT"/>
      <sheetName val="R-2 BldGain"/>
      <sheetName val="R-3 GasInv"/>
      <sheetName val="R-4 WznDSM"/>
      <sheetName val="R- 5 CustAdv"/>
      <sheetName val="R-6 WeatherGas"/>
      <sheetName val=" R- 7 B &amp; O"/>
      <sheetName val="R-8 PropTax"/>
      <sheetName val="R-9 UncollExp"/>
      <sheetName val="R-10 RegExp"/>
      <sheetName val="R-11 Inj &amp; Damages"/>
      <sheetName val="R-12 FIT"/>
      <sheetName val="R-13 PF Debt"/>
      <sheetName val="R- 14 IncentOther"/>
      <sheetName val="R-15 GainsLosses"/>
      <sheetName val="R-16 ElimAR"/>
      <sheetName val="R-17 SubSpace"/>
      <sheetName val="R- 18 ExciseTax"/>
      <sheetName val="PF-1 Non-Exec Salaries"/>
      <sheetName val="PF-2 Exec Salaries"/>
      <sheetName val="PF-3 DepStudy"/>
      <sheetName val="PF-4 StorageContr"/>
      <sheetName val="PF-5 Interest Sync."/>
      <sheetName val="Inputs"/>
      <sheetName val="## Proposed Rates"/>
      <sheetName val="#### blank"/>
      <sheetName val="## ConverFac_Exh"/>
      <sheetName val="CWIPAlloc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 Sch1.1"/>
      <sheetName val="Restating Adj Sch 1.2"/>
      <sheetName val="Pro Forma Adj Sch 1.3"/>
      <sheetName val="Summary of Adj Sch 1.4"/>
      <sheetName val="Capital Structure Sch 2.0"/>
      <sheetName val="Revenue Requirement 2.2"/>
      <sheetName val="Revenue Conv Factor 2.1"/>
      <sheetName val="DFIT R-1"/>
      <sheetName val="BldGain R-2"/>
      <sheetName val="ColstripAFUDC R-3"/>
      <sheetName val="ColstripCommon R-4"/>
      <sheetName val="KFSumm R-5"/>
      <sheetName val="CustAdv R-6"/>
      <sheetName val="WAPGE R-7"/>
      <sheetName val="SettleEx R-8"/>
      <sheetName val="Eliminate B&amp;O R-9"/>
      <sheetName val="PropTax R-10"/>
      <sheetName val="UncollExp R-11"/>
      <sheetName val="RegExp R-12"/>
      <sheetName val="Inj &amp; Dam R-13"/>
      <sheetName val="FIT R-14"/>
      <sheetName val="ElimPowerCost R-15"/>
      <sheetName val="NezPerce R-16"/>
      <sheetName val="GainsLoss R-17"/>
      <sheetName val="ElimAR R-18"/>
      <sheetName val="SubSpace R-19"/>
      <sheetName val="ExciseTax R-20"/>
      <sheetName val="RevNormalztn R-21"/>
      <sheetName val="Incent&amp;Oth R-22"/>
      <sheetName val="R-23 PF Debt"/>
      <sheetName val="Inputs"/>
      <sheetName val="PF-1 PS"/>
      <sheetName val="PF-2 Prod Property "/>
      <sheetName val="ProdFctrCalc"/>
      <sheetName val="PF-3 Labor nonexecr"/>
      <sheetName val="PF-4 Labor Exec"/>
      <sheetName val="PF-5 Trans Rev Exp"/>
      <sheetName val="PF-6 Trans Cap Addition"/>
      <sheetName val="PF-7 Gen Cap Addition"/>
      <sheetName val="PF-8 Depreciation"/>
      <sheetName val="PF-9 Pole"/>
      <sheetName val="PF -10 Purchased Power"/>
      <sheetName val="PF-11 PF Debt"/>
      <sheetName val="PF12open"/>
      <sheetName val="END "/>
      <sheetName val="RevReq_Exh"/>
      <sheetName val="ID_DSM_Inv"/>
      <sheetName val=" NU-Proposed Rates"/>
      <sheetName val="WARateNorm"/>
      <sheetName val="CWIPAllocDebt"/>
      <sheetName val="PFRstmtSheet"/>
      <sheetName val="not-used "/>
      <sheetName val="not used -1"/>
      <sheetName val="PF13open"/>
      <sheetName val="PF14open"/>
      <sheetName val="PSID"/>
      <sheetName val="PSWA-not used"/>
      <sheetName val="IDElec12_06"/>
      <sheetName val="ResultSumEl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">
          <cell r="A1" t="str">
            <v xml:space="preserve"> 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c. Stmt. 1.1"/>
      <sheetName val="Restating 1.2"/>
      <sheetName val="Pro Forma 1.3"/>
      <sheetName val="Avg Rate Base 2.1"/>
      <sheetName val="CIAC 2.2"/>
      <sheetName val="Working Cap 2.3"/>
      <sheetName val="Plant 3.1"/>
      <sheetName val="Depr 3.2 "/>
      <sheetName val="Captial 4.1"/>
      <sheetName val="Cost Debt 4.2"/>
      <sheetName val="PF Debt 4.3"/>
      <sheetName val="Income taxes 5.1"/>
      <sheetName val="Rev Conv Factor 5.2"/>
      <sheetName val="Deficiency 5.3"/>
      <sheetName val="Bal Sht 6.1"/>
      <sheetName val="not used"/>
    </sheetNames>
    <sheetDataSet>
      <sheetData sheetId="0">
        <row r="12">
          <cell r="B12" t="str">
            <v>Test Year Ended December 31, 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/>
  <dimension ref="A1:FK80"/>
  <sheetViews>
    <sheetView topLeftCell="C1" zoomScaleNormal="100" workbookViewId="0">
      <selection activeCell="D50" sqref="D50"/>
    </sheetView>
  </sheetViews>
  <sheetFormatPr defaultColWidth="9.25" defaultRowHeight="12.75"/>
  <cols>
    <col min="1" max="1" width="4.375" style="55" bestFit="1" customWidth="1"/>
    <col min="2" max="2" width="27.875" style="2" customWidth="1"/>
    <col min="3" max="7" width="12.625" style="43" customWidth="1"/>
    <col min="8" max="9" width="12.625" style="2" customWidth="1"/>
    <col min="10" max="10" width="9.25" style="1" customWidth="1"/>
    <col min="11" max="11" width="19.25" style="1" bestFit="1" customWidth="1"/>
    <col min="12" max="12" width="9.25" style="1" customWidth="1"/>
    <col min="13" max="16384" width="9.25" style="2"/>
  </cols>
  <sheetData>
    <row r="1" spans="1:17">
      <c r="A1" s="47"/>
      <c r="B1" s="3"/>
      <c r="C1" s="4"/>
      <c r="D1" s="4"/>
      <c r="E1" s="4"/>
      <c r="F1" s="4"/>
      <c r="G1" s="703" t="s">
        <v>281</v>
      </c>
      <c r="H1" s="703"/>
      <c r="I1" s="703"/>
      <c r="J1" s="3"/>
      <c r="K1" s="3"/>
      <c r="L1" s="3"/>
    </row>
    <row r="2" spans="1:17">
      <c r="A2" s="48"/>
      <c r="B2" s="46" t="s">
        <v>99</v>
      </c>
      <c r="C2" s="5"/>
      <c r="D2" s="5"/>
      <c r="E2" s="5"/>
      <c r="F2" s="5"/>
      <c r="G2" s="5"/>
      <c r="H2" s="1"/>
      <c r="I2" s="1"/>
      <c r="J2" s="3"/>
      <c r="K2" s="3"/>
      <c r="L2" s="3"/>
    </row>
    <row r="3" spans="1:17">
      <c r="A3" s="49"/>
      <c r="B3" s="1"/>
      <c r="C3" s="5"/>
      <c r="D3" s="5"/>
      <c r="E3" s="5"/>
      <c r="F3" s="5"/>
      <c r="G3" s="5"/>
      <c r="H3" s="1"/>
      <c r="I3" s="1"/>
      <c r="J3" s="3"/>
      <c r="K3" s="3"/>
      <c r="L3" s="3"/>
    </row>
    <row r="4" spans="1:17" s="13" customFormat="1">
      <c r="A4" s="49"/>
      <c r="B4" s="400" t="s">
        <v>100</v>
      </c>
      <c r="C4" s="400" t="s">
        <v>101</v>
      </c>
      <c r="D4" s="400" t="s">
        <v>102</v>
      </c>
      <c r="E4" s="13" t="s">
        <v>198</v>
      </c>
      <c r="F4" s="400" t="s">
        <v>103</v>
      </c>
      <c r="G4" s="400" t="s">
        <v>104</v>
      </c>
      <c r="H4" s="400" t="s">
        <v>105</v>
      </c>
      <c r="I4" s="400" t="s">
        <v>106</v>
      </c>
      <c r="J4" s="401"/>
      <c r="K4" s="401"/>
      <c r="L4" s="3"/>
      <c r="M4" s="2"/>
      <c r="N4" s="2"/>
    </row>
    <row r="5" spans="1:17" s="13" customFormat="1">
      <c r="A5" s="49"/>
      <c r="B5" s="400"/>
      <c r="C5" s="400"/>
      <c r="D5" s="400"/>
      <c r="F5" s="400"/>
      <c r="G5" s="400"/>
      <c r="H5" s="400"/>
      <c r="I5" s="400"/>
      <c r="J5" s="401"/>
      <c r="K5" s="401"/>
      <c r="L5" s="3"/>
      <c r="M5" s="2"/>
      <c r="N5" s="2"/>
    </row>
    <row r="6" spans="1:17" s="6" customFormat="1">
      <c r="A6" s="50"/>
      <c r="B6" s="8"/>
      <c r="C6" s="10"/>
      <c r="D6" s="10" t="s">
        <v>31</v>
      </c>
      <c r="E6" s="10"/>
      <c r="F6" s="10" t="s">
        <v>31</v>
      </c>
      <c r="G6" s="10" t="s">
        <v>4</v>
      </c>
      <c r="H6" s="10" t="s">
        <v>396</v>
      </c>
      <c r="I6" s="10" t="s">
        <v>31</v>
      </c>
      <c r="J6" s="7"/>
      <c r="K6" s="7"/>
      <c r="L6" s="3"/>
      <c r="M6" s="2"/>
      <c r="N6" s="2"/>
    </row>
    <row r="7" spans="1:17" s="6" customFormat="1" ht="13.5" thickBot="1">
      <c r="A7" s="50" t="s">
        <v>5</v>
      </c>
      <c r="B7" s="8"/>
      <c r="C7" s="10" t="s">
        <v>109</v>
      </c>
      <c r="D7" s="10" t="s">
        <v>110</v>
      </c>
      <c r="E7" s="10" t="s">
        <v>9</v>
      </c>
      <c r="F7" s="10" t="s">
        <v>4</v>
      </c>
      <c r="G7" s="10" t="s">
        <v>108</v>
      </c>
      <c r="H7" s="10" t="s">
        <v>398</v>
      </c>
      <c r="I7" s="10" t="s">
        <v>396</v>
      </c>
      <c r="J7" s="7"/>
      <c r="K7" s="7" t="s">
        <v>210</v>
      </c>
      <c r="L7" s="3"/>
      <c r="M7" s="2"/>
      <c r="N7" s="2"/>
    </row>
    <row r="8" spans="1:17" s="6" customFormat="1" ht="13.5" thickBot="1">
      <c r="A8" s="51" t="s">
        <v>10</v>
      </c>
      <c r="B8" s="11" t="s">
        <v>11</v>
      </c>
      <c r="C8" s="12" t="s">
        <v>108</v>
      </c>
      <c r="D8" s="12" t="s">
        <v>34</v>
      </c>
      <c r="E8" s="12" t="s">
        <v>108</v>
      </c>
      <c r="F8" s="12" t="s">
        <v>34</v>
      </c>
      <c r="G8" s="6" t="s">
        <v>397</v>
      </c>
      <c r="H8" s="6" t="s">
        <v>394</v>
      </c>
      <c r="I8" s="6" t="s">
        <v>399</v>
      </c>
      <c r="J8" s="7"/>
      <c r="K8" s="532"/>
      <c r="L8" s="3"/>
      <c r="M8" s="2"/>
      <c r="N8" s="708" t="s">
        <v>364</v>
      </c>
      <c r="O8" s="708"/>
      <c r="P8" s="707" t="s">
        <v>364</v>
      </c>
      <c r="Q8" s="707"/>
    </row>
    <row r="9" spans="1:17" s="13" customFormat="1">
      <c r="A9" s="415"/>
      <c r="B9" s="44" t="s">
        <v>112</v>
      </c>
      <c r="C9" s="619" t="s">
        <v>267</v>
      </c>
      <c r="D9" s="45" t="s">
        <v>113</v>
      </c>
      <c r="E9" s="45" t="s">
        <v>114</v>
      </c>
      <c r="F9" s="45" t="s">
        <v>115</v>
      </c>
      <c r="G9" s="45" t="s">
        <v>276</v>
      </c>
      <c r="H9" s="45" t="s">
        <v>395</v>
      </c>
      <c r="I9" s="45" t="s">
        <v>405</v>
      </c>
      <c r="J9" s="7"/>
      <c r="K9" s="533">
        <f>+H10</f>
        <v>4.4857764321739116E-2</v>
      </c>
      <c r="L9" s="3"/>
      <c r="M9" s="2"/>
      <c r="N9" s="2"/>
    </row>
    <row r="10" spans="1:17">
      <c r="A10" s="52">
        <v>1</v>
      </c>
      <c r="B10" s="417" t="s">
        <v>98</v>
      </c>
      <c r="C10" s="5"/>
      <c r="D10" s="5"/>
      <c r="E10" s="5"/>
      <c r="F10" s="5"/>
      <c r="G10" s="5"/>
      <c r="H10" s="640">
        <f>-H12/G12</f>
        <v>4.4857764321739116E-2</v>
      </c>
      <c r="I10" s="631"/>
      <c r="J10" s="7"/>
      <c r="K10" s="534" t="s">
        <v>211</v>
      </c>
      <c r="L10" s="3"/>
    </row>
    <row r="11" spans="1:17">
      <c r="A11" s="53">
        <v>2</v>
      </c>
      <c r="B11" s="14" t="s">
        <v>40</v>
      </c>
      <c r="C11" s="5"/>
      <c r="D11" s="5"/>
      <c r="E11" s="5"/>
      <c r="F11" s="5"/>
      <c r="G11" s="5"/>
      <c r="J11" s="7"/>
      <c r="K11" s="535"/>
      <c r="L11" s="3"/>
    </row>
    <row r="12" spans="1:17" s="19" customFormat="1">
      <c r="A12" s="54">
        <v>3</v>
      </c>
      <c r="B12" s="15" t="s">
        <v>41</v>
      </c>
      <c r="C12" s="620">
        <v>470571</v>
      </c>
      <c r="D12" s="17">
        <f>+Restating!C16</f>
        <v>-16286</v>
      </c>
      <c r="E12" s="16">
        <f>SUM(C12:D12)</f>
        <v>454285</v>
      </c>
      <c r="F12" s="18">
        <f>'Pro Forma'!C16</f>
        <v>0</v>
      </c>
      <c r="G12" s="18">
        <f>+F12+E12</f>
        <v>454285</v>
      </c>
      <c r="H12" s="635">
        <f>+'RR Calculation'!G22</f>
        <v>-20378.209464901254</v>
      </c>
      <c r="I12" s="636">
        <f>+H12+G12</f>
        <v>433906.79053509876</v>
      </c>
      <c r="J12" s="7"/>
      <c r="K12" s="536">
        <f>+H12*1000</f>
        <v>-20378209.464901254</v>
      </c>
      <c r="L12" s="3"/>
      <c r="M12" s="2"/>
      <c r="N12" s="2"/>
    </row>
    <row r="13" spans="1:17" ht="13.5" thickBot="1">
      <c r="A13" s="54">
        <v>4</v>
      </c>
      <c r="B13" s="20" t="s">
        <v>42</v>
      </c>
      <c r="C13" s="22">
        <v>820</v>
      </c>
      <c r="D13" s="23">
        <f>+Restating!C17</f>
        <v>0</v>
      </c>
      <c r="E13" s="23">
        <f>SUM(C13:D13)</f>
        <v>820</v>
      </c>
      <c r="F13" s="23">
        <f>+'Pro Forma'!C17</f>
        <v>0</v>
      </c>
      <c r="G13" s="23">
        <f>+F13+E13</f>
        <v>820</v>
      </c>
      <c r="H13" s="23"/>
      <c r="I13" s="636">
        <f t="shared" ref="I13:I14" si="0">+H13+G13</f>
        <v>820</v>
      </c>
      <c r="J13" s="7"/>
      <c r="K13" s="537" t="s">
        <v>212</v>
      </c>
      <c r="L13" s="3"/>
    </row>
    <row r="14" spans="1:17">
      <c r="A14" s="53">
        <v>5</v>
      </c>
      <c r="B14" s="20" t="s">
        <v>43</v>
      </c>
      <c r="C14" s="22">
        <v>76991</v>
      </c>
      <c r="D14" s="24">
        <f>+Restating!C18</f>
        <v>0</v>
      </c>
      <c r="E14" s="24">
        <f>SUM(C14:D14)</f>
        <v>76991</v>
      </c>
      <c r="F14" s="24">
        <f>+'Pro Forma'!C18</f>
        <v>-21549</v>
      </c>
      <c r="G14" s="553">
        <f>+F14+E14</f>
        <v>55442</v>
      </c>
      <c r="H14" s="24"/>
      <c r="I14" s="637">
        <f t="shared" si="0"/>
        <v>55442</v>
      </c>
      <c r="J14" s="7"/>
      <c r="K14" s="3"/>
      <c r="L14" s="3"/>
    </row>
    <row r="15" spans="1:17">
      <c r="A15" s="54">
        <v>6</v>
      </c>
      <c r="B15" s="393" t="s">
        <v>44</v>
      </c>
      <c r="C15" s="25">
        <f>C12+C13+C14</f>
        <v>548382</v>
      </c>
      <c r="D15" s="23">
        <f t="shared" ref="D15:I15" si="1">SUM(D12:D14)</f>
        <v>-16286</v>
      </c>
      <c r="E15" s="23">
        <f t="shared" si="1"/>
        <v>532096</v>
      </c>
      <c r="F15" s="23">
        <f t="shared" si="1"/>
        <v>-21549</v>
      </c>
      <c r="G15" s="23">
        <f t="shared" si="1"/>
        <v>510547</v>
      </c>
      <c r="H15" s="23">
        <f t="shared" si="1"/>
        <v>-20378.209464901254</v>
      </c>
      <c r="I15" s="23">
        <f t="shared" si="1"/>
        <v>490168.79053509876</v>
      </c>
      <c r="J15" s="7"/>
      <c r="K15" s="3"/>
      <c r="L15" s="3"/>
    </row>
    <row r="16" spans="1:17">
      <c r="A16" s="52">
        <v>7</v>
      </c>
      <c r="B16" s="20" t="s">
        <v>45</v>
      </c>
      <c r="C16" s="22">
        <v>130741</v>
      </c>
      <c r="D16" s="22">
        <f>+Restating!C20</f>
        <v>-18</v>
      </c>
      <c r="E16" s="22">
        <f>+D16+C16</f>
        <v>130723</v>
      </c>
      <c r="F16" s="24">
        <f>+'Pro Forma'!C20</f>
        <v>-118187</v>
      </c>
      <c r="G16" s="22">
        <f>+F16+E16</f>
        <v>12536</v>
      </c>
      <c r="H16" s="22"/>
      <c r="I16" s="633">
        <f>+H16+G16</f>
        <v>12536</v>
      </c>
      <c r="J16" s="7"/>
      <c r="K16" s="3"/>
      <c r="L16" s="3"/>
    </row>
    <row r="17" spans="1:12">
      <c r="A17" s="53">
        <v>8</v>
      </c>
      <c r="B17" s="393" t="s">
        <v>46</v>
      </c>
      <c r="C17" s="25">
        <f>C15+C16</f>
        <v>679123</v>
      </c>
      <c r="D17" s="25">
        <f>D15+D16</f>
        <v>-16304</v>
      </c>
      <c r="E17" s="25">
        <f>+D17+C17</f>
        <v>662819</v>
      </c>
      <c r="F17" s="25">
        <f>F15+F16</f>
        <v>-139736</v>
      </c>
      <c r="G17" s="25">
        <f>+F17+E17</f>
        <v>523083</v>
      </c>
      <c r="H17" s="25">
        <f>+H15+H16</f>
        <v>-20378.209464901254</v>
      </c>
      <c r="I17" s="25">
        <f>+I15+I16</f>
        <v>502704.79053509876</v>
      </c>
      <c r="J17" s="7"/>
      <c r="K17" s="3"/>
      <c r="L17" s="3"/>
    </row>
    <row r="18" spans="1:12">
      <c r="A18" s="54">
        <v>9</v>
      </c>
      <c r="B18" s="20"/>
      <c r="C18" s="23"/>
      <c r="D18" s="23"/>
      <c r="E18" s="23"/>
      <c r="F18" s="23"/>
      <c r="G18" s="23"/>
      <c r="H18" s="23"/>
      <c r="I18" s="23"/>
      <c r="J18" s="7"/>
      <c r="K18" s="3"/>
      <c r="L18" s="3"/>
    </row>
    <row r="19" spans="1:12">
      <c r="A19" s="54">
        <v>10</v>
      </c>
      <c r="B19" s="20" t="s">
        <v>20</v>
      </c>
      <c r="C19" s="23"/>
      <c r="D19" s="23"/>
      <c r="E19" s="23"/>
      <c r="F19" s="23"/>
      <c r="G19" s="23"/>
      <c r="H19" s="23"/>
      <c r="I19" s="23"/>
      <c r="J19" s="7"/>
      <c r="K19" s="3"/>
      <c r="L19" s="3"/>
    </row>
    <row r="20" spans="1:12" ht="13.5" thickBot="1">
      <c r="A20" s="53">
        <v>11</v>
      </c>
      <c r="B20" s="20" t="s">
        <v>47</v>
      </c>
      <c r="C20" s="23"/>
      <c r="D20" s="23"/>
      <c r="E20" s="23"/>
      <c r="F20" s="23"/>
      <c r="G20" s="23"/>
      <c r="H20" s="23"/>
      <c r="I20" s="23"/>
      <c r="J20" s="3"/>
      <c r="K20" s="3"/>
      <c r="L20" s="3"/>
    </row>
    <row r="21" spans="1:12">
      <c r="A21" s="54">
        <v>12</v>
      </c>
      <c r="B21" s="393" t="s">
        <v>48</v>
      </c>
      <c r="C21" s="22">
        <v>252926</v>
      </c>
      <c r="D21" s="22">
        <f>+Restating!C25</f>
        <v>-12604</v>
      </c>
      <c r="E21" s="548">
        <f>SUM(C21:D21)</f>
        <v>240322</v>
      </c>
      <c r="F21" s="22">
        <f>+'Pro Forma'!C25</f>
        <v>-95152</v>
      </c>
      <c r="G21" s="22">
        <f>+F21+E21</f>
        <v>145170</v>
      </c>
      <c r="H21" s="22"/>
      <c r="I21" s="633">
        <f>+H21+G21</f>
        <v>145170</v>
      </c>
      <c r="J21" s="3"/>
      <c r="K21" s="704" t="s">
        <v>304</v>
      </c>
      <c r="L21" s="3"/>
    </row>
    <row r="22" spans="1:12" ht="15.75" customHeight="1">
      <c r="A22" s="52">
        <v>13</v>
      </c>
      <c r="B22" s="393" t="s">
        <v>49</v>
      </c>
      <c r="C22" s="22">
        <v>124270</v>
      </c>
      <c r="D22" s="22">
        <f>+Restating!C26</f>
        <v>0</v>
      </c>
      <c r="E22" s="22">
        <f>SUM(C22:D22)</f>
        <v>124270</v>
      </c>
      <c r="F22" s="22">
        <f>+'Pro Forma'!C26</f>
        <v>-39243</v>
      </c>
      <c r="G22" s="22">
        <f>+F22+E22</f>
        <v>85027</v>
      </c>
      <c r="H22" s="22"/>
      <c r="I22" s="633">
        <f t="shared" ref="I22:I25" si="2">+H22+G22</f>
        <v>85027</v>
      </c>
      <c r="J22" s="3"/>
      <c r="K22" s="705"/>
      <c r="L22" s="3"/>
    </row>
    <row r="23" spans="1:12" ht="15.75" customHeight="1">
      <c r="A23" s="53">
        <v>14</v>
      </c>
      <c r="B23" s="393" t="s">
        <v>50</v>
      </c>
      <c r="C23" s="22">
        <v>25349</v>
      </c>
      <c r="D23" s="22">
        <f>+Restating!C27</f>
        <v>-191</v>
      </c>
      <c r="E23" s="548">
        <f>SUM(C23:D23)</f>
        <v>25158</v>
      </c>
      <c r="F23" s="22">
        <f>+'Pro Forma'!C27</f>
        <v>-3133</v>
      </c>
      <c r="G23" s="22">
        <f>+F23+E23</f>
        <v>22025</v>
      </c>
      <c r="H23" s="22"/>
      <c r="I23" s="633">
        <f t="shared" si="2"/>
        <v>22025</v>
      </c>
      <c r="J23" s="3"/>
      <c r="K23" s="705"/>
      <c r="L23" s="3"/>
    </row>
    <row r="24" spans="1:12" ht="15.75" customHeight="1">
      <c r="A24" s="54">
        <v>15</v>
      </c>
      <c r="B24" s="393" t="s">
        <v>349</v>
      </c>
      <c r="C24" s="22">
        <v>403</v>
      </c>
      <c r="D24" s="22">
        <f>+Restating!C28</f>
        <v>5701</v>
      </c>
      <c r="E24" s="22">
        <f>SUM(C24:D24)</f>
        <v>6104</v>
      </c>
      <c r="F24" s="22">
        <f>+'Pro Forma'!C28</f>
        <v>0</v>
      </c>
      <c r="G24" s="22">
        <f>+F24+E24</f>
        <v>6104</v>
      </c>
      <c r="H24" s="22"/>
      <c r="I24" s="633">
        <f t="shared" si="2"/>
        <v>6104</v>
      </c>
      <c r="J24" s="3"/>
      <c r="K24" s="705"/>
      <c r="L24" s="3"/>
    </row>
    <row r="25" spans="1:12" ht="15.75" customHeight="1">
      <c r="A25" s="52">
        <v>16</v>
      </c>
      <c r="B25" s="393" t="s">
        <v>51</v>
      </c>
      <c r="C25" s="22">
        <v>11072</v>
      </c>
      <c r="D25" s="22">
        <f>+Restating!C29</f>
        <v>0</v>
      </c>
      <c r="E25" s="22">
        <f>SUM(C25:D25)</f>
        <v>11072</v>
      </c>
      <c r="F25" s="22">
        <f>+'Pro Forma'!C29</f>
        <v>15</v>
      </c>
      <c r="G25" s="22">
        <f>+F25+E25</f>
        <v>11087</v>
      </c>
      <c r="H25" s="22"/>
      <c r="I25" s="633">
        <f t="shared" si="2"/>
        <v>11087</v>
      </c>
      <c r="J25" s="3"/>
      <c r="K25" s="705"/>
      <c r="L25" s="3"/>
    </row>
    <row r="26" spans="1:12" ht="15.75" customHeight="1">
      <c r="A26" s="53">
        <v>17</v>
      </c>
      <c r="B26" s="394" t="s">
        <v>52</v>
      </c>
      <c r="C26" s="25">
        <f t="shared" ref="C26:H26" si="3">SUM(C21:C25)</f>
        <v>414020</v>
      </c>
      <c r="D26" s="25">
        <f t="shared" si="3"/>
        <v>-7094</v>
      </c>
      <c r="E26" s="25">
        <f t="shared" si="3"/>
        <v>406926</v>
      </c>
      <c r="F26" s="25">
        <f t="shared" si="3"/>
        <v>-137513</v>
      </c>
      <c r="G26" s="25">
        <f t="shared" si="3"/>
        <v>269413</v>
      </c>
      <c r="H26" s="25">
        <f t="shared" si="3"/>
        <v>0</v>
      </c>
      <c r="I26" s="25">
        <f>SUM(I21:I25)</f>
        <v>269413</v>
      </c>
      <c r="J26" s="3"/>
      <c r="K26" s="705"/>
      <c r="L26" s="3"/>
    </row>
    <row r="27" spans="1:12" ht="15.75" customHeight="1">
      <c r="A27" s="54">
        <v>18</v>
      </c>
      <c r="B27" s="20"/>
      <c r="C27" s="23"/>
      <c r="D27" s="23"/>
      <c r="E27" s="23"/>
      <c r="F27" s="22"/>
      <c r="G27" s="23"/>
      <c r="H27" s="23"/>
      <c r="I27" s="23"/>
      <c r="J27" s="3"/>
      <c r="K27" s="705"/>
      <c r="L27" s="3"/>
    </row>
    <row r="28" spans="1:12" ht="15.75" customHeight="1">
      <c r="A28" s="52">
        <v>19</v>
      </c>
      <c r="B28" s="20" t="s">
        <v>53</v>
      </c>
      <c r="C28" s="23"/>
      <c r="D28" s="23"/>
      <c r="E28" s="23"/>
      <c r="F28" s="22"/>
      <c r="G28" s="23"/>
      <c r="H28" s="23"/>
      <c r="I28" s="23"/>
      <c r="J28" s="3"/>
      <c r="K28" s="705"/>
      <c r="L28" s="3"/>
    </row>
    <row r="29" spans="1:12" ht="15.75" customHeight="1" thickBot="1">
      <c r="A29" s="53">
        <v>20</v>
      </c>
      <c r="B29" s="393" t="s">
        <v>48</v>
      </c>
      <c r="C29" s="22">
        <v>20360</v>
      </c>
      <c r="D29" s="22">
        <f>+Restating!C33</f>
        <v>-1279</v>
      </c>
      <c r="E29" s="22">
        <f>+D29+C29</f>
        <v>19081</v>
      </c>
      <c r="F29" s="22">
        <f>+'Pro Forma'!C33</f>
        <v>1177</v>
      </c>
      <c r="G29" s="22">
        <f>+F29+E29</f>
        <v>20258</v>
      </c>
      <c r="H29" s="22"/>
      <c r="I29" s="633">
        <f>+H29+G29</f>
        <v>20258</v>
      </c>
      <c r="J29" s="3"/>
      <c r="K29" s="706"/>
      <c r="L29" s="3"/>
    </row>
    <row r="30" spans="1:12">
      <c r="A30" s="54">
        <v>21</v>
      </c>
      <c r="B30" s="393" t="s">
        <v>54</v>
      </c>
      <c r="C30" s="22">
        <v>19320</v>
      </c>
      <c r="D30" s="22">
        <f>+Restating!C34</f>
        <v>-80</v>
      </c>
      <c r="E30" s="22">
        <f>+D30+C30</f>
        <v>19240</v>
      </c>
      <c r="F30" s="22">
        <f>+'Pro Forma'!C34</f>
        <v>468</v>
      </c>
      <c r="G30" s="22">
        <f>+F30+E30</f>
        <v>19708</v>
      </c>
      <c r="H30" s="22"/>
      <c r="I30" s="633">
        <f t="shared" ref="I30:I31" si="4">+H30+G30</f>
        <v>19708</v>
      </c>
      <c r="J30" s="3"/>
      <c r="K30" s="3"/>
      <c r="L30" s="3"/>
    </row>
    <row r="31" spans="1:12">
      <c r="A31" s="52">
        <v>22</v>
      </c>
      <c r="B31" s="393" t="s">
        <v>51</v>
      </c>
      <c r="C31" s="22">
        <v>38604</v>
      </c>
      <c r="D31" s="22">
        <f>+Restating!C35</f>
        <v>-16408</v>
      </c>
      <c r="E31" s="22">
        <f>+D31+C31</f>
        <v>22196</v>
      </c>
      <c r="F31" s="22">
        <f>+'Pro Forma'!C35</f>
        <v>28</v>
      </c>
      <c r="G31" s="22">
        <f>+F31+E31</f>
        <v>22224</v>
      </c>
      <c r="H31" s="22">
        <f>H17*Conv!G11</f>
        <v>-785.8245133855221</v>
      </c>
      <c r="I31" s="633">
        <f t="shared" si="4"/>
        <v>21438.175486614477</v>
      </c>
      <c r="J31" s="3"/>
      <c r="K31" s="3"/>
      <c r="L31" s="3"/>
    </row>
    <row r="32" spans="1:12">
      <c r="A32" s="53">
        <v>23</v>
      </c>
      <c r="B32" s="394" t="s">
        <v>55</v>
      </c>
      <c r="C32" s="25">
        <f t="shared" ref="C32:H32" si="5">C29+C30+C31</f>
        <v>78284</v>
      </c>
      <c r="D32" s="25">
        <f t="shared" si="5"/>
        <v>-17767</v>
      </c>
      <c r="E32" s="25">
        <f t="shared" si="5"/>
        <v>60517</v>
      </c>
      <c r="F32" s="25">
        <f t="shared" si="5"/>
        <v>1673</v>
      </c>
      <c r="G32" s="25">
        <f t="shared" si="5"/>
        <v>62190</v>
      </c>
      <c r="H32" s="25">
        <f t="shared" si="5"/>
        <v>-785.8245133855221</v>
      </c>
      <c r="I32" s="25">
        <f>SUM(I29:I31)</f>
        <v>61404.175486614477</v>
      </c>
      <c r="J32" s="3"/>
      <c r="K32" s="3"/>
      <c r="L32" s="3"/>
    </row>
    <row r="33" spans="1:12">
      <c r="A33" s="54">
        <v>24</v>
      </c>
      <c r="B33" s="20"/>
      <c r="C33" s="23"/>
      <c r="D33" s="23"/>
      <c r="E33" s="23"/>
      <c r="F33" s="22"/>
      <c r="G33" s="23"/>
      <c r="H33" s="23"/>
      <c r="I33" s="23"/>
      <c r="J33" s="3"/>
      <c r="K33" s="3"/>
      <c r="L33" s="3"/>
    </row>
    <row r="34" spans="1:12">
      <c r="A34" s="52">
        <v>25</v>
      </c>
      <c r="B34" s="20" t="s">
        <v>56</v>
      </c>
      <c r="C34" s="22">
        <v>9960</v>
      </c>
      <c r="D34" s="22">
        <f>+Restating!C38</f>
        <v>319</v>
      </c>
      <c r="E34" s="22">
        <f>+D34+C34</f>
        <v>10279</v>
      </c>
      <c r="F34" s="22">
        <f>+'Pro Forma'!C38</f>
        <v>546</v>
      </c>
      <c r="G34" s="22">
        <f>+F34+E34</f>
        <v>10825</v>
      </c>
      <c r="H34" s="22">
        <f>H17*Conv!G12</f>
        <v>-88.400672658741641</v>
      </c>
      <c r="I34" s="633">
        <f>+H34+G34</f>
        <v>10736.599327341259</v>
      </c>
      <c r="J34" s="3"/>
      <c r="K34" s="3"/>
      <c r="L34" s="3"/>
    </row>
    <row r="35" spans="1:12">
      <c r="A35" s="53">
        <v>26</v>
      </c>
      <c r="B35" s="20" t="s">
        <v>57</v>
      </c>
      <c r="C35" s="22">
        <v>21300</v>
      </c>
      <c r="D35" s="22">
        <f>+Restating!C39</f>
        <v>-20111</v>
      </c>
      <c r="E35" s="22">
        <f>+D35+C35</f>
        <v>1189</v>
      </c>
      <c r="F35" s="22">
        <f>+'Pro Forma'!C39</f>
        <v>46</v>
      </c>
      <c r="G35" s="22">
        <f>+F35+E35</f>
        <v>1235</v>
      </c>
      <c r="H35" s="22"/>
      <c r="I35" s="633">
        <f t="shared" ref="I35:I36" si="6">+H35+G35</f>
        <v>1235</v>
      </c>
      <c r="J35" s="3"/>
      <c r="K35" s="3"/>
      <c r="L35" s="3"/>
    </row>
    <row r="36" spans="1:12">
      <c r="A36" s="54">
        <v>27</v>
      </c>
      <c r="B36" s="20" t="s">
        <v>58</v>
      </c>
      <c r="C36" s="26">
        <v>4</v>
      </c>
      <c r="D36" s="26">
        <f>+Restating!C40</f>
        <v>0</v>
      </c>
      <c r="E36" s="26">
        <f>+D36+C36</f>
        <v>4</v>
      </c>
      <c r="F36" s="26">
        <f>+'Pro Forma'!C40</f>
        <v>0</v>
      </c>
      <c r="G36" s="26">
        <f>+F36+E36</f>
        <v>4</v>
      </c>
      <c r="H36" s="26"/>
      <c r="I36" s="634">
        <f t="shared" si="6"/>
        <v>4</v>
      </c>
      <c r="J36" s="3"/>
      <c r="K36" s="3"/>
      <c r="L36" s="3"/>
    </row>
    <row r="37" spans="1:12">
      <c r="A37" s="52">
        <v>28</v>
      </c>
      <c r="B37" s="20"/>
      <c r="C37" s="23">
        <f>+SUM(C34:C36)</f>
        <v>31264</v>
      </c>
      <c r="D37" s="23">
        <f t="shared" ref="D37:I37" si="7">+SUM(D34:D36)</f>
        <v>-19792</v>
      </c>
      <c r="E37" s="23">
        <f t="shared" si="7"/>
        <v>11472</v>
      </c>
      <c r="F37" s="23">
        <f t="shared" si="7"/>
        <v>592</v>
      </c>
      <c r="G37" s="23">
        <f t="shared" si="7"/>
        <v>12064</v>
      </c>
      <c r="H37" s="23">
        <f t="shared" si="7"/>
        <v>-88.400672658741641</v>
      </c>
      <c r="I37" s="23">
        <f t="shared" si="7"/>
        <v>11975.599327341259</v>
      </c>
      <c r="J37" s="3"/>
      <c r="K37" s="3"/>
      <c r="L37" s="3"/>
    </row>
    <row r="38" spans="1:12">
      <c r="A38" s="53">
        <v>29</v>
      </c>
      <c r="B38" s="20" t="s">
        <v>59</v>
      </c>
      <c r="C38" s="23"/>
      <c r="D38" s="23"/>
      <c r="E38" s="23"/>
      <c r="F38" s="23"/>
      <c r="G38" s="23"/>
      <c r="H38" s="23"/>
      <c r="I38" s="23"/>
      <c r="J38" s="3"/>
      <c r="K38" s="3"/>
      <c r="L38" s="3"/>
    </row>
    <row r="39" spans="1:12">
      <c r="A39" s="54">
        <v>30</v>
      </c>
      <c r="B39" s="393" t="s">
        <v>48</v>
      </c>
      <c r="C39" s="22">
        <v>45046</v>
      </c>
      <c r="D39" s="22">
        <f>+Restating!C43</f>
        <v>-1223</v>
      </c>
      <c r="E39" s="22">
        <f>SUM(C39:D39)</f>
        <v>43823</v>
      </c>
      <c r="F39" s="22">
        <f>+'Pro Forma'!C43</f>
        <v>657</v>
      </c>
      <c r="G39" s="22">
        <f>+F39+E39</f>
        <v>44480</v>
      </c>
      <c r="H39" s="22">
        <f>H17*Conv!G10</f>
        <v>-40.756418929802507</v>
      </c>
      <c r="I39" s="633">
        <f>+H39+G39</f>
        <v>44439.243581070201</v>
      </c>
      <c r="J39" s="3"/>
      <c r="K39" s="3"/>
      <c r="L39" s="3"/>
    </row>
    <row r="40" spans="1:12">
      <c r="A40" s="52">
        <v>31</v>
      </c>
      <c r="B40" s="393" t="s">
        <v>54</v>
      </c>
      <c r="C40" s="22">
        <v>10906</v>
      </c>
      <c r="D40" s="22">
        <f>+Restating!C44</f>
        <v>0</v>
      </c>
      <c r="E40" s="22">
        <f>SUM(C40:D40)</f>
        <v>10906</v>
      </c>
      <c r="F40" s="22">
        <f>+'Pro Forma'!C44</f>
        <v>714</v>
      </c>
      <c r="G40" s="22">
        <f>+F40+E40</f>
        <v>11620</v>
      </c>
      <c r="H40" s="22"/>
      <c r="I40" s="633">
        <f t="shared" ref="I40:I41" si="8">+H40+G40</f>
        <v>11620</v>
      </c>
      <c r="J40" s="3"/>
      <c r="K40" s="3"/>
      <c r="L40" s="3"/>
    </row>
    <row r="41" spans="1:12">
      <c r="A41" s="53">
        <v>32</v>
      </c>
      <c r="B41" s="393" t="s">
        <v>51</v>
      </c>
      <c r="C41" s="22">
        <v>0</v>
      </c>
      <c r="D41" s="22">
        <f>+Restating!C45</f>
        <v>0</v>
      </c>
      <c r="E41" s="22">
        <f>SUM(C41:D41)</f>
        <v>0</v>
      </c>
      <c r="F41" s="22">
        <f>+'Pro Forma'!C45</f>
        <v>1</v>
      </c>
      <c r="G41" s="22">
        <f>+F41+E41</f>
        <v>1</v>
      </c>
      <c r="H41" s="22"/>
      <c r="I41" s="633">
        <f t="shared" si="8"/>
        <v>1</v>
      </c>
      <c r="J41" s="3"/>
      <c r="K41" s="3"/>
      <c r="L41" s="3"/>
    </row>
    <row r="42" spans="1:12">
      <c r="A42" s="54">
        <v>33</v>
      </c>
      <c r="B42" s="394" t="s">
        <v>60</v>
      </c>
      <c r="C42" s="25">
        <f t="shared" ref="C42:H42" si="9">C39+C40+C41</f>
        <v>55952</v>
      </c>
      <c r="D42" s="25">
        <f t="shared" si="9"/>
        <v>-1223</v>
      </c>
      <c r="E42" s="25">
        <f t="shared" si="9"/>
        <v>54729</v>
      </c>
      <c r="F42" s="25">
        <f t="shared" si="9"/>
        <v>1372</v>
      </c>
      <c r="G42" s="25">
        <f t="shared" si="9"/>
        <v>56101</v>
      </c>
      <c r="H42" s="25">
        <f t="shared" si="9"/>
        <v>-40.756418929802507</v>
      </c>
      <c r="I42" s="25">
        <f>SUM(I39:I41)</f>
        <v>56060.243581070201</v>
      </c>
      <c r="J42" s="3"/>
      <c r="K42" s="3"/>
      <c r="L42" s="3"/>
    </row>
    <row r="43" spans="1:12">
      <c r="A43" s="52">
        <v>34</v>
      </c>
      <c r="B43" s="394"/>
      <c r="C43" s="24"/>
      <c r="D43" s="24"/>
      <c r="E43" s="24"/>
      <c r="F43" s="24"/>
      <c r="G43" s="24"/>
      <c r="H43" s="24"/>
      <c r="I43" s="24"/>
      <c r="J43" s="3"/>
      <c r="K43" s="3"/>
      <c r="L43" s="3"/>
    </row>
    <row r="44" spans="1:12">
      <c r="A44" s="53">
        <v>35</v>
      </c>
      <c r="B44" s="20" t="s">
        <v>61</v>
      </c>
      <c r="C44" s="24">
        <f>C26+C32+C34+C35+C36+C42</f>
        <v>579520</v>
      </c>
      <c r="D44" s="24">
        <f>D26+D32+D34+D35+D36+D42</f>
        <v>-45876</v>
      </c>
      <c r="E44" s="24">
        <f>SUM(C44:D44)</f>
        <v>533644</v>
      </c>
      <c r="F44" s="24">
        <f>F26+F32+F34+F35+F36+F42</f>
        <v>-133876</v>
      </c>
      <c r="G44" s="24">
        <f>SUM(E44:F44)</f>
        <v>399768</v>
      </c>
      <c r="H44" s="24">
        <f>H26+H32+H34+H35+H36+H42</f>
        <v>-914.98160497406627</v>
      </c>
      <c r="I44" s="24">
        <f>I26+I32+I34+I35+I36+I42</f>
        <v>398853.01839502592</v>
      </c>
      <c r="J44" s="3"/>
      <c r="K44" s="3"/>
      <c r="L44" s="3"/>
    </row>
    <row r="45" spans="1:12">
      <c r="A45" s="54">
        <v>36</v>
      </c>
      <c r="B45" s="20"/>
      <c r="C45" s="23"/>
      <c r="D45" s="22"/>
      <c r="E45" s="549"/>
      <c r="F45" s="22"/>
      <c r="G45" s="549"/>
      <c r="H45" s="22"/>
      <c r="I45" s="22"/>
      <c r="J45" s="3"/>
      <c r="K45" s="3"/>
      <c r="L45" s="3"/>
    </row>
    <row r="46" spans="1:12">
      <c r="A46" s="52">
        <v>37</v>
      </c>
      <c r="B46" s="20" t="s">
        <v>62</v>
      </c>
      <c r="C46" s="23">
        <f t="shared" ref="C46:I46" si="10">C17-C44</f>
        <v>99603</v>
      </c>
      <c r="D46" s="23">
        <f t="shared" si="10"/>
        <v>29572</v>
      </c>
      <c r="E46" s="23">
        <f t="shared" si="10"/>
        <v>129175</v>
      </c>
      <c r="F46" s="23">
        <f t="shared" si="10"/>
        <v>-5860</v>
      </c>
      <c r="G46" s="23">
        <f t="shared" si="10"/>
        <v>123315</v>
      </c>
      <c r="H46" s="23">
        <f t="shared" si="10"/>
        <v>-19463.227859927189</v>
      </c>
      <c r="I46" s="23">
        <f t="shared" si="10"/>
        <v>103851.77214007283</v>
      </c>
      <c r="J46" s="3"/>
      <c r="K46" s="3"/>
      <c r="L46" s="3"/>
    </row>
    <row r="47" spans="1:12">
      <c r="A47" s="53">
        <v>38</v>
      </c>
      <c r="B47" s="20"/>
      <c r="C47" s="23"/>
      <c r="D47" s="23"/>
      <c r="E47" s="23"/>
      <c r="F47" s="23"/>
      <c r="G47" s="23"/>
      <c r="H47" s="23"/>
      <c r="I47" s="23"/>
      <c r="J47" s="3"/>
      <c r="K47" s="3"/>
      <c r="L47" s="3"/>
    </row>
    <row r="48" spans="1:12">
      <c r="A48" s="54">
        <v>39</v>
      </c>
      <c r="B48" s="20" t="s">
        <v>63</v>
      </c>
      <c r="C48" s="28"/>
      <c r="D48" s="28"/>
      <c r="E48" s="28"/>
      <c r="F48" s="28"/>
      <c r="G48" s="28"/>
      <c r="H48" s="28"/>
      <c r="I48" s="28"/>
      <c r="J48" s="3"/>
      <c r="K48" s="3"/>
      <c r="L48" s="3"/>
    </row>
    <row r="49" spans="1:16">
      <c r="A49" s="52">
        <v>40</v>
      </c>
      <c r="B49" s="473" t="s">
        <v>64</v>
      </c>
      <c r="C49" s="28">
        <v>11899</v>
      </c>
      <c r="D49" s="22">
        <f>+Restating!C52</f>
        <v>5369</v>
      </c>
      <c r="E49" s="28">
        <f>+D49+C49</f>
        <v>17268</v>
      </c>
      <c r="F49" s="559">
        <f>+'Pro Forma'!C52</f>
        <v>-2050</v>
      </c>
      <c r="G49" s="559">
        <f>+E49+F49</f>
        <v>15218</v>
      </c>
      <c r="H49" s="28">
        <f>H46*0.35</f>
        <v>-6812.1297509745154</v>
      </c>
      <c r="I49" s="633">
        <f>+H49+G49</f>
        <v>8405.8702490254836</v>
      </c>
      <c r="J49" s="3"/>
      <c r="K49" s="3"/>
      <c r="L49" s="3"/>
    </row>
    <row r="50" spans="1:16">
      <c r="A50" s="53">
        <v>41</v>
      </c>
      <c r="B50" s="473" t="s">
        <v>366</v>
      </c>
      <c r="C50" s="28">
        <v>0</v>
      </c>
      <c r="D50" s="22">
        <f>+Restating!C53</f>
        <v>-526</v>
      </c>
      <c r="E50" s="28">
        <f t="shared" ref="E50:E52" si="11">+D50+C50</f>
        <v>-526</v>
      </c>
      <c r="F50" s="559">
        <f>+'Pro Forma'!C53</f>
        <v>-47</v>
      </c>
      <c r="G50" s="559">
        <f t="shared" ref="G50:G52" si="12">+E50+F50</f>
        <v>-573</v>
      </c>
      <c r="H50" s="28"/>
      <c r="I50" s="633">
        <f t="shared" ref="I50:I52" si="13">+H50+G50</f>
        <v>-573</v>
      </c>
      <c r="J50" s="3"/>
      <c r="K50" s="3"/>
      <c r="L50" s="3"/>
    </row>
    <row r="51" spans="1:16">
      <c r="A51" s="54">
        <v>42</v>
      </c>
      <c r="B51" s="473" t="s">
        <v>65</v>
      </c>
      <c r="C51" s="28">
        <v>11779</v>
      </c>
      <c r="D51" s="22">
        <f>+Restating!C54</f>
        <v>3108.7999999999993</v>
      </c>
      <c r="E51" s="28">
        <f t="shared" si="11"/>
        <v>14887.8</v>
      </c>
      <c r="F51" s="559">
        <f>+'Pro Forma'!C54</f>
        <v>0</v>
      </c>
      <c r="G51" s="559">
        <f t="shared" si="12"/>
        <v>14887.8</v>
      </c>
      <c r="H51" s="28"/>
      <c r="I51" s="633">
        <f t="shared" si="13"/>
        <v>14887.8</v>
      </c>
      <c r="J51" s="3"/>
      <c r="K51" s="3"/>
      <c r="L51" s="3"/>
    </row>
    <row r="52" spans="1:16">
      <c r="A52" s="52">
        <v>43</v>
      </c>
      <c r="B52" s="473" t="s">
        <v>237</v>
      </c>
      <c r="C52" s="24">
        <v>-99</v>
      </c>
      <c r="D52" s="26">
        <f>+Restating!C55</f>
        <v>-15</v>
      </c>
      <c r="E52" s="24">
        <f t="shared" si="11"/>
        <v>-114</v>
      </c>
      <c r="F52" s="553">
        <f>+'Pro Forma'!C55</f>
        <v>0</v>
      </c>
      <c r="G52" s="553">
        <f t="shared" si="12"/>
        <v>-114</v>
      </c>
      <c r="H52" s="24"/>
      <c r="I52" s="634">
        <f t="shared" si="13"/>
        <v>-114</v>
      </c>
      <c r="J52" s="3"/>
      <c r="K52" s="3"/>
      <c r="L52" s="3"/>
    </row>
    <row r="53" spans="1:16">
      <c r="A53" s="53">
        <v>44</v>
      </c>
      <c r="B53" s="394" t="s">
        <v>132</v>
      </c>
      <c r="C53" s="23">
        <f t="shared" ref="C53:H53" si="14">+C49+C51+C52</f>
        <v>23579</v>
      </c>
      <c r="D53" s="23">
        <f>+D49+D51+D52+D50</f>
        <v>7936.7999999999993</v>
      </c>
      <c r="E53" s="23">
        <f t="shared" si="14"/>
        <v>32041.8</v>
      </c>
      <c r="F53" s="23">
        <f>+F49+F50+F51+F52</f>
        <v>-2097</v>
      </c>
      <c r="G53" s="23">
        <f>+G49+G50+G51+G52</f>
        <v>29418.799999999999</v>
      </c>
      <c r="H53" s="23">
        <f t="shared" si="14"/>
        <v>-6812.1297509745154</v>
      </c>
      <c r="I53" s="23">
        <f>SUM(I49:I52)</f>
        <v>22606.670249025483</v>
      </c>
      <c r="J53" s="3"/>
      <c r="K53" s="3"/>
      <c r="L53" s="3"/>
    </row>
    <row r="54" spans="1:16">
      <c r="A54" s="54">
        <v>45</v>
      </c>
      <c r="B54" s="14"/>
      <c r="C54" s="23"/>
      <c r="D54" s="23"/>
      <c r="E54" s="23"/>
      <c r="F54" s="23"/>
      <c r="G54" s="23"/>
      <c r="H54" s="23"/>
      <c r="I54" s="23"/>
      <c r="J54" s="3"/>
      <c r="K54" s="3"/>
      <c r="L54" s="3"/>
    </row>
    <row r="55" spans="1:16">
      <c r="A55" s="52">
        <v>46</v>
      </c>
      <c r="B55" s="20"/>
      <c r="C55" s="621"/>
      <c r="D55" s="30"/>
      <c r="E55" s="30"/>
      <c r="F55" s="30"/>
      <c r="G55" s="30"/>
      <c r="H55" s="31"/>
      <c r="I55" s="632"/>
      <c r="J55" s="3"/>
      <c r="K55" s="3"/>
      <c r="L55" s="3"/>
    </row>
    <row r="56" spans="1:16" ht="13.5" thickBot="1">
      <c r="A56" s="53">
        <v>47</v>
      </c>
      <c r="B56" s="15" t="s">
        <v>66</v>
      </c>
      <c r="C56" s="32">
        <f>+C46-C53</f>
        <v>76024</v>
      </c>
      <c r="D56" s="32">
        <f>+D46-D53</f>
        <v>21635.200000000001</v>
      </c>
      <c r="E56" s="33">
        <f>+D56+C56</f>
        <v>97659.199999999997</v>
      </c>
      <c r="F56" s="32">
        <f>+F46-F53</f>
        <v>-3763</v>
      </c>
      <c r="G56" s="33">
        <f>+F56+E56</f>
        <v>93896.2</v>
      </c>
      <c r="H56" s="391">
        <f>+H46-H53</f>
        <v>-12651.098108952672</v>
      </c>
      <c r="I56" s="391">
        <f>+I46-I53</f>
        <v>81245.10189104735</v>
      </c>
      <c r="J56" s="3"/>
      <c r="K56" s="3"/>
      <c r="L56" s="3"/>
    </row>
    <row r="57" spans="1:16" ht="13.5" thickTop="1">
      <c r="A57" s="54">
        <v>48</v>
      </c>
      <c r="B57" s="1"/>
      <c r="C57" s="34"/>
      <c r="D57" s="21"/>
      <c r="E57" s="5"/>
      <c r="F57" s="21"/>
      <c r="G57" s="5"/>
      <c r="H57" s="5"/>
      <c r="I57" s="5"/>
      <c r="J57" s="3"/>
      <c r="K57" s="3"/>
      <c r="L57" s="3"/>
    </row>
    <row r="58" spans="1:16">
      <c r="A58" s="52">
        <v>49</v>
      </c>
      <c r="B58" s="416" t="s">
        <v>21</v>
      </c>
      <c r="C58" s="34"/>
      <c r="D58" s="21"/>
      <c r="E58" s="5"/>
      <c r="F58" s="21"/>
      <c r="G58" s="5"/>
      <c r="H58" s="5"/>
      <c r="I58" s="5"/>
      <c r="J58" s="3"/>
      <c r="K58" s="3">
        <f>+K56-K57</f>
        <v>0</v>
      </c>
      <c r="L58" s="3"/>
    </row>
    <row r="59" spans="1:16">
      <c r="A59" s="53">
        <v>50</v>
      </c>
      <c r="B59" s="14" t="s">
        <v>67</v>
      </c>
      <c r="C59" s="34"/>
      <c r="D59" s="35"/>
      <c r="E59" s="5"/>
      <c r="F59" s="21"/>
      <c r="G59" s="5"/>
      <c r="H59" s="35"/>
      <c r="I59" s="35"/>
      <c r="J59" s="3"/>
      <c r="K59" s="3"/>
      <c r="L59" s="3"/>
    </row>
    <row r="60" spans="1:16">
      <c r="A60" s="54">
        <v>51</v>
      </c>
      <c r="B60" s="395" t="s">
        <v>68</v>
      </c>
      <c r="C60" s="622">
        <v>84081</v>
      </c>
      <c r="D60" s="22">
        <f>+Restating!C61</f>
        <v>0</v>
      </c>
      <c r="E60" s="36">
        <f>+D60+C60</f>
        <v>84081</v>
      </c>
      <c r="F60" s="36">
        <f>+'Pro Forma'!C62</f>
        <v>0</v>
      </c>
      <c r="G60" s="36">
        <f>+F60+E60</f>
        <v>84081</v>
      </c>
      <c r="H60" s="36"/>
      <c r="I60" s="636">
        <f>+H60+G60</f>
        <v>84081</v>
      </c>
      <c r="J60" s="3"/>
      <c r="K60" s="3"/>
      <c r="L60" s="3"/>
    </row>
    <row r="61" spans="1:16">
      <c r="A61" s="52">
        <v>52</v>
      </c>
      <c r="B61" s="393" t="s">
        <v>69</v>
      </c>
      <c r="C61" s="22">
        <v>706894</v>
      </c>
      <c r="D61" s="22">
        <f>+Restating!C62</f>
        <v>0</v>
      </c>
      <c r="E61" s="23">
        <f t="shared" ref="E61:G63" si="15">+D61+C61</f>
        <v>706894</v>
      </c>
      <c r="F61" s="23">
        <f>+'Pro Forma'!C63</f>
        <v>0</v>
      </c>
      <c r="G61" s="23">
        <f t="shared" si="15"/>
        <v>706894</v>
      </c>
      <c r="H61" s="23"/>
      <c r="I61" s="636">
        <f t="shared" ref="I61:I64" si="16">+H61+G61</f>
        <v>706894</v>
      </c>
      <c r="J61" s="3"/>
      <c r="K61" s="3"/>
      <c r="L61" s="3"/>
      <c r="P61" s="2" t="s">
        <v>404</v>
      </c>
    </row>
    <row r="62" spans="1:16">
      <c r="A62" s="53">
        <v>53</v>
      </c>
      <c r="B62" s="393" t="s">
        <v>70</v>
      </c>
      <c r="C62" s="22">
        <v>328012</v>
      </c>
      <c r="D62" s="22">
        <f>+Restating!C63</f>
        <v>0</v>
      </c>
      <c r="E62" s="23">
        <f t="shared" si="15"/>
        <v>328012</v>
      </c>
      <c r="F62" s="23">
        <f>+'Pro Forma'!C64</f>
        <v>5415</v>
      </c>
      <c r="G62" s="23">
        <f t="shared" si="15"/>
        <v>333427</v>
      </c>
      <c r="H62" s="23"/>
      <c r="I62" s="636">
        <f t="shared" si="16"/>
        <v>333427</v>
      </c>
      <c r="J62" s="3"/>
      <c r="K62" s="3"/>
      <c r="L62" s="3"/>
    </row>
    <row r="63" spans="1:16">
      <c r="A63" s="54">
        <v>54</v>
      </c>
      <c r="B63" s="393" t="s">
        <v>53</v>
      </c>
      <c r="C63" s="22">
        <v>696082</v>
      </c>
      <c r="D63" s="22">
        <f>+Restating!C64</f>
        <v>0</v>
      </c>
      <c r="E63" s="23">
        <f t="shared" si="15"/>
        <v>696082</v>
      </c>
      <c r="F63" s="23">
        <f>+'Pro Forma'!C65</f>
        <v>-896</v>
      </c>
      <c r="G63" s="23">
        <f t="shared" si="15"/>
        <v>695186</v>
      </c>
      <c r="H63" s="23"/>
      <c r="I63" s="636">
        <f t="shared" si="16"/>
        <v>695186</v>
      </c>
      <c r="J63" s="3"/>
      <c r="K63" s="37"/>
      <c r="L63" s="3"/>
    </row>
    <row r="64" spans="1:16">
      <c r="A64" s="52">
        <v>55</v>
      </c>
      <c r="B64" s="393" t="s">
        <v>71</v>
      </c>
      <c r="C64" s="26">
        <v>140218</v>
      </c>
      <c r="D64" s="26">
        <f>+Restating!C65</f>
        <v>0</v>
      </c>
      <c r="E64" s="26">
        <f>+D64+C64</f>
        <v>140218</v>
      </c>
      <c r="F64" s="24">
        <f>+'Pro Forma'!C66</f>
        <v>0</v>
      </c>
      <c r="G64" s="26">
        <f>+F64+E64</f>
        <v>140218</v>
      </c>
      <c r="H64" s="24"/>
      <c r="I64" s="637">
        <f t="shared" si="16"/>
        <v>140218</v>
      </c>
      <c r="J64" s="3"/>
      <c r="K64" s="3"/>
      <c r="L64" s="3"/>
    </row>
    <row r="65" spans="1:167">
      <c r="A65" s="53">
        <v>56</v>
      </c>
      <c r="B65" s="394" t="s">
        <v>72</v>
      </c>
      <c r="C65" s="23">
        <f>SUM(C60:C64)</f>
        <v>1955287</v>
      </c>
      <c r="D65" s="23">
        <f>SUM(D60:D64)</f>
        <v>0</v>
      </c>
      <c r="E65" s="23">
        <f>SUM(C65:D65)</f>
        <v>1955287</v>
      </c>
      <c r="F65" s="23">
        <f>SUM(F60:F64)</f>
        <v>4519</v>
      </c>
      <c r="G65" s="23">
        <f>+F65+E65</f>
        <v>1959806</v>
      </c>
      <c r="H65" s="23"/>
      <c r="I65" s="23">
        <f>SUM(I60:I64)</f>
        <v>1959806</v>
      </c>
      <c r="J65" s="3"/>
      <c r="K65" s="3"/>
      <c r="L65" s="3"/>
    </row>
    <row r="66" spans="1:167">
      <c r="A66" s="54">
        <v>57</v>
      </c>
      <c r="B66" s="20" t="s">
        <v>244</v>
      </c>
      <c r="C66" s="22">
        <v>666983</v>
      </c>
      <c r="D66" s="22">
        <f>+Restating!C67</f>
        <v>0</v>
      </c>
      <c r="E66" s="23">
        <f>SUM(C66:D66)</f>
        <v>666983</v>
      </c>
      <c r="F66" s="23">
        <f>+'Pro Forma'!C68</f>
        <v>52</v>
      </c>
      <c r="G66" s="23">
        <f>+F66+E66</f>
        <v>667035</v>
      </c>
      <c r="H66" s="23"/>
      <c r="I66" s="636">
        <f>+H66+G66</f>
        <v>667035</v>
      </c>
      <c r="J66" s="3"/>
      <c r="K66" s="3"/>
      <c r="L66" s="3"/>
    </row>
    <row r="67" spans="1:167">
      <c r="A67" s="52">
        <v>58</v>
      </c>
      <c r="B67" s="20" t="s">
        <v>245</v>
      </c>
      <c r="C67" s="22">
        <v>0</v>
      </c>
      <c r="D67" s="22">
        <f>+Restating!C68</f>
        <v>0</v>
      </c>
      <c r="E67" s="23">
        <f>SUM(C67:D67)</f>
        <v>0</v>
      </c>
      <c r="F67" s="23">
        <f>+'Pro Forma'!C69</f>
        <v>0</v>
      </c>
      <c r="G67" s="24">
        <f>+F67+E67</f>
        <v>0</v>
      </c>
      <c r="H67" s="24"/>
      <c r="I67" s="24"/>
      <c r="J67" s="3"/>
      <c r="K67" s="3"/>
      <c r="L67" s="3"/>
    </row>
    <row r="68" spans="1:167">
      <c r="A68" s="53">
        <v>59</v>
      </c>
      <c r="B68" s="393" t="s">
        <v>73</v>
      </c>
      <c r="C68" s="25">
        <f>+C66+C67</f>
        <v>666983</v>
      </c>
      <c r="D68" s="25">
        <f>+D66+D67</f>
        <v>0</v>
      </c>
      <c r="E68" s="25">
        <f>+E66+E67</f>
        <v>666983</v>
      </c>
      <c r="F68" s="25">
        <f>+F66+F67</f>
        <v>52</v>
      </c>
      <c r="G68" s="25">
        <f>+G66+G67</f>
        <v>667035</v>
      </c>
      <c r="H68" s="23"/>
      <c r="I68" s="25">
        <f>+I66+I67</f>
        <v>667035</v>
      </c>
      <c r="J68" s="3"/>
      <c r="K68" s="3"/>
      <c r="L68" s="3"/>
    </row>
    <row r="69" spans="1:167" s="39" customFormat="1">
      <c r="A69" s="54">
        <v>60</v>
      </c>
      <c r="B69" s="20" t="s">
        <v>351</v>
      </c>
      <c r="C69" s="22">
        <v>18867</v>
      </c>
      <c r="D69" s="22">
        <f>+Restating!C71</f>
        <v>-7013</v>
      </c>
      <c r="E69" s="28">
        <f>SUM(C69:D69)</f>
        <v>11854</v>
      </c>
      <c r="F69" s="23">
        <f>+'Pro Forma'!C71</f>
        <v>0</v>
      </c>
      <c r="G69" s="23">
        <f>+F69+E69</f>
        <v>11854</v>
      </c>
      <c r="H69" s="23"/>
      <c r="I69" s="638">
        <f>+G69+H69</f>
        <v>11854</v>
      </c>
      <c r="J69" s="3"/>
      <c r="K69" s="38"/>
      <c r="L69" s="38"/>
    </row>
    <row r="70" spans="1:167" s="39" customFormat="1">
      <c r="A70" s="52">
        <v>61</v>
      </c>
      <c r="B70" s="20" t="s">
        <v>236</v>
      </c>
      <c r="C70" s="22">
        <v>18188</v>
      </c>
      <c r="D70" s="22">
        <f>+Restating!C72</f>
        <v>3744</v>
      </c>
      <c r="E70" s="559">
        <f>SUM(C70:D70)</f>
        <v>21932</v>
      </c>
      <c r="F70" s="23">
        <f>+'Pro Forma'!C73</f>
        <v>0</v>
      </c>
      <c r="G70" s="23">
        <f>+F70+E70</f>
        <v>21932</v>
      </c>
      <c r="H70" s="23"/>
      <c r="I70" s="638">
        <f t="shared" ref="I70:I72" si="17">+G70+H70</f>
        <v>21932</v>
      </c>
      <c r="J70" s="3"/>
      <c r="K70" s="38"/>
      <c r="L70" s="38"/>
    </row>
    <row r="71" spans="1:167" s="39" customFormat="1">
      <c r="A71" s="53">
        <v>62</v>
      </c>
      <c r="B71" s="20" t="s">
        <v>247</v>
      </c>
      <c r="C71" s="22">
        <v>0</v>
      </c>
      <c r="D71" s="22">
        <f>+Restating!C73</f>
        <v>0</v>
      </c>
      <c r="E71" s="28">
        <f>SUM(C71:D71)</f>
        <v>0</v>
      </c>
      <c r="F71" s="23">
        <f>+'Pro Forma'!C74</f>
        <v>0</v>
      </c>
      <c r="G71" s="23">
        <f>+F71+E71</f>
        <v>0</v>
      </c>
      <c r="H71" s="23"/>
      <c r="I71" s="638">
        <f t="shared" si="17"/>
        <v>0</v>
      </c>
      <c r="J71" s="3"/>
      <c r="K71" s="38"/>
      <c r="L71" s="38"/>
    </row>
    <row r="72" spans="1:167">
      <c r="A72" s="54">
        <v>63</v>
      </c>
      <c r="B72" s="20" t="s">
        <v>248</v>
      </c>
      <c r="C72" s="29">
        <v>-201448</v>
      </c>
      <c r="D72" s="29">
        <f>+Restating!C74</f>
        <v>285</v>
      </c>
      <c r="E72" s="559">
        <f>SUM(C72:D72)</f>
        <v>-201163</v>
      </c>
      <c r="F72" s="23">
        <f>+'Pro Forma'!C75</f>
        <v>-121</v>
      </c>
      <c r="G72" s="28">
        <f>+F72+E72</f>
        <v>-201284</v>
      </c>
      <c r="H72" s="23"/>
      <c r="I72" s="638">
        <f t="shared" si="17"/>
        <v>-201284</v>
      </c>
      <c r="J72" s="3"/>
      <c r="K72" s="3"/>
      <c r="L72" s="3"/>
    </row>
    <row r="73" spans="1:167">
      <c r="A73" s="52">
        <v>64</v>
      </c>
      <c r="B73" s="20"/>
      <c r="C73" s="28" t="s">
        <v>350</v>
      </c>
      <c r="D73" s="23"/>
      <c r="E73" s="28"/>
      <c r="F73" s="23"/>
      <c r="G73" s="28"/>
      <c r="H73" s="23"/>
      <c r="I73" s="23"/>
      <c r="J73" s="3"/>
      <c r="K73" s="37"/>
      <c r="L73" s="3"/>
    </row>
    <row r="74" spans="1:167">
      <c r="A74" s="53">
        <v>65</v>
      </c>
      <c r="B74" s="20"/>
      <c r="C74" s="25"/>
      <c r="D74" s="25"/>
      <c r="E74" s="25"/>
      <c r="F74" s="25"/>
      <c r="G74" s="25"/>
      <c r="H74" s="25"/>
      <c r="I74" s="25"/>
      <c r="J74" s="3"/>
      <c r="K74" s="37"/>
      <c r="L74" s="3"/>
    </row>
    <row r="75" spans="1:167" ht="13.5" thickBot="1">
      <c r="A75" s="54">
        <v>66</v>
      </c>
      <c r="B75" s="15" t="s">
        <v>74</v>
      </c>
      <c r="C75" s="623">
        <f>+C65-C68+C69+C70+C71+C72</f>
        <v>1123911</v>
      </c>
      <c r="D75" s="32">
        <f>+D65-D68+D69+D70+D71+D72</f>
        <v>-2984</v>
      </c>
      <c r="E75" s="32">
        <f>+E65-E68+E69+E70+E71+E72</f>
        <v>1120927</v>
      </c>
      <c r="F75" s="32">
        <f>+F65-F68+F69+F71+F72</f>
        <v>4346</v>
      </c>
      <c r="G75" s="32">
        <f>+G65-G68+G69+G70+G71+G72</f>
        <v>1125273</v>
      </c>
      <c r="H75" s="32"/>
      <c r="I75" s="32">
        <f>+I65-I68+I69+I70+I71+I72</f>
        <v>1125273</v>
      </c>
      <c r="J75" s="3"/>
      <c r="K75" s="3"/>
      <c r="L75" s="3"/>
    </row>
    <row r="76" spans="1:167" ht="14.25" thickTop="1" thickBot="1">
      <c r="A76" s="52">
        <v>67</v>
      </c>
      <c r="B76" s="416" t="s">
        <v>23</v>
      </c>
      <c r="C76" s="40">
        <f>+C56/C75</f>
        <v>6.764236669985435E-2</v>
      </c>
      <c r="D76" s="34"/>
      <c r="E76" s="40">
        <f>+E56/E75</f>
        <v>8.7123603945662834E-2</v>
      </c>
      <c r="F76" s="34"/>
      <c r="G76" s="40">
        <f>+G56/G75</f>
        <v>8.3443040044504757E-2</v>
      </c>
      <c r="H76" s="34"/>
      <c r="I76" s="40">
        <f>+I56/I75</f>
        <v>7.2200347729881861E-2</v>
      </c>
      <c r="J76" s="3"/>
      <c r="K76" s="3"/>
      <c r="L76" s="3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</row>
    <row r="77" spans="1:167" ht="13.5" thickTop="1">
      <c r="J77" s="3"/>
      <c r="K77" s="3"/>
      <c r="L77" s="3"/>
    </row>
    <row r="78" spans="1:167">
      <c r="J78" s="3"/>
      <c r="K78" s="3"/>
      <c r="L78" s="3"/>
    </row>
    <row r="79" spans="1:167">
      <c r="J79" s="3"/>
      <c r="K79" s="3"/>
      <c r="L79" s="3"/>
    </row>
    <row r="80" spans="1:167">
      <c r="J80" s="3"/>
      <c r="K80" s="3"/>
      <c r="L80" s="3"/>
    </row>
  </sheetData>
  <mergeCells count="4">
    <mergeCell ref="G1:I1"/>
    <mergeCell ref="K21:K29"/>
    <mergeCell ref="P8:Q8"/>
    <mergeCell ref="N8:O8"/>
  </mergeCells>
  <phoneticPr fontId="5" type="noConversion"/>
  <printOptions horizontalCentered="1"/>
  <pageMargins left="0.5" right="0.5" top="1.2" bottom="0.3" header="0.5" footer="0.5"/>
  <pageSetup scale="60" firstPageNumber="4" orientation="portrait" r:id="rId1"/>
  <headerFooter scaleWithDoc="0" alignWithMargins="0">
    <oddHeader>&amp;L&amp;"Arial,Regular"&amp;10Avista Corporation
&amp;"Arial,Bold"Electric - Results of Operations (Schedule 1.1) &amp;"Arial,Regular"
Twelve Months Ended Dcember 31, 2011&amp;R&amp;"Arial,Regular"&amp;10Exhibit No. ___ (JH-2)
Dockets UE-120436 &amp;&amp; UG-120437
Page &amp;P of  11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5"/>
  <sheetViews>
    <sheetView zoomScale="75" zoomScaleNormal="75" workbookViewId="0">
      <pane xSplit="3" ySplit="12" topLeftCell="D13" activePane="bottomRight" state="frozen"/>
      <selection activeCell="C28" sqref="C28"/>
      <selection pane="topRight" activeCell="C28" sqref="C28"/>
      <selection pane="bottomLeft" activeCell="C28" sqref="C28"/>
      <selection pane="bottomRight" activeCell="C28" sqref="C28"/>
    </sheetView>
  </sheetViews>
  <sheetFormatPr defaultColWidth="10.625" defaultRowHeight="12.75"/>
  <cols>
    <col min="1" max="1" width="4.375" style="64" bestFit="1" customWidth="1"/>
    <col min="2" max="2" width="24.25" style="63" customWidth="1"/>
    <col min="3" max="3" width="13.625" style="65" customWidth="1"/>
    <col min="4" max="7" width="13.625" style="74" customWidth="1"/>
    <col min="8" max="13" width="9" style="101" customWidth="1"/>
    <col min="14" max="14" width="11.625" style="65" hidden="1" customWidth="1"/>
    <col min="15" max="15" width="5" style="14" customWidth="1"/>
    <col min="16" max="16" width="2.75" style="14" customWidth="1"/>
    <col min="17" max="17" width="11.75" style="14" customWidth="1"/>
    <col min="18" max="18" width="2.625" style="14" customWidth="1"/>
    <col min="19" max="19" width="10.875" style="14" customWidth="1"/>
    <col min="20" max="20" width="6.75" style="14" customWidth="1"/>
    <col min="21" max="22" width="9.625" style="14" customWidth="1"/>
    <col min="23" max="23" width="10.625" style="14" customWidth="1"/>
    <col min="24" max="24" width="6.75" style="14" customWidth="1"/>
    <col min="25" max="16384" width="10.625" style="14"/>
  </cols>
  <sheetData>
    <row r="1" spans="1:17">
      <c r="A1" s="56"/>
      <c r="B1" s="9" t="s">
        <v>281</v>
      </c>
      <c r="C1" s="57" t="s">
        <v>253</v>
      </c>
      <c r="D1" s="58"/>
      <c r="E1" s="58"/>
      <c r="F1" s="58"/>
      <c r="G1" s="58"/>
      <c r="H1" s="14"/>
      <c r="I1" s="14"/>
      <c r="J1" s="14"/>
      <c r="K1" s="14"/>
      <c r="L1" s="14"/>
      <c r="M1" s="14"/>
    </row>
    <row r="2" spans="1:17">
      <c r="A2" s="411"/>
      <c r="B2" s="14"/>
      <c r="C2" s="65" t="s">
        <v>111</v>
      </c>
      <c r="D2" s="66" t="s">
        <v>385</v>
      </c>
      <c r="E2" s="66" t="s">
        <v>252</v>
      </c>
      <c r="F2" s="66" t="s">
        <v>252</v>
      </c>
      <c r="G2" s="66" t="s">
        <v>252</v>
      </c>
      <c r="H2" s="14"/>
      <c r="I2" s="14"/>
      <c r="J2" s="14"/>
      <c r="K2" s="14"/>
      <c r="L2" s="14"/>
      <c r="M2" s="14"/>
    </row>
    <row r="3" spans="1:17">
      <c r="A3" s="411"/>
      <c r="B3" s="14"/>
      <c r="C3" s="65" t="s">
        <v>277</v>
      </c>
      <c r="D3" s="66"/>
      <c r="E3" s="66"/>
      <c r="F3" s="66"/>
      <c r="G3" s="66"/>
      <c r="H3" s="14"/>
      <c r="I3" s="14"/>
      <c r="J3" s="14"/>
      <c r="K3" s="14"/>
      <c r="L3" s="14"/>
      <c r="M3" s="14"/>
    </row>
    <row r="4" spans="1:17" ht="13.5" thickBot="1">
      <c r="A4" s="411"/>
      <c r="B4" s="14"/>
      <c r="C4" s="412" t="s">
        <v>254</v>
      </c>
      <c r="D4" s="413"/>
      <c r="E4" s="413"/>
      <c r="F4" s="413"/>
      <c r="G4" s="60"/>
      <c r="H4" s="14"/>
      <c r="I4" s="14"/>
      <c r="J4" s="14"/>
      <c r="K4" s="14"/>
      <c r="L4" s="14"/>
      <c r="M4" s="14"/>
    </row>
    <row r="5" spans="1:17" ht="13.5" thickTop="1">
      <c r="A5" s="402"/>
      <c r="B5" s="64" t="str">
        <f>+Restating!B5</f>
        <v>(000's of Dollars)</v>
      </c>
    </row>
    <row r="6" spans="1:17">
      <c r="A6" s="62"/>
    </row>
    <row r="7" spans="1:17" ht="13.5" thickBot="1">
      <c r="A7" s="403"/>
      <c r="B7" s="64" t="s">
        <v>100</v>
      </c>
      <c r="C7" s="66" t="s">
        <v>101</v>
      </c>
      <c r="D7" s="102" t="s">
        <v>157</v>
      </c>
      <c r="E7" s="102" t="s">
        <v>159</v>
      </c>
      <c r="F7" s="102" t="s">
        <v>160</v>
      </c>
      <c r="G7" s="102"/>
    </row>
    <row r="8" spans="1:17" ht="16.149999999999999" customHeight="1" thickBot="1">
      <c r="A8" s="403"/>
      <c r="B8" s="64"/>
      <c r="C8" s="66"/>
      <c r="D8" s="751" t="s">
        <v>364</v>
      </c>
      <c r="E8" s="751"/>
      <c r="F8" s="751"/>
      <c r="G8" s="751"/>
    </row>
    <row r="9" spans="1:17">
      <c r="A9" s="62"/>
      <c r="D9" s="552">
        <v>5</v>
      </c>
      <c r="E9" s="550">
        <v>5.01</v>
      </c>
      <c r="F9" s="550">
        <v>5.0199999999999996</v>
      </c>
      <c r="G9" s="550">
        <v>5.03</v>
      </c>
    </row>
    <row r="10" spans="1:17" s="71" customFormat="1">
      <c r="A10" s="414"/>
      <c r="B10" s="420"/>
      <c r="C10" s="68" t="s">
        <v>31</v>
      </c>
      <c r="D10" s="426" t="s">
        <v>359</v>
      </c>
      <c r="E10" s="426" t="s">
        <v>359</v>
      </c>
      <c r="F10" s="426"/>
      <c r="G10" s="426"/>
      <c r="N10" s="68"/>
    </row>
    <row r="11" spans="1:17" s="71" customFormat="1">
      <c r="A11" s="414" t="s">
        <v>5</v>
      </c>
      <c r="B11" s="420"/>
      <c r="C11" s="68" t="s">
        <v>394</v>
      </c>
      <c r="D11" s="427" t="s">
        <v>360</v>
      </c>
      <c r="E11" s="427" t="s">
        <v>360</v>
      </c>
      <c r="F11" s="68" t="s">
        <v>363</v>
      </c>
      <c r="G11" s="68" t="s">
        <v>122</v>
      </c>
      <c r="N11" s="68"/>
    </row>
    <row r="12" spans="1:17" s="71" customFormat="1">
      <c r="A12" s="421" t="s">
        <v>10</v>
      </c>
      <c r="B12" s="422" t="s">
        <v>11</v>
      </c>
      <c r="C12" s="423" t="s">
        <v>34</v>
      </c>
      <c r="D12" s="429" t="s">
        <v>361</v>
      </c>
      <c r="E12" s="428" t="s">
        <v>362</v>
      </c>
      <c r="F12" s="423"/>
      <c r="G12" s="68"/>
      <c r="N12" s="68"/>
    </row>
    <row r="13" spans="1:17" s="72" customFormat="1">
      <c r="A13" s="418"/>
      <c r="B13" s="115" t="s">
        <v>155</v>
      </c>
      <c r="C13" s="99" t="s">
        <v>256</v>
      </c>
      <c r="D13" s="103"/>
      <c r="E13" s="103"/>
      <c r="F13" s="60"/>
      <c r="G13" s="60"/>
      <c r="N13" s="60"/>
    </row>
    <row r="14" spans="1:17">
      <c r="A14" s="73">
        <v>1</v>
      </c>
      <c r="B14" s="416" t="s">
        <v>98</v>
      </c>
      <c r="C14" s="74"/>
      <c r="N14" s="61"/>
    </row>
    <row r="15" spans="1:17">
      <c r="A15" s="75">
        <v>2</v>
      </c>
      <c r="B15" s="63" t="s">
        <v>40</v>
      </c>
      <c r="D15" s="65"/>
      <c r="E15" s="65"/>
      <c r="F15" s="65"/>
      <c r="G15" s="65"/>
      <c r="N15" s="61"/>
    </row>
    <row r="16" spans="1:17" s="15" customFormat="1">
      <c r="A16" s="75">
        <v>3</v>
      </c>
      <c r="B16" s="76" t="s">
        <v>41</v>
      </c>
      <c r="C16" s="36">
        <f t="shared" ref="C16:C21" si="0">SUM(D16:G16)</f>
        <v>0</v>
      </c>
      <c r="D16" s="566"/>
      <c r="E16" s="566"/>
      <c r="F16" s="566"/>
      <c r="G16" s="566"/>
      <c r="N16" s="77"/>
      <c r="O16" s="104"/>
      <c r="P16" s="104"/>
      <c r="Q16" s="104"/>
    </row>
    <row r="17" spans="1:14" s="20" customFormat="1">
      <c r="A17" s="73">
        <v>4</v>
      </c>
      <c r="B17" s="78" t="s">
        <v>42</v>
      </c>
      <c r="C17" s="36">
        <f t="shared" si="0"/>
        <v>0</v>
      </c>
      <c r="D17" s="23"/>
      <c r="E17" s="23"/>
      <c r="F17" s="23"/>
      <c r="G17" s="23"/>
      <c r="N17" s="105"/>
    </row>
    <row r="18" spans="1:14" s="20" customFormat="1">
      <c r="A18" s="75">
        <v>5</v>
      </c>
      <c r="B18" s="78" t="s">
        <v>43</v>
      </c>
      <c r="C18" s="24">
        <f t="shared" si="0"/>
        <v>0</v>
      </c>
      <c r="D18" s="24"/>
      <c r="E18" s="24"/>
      <c r="F18" s="24"/>
      <c r="G18" s="24"/>
      <c r="N18" s="107"/>
    </row>
    <row r="19" spans="1:14" s="20" customFormat="1">
      <c r="A19" s="75">
        <v>6</v>
      </c>
      <c r="B19" s="397" t="s">
        <v>44</v>
      </c>
      <c r="C19" s="23">
        <f t="shared" si="0"/>
        <v>0</v>
      </c>
      <c r="D19" s="23">
        <f t="shared" ref="D19" si="1">SUM(D16:D18)</f>
        <v>0</v>
      </c>
      <c r="E19" s="23"/>
      <c r="F19" s="23"/>
      <c r="G19" s="23"/>
    </row>
    <row r="20" spans="1:14" s="20" customFormat="1">
      <c r="A20" s="73">
        <v>7</v>
      </c>
      <c r="B20" s="78" t="s">
        <v>45</v>
      </c>
      <c r="C20" s="24">
        <f t="shared" si="0"/>
        <v>0</v>
      </c>
      <c r="D20" s="24"/>
      <c r="E20" s="24"/>
      <c r="F20" s="24"/>
      <c r="G20" s="24"/>
      <c r="N20" s="107"/>
    </row>
    <row r="21" spans="1:14" s="20" customFormat="1">
      <c r="A21" s="75">
        <v>8</v>
      </c>
      <c r="B21" s="397" t="s">
        <v>46</v>
      </c>
      <c r="C21" s="23">
        <f t="shared" si="0"/>
        <v>0</v>
      </c>
      <c r="D21" s="23">
        <f t="shared" ref="D21" si="2">SUM(D19:D20)</f>
        <v>0</v>
      </c>
      <c r="E21" s="23"/>
      <c r="F21" s="23"/>
      <c r="G21" s="23"/>
    </row>
    <row r="22" spans="1:14" s="20" customFormat="1">
      <c r="A22" s="75">
        <v>9</v>
      </c>
      <c r="B22" s="78"/>
      <c r="C22" s="23"/>
      <c r="D22" s="23"/>
      <c r="E22" s="23"/>
      <c r="F22" s="23"/>
      <c r="G22" s="23"/>
      <c r="N22" s="105"/>
    </row>
    <row r="23" spans="1:14" s="20" customFormat="1">
      <c r="A23" s="73">
        <v>10</v>
      </c>
      <c r="B23" s="78" t="s">
        <v>20</v>
      </c>
      <c r="C23" s="23"/>
      <c r="D23" s="23"/>
      <c r="E23" s="23"/>
      <c r="F23" s="23"/>
      <c r="G23" s="23"/>
      <c r="N23" s="105"/>
    </row>
    <row r="24" spans="1:14" s="20" customFormat="1">
      <c r="A24" s="75">
        <v>11</v>
      </c>
      <c r="B24" s="78" t="s">
        <v>47</v>
      </c>
      <c r="C24" s="23"/>
      <c r="D24" s="23"/>
      <c r="E24" s="23"/>
      <c r="F24" s="23"/>
      <c r="G24" s="23"/>
      <c r="N24" s="105"/>
    </row>
    <row r="25" spans="1:14" s="20" customFormat="1">
      <c r="A25" s="75">
        <v>12</v>
      </c>
      <c r="B25" s="397" t="s">
        <v>48</v>
      </c>
      <c r="C25" s="23">
        <f t="shared" ref="C25:C30" si="3">SUM(D25:G25)</f>
        <v>0</v>
      </c>
      <c r="D25" s="23"/>
      <c r="E25" s="23">
        <v>0</v>
      </c>
      <c r="F25" s="23"/>
      <c r="G25" s="23"/>
      <c r="N25" s="105"/>
    </row>
    <row r="26" spans="1:14" s="20" customFormat="1">
      <c r="A26" s="73">
        <v>13</v>
      </c>
      <c r="B26" s="397" t="s">
        <v>49</v>
      </c>
      <c r="C26" s="23">
        <f t="shared" si="3"/>
        <v>0</v>
      </c>
      <c r="D26" s="23"/>
      <c r="E26" s="23"/>
      <c r="F26" s="23"/>
      <c r="G26" s="23"/>
      <c r="N26" s="105"/>
    </row>
    <row r="27" spans="1:14" s="20" customFormat="1">
      <c r="A27" s="75">
        <v>14</v>
      </c>
      <c r="B27" s="397" t="s">
        <v>50</v>
      </c>
      <c r="C27" s="23">
        <f t="shared" si="3"/>
        <v>0</v>
      </c>
      <c r="D27" s="23">
        <v>0</v>
      </c>
      <c r="E27" s="23">
        <v>0</v>
      </c>
      <c r="F27" s="23"/>
      <c r="G27" s="23"/>
      <c r="N27" s="105"/>
    </row>
    <row r="28" spans="1:14" s="20" customFormat="1">
      <c r="A28" s="73">
        <v>15</v>
      </c>
      <c r="B28" s="393" t="s">
        <v>349</v>
      </c>
      <c r="C28" s="23">
        <f t="shared" si="3"/>
        <v>0</v>
      </c>
      <c r="D28" s="23"/>
      <c r="E28" s="23"/>
      <c r="F28" s="23"/>
      <c r="G28" s="23"/>
      <c r="N28" s="105"/>
    </row>
    <row r="29" spans="1:14" s="20" customFormat="1">
      <c r="A29" s="75">
        <v>16</v>
      </c>
      <c r="B29" s="397" t="s">
        <v>51</v>
      </c>
      <c r="C29" s="24">
        <f t="shared" si="3"/>
        <v>0</v>
      </c>
      <c r="D29" s="24"/>
      <c r="E29" s="24"/>
      <c r="F29" s="24"/>
      <c r="G29" s="24"/>
      <c r="N29" s="107"/>
    </row>
    <row r="30" spans="1:14" s="20" customFormat="1">
      <c r="A30" s="75">
        <v>17</v>
      </c>
      <c r="B30" s="398" t="s">
        <v>52</v>
      </c>
      <c r="C30" s="23">
        <f t="shared" si="3"/>
        <v>0</v>
      </c>
      <c r="D30" s="23">
        <f t="shared" ref="D30" si="4">SUM(D25:D29)</f>
        <v>0</v>
      </c>
      <c r="E30" s="23">
        <f>SUM(E25:E29)</f>
        <v>0</v>
      </c>
      <c r="F30" s="23">
        <f>SUM(F25:F29)</f>
        <v>0</v>
      </c>
      <c r="G30" s="23">
        <f>SUM(G25:G29)</f>
        <v>0</v>
      </c>
    </row>
    <row r="31" spans="1:14" s="20" customFormat="1">
      <c r="A31" s="73">
        <v>18</v>
      </c>
      <c r="B31" s="78"/>
      <c r="C31" s="23"/>
      <c r="D31" s="23"/>
      <c r="E31" s="23"/>
      <c r="F31" s="23"/>
      <c r="G31" s="23"/>
      <c r="N31" s="105"/>
    </row>
    <row r="32" spans="1:14" s="20" customFormat="1">
      <c r="A32" s="75">
        <v>19</v>
      </c>
      <c r="B32" s="78" t="s">
        <v>53</v>
      </c>
      <c r="C32" s="23"/>
      <c r="D32" s="23"/>
      <c r="E32" s="23"/>
      <c r="F32" s="23"/>
      <c r="G32" s="23"/>
      <c r="N32" s="105"/>
    </row>
    <row r="33" spans="1:22" s="20" customFormat="1">
      <c r="A33" s="73">
        <v>20</v>
      </c>
      <c r="B33" s="397" t="s">
        <v>48</v>
      </c>
      <c r="C33" s="23">
        <f>SUM(D33:G33)</f>
        <v>0</v>
      </c>
      <c r="D33" s="23">
        <v>0</v>
      </c>
      <c r="E33" s="23">
        <v>0</v>
      </c>
      <c r="F33" s="23"/>
      <c r="G33" s="23"/>
      <c r="N33" s="105"/>
    </row>
    <row r="34" spans="1:22" s="20" customFormat="1">
      <c r="A34" s="75">
        <v>21</v>
      </c>
      <c r="B34" s="397" t="s">
        <v>54</v>
      </c>
      <c r="C34" s="23">
        <f>SUM(D34:G34)</f>
        <v>0</v>
      </c>
      <c r="D34" s="23">
        <v>0</v>
      </c>
      <c r="E34" s="23">
        <v>0</v>
      </c>
      <c r="F34" s="23"/>
      <c r="G34" s="23"/>
      <c r="N34" s="105"/>
    </row>
    <row r="35" spans="1:22" s="20" customFormat="1">
      <c r="A35" s="75">
        <v>22</v>
      </c>
      <c r="B35" s="397" t="s">
        <v>51</v>
      </c>
      <c r="C35" s="24">
        <f>SUM(D35:G35)</f>
        <v>0</v>
      </c>
      <c r="D35" s="24"/>
      <c r="E35" s="24"/>
      <c r="F35" s="24"/>
      <c r="G35" s="24"/>
      <c r="N35" s="107"/>
    </row>
    <row r="36" spans="1:22" s="20" customFormat="1">
      <c r="A36" s="73">
        <v>23</v>
      </c>
      <c r="B36" s="398" t="s">
        <v>55</v>
      </c>
      <c r="C36" s="23">
        <f>SUM(D36:G36)</f>
        <v>0</v>
      </c>
      <c r="D36" s="23">
        <f t="shared" ref="D36" si="5">SUM(D33:D35)</f>
        <v>0</v>
      </c>
      <c r="E36" s="23">
        <f>SUM(E33:E35)</f>
        <v>0</v>
      </c>
      <c r="F36" s="23">
        <f>SUM(F33:F35)</f>
        <v>0</v>
      </c>
      <c r="G36" s="23">
        <f>SUM(G33:G35)</f>
        <v>0</v>
      </c>
    </row>
    <row r="37" spans="1:22" s="20" customFormat="1">
      <c r="A37" s="75">
        <v>24</v>
      </c>
      <c r="B37" s="78"/>
      <c r="C37" s="23"/>
      <c r="D37" s="23"/>
      <c r="E37" s="23"/>
      <c r="F37" s="23"/>
      <c r="G37" s="23"/>
      <c r="N37" s="105"/>
    </row>
    <row r="38" spans="1:22" s="20" customFormat="1">
      <c r="A38" s="73">
        <v>25</v>
      </c>
      <c r="B38" s="78" t="s">
        <v>56</v>
      </c>
      <c r="C38" s="23">
        <f>SUM(D38:G38)</f>
        <v>0</v>
      </c>
      <c r="D38" s="23"/>
      <c r="E38" s="23">
        <v>0</v>
      </c>
      <c r="F38" s="23">
        <v>0</v>
      </c>
      <c r="G38" s="23">
        <v>0</v>
      </c>
      <c r="N38" s="105"/>
      <c r="O38" s="108"/>
      <c r="P38" s="101"/>
      <c r="S38" s="106"/>
      <c r="T38" s="109"/>
      <c r="U38" s="109"/>
      <c r="V38" s="109"/>
    </row>
    <row r="39" spans="1:22" s="20" customFormat="1">
      <c r="A39" s="75">
        <v>26</v>
      </c>
      <c r="B39" s="78" t="s">
        <v>57</v>
      </c>
      <c r="C39" s="23">
        <f>SUM(D39:G39)</f>
        <v>0</v>
      </c>
      <c r="D39" s="23"/>
      <c r="E39" s="23">
        <v>0</v>
      </c>
      <c r="F39" s="23">
        <v>0</v>
      </c>
      <c r="G39" s="23">
        <v>0</v>
      </c>
      <c r="N39" s="105"/>
      <c r="Q39" s="110"/>
      <c r="S39" s="81"/>
      <c r="T39" s="81"/>
      <c r="U39" s="81"/>
      <c r="V39" s="109"/>
    </row>
    <row r="40" spans="1:22" s="20" customFormat="1">
      <c r="A40" s="75">
        <v>27</v>
      </c>
      <c r="B40" s="78" t="s">
        <v>58</v>
      </c>
      <c r="C40" s="23">
        <f>SUM(D40:G40)</f>
        <v>0</v>
      </c>
      <c r="D40" s="23"/>
      <c r="E40" s="23">
        <v>0</v>
      </c>
      <c r="F40" s="23"/>
      <c r="G40" s="23"/>
      <c r="N40" s="105"/>
      <c r="Q40" s="110"/>
    </row>
    <row r="41" spans="1:22" s="20" customFormat="1">
      <c r="A41" s="73">
        <v>28</v>
      </c>
      <c r="B41" s="78"/>
      <c r="C41" s="23"/>
      <c r="D41" s="23"/>
      <c r="E41" s="23"/>
      <c r="F41" s="23"/>
      <c r="G41" s="23"/>
      <c r="N41" s="105"/>
    </row>
    <row r="42" spans="1:22" s="20" customFormat="1">
      <c r="A42" s="75">
        <v>29</v>
      </c>
      <c r="B42" s="78" t="s">
        <v>59</v>
      </c>
      <c r="C42" s="23"/>
      <c r="D42" s="23"/>
      <c r="E42" s="23"/>
      <c r="F42" s="23"/>
      <c r="G42" s="23"/>
      <c r="N42" s="105"/>
    </row>
    <row r="43" spans="1:22" s="20" customFormat="1">
      <c r="A43" s="73">
        <v>30</v>
      </c>
      <c r="B43" s="397" t="s">
        <v>48</v>
      </c>
      <c r="C43" s="23">
        <f>SUM(D43:G43)</f>
        <v>0</v>
      </c>
      <c r="D43" s="23"/>
      <c r="E43" s="23">
        <v>0</v>
      </c>
      <c r="F43" s="23">
        <v>0</v>
      </c>
      <c r="G43" s="23">
        <v>0</v>
      </c>
      <c r="N43" s="105"/>
    </row>
    <row r="44" spans="1:22" s="20" customFormat="1">
      <c r="A44" s="75">
        <v>31</v>
      </c>
      <c r="B44" s="397" t="s">
        <v>54</v>
      </c>
      <c r="C44" s="23">
        <f>SUM(D44:G44)</f>
        <v>0</v>
      </c>
      <c r="D44" s="23">
        <v>0</v>
      </c>
      <c r="E44" s="23">
        <v>0</v>
      </c>
      <c r="F44" s="23"/>
      <c r="G44" s="23"/>
      <c r="N44" s="105"/>
    </row>
    <row r="45" spans="1:22" s="20" customFormat="1">
      <c r="A45" s="75">
        <v>32</v>
      </c>
      <c r="B45" s="397" t="s">
        <v>51</v>
      </c>
      <c r="C45" s="23">
        <f>SUM(D45:G45)</f>
        <v>0</v>
      </c>
      <c r="D45" s="24"/>
      <c r="E45" s="24"/>
      <c r="F45" s="24"/>
      <c r="G45" s="24"/>
      <c r="N45" s="107"/>
    </row>
    <row r="46" spans="1:22" s="20" customFormat="1">
      <c r="A46" s="73">
        <v>33</v>
      </c>
      <c r="B46" s="398" t="s">
        <v>60</v>
      </c>
      <c r="C46" s="27">
        <f>SUM(D46:G46)</f>
        <v>0</v>
      </c>
      <c r="D46" s="24">
        <f t="shared" ref="D46" si="6">SUM(D43:D45)</f>
        <v>0</v>
      </c>
      <c r="E46" s="24">
        <f>SUM(E43:E45)</f>
        <v>0</v>
      </c>
      <c r="F46" s="24">
        <f>SUM(F43:F45)</f>
        <v>0</v>
      </c>
      <c r="G46" s="24">
        <f>SUM(G43:G45)</f>
        <v>0</v>
      </c>
      <c r="N46" s="111"/>
    </row>
    <row r="47" spans="1:22" s="20" customFormat="1">
      <c r="A47" s="75">
        <v>34</v>
      </c>
      <c r="B47" s="78" t="s">
        <v>61</v>
      </c>
      <c r="C47" s="24">
        <f>SUM(D47:G47)</f>
        <v>0</v>
      </c>
      <c r="D47" s="24">
        <f t="shared" ref="D47" si="7">D46+D40+D39+D38+D36+D30</f>
        <v>0</v>
      </c>
      <c r="E47" s="24">
        <f>E46+E40+E39+E38+E36+E30</f>
        <v>0</v>
      </c>
      <c r="F47" s="24">
        <f>F46+F40+F39+F38+F36+F30</f>
        <v>0</v>
      </c>
      <c r="G47" s="24">
        <f>G46+G40+G39+G38+G36+G30</f>
        <v>0</v>
      </c>
      <c r="N47" s="111"/>
    </row>
    <row r="48" spans="1:22" s="20" customFormat="1">
      <c r="A48" s="73">
        <v>35</v>
      </c>
      <c r="B48" s="78"/>
      <c r="C48" s="23"/>
      <c r="D48" s="23"/>
      <c r="E48" s="23"/>
      <c r="F48" s="23"/>
      <c r="G48" s="23"/>
    </row>
    <row r="49" spans="1:22" s="20" customFormat="1">
      <c r="A49" s="75">
        <v>36</v>
      </c>
      <c r="B49" s="78" t="s">
        <v>62</v>
      </c>
      <c r="C49" s="23">
        <f>SUM(D49:G49)</f>
        <v>0</v>
      </c>
      <c r="D49" s="23">
        <f t="shared" ref="D49" si="8">D21-D47</f>
        <v>0</v>
      </c>
      <c r="E49" s="23">
        <f>E21-E47</f>
        <v>0</v>
      </c>
      <c r="F49" s="23">
        <f>F21-F47</f>
        <v>0</v>
      </c>
      <c r="G49" s="23">
        <f>G21-G47</f>
        <v>0</v>
      </c>
    </row>
    <row r="50" spans="1:22" s="20" customFormat="1">
      <c r="A50" s="75">
        <v>37</v>
      </c>
      <c r="B50" s="78"/>
      <c r="C50" s="23"/>
      <c r="D50" s="23"/>
      <c r="E50" s="23"/>
      <c r="F50" s="23"/>
      <c r="G50" s="23"/>
      <c r="N50" s="105"/>
    </row>
    <row r="51" spans="1:22" s="20" customFormat="1">
      <c r="A51" s="73">
        <v>38</v>
      </c>
      <c r="B51" s="78" t="s">
        <v>63</v>
      </c>
      <c r="C51" s="23"/>
      <c r="D51" s="23"/>
      <c r="E51" s="23"/>
      <c r="F51" s="23"/>
      <c r="G51" s="23"/>
      <c r="N51" s="105"/>
    </row>
    <row r="52" spans="1:22" s="20" customFormat="1">
      <c r="A52" s="75">
        <v>39</v>
      </c>
      <c r="B52" s="78" t="s">
        <v>64</v>
      </c>
      <c r="C52" s="23">
        <f>SUM(D52:G52)</f>
        <v>0</v>
      </c>
      <c r="D52" s="23">
        <f>+D104</f>
        <v>0</v>
      </c>
      <c r="E52" s="23">
        <f t="shared" ref="E52:G52" si="9">+E104</f>
        <v>0</v>
      </c>
      <c r="F52" s="23">
        <f t="shared" si="9"/>
        <v>0</v>
      </c>
      <c r="G52" s="23">
        <f t="shared" si="9"/>
        <v>0</v>
      </c>
      <c r="N52" s="105"/>
      <c r="R52" s="15"/>
    </row>
    <row r="53" spans="1:22" s="20" customFormat="1">
      <c r="A53" s="75">
        <v>40</v>
      </c>
      <c r="B53" s="78" t="s">
        <v>366</v>
      </c>
      <c r="C53" s="23">
        <f>SUM(D53:G53)</f>
        <v>0</v>
      </c>
      <c r="D53" s="581">
        <f>+(D77*' Capital '!$J$13)*-35%</f>
        <v>0</v>
      </c>
      <c r="E53" s="581">
        <f>+(E77*' Capital '!$J$13)*-35%</f>
        <v>0</v>
      </c>
      <c r="F53" s="581">
        <f>+(F77*' Capital '!$J$13)*-35%</f>
        <v>0</v>
      </c>
      <c r="G53" s="581">
        <f>+(G77*' Capital '!$J$13)*-35%</f>
        <v>0</v>
      </c>
      <c r="N53" s="105"/>
      <c r="R53" s="15"/>
    </row>
    <row r="54" spans="1:22" s="20" customFormat="1">
      <c r="A54" s="73">
        <v>41</v>
      </c>
      <c r="B54" s="78" t="s">
        <v>65</v>
      </c>
      <c r="C54" s="23">
        <f>SUM(D54:G54)</f>
        <v>0</v>
      </c>
      <c r="D54" s="23"/>
      <c r="E54" s="23"/>
      <c r="F54" s="23"/>
      <c r="G54" s="23"/>
      <c r="N54" s="105"/>
      <c r="Q54" s="15"/>
      <c r="R54" s="14"/>
    </row>
    <row r="55" spans="1:22" s="20" customFormat="1">
      <c r="A55" s="75">
        <v>42</v>
      </c>
      <c r="B55" s="78" t="s">
        <v>238</v>
      </c>
      <c r="C55" s="23">
        <f>SUM(D55:G55)</f>
        <v>0</v>
      </c>
      <c r="D55" s="23">
        <v>0</v>
      </c>
      <c r="E55" s="23"/>
      <c r="F55" s="23"/>
      <c r="G55" s="23"/>
      <c r="N55" s="105"/>
      <c r="Q55" s="15"/>
      <c r="R55" s="14"/>
    </row>
    <row r="56" spans="1:22" s="20" customFormat="1">
      <c r="A56" s="75">
        <v>43</v>
      </c>
      <c r="B56" s="78"/>
      <c r="C56" s="23">
        <f>SUM(D56:G56)</f>
        <v>0</v>
      </c>
      <c r="D56" s="23"/>
      <c r="E56" s="23"/>
      <c r="F56" s="23"/>
      <c r="G56" s="23"/>
      <c r="N56" s="105"/>
      <c r="Q56" s="15"/>
      <c r="R56" s="14"/>
    </row>
    <row r="57" spans="1:22">
      <c r="A57" s="73">
        <v>44</v>
      </c>
      <c r="C57" s="23"/>
      <c r="D57" s="23"/>
      <c r="E57" s="23"/>
      <c r="F57" s="23"/>
      <c r="G57" s="23"/>
      <c r="S57" s="15"/>
      <c r="T57" s="15"/>
      <c r="U57" s="15"/>
      <c r="V57" s="15"/>
    </row>
    <row r="58" spans="1:22" s="15" customFormat="1" ht="13.5" thickBot="1">
      <c r="A58" s="75">
        <v>45</v>
      </c>
      <c r="B58" s="76" t="s">
        <v>66</v>
      </c>
      <c r="C58" s="112">
        <f>SUM(D58:G58)</f>
        <v>0</v>
      </c>
      <c r="D58" s="112">
        <f t="shared" ref="D58:F58" si="10">D49-SUM(D52:D56)</f>
        <v>0</v>
      </c>
      <c r="E58" s="112">
        <v>0</v>
      </c>
      <c r="F58" s="112">
        <f t="shared" si="10"/>
        <v>0</v>
      </c>
      <c r="G58" s="112">
        <f t="shared" ref="G58" si="11">G49-SUM(G52:G56)</f>
        <v>0</v>
      </c>
      <c r="N58" s="112"/>
      <c r="Q58" s="14"/>
      <c r="R58" s="14"/>
      <c r="S58" s="14"/>
      <c r="T58" s="14"/>
      <c r="U58" s="14"/>
      <c r="V58" s="14"/>
    </row>
    <row r="59" spans="1:22" ht="13.5" thickTop="1">
      <c r="A59" s="75">
        <v>46</v>
      </c>
      <c r="B59" s="2"/>
      <c r="D59" s="65"/>
      <c r="E59" s="65"/>
      <c r="F59" s="65"/>
      <c r="G59" s="65"/>
    </row>
    <row r="60" spans="1:22">
      <c r="A60" s="73">
        <v>47</v>
      </c>
      <c r="B60" s="416" t="s">
        <v>21</v>
      </c>
      <c r="D60" s="65"/>
      <c r="E60" s="65"/>
      <c r="F60" s="65"/>
      <c r="G60" s="65"/>
    </row>
    <row r="61" spans="1:22">
      <c r="A61" s="75">
        <v>48</v>
      </c>
      <c r="B61" s="63" t="s">
        <v>67</v>
      </c>
      <c r="C61" s="23"/>
      <c r="D61" s="23"/>
      <c r="E61" s="23"/>
      <c r="F61" s="23"/>
      <c r="G61" s="23"/>
      <c r="S61" s="15"/>
      <c r="T61" s="15"/>
      <c r="U61" s="15"/>
      <c r="V61" s="15"/>
    </row>
    <row r="62" spans="1:22" s="15" customFormat="1">
      <c r="A62" s="75">
        <v>49</v>
      </c>
      <c r="B62" s="396" t="s">
        <v>68</v>
      </c>
      <c r="C62" s="36">
        <f t="shared" ref="C62:C68" si="12">SUM(D62:G62)</f>
        <v>0</v>
      </c>
      <c r="D62" s="36">
        <v>0</v>
      </c>
      <c r="E62" s="36">
        <v>0</v>
      </c>
      <c r="F62" s="36"/>
      <c r="G62" s="36"/>
      <c r="N62" s="113"/>
      <c r="Q62" s="14"/>
      <c r="R62" s="14"/>
      <c r="S62" s="20"/>
      <c r="T62" s="20"/>
      <c r="U62" s="20"/>
      <c r="V62" s="20"/>
    </row>
    <row r="63" spans="1:22" s="20" customFormat="1">
      <c r="A63" s="73">
        <v>50</v>
      </c>
      <c r="B63" s="397" t="s">
        <v>69</v>
      </c>
      <c r="C63" s="36">
        <f t="shared" si="12"/>
        <v>0</v>
      </c>
      <c r="D63" s="23">
        <v>0</v>
      </c>
      <c r="E63" s="23">
        <v>0</v>
      </c>
      <c r="F63" s="23"/>
      <c r="G63" s="23"/>
      <c r="N63" s="105"/>
      <c r="Q63" s="14"/>
      <c r="R63" s="14"/>
    </row>
    <row r="64" spans="1:22" s="20" customFormat="1">
      <c r="A64" s="75">
        <v>51</v>
      </c>
      <c r="B64" s="397" t="s">
        <v>70</v>
      </c>
      <c r="C64" s="36">
        <f t="shared" si="12"/>
        <v>0</v>
      </c>
      <c r="D64" s="23">
        <v>0</v>
      </c>
      <c r="E64" s="23">
        <v>0</v>
      </c>
      <c r="F64" s="23"/>
      <c r="G64" s="23"/>
      <c r="N64" s="105"/>
      <c r="Q64" s="14"/>
      <c r="R64" s="14"/>
    </row>
    <row r="65" spans="1:22" s="20" customFormat="1">
      <c r="A65" s="75">
        <v>52</v>
      </c>
      <c r="B65" s="397" t="s">
        <v>53</v>
      </c>
      <c r="C65" s="36">
        <f t="shared" si="12"/>
        <v>0</v>
      </c>
      <c r="D65" s="23">
        <v>0</v>
      </c>
      <c r="E65" s="23">
        <v>0</v>
      </c>
      <c r="F65" s="23"/>
      <c r="G65" s="23"/>
      <c r="N65" s="105"/>
      <c r="Q65" s="14"/>
      <c r="R65" s="14"/>
    </row>
    <row r="66" spans="1:22" s="20" customFormat="1">
      <c r="A66" s="73">
        <v>53</v>
      </c>
      <c r="B66" s="397" t="s">
        <v>71</v>
      </c>
      <c r="C66" s="554">
        <f t="shared" si="12"/>
        <v>0</v>
      </c>
      <c r="D66" s="24">
        <v>0</v>
      </c>
      <c r="E66" s="24">
        <v>0</v>
      </c>
      <c r="F66" s="24"/>
      <c r="G66" s="24"/>
      <c r="N66" s="107"/>
      <c r="Q66" s="14"/>
      <c r="R66" s="14"/>
    </row>
    <row r="67" spans="1:22" s="20" customFormat="1">
      <c r="A67" s="75">
        <v>54</v>
      </c>
      <c r="B67" s="398" t="s">
        <v>72</v>
      </c>
      <c r="C67" s="36">
        <f t="shared" si="12"/>
        <v>0</v>
      </c>
      <c r="D67" s="23">
        <f t="shared" ref="D67" si="13">SUM(D62:D66)</f>
        <v>0</v>
      </c>
      <c r="E67" s="23">
        <f>SUM(E62:E66)</f>
        <v>0</v>
      </c>
      <c r="F67" s="23">
        <f>SUM(F62:F66)</f>
        <v>0</v>
      </c>
      <c r="G67" s="23">
        <f>SUM(G62:G66)</f>
        <v>0</v>
      </c>
      <c r="Q67" s="14"/>
      <c r="R67" s="14"/>
    </row>
    <row r="68" spans="1:22" s="20" customFormat="1">
      <c r="A68" s="75">
        <v>55</v>
      </c>
      <c r="B68" s="78" t="s">
        <v>244</v>
      </c>
      <c r="C68" s="36">
        <f t="shared" si="12"/>
        <v>0</v>
      </c>
      <c r="D68" s="23">
        <v>0</v>
      </c>
      <c r="E68" s="23">
        <v>0</v>
      </c>
      <c r="F68" s="23"/>
      <c r="G68" s="23"/>
      <c r="N68" s="105"/>
      <c r="Q68" s="14"/>
      <c r="R68" s="14"/>
    </row>
    <row r="69" spans="1:22" s="20" customFormat="1">
      <c r="A69" s="73">
        <v>56</v>
      </c>
      <c r="B69" s="78" t="s">
        <v>245</v>
      </c>
      <c r="C69" s="554"/>
      <c r="D69" s="24"/>
      <c r="E69" s="24"/>
      <c r="F69" s="24"/>
      <c r="G69" s="24"/>
      <c r="N69" s="107"/>
      <c r="Q69" s="14"/>
      <c r="R69" s="14"/>
    </row>
    <row r="70" spans="1:22" s="20" customFormat="1">
      <c r="A70" s="75">
        <v>57</v>
      </c>
      <c r="B70" s="397" t="s">
        <v>73</v>
      </c>
      <c r="C70" s="36">
        <f>SUM(D70:G70)</f>
        <v>0</v>
      </c>
      <c r="D70" s="23">
        <f t="shared" ref="D70" si="14">SUM(D68:D69)</f>
        <v>0</v>
      </c>
      <c r="E70" s="23">
        <f>SUM(E68:E69)</f>
        <v>0</v>
      </c>
      <c r="F70" s="23">
        <f>SUM(F68:F69)</f>
        <v>0</v>
      </c>
      <c r="G70" s="23">
        <f>SUM(G68:G69)</f>
        <v>0</v>
      </c>
      <c r="Q70" s="14"/>
      <c r="R70" s="14"/>
    </row>
    <row r="71" spans="1:22" s="20" customFormat="1">
      <c r="A71" s="75">
        <v>58</v>
      </c>
      <c r="B71" s="78" t="s">
        <v>249</v>
      </c>
      <c r="C71" s="36"/>
      <c r="D71" s="23"/>
      <c r="E71" s="23"/>
      <c r="F71" s="23"/>
      <c r="G71" s="23"/>
      <c r="N71" s="105"/>
      <c r="Q71" s="14"/>
      <c r="R71" s="14"/>
    </row>
    <row r="72" spans="1:22" s="20" customFormat="1">
      <c r="A72" s="73">
        <v>59</v>
      </c>
      <c r="B72" s="78" t="s">
        <v>351</v>
      </c>
      <c r="C72" s="36"/>
      <c r="D72" s="23"/>
      <c r="E72" s="23"/>
      <c r="F72" s="23"/>
      <c r="G72" s="23"/>
      <c r="N72" s="105"/>
      <c r="Q72" s="14"/>
      <c r="R72" s="14"/>
    </row>
    <row r="73" spans="1:22" s="20" customFormat="1">
      <c r="A73" s="75">
        <v>60</v>
      </c>
      <c r="B73" s="78" t="s">
        <v>236</v>
      </c>
      <c r="C73" s="36"/>
      <c r="D73" s="23"/>
      <c r="E73" s="23"/>
      <c r="F73" s="23"/>
      <c r="G73" s="23"/>
      <c r="N73" s="105"/>
      <c r="Q73" s="14"/>
      <c r="R73" s="14"/>
    </row>
    <row r="74" spans="1:22" s="20" customFormat="1">
      <c r="A74" s="75">
        <v>61</v>
      </c>
      <c r="B74" s="78" t="s">
        <v>247</v>
      </c>
      <c r="C74" s="36"/>
      <c r="D74" s="23"/>
      <c r="E74" s="23"/>
      <c r="F74" s="23"/>
      <c r="G74" s="23"/>
      <c r="N74" s="105"/>
      <c r="Q74" s="14"/>
      <c r="R74" s="14"/>
    </row>
    <row r="75" spans="1:22" s="20" customFormat="1">
      <c r="A75" s="73">
        <v>62</v>
      </c>
      <c r="B75" s="78" t="s">
        <v>248</v>
      </c>
      <c r="C75" s="554">
        <f>SUM(D75:G75)</f>
        <v>0</v>
      </c>
      <c r="D75" s="24">
        <v>0</v>
      </c>
      <c r="E75" s="24">
        <v>0</v>
      </c>
      <c r="F75" s="24"/>
      <c r="G75" s="24"/>
      <c r="N75" s="107"/>
      <c r="Q75" s="14"/>
      <c r="R75" s="14"/>
    </row>
    <row r="76" spans="1:22" s="20" customFormat="1">
      <c r="A76" s="75">
        <v>63</v>
      </c>
      <c r="B76" s="78"/>
      <c r="C76" s="36"/>
      <c r="D76" s="23"/>
      <c r="E76" s="23"/>
      <c r="F76" s="23"/>
      <c r="G76" s="23"/>
      <c r="Q76" s="14"/>
      <c r="R76" s="14"/>
      <c r="S76" s="15"/>
      <c r="T76" s="15"/>
      <c r="U76" s="15"/>
      <c r="V76" s="15"/>
    </row>
    <row r="77" spans="1:22" s="15" customFormat="1" ht="13.5" thickBot="1">
      <c r="A77" s="75">
        <v>64</v>
      </c>
      <c r="B77" s="425" t="s">
        <v>74</v>
      </c>
      <c r="C77" s="36">
        <f>SUM(D77:G77)</f>
        <v>0</v>
      </c>
      <c r="D77" s="112">
        <f t="shared" ref="D77:G77" si="15">D67-D70+D71+D75</f>
        <v>0</v>
      </c>
      <c r="E77" s="112">
        <f t="shared" si="15"/>
        <v>0</v>
      </c>
      <c r="F77" s="112">
        <f t="shared" si="15"/>
        <v>0</v>
      </c>
      <c r="G77" s="112">
        <f t="shared" si="15"/>
        <v>0</v>
      </c>
      <c r="N77" s="112"/>
      <c r="Q77" s="14"/>
      <c r="R77" s="14"/>
      <c r="S77" s="14"/>
      <c r="T77" s="14"/>
      <c r="U77" s="14"/>
      <c r="V77" s="14"/>
    </row>
    <row r="78" spans="1:22" ht="13.5" thickTop="1">
      <c r="B78" s="83"/>
      <c r="C78" s="41"/>
    </row>
    <row r="79" spans="1:22">
      <c r="A79" s="84"/>
      <c r="B79" s="38"/>
      <c r="C79" s="85"/>
      <c r="D79" s="57"/>
      <c r="E79" s="57"/>
      <c r="F79" s="57"/>
      <c r="G79" s="57"/>
    </row>
    <row r="80" spans="1:22">
      <c r="A80" s="89"/>
      <c r="B80" s="86"/>
      <c r="C80" s="88"/>
    </row>
    <row r="81" spans="1:7">
      <c r="A81" s="89">
        <v>1</v>
      </c>
      <c r="B81" s="392" t="s">
        <v>116</v>
      </c>
      <c r="C81" s="90"/>
    </row>
    <row r="82" spans="1:7">
      <c r="A82" s="89">
        <v>2</v>
      </c>
      <c r="B82" s="87" t="s">
        <v>117</v>
      </c>
      <c r="C82" s="114">
        <f>SUM(D82:G82)</f>
        <v>0</v>
      </c>
      <c r="D82" s="114">
        <f t="shared" ref="D82:G82" si="16">+D21</f>
        <v>0</v>
      </c>
      <c r="E82" s="114">
        <f t="shared" si="16"/>
        <v>0</v>
      </c>
      <c r="F82" s="114">
        <f t="shared" si="16"/>
        <v>0</v>
      </c>
      <c r="G82" s="114">
        <f t="shared" si="16"/>
        <v>0</v>
      </c>
    </row>
    <row r="83" spans="1:7">
      <c r="A83" s="89">
        <v>3</v>
      </c>
      <c r="B83" s="87" t="s">
        <v>118</v>
      </c>
      <c r="C83" s="82">
        <f>SUM(D83:G83)</f>
        <v>0</v>
      </c>
      <c r="D83" s="82">
        <f t="shared" ref="D83:G83" si="17">-D47</f>
        <v>0</v>
      </c>
      <c r="E83" s="82">
        <f t="shared" si="17"/>
        <v>0</v>
      </c>
      <c r="F83" s="82">
        <f t="shared" si="17"/>
        <v>0</v>
      </c>
      <c r="G83" s="82">
        <f t="shared" si="17"/>
        <v>0</v>
      </c>
    </row>
    <row r="84" spans="1:7">
      <c r="A84" s="89">
        <v>4</v>
      </c>
      <c r="B84" s="87" t="s">
        <v>134</v>
      </c>
      <c r="C84" s="82">
        <f>SUM(D84:E84)</f>
        <v>0</v>
      </c>
      <c r="D84" s="23"/>
      <c r="E84" s="23"/>
      <c r="F84" s="23"/>
      <c r="G84" s="23"/>
    </row>
    <row r="85" spans="1:7">
      <c r="A85" s="89">
        <v>5</v>
      </c>
      <c r="B85" s="405" t="s">
        <v>119</v>
      </c>
      <c r="C85" s="27">
        <f>SUM(D85:G85)</f>
        <v>0</v>
      </c>
      <c r="D85" s="27">
        <f t="shared" ref="D85:G85" si="18">SUM(D82:D84)</f>
        <v>0</v>
      </c>
      <c r="E85" s="27">
        <f t="shared" si="18"/>
        <v>0</v>
      </c>
      <c r="F85" s="27">
        <f t="shared" si="18"/>
        <v>0</v>
      </c>
      <c r="G85" s="27">
        <f t="shared" si="18"/>
        <v>0</v>
      </c>
    </row>
    <row r="86" spans="1:7">
      <c r="A86" s="89">
        <v>6</v>
      </c>
      <c r="B86" s="86"/>
      <c r="C86" s="28"/>
      <c r="D86" s="80"/>
      <c r="E86" s="80"/>
      <c r="F86" s="80"/>
      <c r="G86" s="80"/>
    </row>
    <row r="87" spans="1:7">
      <c r="A87" s="89">
        <v>7</v>
      </c>
      <c r="B87" s="86" t="s">
        <v>120</v>
      </c>
      <c r="C87" s="92"/>
      <c r="D87" s="80"/>
      <c r="E87" s="80"/>
      <c r="F87" s="80"/>
      <c r="G87" s="80"/>
    </row>
    <row r="88" spans="1:7">
      <c r="A88" s="89">
        <v>8</v>
      </c>
      <c r="B88" s="404" t="s">
        <v>121</v>
      </c>
      <c r="C88" s="92">
        <f>SUM(D88:F88)</f>
        <v>0</v>
      </c>
      <c r="D88" s="80"/>
      <c r="E88" s="80"/>
      <c r="F88" s="80"/>
      <c r="G88" s="80"/>
    </row>
    <row r="89" spans="1:7">
      <c r="A89" s="89">
        <v>9</v>
      </c>
      <c r="B89" s="404" t="s">
        <v>130</v>
      </c>
      <c r="C89" s="92">
        <f>SUM(D89:F89)</f>
        <v>0</v>
      </c>
      <c r="D89" s="80"/>
      <c r="E89" s="80"/>
      <c r="F89" s="80"/>
      <c r="G89" s="80"/>
    </row>
    <row r="90" spans="1:7">
      <c r="A90" s="89">
        <v>10</v>
      </c>
      <c r="B90" s="404" t="s">
        <v>122</v>
      </c>
      <c r="C90" s="92">
        <f>SUM(D90:F90)</f>
        <v>0</v>
      </c>
      <c r="D90" s="80"/>
      <c r="E90" s="80"/>
      <c r="F90" s="80"/>
      <c r="G90" s="80"/>
    </row>
    <row r="91" spans="1:7">
      <c r="A91" s="89">
        <v>11</v>
      </c>
      <c r="B91" s="86"/>
      <c r="C91" s="82"/>
      <c r="D91" s="80"/>
      <c r="E91" s="80"/>
      <c r="F91" s="80"/>
      <c r="G91" s="80"/>
    </row>
    <row r="92" spans="1:7">
      <c r="A92" s="89">
        <v>12</v>
      </c>
      <c r="B92" s="406" t="s">
        <v>278</v>
      </c>
      <c r="C92" s="27">
        <f>SUM(D92:F92)</f>
        <v>0</v>
      </c>
      <c r="D92" s="27">
        <f t="shared" ref="D92:G92" si="19">SUM(D88:D90)</f>
        <v>0</v>
      </c>
      <c r="E92" s="27">
        <f t="shared" si="19"/>
        <v>0</v>
      </c>
      <c r="F92" s="27">
        <f t="shared" si="19"/>
        <v>0</v>
      </c>
      <c r="G92" s="27">
        <f t="shared" si="19"/>
        <v>0</v>
      </c>
    </row>
    <row r="93" spans="1:7">
      <c r="A93" s="89">
        <v>13</v>
      </c>
      <c r="B93" s="86"/>
      <c r="C93" s="28"/>
      <c r="D93" s="80"/>
      <c r="E93" s="80"/>
      <c r="F93" s="80"/>
      <c r="G93" s="80"/>
    </row>
    <row r="94" spans="1:7">
      <c r="A94" s="89">
        <v>14</v>
      </c>
      <c r="B94" s="86" t="s">
        <v>124</v>
      </c>
      <c r="C94" s="92"/>
      <c r="D94" s="80"/>
      <c r="E94" s="80"/>
      <c r="F94" s="80"/>
      <c r="G94" s="80"/>
    </row>
    <row r="95" spans="1:7">
      <c r="A95" s="89">
        <v>15</v>
      </c>
      <c r="B95" s="404" t="s">
        <v>178</v>
      </c>
      <c r="C95" s="92">
        <f>SUM(D95:F95)</f>
        <v>0</v>
      </c>
      <c r="D95" s="80"/>
      <c r="E95" s="80"/>
      <c r="F95" s="80"/>
      <c r="G95" s="80"/>
    </row>
    <row r="96" spans="1:7">
      <c r="A96" s="89">
        <v>16</v>
      </c>
      <c r="B96" s="404" t="s">
        <v>133</v>
      </c>
      <c r="C96" s="92">
        <f>SUM(D96:F96)</f>
        <v>0</v>
      </c>
      <c r="D96" s="80"/>
      <c r="E96" s="80"/>
      <c r="F96" s="80"/>
      <c r="G96" s="80"/>
    </row>
    <row r="97" spans="1:7">
      <c r="A97" s="89">
        <v>17</v>
      </c>
      <c r="B97" s="404" t="s">
        <v>122</v>
      </c>
      <c r="C97" s="92">
        <f>SUM(D97:F97)</f>
        <v>0</v>
      </c>
      <c r="D97" s="80"/>
      <c r="E97" s="80"/>
      <c r="F97" s="80"/>
      <c r="G97" s="80"/>
    </row>
    <row r="98" spans="1:7">
      <c r="A98" s="89">
        <v>18</v>
      </c>
      <c r="B98" s="406" t="s">
        <v>279</v>
      </c>
      <c r="C98" s="27">
        <f>SUM(D98:F98)</f>
        <v>0</v>
      </c>
      <c r="D98" s="27">
        <f t="shared" ref="D98:G98" si="20">SUM(D95:D97)</f>
        <v>0</v>
      </c>
      <c r="E98" s="27">
        <f t="shared" si="20"/>
        <v>0</v>
      </c>
      <c r="F98" s="27">
        <f t="shared" si="20"/>
        <v>0</v>
      </c>
      <c r="G98" s="27">
        <f t="shared" si="20"/>
        <v>0</v>
      </c>
    </row>
    <row r="99" spans="1:7">
      <c r="A99" s="89">
        <v>19</v>
      </c>
      <c r="B99" s="86"/>
      <c r="C99" s="93">
        <f>SUM(D99:F99)</f>
        <v>0</v>
      </c>
      <c r="D99" s="80"/>
      <c r="E99" s="80"/>
      <c r="F99" s="80"/>
      <c r="G99" s="80"/>
    </row>
    <row r="100" spans="1:7">
      <c r="A100" s="89">
        <v>20</v>
      </c>
      <c r="B100" s="87" t="s">
        <v>268</v>
      </c>
      <c r="C100" s="28">
        <f>+C85+C92-C98</f>
        <v>0</v>
      </c>
      <c r="D100" s="28">
        <f t="shared" ref="D100:G100" si="21">+D82+D83+D84+D92-D98</f>
        <v>0</v>
      </c>
      <c r="E100" s="28">
        <f t="shared" si="21"/>
        <v>0</v>
      </c>
      <c r="F100" s="28">
        <f t="shared" si="21"/>
        <v>0</v>
      </c>
      <c r="G100" s="28">
        <f t="shared" si="21"/>
        <v>0</v>
      </c>
    </row>
    <row r="101" spans="1:7">
      <c r="A101" s="89">
        <v>21</v>
      </c>
      <c r="B101" s="404" t="s">
        <v>280</v>
      </c>
      <c r="C101" s="94">
        <v>0.35</v>
      </c>
      <c r="D101" s="94">
        <v>0.35</v>
      </c>
      <c r="E101" s="94">
        <v>0.35</v>
      </c>
      <c r="F101" s="94">
        <v>0.35</v>
      </c>
      <c r="G101" s="94">
        <v>0.35</v>
      </c>
    </row>
    <row r="102" spans="1:7">
      <c r="A102" s="89">
        <v>22</v>
      </c>
      <c r="B102" s="404" t="s">
        <v>127</v>
      </c>
      <c r="C102" s="93">
        <f>SUM(D102:F102)</f>
        <v>0</v>
      </c>
      <c r="D102" s="93">
        <f t="shared" ref="D102:G102" si="22">D100*D101</f>
        <v>0</v>
      </c>
      <c r="E102" s="93">
        <f t="shared" si="22"/>
        <v>0</v>
      </c>
      <c r="F102" s="93">
        <f t="shared" si="22"/>
        <v>0</v>
      </c>
      <c r="G102" s="93">
        <f t="shared" si="22"/>
        <v>0</v>
      </c>
    </row>
    <row r="103" spans="1:7">
      <c r="A103" s="89">
        <v>23</v>
      </c>
      <c r="B103" s="404" t="s">
        <v>128</v>
      </c>
      <c r="C103" s="80">
        <f>SUM(D103:F103)</f>
        <v>0</v>
      </c>
      <c r="D103" s="80">
        <f t="shared" ref="D103:G103" si="23">+(D95-D88+D96)*D101</f>
        <v>0</v>
      </c>
      <c r="E103" s="80">
        <f t="shared" si="23"/>
        <v>0</v>
      </c>
      <c r="F103" s="80">
        <f t="shared" si="23"/>
        <v>0</v>
      </c>
      <c r="G103" s="80">
        <f t="shared" si="23"/>
        <v>0</v>
      </c>
    </row>
    <row r="104" spans="1:7" ht="13.5" thickBot="1">
      <c r="A104" s="89">
        <v>24</v>
      </c>
      <c r="B104" s="95" t="s">
        <v>129</v>
      </c>
      <c r="C104" s="96">
        <f>ROUNDUP(+C102+C103,0)</f>
        <v>0</v>
      </c>
      <c r="D104" s="96">
        <f t="shared" ref="D104:G104" si="24">ROUND(+D102+D103,0)</f>
        <v>0</v>
      </c>
      <c r="E104" s="96">
        <f t="shared" si="24"/>
        <v>0</v>
      </c>
      <c r="F104" s="96">
        <f t="shared" si="24"/>
        <v>0</v>
      </c>
      <c r="G104" s="96">
        <f t="shared" si="24"/>
        <v>0</v>
      </c>
    </row>
    <row r="105" spans="1:7" ht="13.5" thickTop="1"/>
  </sheetData>
  <mergeCells count="1">
    <mergeCell ref="D8:G8"/>
  </mergeCells>
  <printOptions horizontalCentered="1"/>
  <pageMargins left="0.5" right="0.5" top="1.5" bottom="0.3" header="0.5" footer="0.5"/>
  <pageSetup scale="62" firstPageNumber="2" fitToWidth="0" orientation="portrait" r:id="rId1"/>
  <headerFooter scaleWithDoc="0" alignWithMargins="0">
    <oddHeader>&amp;L&amp;"Arial,Regular"&amp;10Avista Corporation
&amp;"Arial,Bold"Electric - Attrition Adjustments (Schedule 1.4)&amp;"Arial,Regular"
Twelve Months Ended December 31,2011&amp;R&amp;"Arial,Regular"&amp;10Exhibit No. ___ (JH-2)
Docket UE-120436 &amp; UG-120437
Page &amp;P+7 of 12</oddHeader>
  </headerFooter>
  <rowBreaks count="1" manualBreakCount="1">
    <brk id="78" min="2" max="13" man="1"/>
  </rowBreaks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6"/>
  <sheetViews>
    <sheetView topLeftCell="A9" zoomScale="75" zoomScaleNormal="75" workbookViewId="0">
      <pane xSplit="2" ySplit="4" topLeftCell="C33" activePane="bottomRight" state="frozen"/>
      <selection activeCell="G79" sqref="G79"/>
      <selection pane="topRight" activeCell="G79" sqref="G79"/>
      <selection pane="bottomLeft" activeCell="G79" sqref="G79"/>
      <selection pane="bottomRight" activeCell="C53" sqref="C53"/>
    </sheetView>
  </sheetViews>
  <sheetFormatPr defaultColWidth="9" defaultRowHeight="12.75"/>
  <cols>
    <col min="1" max="1" width="4.625" style="64" customWidth="1"/>
    <col min="2" max="2" width="42.5" style="63" bestFit="1" customWidth="1"/>
    <col min="3" max="3" width="13.625" style="74" customWidth="1"/>
    <col min="4" max="16384" width="9" style="14"/>
  </cols>
  <sheetData>
    <row r="1" spans="1:3">
      <c r="A1" s="56"/>
      <c r="B1" s="9" t="s">
        <v>281</v>
      </c>
      <c r="C1" s="58"/>
    </row>
    <row r="2" spans="1:3">
      <c r="A2" s="411"/>
      <c r="B2" s="14"/>
      <c r="C2" s="66" t="s">
        <v>251</v>
      </c>
    </row>
    <row r="3" spans="1:3">
      <c r="A3" s="411"/>
      <c r="B3" s="9"/>
      <c r="C3" s="66"/>
    </row>
    <row r="4" spans="1:3" ht="13.5" thickBot="1">
      <c r="A4" s="411"/>
      <c r="B4" s="9"/>
      <c r="C4" s="413"/>
    </row>
    <row r="5" spans="1:3" ht="13.5" thickTop="1">
      <c r="A5" s="402"/>
      <c r="B5" s="64" t="str">
        <f>+ROO!B2</f>
        <v>(000's of Dollars)</v>
      </c>
      <c r="C5" s="66"/>
    </row>
    <row r="6" spans="1:3">
      <c r="A6" s="62"/>
      <c r="B6" s="64"/>
      <c r="C6" s="66"/>
    </row>
    <row r="7" spans="1:3">
      <c r="A7" s="403"/>
      <c r="B7" s="66" t="s">
        <v>100</v>
      </c>
      <c r="C7" s="66" t="s">
        <v>102</v>
      </c>
    </row>
    <row r="8" spans="1:3">
      <c r="A8" s="403"/>
      <c r="B8" s="66"/>
      <c r="C8" s="66"/>
    </row>
    <row r="9" spans="1:3" s="70" customFormat="1">
      <c r="A9" s="69"/>
      <c r="B9" s="69"/>
      <c r="C9" s="545">
        <v>1.01</v>
      </c>
    </row>
    <row r="10" spans="1:3" s="71" customFormat="1">
      <c r="A10" s="414"/>
      <c r="B10" s="420"/>
      <c r="C10" s="68" t="s">
        <v>0</v>
      </c>
    </row>
    <row r="11" spans="1:3" s="71" customFormat="1">
      <c r="A11" s="414" t="s">
        <v>5</v>
      </c>
      <c r="B11" s="420"/>
      <c r="C11" s="68" t="s">
        <v>6</v>
      </c>
    </row>
    <row r="12" spans="1:3" s="424" customFormat="1">
      <c r="A12" s="421" t="s">
        <v>10</v>
      </c>
      <c r="B12" s="422" t="s">
        <v>11</v>
      </c>
      <c r="C12" s="423" t="s">
        <v>12</v>
      </c>
    </row>
    <row r="13" spans="1:3" s="59" customFormat="1">
      <c r="A13" s="418"/>
      <c r="B13" s="419" t="s">
        <v>155</v>
      </c>
      <c r="C13" s="624"/>
    </row>
    <row r="14" spans="1:3">
      <c r="A14" s="73">
        <v>1</v>
      </c>
      <c r="B14" s="416" t="s">
        <v>98</v>
      </c>
      <c r="C14" s="65"/>
    </row>
    <row r="15" spans="1:3">
      <c r="A15" s="75">
        <v>2</v>
      </c>
      <c r="B15" s="63" t="s">
        <v>40</v>
      </c>
      <c r="C15" s="65"/>
    </row>
    <row r="16" spans="1:3" s="15" customFormat="1">
      <c r="A16" s="73">
        <v>3</v>
      </c>
      <c r="B16" s="76" t="s">
        <v>41</v>
      </c>
      <c r="C16" s="566"/>
    </row>
    <row r="17" spans="1:3" s="20" customFormat="1">
      <c r="A17" s="75">
        <v>4</v>
      </c>
      <c r="B17" s="78" t="s">
        <v>42</v>
      </c>
      <c r="C17" s="23">
        <v>0</v>
      </c>
    </row>
    <row r="18" spans="1:3" s="20" customFormat="1">
      <c r="A18" s="73">
        <v>5</v>
      </c>
      <c r="B18" s="78" t="s">
        <v>43</v>
      </c>
      <c r="C18" s="24">
        <v>0</v>
      </c>
    </row>
    <row r="19" spans="1:3" s="20" customFormat="1">
      <c r="A19" s="75">
        <v>6</v>
      </c>
      <c r="B19" s="397" t="s">
        <v>44</v>
      </c>
      <c r="C19" s="23">
        <f t="shared" ref="C19" si="0">SUM(C16:C18)</f>
        <v>0</v>
      </c>
    </row>
    <row r="20" spans="1:3" s="20" customFormat="1">
      <c r="A20" s="73">
        <v>7</v>
      </c>
      <c r="B20" s="78" t="s">
        <v>45</v>
      </c>
      <c r="C20" s="24">
        <v>0</v>
      </c>
    </row>
    <row r="21" spans="1:3" s="20" customFormat="1">
      <c r="A21" s="75">
        <v>8</v>
      </c>
      <c r="B21" s="397" t="s">
        <v>46</v>
      </c>
      <c r="C21" s="23">
        <f t="shared" ref="C21" si="1">SUM(C19:C20)</f>
        <v>0</v>
      </c>
    </row>
    <row r="22" spans="1:3" s="20" customFormat="1">
      <c r="A22" s="73">
        <v>9</v>
      </c>
      <c r="B22" s="79"/>
      <c r="C22" s="23"/>
    </row>
    <row r="23" spans="1:3" s="20" customFormat="1">
      <c r="A23" s="75">
        <v>10</v>
      </c>
      <c r="B23" s="78" t="s">
        <v>20</v>
      </c>
      <c r="C23" s="23"/>
    </row>
    <row r="24" spans="1:3" s="20" customFormat="1">
      <c r="A24" s="73">
        <v>11</v>
      </c>
      <c r="B24" s="78" t="s">
        <v>47</v>
      </c>
      <c r="C24" s="23"/>
    </row>
    <row r="25" spans="1:3" s="20" customFormat="1">
      <c r="A25" s="75">
        <v>12</v>
      </c>
      <c r="B25" s="397" t="s">
        <v>48</v>
      </c>
      <c r="C25" s="23">
        <v>0</v>
      </c>
    </row>
    <row r="26" spans="1:3" s="20" customFormat="1">
      <c r="A26" s="73">
        <v>13</v>
      </c>
      <c r="B26" s="397" t="s">
        <v>49</v>
      </c>
      <c r="C26" s="23">
        <v>0</v>
      </c>
    </row>
    <row r="27" spans="1:3" s="20" customFormat="1">
      <c r="A27" s="75">
        <v>14</v>
      </c>
      <c r="B27" s="397" t="s">
        <v>50</v>
      </c>
      <c r="C27" s="23">
        <v>0</v>
      </c>
    </row>
    <row r="28" spans="1:3" s="20" customFormat="1">
      <c r="A28" s="73">
        <v>15</v>
      </c>
      <c r="B28" s="393" t="s">
        <v>349</v>
      </c>
      <c r="C28" s="23"/>
    </row>
    <row r="29" spans="1:3" s="20" customFormat="1">
      <c r="A29" s="75">
        <v>16</v>
      </c>
      <c r="B29" s="397" t="s">
        <v>51</v>
      </c>
      <c r="C29" s="24">
        <v>0</v>
      </c>
    </row>
    <row r="30" spans="1:3" s="20" customFormat="1">
      <c r="A30" s="73">
        <v>17</v>
      </c>
      <c r="B30" s="398" t="s">
        <v>52</v>
      </c>
      <c r="C30" s="23">
        <f t="shared" ref="C30" si="2">SUM(C25:C29)</f>
        <v>0</v>
      </c>
    </row>
    <row r="31" spans="1:3" s="20" customFormat="1">
      <c r="A31" s="75">
        <v>18</v>
      </c>
      <c r="B31" s="79"/>
      <c r="C31" s="23"/>
    </row>
    <row r="32" spans="1:3" s="20" customFormat="1">
      <c r="A32" s="73">
        <v>19</v>
      </c>
      <c r="B32" s="78" t="s">
        <v>53</v>
      </c>
      <c r="C32" s="23"/>
    </row>
    <row r="33" spans="1:3" s="20" customFormat="1">
      <c r="A33" s="75">
        <v>20</v>
      </c>
      <c r="B33" s="397" t="s">
        <v>48</v>
      </c>
      <c r="C33" s="23">
        <v>0</v>
      </c>
    </row>
    <row r="34" spans="1:3" s="20" customFormat="1">
      <c r="A34" s="73">
        <v>21</v>
      </c>
      <c r="B34" s="397" t="s">
        <v>54</v>
      </c>
      <c r="C34" s="23">
        <v>0</v>
      </c>
    </row>
    <row r="35" spans="1:3" s="20" customFormat="1">
      <c r="A35" s="75">
        <v>22</v>
      </c>
      <c r="B35" s="397" t="s">
        <v>51</v>
      </c>
      <c r="C35" s="24">
        <v>0</v>
      </c>
    </row>
    <row r="36" spans="1:3" s="20" customFormat="1">
      <c r="A36" s="73">
        <v>23</v>
      </c>
      <c r="B36" s="398" t="s">
        <v>55</v>
      </c>
      <c r="C36" s="23">
        <f t="shared" ref="C36" si="3">SUM(C33:C35)</f>
        <v>0</v>
      </c>
    </row>
    <row r="37" spans="1:3" s="20" customFormat="1">
      <c r="A37" s="75">
        <v>24</v>
      </c>
      <c r="B37" s="79"/>
      <c r="C37" s="23"/>
    </row>
    <row r="38" spans="1:3" s="20" customFormat="1">
      <c r="A38" s="73">
        <v>25</v>
      </c>
      <c r="B38" s="78" t="s">
        <v>56</v>
      </c>
      <c r="C38" s="23">
        <v>0</v>
      </c>
    </row>
    <row r="39" spans="1:3" s="20" customFormat="1">
      <c r="A39" s="75">
        <v>26</v>
      </c>
      <c r="B39" s="78" t="s">
        <v>57</v>
      </c>
      <c r="C39" s="23">
        <v>0</v>
      </c>
    </row>
    <row r="40" spans="1:3" s="20" customFormat="1">
      <c r="A40" s="73">
        <v>27</v>
      </c>
      <c r="B40" s="78" t="s">
        <v>58</v>
      </c>
      <c r="C40" s="23">
        <v>0</v>
      </c>
    </row>
    <row r="41" spans="1:3" s="20" customFormat="1">
      <c r="A41" s="75">
        <v>28</v>
      </c>
      <c r="B41" s="79"/>
      <c r="C41" s="23">
        <v>0</v>
      </c>
    </row>
    <row r="42" spans="1:3" s="20" customFormat="1">
      <c r="A42" s="75">
        <v>29</v>
      </c>
      <c r="B42" s="78" t="s">
        <v>59</v>
      </c>
      <c r="C42" s="23">
        <v>0</v>
      </c>
    </row>
    <row r="43" spans="1:3" s="20" customFormat="1">
      <c r="A43" s="73">
        <v>30</v>
      </c>
      <c r="B43" s="397" t="s">
        <v>48</v>
      </c>
      <c r="C43" s="23">
        <v>0</v>
      </c>
    </row>
    <row r="44" spans="1:3" s="20" customFormat="1">
      <c r="A44" s="75">
        <v>31</v>
      </c>
      <c r="B44" s="397" t="s">
        <v>54</v>
      </c>
      <c r="C44" s="23">
        <v>0</v>
      </c>
    </row>
    <row r="45" spans="1:3" s="20" customFormat="1">
      <c r="A45" s="75">
        <v>32</v>
      </c>
      <c r="B45" s="397" t="s">
        <v>51</v>
      </c>
      <c r="C45" s="24">
        <v>0</v>
      </c>
    </row>
    <row r="46" spans="1:3" s="20" customFormat="1">
      <c r="A46" s="73">
        <v>33</v>
      </c>
      <c r="B46" s="398" t="s">
        <v>60</v>
      </c>
      <c r="C46" s="24">
        <f t="shared" ref="C46" si="4">SUM(C43:C45)</f>
        <v>0</v>
      </c>
    </row>
    <row r="47" spans="1:3" s="20" customFormat="1">
      <c r="A47" s="75">
        <v>34</v>
      </c>
      <c r="B47" s="78" t="s">
        <v>61</v>
      </c>
      <c r="C47" s="24">
        <f t="shared" ref="C47" si="5">C46+C40+C39+C38+C36+C30</f>
        <v>0</v>
      </c>
    </row>
    <row r="48" spans="1:3" s="20" customFormat="1">
      <c r="A48" s="75">
        <v>35</v>
      </c>
      <c r="B48" s="79"/>
      <c r="C48" s="23"/>
    </row>
    <row r="49" spans="1:3" s="20" customFormat="1">
      <c r="A49" s="73">
        <v>36</v>
      </c>
      <c r="B49" s="78" t="s">
        <v>62</v>
      </c>
      <c r="C49" s="23">
        <f t="shared" ref="C49" si="6">C21-C47</f>
        <v>0</v>
      </c>
    </row>
    <row r="50" spans="1:3" s="20" customFormat="1">
      <c r="A50" s="75">
        <v>37</v>
      </c>
      <c r="B50" s="78"/>
      <c r="C50" s="23"/>
    </row>
    <row r="51" spans="1:3" s="20" customFormat="1">
      <c r="A51" s="75">
        <v>38</v>
      </c>
      <c r="B51" s="78" t="s">
        <v>63</v>
      </c>
      <c r="C51" s="23"/>
    </row>
    <row r="52" spans="1:3" s="20" customFormat="1">
      <c r="A52" s="73">
        <v>39</v>
      </c>
      <c r="B52" s="78" t="s">
        <v>64</v>
      </c>
      <c r="C52" s="23">
        <f t="shared" ref="C52" si="7">C105</f>
        <v>0</v>
      </c>
    </row>
    <row r="53" spans="1:3" s="20" customFormat="1">
      <c r="A53" s="75">
        <v>40</v>
      </c>
      <c r="B53" s="78" t="s">
        <v>366</v>
      </c>
      <c r="C53" s="23">
        <f>ROUND(+(C77*' Capital '!$J$13)*-35%,0)</f>
        <v>-3</v>
      </c>
    </row>
    <row r="54" spans="1:3" s="20" customFormat="1">
      <c r="A54" s="75">
        <v>41</v>
      </c>
      <c r="B54" s="78" t="s">
        <v>65</v>
      </c>
      <c r="C54" s="23"/>
    </row>
    <row r="55" spans="1:3" s="20" customFormat="1">
      <c r="A55" s="73">
        <v>42</v>
      </c>
      <c r="B55" s="78" t="s">
        <v>238</v>
      </c>
      <c r="C55" s="24"/>
    </row>
    <row r="56" spans="1:3">
      <c r="A56" s="73">
        <v>45</v>
      </c>
      <c r="B56" s="79"/>
      <c r="C56" s="23"/>
    </row>
    <row r="57" spans="1:3" s="15" customFormat="1" ht="13.5" thickBot="1">
      <c r="A57" s="75">
        <v>46</v>
      </c>
      <c r="B57" s="76" t="s">
        <v>66</v>
      </c>
      <c r="C57" s="567">
        <f t="shared" ref="C57" si="8">C49-SUM(C52:C55)</f>
        <v>3</v>
      </c>
    </row>
    <row r="58" spans="1:3" ht="13.5" thickTop="1">
      <c r="A58" s="75">
        <v>47</v>
      </c>
      <c r="B58" s="2"/>
      <c r="C58" s="23"/>
    </row>
    <row r="59" spans="1:3">
      <c r="A59" s="73">
        <v>48</v>
      </c>
      <c r="B59" s="416" t="s">
        <v>21</v>
      </c>
      <c r="C59" s="23"/>
    </row>
    <row r="60" spans="1:3">
      <c r="A60" s="75">
        <v>49</v>
      </c>
      <c r="B60" s="63" t="s">
        <v>67</v>
      </c>
      <c r="C60" s="23"/>
    </row>
    <row r="61" spans="1:3" s="15" customFormat="1">
      <c r="A61" s="75">
        <v>50</v>
      </c>
      <c r="B61" s="396" t="s">
        <v>68</v>
      </c>
      <c r="C61" s="23">
        <v>0</v>
      </c>
    </row>
    <row r="62" spans="1:3" s="20" customFormat="1">
      <c r="A62" s="73">
        <v>51</v>
      </c>
      <c r="B62" s="397" t="s">
        <v>69</v>
      </c>
      <c r="C62" s="23">
        <v>0</v>
      </c>
    </row>
    <row r="63" spans="1:3" s="20" customFormat="1">
      <c r="A63" s="75">
        <v>52</v>
      </c>
      <c r="B63" s="397" t="s">
        <v>70</v>
      </c>
      <c r="C63" s="23">
        <v>0</v>
      </c>
    </row>
    <row r="64" spans="1:3" s="20" customFormat="1">
      <c r="A64" s="75">
        <v>53</v>
      </c>
      <c r="B64" s="397" t="s">
        <v>53</v>
      </c>
      <c r="C64" s="23">
        <v>0</v>
      </c>
    </row>
    <row r="65" spans="1:3" s="20" customFormat="1">
      <c r="A65" s="73">
        <v>54</v>
      </c>
      <c r="B65" s="397" t="s">
        <v>71</v>
      </c>
      <c r="C65" s="24">
        <v>0</v>
      </c>
    </row>
    <row r="66" spans="1:3" s="20" customFormat="1">
      <c r="A66" s="75">
        <v>55</v>
      </c>
      <c r="B66" s="398" t="s">
        <v>72</v>
      </c>
      <c r="C66" s="23">
        <f t="shared" ref="C66" si="9">SUM(C61:C65)</f>
        <v>0</v>
      </c>
    </row>
    <row r="67" spans="1:3" s="20" customFormat="1">
      <c r="A67" s="75">
        <v>56</v>
      </c>
      <c r="B67" s="78" t="s">
        <v>244</v>
      </c>
      <c r="C67" s="23">
        <v>0</v>
      </c>
    </row>
    <row r="68" spans="1:3" s="20" customFormat="1">
      <c r="A68" s="73">
        <v>57</v>
      </c>
      <c r="B68" s="78" t="s">
        <v>245</v>
      </c>
      <c r="C68" s="24">
        <v>0</v>
      </c>
    </row>
    <row r="69" spans="1:3" s="20" customFormat="1">
      <c r="A69" s="75">
        <v>58</v>
      </c>
      <c r="B69" s="397" t="s">
        <v>73</v>
      </c>
      <c r="C69" s="23">
        <f t="shared" ref="C69" si="10">SUM(C67:C68)</f>
        <v>0</v>
      </c>
    </row>
    <row r="70" spans="1:3" s="20" customFormat="1">
      <c r="A70" s="75">
        <v>59</v>
      </c>
      <c r="B70" s="78" t="s">
        <v>246</v>
      </c>
      <c r="C70" s="23">
        <v>0</v>
      </c>
    </row>
    <row r="71" spans="1:3" s="20" customFormat="1">
      <c r="A71" s="73">
        <v>60</v>
      </c>
      <c r="B71" s="78" t="s">
        <v>351</v>
      </c>
      <c r="C71" s="23"/>
    </row>
    <row r="72" spans="1:3" s="20" customFormat="1">
      <c r="A72" s="75">
        <v>61</v>
      </c>
      <c r="B72" s="78" t="s">
        <v>236</v>
      </c>
      <c r="C72" s="23"/>
    </row>
    <row r="73" spans="1:3" s="20" customFormat="1">
      <c r="A73" s="75">
        <v>62</v>
      </c>
      <c r="B73" s="78" t="s">
        <v>247</v>
      </c>
      <c r="C73" s="23"/>
    </row>
    <row r="74" spans="1:3" s="20" customFormat="1">
      <c r="A74" s="73">
        <v>63</v>
      </c>
      <c r="B74" s="78" t="s">
        <v>248</v>
      </c>
      <c r="C74" s="24">
        <v>285</v>
      </c>
    </row>
    <row r="75" spans="1:3" s="20" customFormat="1">
      <c r="A75" s="75">
        <v>64</v>
      </c>
      <c r="B75" s="79"/>
      <c r="C75" s="28"/>
    </row>
    <row r="76" spans="1:3" s="20" customFormat="1">
      <c r="A76" s="75">
        <v>65</v>
      </c>
      <c r="B76" s="79"/>
      <c r="C76" s="23"/>
    </row>
    <row r="77" spans="1:3" s="15" customFormat="1" ht="13.5" thickBot="1">
      <c r="A77" s="73">
        <v>66</v>
      </c>
      <c r="B77" s="425" t="s">
        <v>74</v>
      </c>
      <c r="C77" s="568">
        <f>C66-C69+C70+C72+C73+C74+C71</f>
        <v>285</v>
      </c>
    </row>
    <row r="78" spans="1:3" ht="13.5" thickTop="1">
      <c r="B78" s="83"/>
    </row>
    <row r="79" spans="1:3">
      <c r="A79" s="84"/>
      <c r="B79" s="38"/>
      <c r="C79" s="57"/>
    </row>
    <row r="80" spans="1:3">
      <c r="A80" s="89"/>
      <c r="B80" s="39"/>
    </row>
    <row r="81" spans="1:3">
      <c r="A81" s="73">
        <v>1</v>
      </c>
      <c r="B81" s="392" t="s">
        <v>116</v>
      </c>
    </row>
    <row r="82" spans="1:3">
      <c r="A82" s="73">
        <v>2</v>
      </c>
      <c r="B82" s="87" t="s">
        <v>18</v>
      </c>
      <c r="C82" s="82">
        <f t="shared" ref="C82" si="11">+C21</f>
        <v>0</v>
      </c>
    </row>
    <row r="83" spans="1:3">
      <c r="A83" s="73">
        <v>3</v>
      </c>
      <c r="B83" s="87" t="s">
        <v>19</v>
      </c>
      <c r="C83" s="23">
        <f>+C47</f>
        <v>0</v>
      </c>
    </row>
    <row r="84" spans="1:3">
      <c r="A84" s="73">
        <v>4</v>
      </c>
      <c r="B84" s="87" t="s">
        <v>274</v>
      </c>
      <c r="C84" s="23"/>
    </row>
    <row r="85" spans="1:3">
      <c r="A85" s="73">
        <v>5</v>
      </c>
      <c r="B85" s="399" t="s">
        <v>119</v>
      </c>
      <c r="C85" s="27">
        <f t="shared" ref="C85" si="12">+C82-C83-C84</f>
        <v>0</v>
      </c>
    </row>
    <row r="86" spans="1:3">
      <c r="A86" s="73">
        <v>6</v>
      </c>
      <c r="B86" s="91"/>
      <c r="C86" s="80"/>
    </row>
    <row r="87" spans="1:3">
      <c r="A87" s="73">
        <v>7</v>
      </c>
      <c r="B87" s="86" t="s">
        <v>120</v>
      </c>
      <c r="C87" s="80"/>
    </row>
    <row r="88" spans="1:3">
      <c r="A88" s="73">
        <v>8</v>
      </c>
      <c r="B88" s="87" t="s">
        <v>121</v>
      </c>
      <c r="C88" s="80"/>
    </row>
    <row r="89" spans="1:3">
      <c r="A89" s="73">
        <v>9</v>
      </c>
      <c r="B89" s="87" t="s">
        <v>130</v>
      </c>
      <c r="C89" s="80"/>
    </row>
    <row r="90" spans="1:3">
      <c r="A90" s="73">
        <v>10</v>
      </c>
      <c r="B90" s="87" t="s">
        <v>122</v>
      </c>
      <c r="C90" s="80"/>
    </row>
    <row r="91" spans="1:3">
      <c r="A91" s="73">
        <v>11</v>
      </c>
      <c r="B91" s="39"/>
      <c r="C91" s="80"/>
    </row>
    <row r="92" spans="1:3">
      <c r="A92" s="73">
        <v>12</v>
      </c>
      <c r="B92" s="86" t="s">
        <v>123</v>
      </c>
      <c r="C92" s="27">
        <f t="shared" ref="C92" si="13">SUM(C88:C90)</f>
        <v>0</v>
      </c>
    </row>
    <row r="93" spans="1:3">
      <c r="A93" s="73">
        <v>13</v>
      </c>
      <c r="B93" s="39"/>
      <c r="C93" s="80"/>
    </row>
    <row r="94" spans="1:3">
      <c r="A94" s="73">
        <v>14</v>
      </c>
      <c r="B94" s="86" t="s">
        <v>365</v>
      </c>
      <c r="C94" s="80"/>
    </row>
    <row r="95" spans="1:3">
      <c r="A95" s="73">
        <v>15</v>
      </c>
      <c r="B95" s="86" t="s">
        <v>178</v>
      </c>
      <c r="C95" s="80"/>
    </row>
    <row r="96" spans="1:3">
      <c r="A96" s="73">
        <v>16</v>
      </c>
      <c r="B96" s="87" t="s">
        <v>177</v>
      </c>
      <c r="C96" s="80"/>
    </row>
    <row r="97" spans="1:3">
      <c r="A97" s="73">
        <v>17</v>
      </c>
      <c r="B97" s="87" t="s">
        <v>275</v>
      </c>
      <c r="C97" s="80"/>
    </row>
    <row r="98" spans="1:3">
      <c r="A98" s="73">
        <v>18</v>
      </c>
      <c r="B98" s="87"/>
      <c r="C98" s="80"/>
    </row>
    <row r="99" spans="1:3">
      <c r="A99" s="73">
        <v>19</v>
      </c>
      <c r="B99" s="86" t="s">
        <v>125</v>
      </c>
      <c r="C99" s="27">
        <f t="shared" ref="C99" si="14">SUM(C95:C97)</f>
        <v>0</v>
      </c>
    </row>
    <row r="100" spans="1:3">
      <c r="A100" s="73">
        <v>20</v>
      </c>
      <c r="B100" s="39"/>
      <c r="C100" s="80"/>
    </row>
    <row r="101" spans="1:3">
      <c r="A101" s="73">
        <v>21</v>
      </c>
      <c r="B101" s="87" t="s">
        <v>255</v>
      </c>
      <c r="C101" s="28">
        <f t="shared" ref="C101" si="15">+C85+C92-C99</f>
        <v>0</v>
      </c>
    </row>
    <row r="102" spans="1:3">
      <c r="A102" s="73">
        <v>22</v>
      </c>
      <c r="B102" s="87" t="s">
        <v>126</v>
      </c>
      <c r="C102" s="94">
        <v>0.35</v>
      </c>
    </row>
    <row r="103" spans="1:3">
      <c r="A103" s="73">
        <v>23</v>
      </c>
      <c r="B103" s="86" t="s">
        <v>127</v>
      </c>
      <c r="C103" s="93">
        <f t="shared" ref="C103" si="16">C101*C102</f>
        <v>0</v>
      </c>
    </row>
    <row r="104" spans="1:3">
      <c r="A104" s="73">
        <v>24</v>
      </c>
      <c r="B104" s="87" t="s">
        <v>128</v>
      </c>
      <c r="C104" s="80">
        <f>+(C95-C88+C96)*C102</f>
        <v>0</v>
      </c>
    </row>
    <row r="105" spans="1:3" ht="13.5" thickBot="1">
      <c r="A105" s="73">
        <v>25</v>
      </c>
      <c r="B105" s="95" t="s">
        <v>129</v>
      </c>
      <c r="C105" s="96">
        <f t="shared" ref="C105" si="17">+C103+C104</f>
        <v>0</v>
      </c>
    </row>
    <row r="106" spans="1:3" ht="13.5" thickTop="1">
      <c r="A106" s="89"/>
    </row>
  </sheetData>
  <printOptions horizontalCentered="1"/>
  <pageMargins left="0.5" right="0.5" top="1.5" bottom="0.3" header="0.5" footer="0.5"/>
  <pageSetup scale="60" fitToWidth="0" orientation="portrait" useFirstPageNumber="1" r:id="rId1"/>
  <headerFooter scaleWithDoc="0" alignWithMargins="0">
    <oddHeader>&amp;L&amp;"Arial,Regular"&amp;10Avista Corporation
&amp;"Arial,Bold"Electric - Restating Adjustments (Schedule 1.2)&amp;"Arial,Regular"
Twelve Months Ended December 31, 2011&amp;R&amp;"Arial,Regular"&amp;10Exhibit No. ___ (JH-2)
Docket UE-120436 &amp;&amp; UG-120437
Page &amp;P of 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6"/>
  <sheetViews>
    <sheetView topLeftCell="A9" zoomScale="75" zoomScaleNormal="75" workbookViewId="0">
      <pane xSplit="2" ySplit="4" topLeftCell="C37" activePane="bottomRight" state="frozen"/>
      <selection activeCell="G79" sqref="G79"/>
      <selection pane="topRight" activeCell="G79" sqref="G79"/>
      <selection pane="bottomLeft" activeCell="G79" sqref="G79"/>
      <selection pane="bottomRight" activeCell="C53" sqref="C53"/>
    </sheetView>
  </sheetViews>
  <sheetFormatPr defaultColWidth="9" defaultRowHeight="12.75"/>
  <cols>
    <col min="1" max="1" width="4.625" style="64" customWidth="1"/>
    <col min="2" max="2" width="42.5" style="63" bestFit="1" customWidth="1"/>
    <col min="3" max="3" width="13.625" style="74" customWidth="1"/>
    <col min="4" max="16384" width="9" style="14"/>
  </cols>
  <sheetData>
    <row r="1" spans="1:3">
      <c r="A1" s="56"/>
      <c r="B1" s="9" t="s">
        <v>281</v>
      </c>
      <c r="C1" s="58"/>
    </row>
    <row r="2" spans="1:3">
      <c r="A2" s="411"/>
      <c r="B2" s="14"/>
      <c r="C2" s="66" t="s">
        <v>251</v>
      </c>
    </row>
    <row r="3" spans="1:3">
      <c r="A3" s="411"/>
      <c r="B3" s="9"/>
      <c r="C3" s="66"/>
    </row>
    <row r="4" spans="1:3" ht="13.5" thickBot="1">
      <c r="A4" s="411"/>
      <c r="B4" s="9"/>
      <c r="C4" s="413"/>
    </row>
    <row r="5" spans="1:3" ht="13.5" thickTop="1">
      <c r="A5" s="402"/>
      <c r="B5" s="64" t="str">
        <f>+ROO!B2</f>
        <v>(000's of Dollars)</v>
      </c>
      <c r="C5" s="65"/>
    </row>
    <row r="6" spans="1:3">
      <c r="A6" s="62"/>
      <c r="B6" s="64"/>
      <c r="C6" s="65"/>
    </row>
    <row r="7" spans="1:3">
      <c r="A7" s="403"/>
      <c r="B7" s="66" t="s">
        <v>100</v>
      </c>
      <c r="C7" s="66" t="s">
        <v>198</v>
      </c>
    </row>
    <row r="8" spans="1:3">
      <c r="A8" s="403"/>
      <c r="B8" s="66"/>
      <c r="C8" s="66"/>
    </row>
    <row r="9" spans="1:3" s="70" customFormat="1">
      <c r="A9" s="69"/>
      <c r="B9" s="69"/>
      <c r="C9" s="546">
        <v>1.02</v>
      </c>
    </row>
    <row r="10" spans="1:3" s="71" customFormat="1">
      <c r="A10" s="414"/>
      <c r="B10" s="420"/>
      <c r="C10" s="68" t="s">
        <v>346</v>
      </c>
    </row>
    <row r="11" spans="1:3" s="71" customFormat="1">
      <c r="A11" s="414" t="s">
        <v>5</v>
      </c>
      <c r="B11" s="420"/>
      <c r="C11" s="68" t="s">
        <v>347</v>
      </c>
    </row>
    <row r="12" spans="1:3" s="424" customFormat="1">
      <c r="A12" s="421" t="s">
        <v>10</v>
      </c>
      <c r="B12" s="422" t="s">
        <v>11</v>
      </c>
      <c r="C12" s="423" t="s">
        <v>348</v>
      </c>
    </row>
    <row r="13" spans="1:3" s="59" customFormat="1">
      <c r="A13" s="418"/>
      <c r="B13" s="419" t="s">
        <v>155</v>
      </c>
      <c r="C13" s="625"/>
    </row>
    <row r="14" spans="1:3">
      <c r="A14" s="73">
        <v>1</v>
      </c>
      <c r="B14" s="416" t="s">
        <v>98</v>
      </c>
      <c r="C14" s="65"/>
    </row>
    <row r="15" spans="1:3">
      <c r="A15" s="75">
        <v>2</v>
      </c>
      <c r="B15" s="63" t="s">
        <v>40</v>
      </c>
      <c r="C15" s="65"/>
    </row>
    <row r="16" spans="1:3" s="15" customFormat="1">
      <c r="A16" s="73">
        <v>3</v>
      </c>
      <c r="B16" s="76" t="s">
        <v>41</v>
      </c>
      <c r="C16" s="566"/>
    </row>
    <row r="17" spans="1:3" s="20" customFormat="1">
      <c r="A17" s="75">
        <v>4</v>
      </c>
      <c r="B17" s="78" t="s">
        <v>42</v>
      </c>
      <c r="C17" s="23">
        <v>0</v>
      </c>
    </row>
    <row r="18" spans="1:3" s="20" customFormat="1">
      <c r="A18" s="73">
        <v>5</v>
      </c>
      <c r="B18" s="78" t="s">
        <v>43</v>
      </c>
      <c r="C18" s="24"/>
    </row>
    <row r="19" spans="1:3" s="20" customFormat="1">
      <c r="A19" s="75">
        <v>6</v>
      </c>
      <c r="B19" s="397" t="s">
        <v>44</v>
      </c>
      <c r="C19" s="23">
        <f t="shared" ref="C19" si="0">SUM(C16:C18)</f>
        <v>0</v>
      </c>
    </row>
    <row r="20" spans="1:3" s="20" customFormat="1">
      <c r="A20" s="73">
        <v>7</v>
      </c>
      <c r="B20" s="78" t="s">
        <v>45</v>
      </c>
      <c r="C20" s="24">
        <v>0</v>
      </c>
    </row>
    <row r="21" spans="1:3" s="20" customFormat="1">
      <c r="A21" s="75">
        <v>8</v>
      </c>
      <c r="B21" s="397" t="s">
        <v>46</v>
      </c>
      <c r="C21" s="23">
        <f t="shared" ref="C21" si="1">SUM(C19:C20)</f>
        <v>0</v>
      </c>
    </row>
    <row r="22" spans="1:3" s="20" customFormat="1">
      <c r="A22" s="73">
        <v>9</v>
      </c>
      <c r="B22" s="79"/>
      <c r="C22" s="23"/>
    </row>
    <row r="23" spans="1:3" s="20" customFormat="1">
      <c r="A23" s="75">
        <v>10</v>
      </c>
      <c r="B23" s="78" t="s">
        <v>20</v>
      </c>
      <c r="C23" s="23"/>
    </row>
    <row r="24" spans="1:3" s="20" customFormat="1">
      <c r="A24" s="73">
        <v>11</v>
      </c>
      <c r="B24" s="78" t="s">
        <v>47</v>
      </c>
      <c r="C24" s="23"/>
    </row>
    <row r="25" spans="1:3" s="20" customFormat="1">
      <c r="A25" s="75">
        <v>12</v>
      </c>
      <c r="B25" s="397" t="s">
        <v>48</v>
      </c>
      <c r="C25" s="23">
        <v>176</v>
      </c>
    </row>
    <row r="26" spans="1:3" s="20" customFormat="1">
      <c r="A26" s="73">
        <v>13</v>
      </c>
      <c r="B26" s="397" t="s">
        <v>49</v>
      </c>
      <c r="C26" s="23">
        <v>0</v>
      </c>
    </row>
    <row r="27" spans="1:3" s="20" customFormat="1">
      <c r="A27" s="75">
        <v>14</v>
      </c>
      <c r="B27" s="397" t="s">
        <v>50</v>
      </c>
      <c r="C27" s="23">
        <v>-191</v>
      </c>
    </row>
    <row r="28" spans="1:3" s="20" customFormat="1">
      <c r="A28" s="73">
        <v>15</v>
      </c>
      <c r="B28" s="393" t="s">
        <v>349</v>
      </c>
      <c r="C28" s="23"/>
    </row>
    <row r="29" spans="1:3" s="20" customFormat="1">
      <c r="A29" s="75">
        <v>16</v>
      </c>
      <c r="B29" s="397" t="s">
        <v>51</v>
      </c>
      <c r="C29" s="24">
        <v>0</v>
      </c>
    </row>
    <row r="30" spans="1:3" s="20" customFormat="1">
      <c r="A30" s="73">
        <v>17</v>
      </c>
      <c r="B30" s="398" t="s">
        <v>52</v>
      </c>
      <c r="C30" s="23">
        <f t="shared" ref="C30" si="2">SUM(C25:C29)</f>
        <v>-15</v>
      </c>
    </row>
    <row r="31" spans="1:3" s="20" customFormat="1">
      <c r="A31" s="75">
        <v>18</v>
      </c>
      <c r="B31" s="79"/>
      <c r="C31" s="23"/>
    </row>
    <row r="32" spans="1:3" s="20" customFormat="1">
      <c r="A32" s="73">
        <v>19</v>
      </c>
      <c r="B32" s="78" t="s">
        <v>53</v>
      </c>
      <c r="C32" s="23"/>
    </row>
    <row r="33" spans="1:3" s="20" customFormat="1">
      <c r="A33" s="75">
        <v>20</v>
      </c>
      <c r="B33" s="397" t="s">
        <v>48</v>
      </c>
      <c r="C33" s="23">
        <v>0</v>
      </c>
    </row>
    <row r="34" spans="1:3" s="20" customFormat="1">
      <c r="A34" s="73">
        <v>21</v>
      </c>
      <c r="B34" s="397" t="s">
        <v>54</v>
      </c>
      <c r="C34" s="23">
        <v>0</v>
      </c>
    </row>
    <row r="35" spans="1:3" s="20" customFormat="1">
      <c r="A35" s="75">
        <v>22</v>
      </c>
      <c r="B35" s="397" t="s">
        <v>51</v>
      </c>
      <c r="C35" s="24">
        <v>0</v>
      </c>
    </row>
    <row r="36" spans="1:3" s="20" customFormat="1">
      <c r="A36" s="73">
        <v>23</v>
      </c>
      <c r="B36" s="398" t="s">
        <v>55</v>
      </c>
      <c r="C36" s="23">
        <f t="shared" ref="C36" si="3">SUM(C33:C35)</f>
        <v>0</v>
      </c>
    </row>
    <row r="37" spans="1:3" s="20" customFormat="1">
      <c r="A37" s="75">
        <v>24</v>
      </c>
      <c r="B37" s="79"/>
      <c r="C37" s="23"/>
    </row>
    <row r="38" spans="1:3" s="20" customFormat="1">
      <c r="A38" s="73">
        <v>25</v>
      </c>
      <c r="B38" s="78" t="s">
        <v>56</v>
      </c>
      <c r="C38" s="23">
        <v>4</v>
      </c>
    </row>
    <row r="39" spans="1:3" s="20" customFormat="1">
      <c r="A39" s="75">
        <v>26</v>
      </c>
      <c r="B39" s="78" t="s">
        <v>57</v>
      </c>
      <c r="C39" s="23">
        <v>0</v>
      </c>
    </row>
    <row r="40" spans="1:3" s="20" customFormat="1">
      <c r="A40" s="73">
        <v>27</v>
      </c>
      <c r="B40" s="78" t="s">
        <v>58</v>
      </c>
      <c r="C40" s="23">
        <v>0</v>
      </c>
    </row>
    <row r="41" spans="1:3" s="20" customFormat="1">
      <c r="A41" s="75">
        <v>28</v>
      </c>
      <c r="B41" s="79"/>
      <c r="C41" s="23">
        <v>0</v>
      </c>
    </row>
    <row r="42" spans="1:3" s="20" customFormat="1">
      <c r="A42" s="75">
        <v>29</v>
      </c>
      <c r="B42" s="78" t="s">
        <v>59</v>
      </c>
      <c r="C42" s="23">
        <v>0</v>
      </c>
    </row>
    <row r="43" spans="1:3" s="20" customFormat="1">
      <c r="A43" s="73">
        <v>30</v>
      </c>
      <c r="B43" s="397" t="s">
        <v>48</v>
      </c>
      <c r="C43" s="23">
        <v>131</v>
      </c>
    </row>
    <row r="44" spans="1:3" s="20" customFormat="1">
      <c r="A44" s="75">
        <v>31</v>
      </c>
      <c r="B44" s="397" t="s">
        <v>54</v>
      </c>
      <c r="C44" s="23">
        <v>0</v>
      </c>
    </row>
    <row r="45" spans="1:3" s="20" customFormat="1">
      <c r="A45" s="75">
        <v>32</v>
      </c>
      <c r="B45" s="397" t="s">
        <v>51</v>
      </c>
      <c r="C45" s="24">
        <v>0</v>
      </c>
    </row>
    <row r="46" spans="1:3" s="20" customFormat="1">
      <c r="A46" s="73">
        <v>33</v>
      </c>
      <c r="B46" s="398" t="s">
        <v>60</v>
      </c>
      <c r="C46" s="27">
        <f>SUM(C43:C45)</f>
        <v>131</v>
      </c>
    </row>
    <row r="47" spans="1:3" s="20" customFormat="1">
      <c r="A47" s="75">
        <v>34</v>
      </c>
      <c r="B47" s="78" t="s">
        <v>61</v>
      </c>
      <c r="C47" s="24">
        <f>C46+C40+C39+C38+C36+C30</f>
        <v>120</v>
      </c>
    </row>
    <row r="48" spans="1:3" s="20" customFormat="1">
      <c r="A48" s="75">
        <v>35</v>
      </c>
      <c r="B48" s="79"/>
      <c r="C48" s="23"/>
    </row>
    <row r="49" spans="1:3" s="20" customFormat="1">
      <c r="A49" s="73">
        <v>36</v>
      </c>
      <c r="B49" s="78" t="s">
        <v>62</v>
      </c>
      <c r="C49" s="23">
        <f t="shared" ref="C49" si="4">C21-C47</f>
        <v>-120</v>
      </c>
    </row>
    <row r="50" spans="1:3" s="20" customFormat="1">
      <c r="A50" s="75">
        <v>37</v>
      </c>
      <c r="B50" s="78"/>
      <c r="C50" s="23"/>
    </row>
    <row r="51" spans="1:3" s="20" customFormat="1">
      <c r="A51" s="75">
        <v>38</v>
      </c>
      <c r="B51" s="78" t="s">
        <v>63</v>
      </c>
      <c r="C51" s="23"/>
    </row>
    <row r="52" spans="1:3" s="20" customFormat="1">
      <c r="A52" s="73">
        <v>39</v>
      </c>
      <c r="B52" s="78" t="s">
        <v>64</v>
      </c>
      <c r="C52" s="23">
        <f>C105-67</f>
        <v>-109</v>
      </c>
    </row>
    <row r="53" spans="1:3" s="20" customFormat="1">
      <c r="A53" s="75">
        <v>40</v>
      </c>
      <c r="B53" s="78" t="s">
        <v>366</v>
      </c>
      <c r="C53" s="23">
        <f>+(C77*' Capital '!$J$13)*-35%</f>
        <v>75.600139999999996</v>
      </c>
    </row>
    <row r="54" spans="1:3" s="20" customFormat="1">
      <c r="A54" s="75">
        <v>41</v>
      </c>
      <c r="B54" s="78" t="s">
        <v>65</v>
      </c>
      <c r="C54" s="23"/>
    </row>
    <row r="55" spans="1:3" s="20" customFormat="1">
      <c r="A55" s="73">
        <v>42</v>
      </c>
      <c r="B55" s="78" t="s">
        <v>238</v>
      </c>
      <c r="C55" s="24"/>
    </row>
    <row r="56" spans="1:3">
      <c r="A56" s="73">
        <v>45</v>
      </c>
      <c r="B56" s="79"/>
      <c r="C56" s="23"/>
    </row>
    <row r="57" spans="1:3" s="15" customFormat="1" ht="13.5" thickBot="1">
      <c r="A57" s="75">
        <v>46</v>
      </c>
      <c r="B57" s="76" t="s">
        <v>66</v>
      </c>
      <c r="C57" s="567">
        <f t="shared" ref="C57" si="5">C49-SUM(C52:C55)</f>
        <v>-86.600139999999996</v>
      </c>
    </row>
    <row r="58" spans="1:3" ht="13.5" thickTop="1">
      <c r="A58" s="75">
        <v>47</v>
      </c>
      <c r="B58" s="2"/>
      <c r="C58" s="23"/>
    </row>
    <row r="59" spans="1:3">
      <c r="A59" s="73">
        <v>48</v>
      </c>
      <c r="B59" s="416" t="s">
        <v>21</v>
      </c>
      <c r="C59" s="23"/>
    </row>
    <row r="60" spans="1:3">
      <c r="A60" s="75">
        <v>49</v>
      </c>
      <c r="B60" s="63" t="s">
        <v>67</v>
      </c>
      <c r="C60" s="23"/>
    </row>
    <row r="61" spans="1:3" s="15" customFormat="1">
      <c r="A61" s="75">
        <v>50</v>
      </c>
      <c r="B61" s="396" t="s">
        <v>68</v>
      </c>
      <c r="C61" s="23">
        <v>0</v>
      </c>
    </row>
    <row r="62" spans="1:3" s="20" customFormat="1">
      <c r="A62" s="73">
        <v>51</v>
      </c>
      <c r="B62" s="397" t="s">
        <v>69</v>
      </c>
      <c r="C62" s="23">
        <v>0</v>
      </c>
    </row>
    <row r="63" spans="1:3" s="20" customFormat="1">
      <c r="A63" s="75">
        <v>52</v>
      </c>
      <c r="B63" s="397" t="s">
        <v>70</v>
      </c>
      <c r="C63" s="23">
        <v>0</v>
      </c>
    </row>
    <row r="64" spans="1:3" s="20" customFormat="1">
      <c r="A64" s="75">
        <v>53</v>
      </c>
      <c r="B64" s="397" t="s">
        <v>53</v>
      </c>
      <c r="C64" s="23">
        <v>0</v>
      </c>
    </row>
    <row r="65" spans="1:3" s="20" customFormat="1">
      <c r="A65" s="73">
        <v>54</v>
      </c>
      <c r="B65" s="397" t="s">
        <v>71</v>
      </c>
      <c r="C65" s="24">
        <v>0</v>
      </c>
    </row>
    <row r="66" spans="1:3" s="20" customFormat="1">
      <c r="A66" s="75">
        <v>55</v>
      </c>
      <c r="B66" s="398" t="s">
        <v>72</v>
      </c>
      <c r="C66" s="23">
        <f t="shared" ref="C66" si="6">SUM(C61:C65)</f>
        <v>0</v>
      </c>
    </row>
    <row r="67" spans="1:3" s="20" customFormat="1">
      <c r="A67" s="75">
        <v>56</v>
      </c>
      <c r="B67" s="78" t="s">
        <v>244</v>
      </c>
      <c r="C67" s="23">
        <v>0</v>
      </c>
    </row>
    <row r="68" spans="1:3" s="20" customFormat="1">
      <c r="A68" s="73">
        <v>57</v>
      </c>
      <c r="B68" s="78" t="s">
        <v>245</v>
      </c>
      <c r="C68" s="24">
        <v>0</v>
      </c>
    </row>
    <row r="69" spans="1:3" s="20" customFormat="1">
      <c r="A69" s="75">
        <v>58</v>
      </c>
      <c r="B69" s="397" t="s">
        <v>73</v>
      </c>
      <c r="C69" s="23">
        <f t="shared" ref="C69" si="7">SUM(C67:C68)</f>
        <v>0</v>
      </c>
    </row>
    <row r="70" spans="1:3" s="20" customFormat="1">
      <c r="A70" s="75">
        <v>59</v>
      </c>
      <c r="B70" s="78" t="s">
        <v>246</v>
      </c>
      <c r="C70" s="23"/>
    </row>
    <row r="71" spans="1:3" s="20" customFormat="1">
      <c r="A71" s="73">
        <v>60</v>
      </c>
      <c r="B71" s="78" t="s">
        <v>351</v>
      </c>
      <c r="C71" s="23">
        <v>-7013</v>
      </c>
    </row>
    <row r="72" spans="1:3" s="20" customFormat="1">
      <c r="A72" s="75">
        <v>61</v>
      </c>
      <c r="B72" s="78" t="s">
        <v>236</v>
      </c>
      <c r="C72" s="23"/>
    </row>
    <row r="73" spans="1:3" s="20" customFormat="1">
      <c r="A73" s="75">
        <v>62</v>
      </c>
      <c r="B73" s="78" t="s">
        <v>247</v>
      </c>
      <c r="C73" s="23"/>
    </row>
    <row r="74" spans="1:3" s="20" customFormat="1">
      <c r="A74" s="73">
        <v>63</v>
      </c>
      <c r="B74" s="78" t="s">
        <v>248</v>
      </c>
      <c r="C74" s="24"/>
    </row>
    <row r="75" spans="1:3" s="20" customFormat="1">
      <c r="A75" s="75">
        <v>64</v>
      </c>
      <c r="B75" s="79"/>
      <c r="C75" s="28"/>
    </row>
    <row r="76" spans="1:3" s="20" customFormat="1">
      <c r="A76" s="75">
        <v>65</v>
      </c>
      <c r="B76" s="79"/>
      <c r="C76" s="23"/>
    </row>
    <row r="77" spans="1:3" s="15" customFormat="1" ht="13.5" thickBot="1">
      <c r="A77" s="73">
        <v>66</v>
      </c>
      <c r="B77" s="425" t="s">
        <v>74</v>
      </c>
      <c r="C77" s="568">
        <f t="shared" ref="C77" si="8">C66-C69+C70+C72+C73+C74+C71</f>
        <v>-7013</v>
      </c>
    </row>
    <row r="78" spans="1:3" ht="13.5" thickTop="1">
      <c r="B78" s="83"/>
    </row>
    <row r="79" spans="1:3">
      <c r="A79" s="84"/>
      <c r="B79" s="38"/>
      <c r="C79" s="57"/>
    </row>
    <row r="80" spans="1:3">
      <c r="A80" s="89"/>
      <c r="B80" s="39"/>
    </row>
    <row r="81" spans="1:3">
      <c r="A81" s="73">
        <v>1</v>
      </c>
      <c r="B81" s="392" t="s">
        <v>116</v>
      </c>
    </row>
    <row r="82" spans="1:3">
      <c r="A82" s="73">
        <v>2</v>
      </c>
      <c r="B82" s="87" t="s">
        <v>18</v>
      </c>
      <c r="C82" s="82">
        <f t="shared" ref="C82" si="9">+C21</f>
        <v>0</v>
      </c>
    </row>
    <row r="83" spans="1:3">
      <c r="A83" s="73">
        <v>3</v>
      </c>
      <c r="B83" s="87" t="s">
        <v>19</v>
      </c>
      <c r="C83" s="23">
        <f>+C47</f>
        <v>120</v>
      </c>
    </row>
    <row r="84" spans="1:3">
      <c r="A84" s="73">
        <v>4</v>
      </c>
      <c r="B84" s="87" t="s">
        <v>274</v>
      </c>
      <c r="C84" s="23"/>
    </row>
    <row r="85" spans="1:3">
      <c r="A85" s="73">
        <v>5</v>
      </c>
      <c r="B85" s="399" t="s">
        <v>119</v>
      </c>
      <c r="C85" s="27">
        <f t="shared" ref="C85" si="10">+C82-C83-C84</f>
        <v>-120</v>
      </c>
    </row>
    <row r="86" spans="1:3">
      <c r="A86" s="73">
        <v>6</v>
      </c>
      <c r="B86" s="91"/>
      <c r="C86" s="80"/>
    </row>
    <row r="87" spans="1:3">
      <c r="A87" s="73">
        <v>7</v>
      </c>
      <c r="B87" s="86" t="s">
        <v>120</v>
      </c>
      <c r="C87" s="80"/>
    </row>
    <row r="88" spans="1:3">
      <c r="A88" s="73">
        <v>8</v>
      </c>
      <c r="B88" s="87" t="s">
        <v>121</v>
      </c>
      <c r="C88" s="80"/>
    </row>
    <row r="89" spans="1:3">
      <c r="A89" s="73">
        <v>9</v>
      </c>
      <c r="B89" s="87" t="s">
        <v>130</v>
      </c>
      <c r="C89" s="80"/>
    </row>
    <row r="90" spans="1:3">
      <c r="A90" s="73">
        <v>10</v>
      </c>
      <c r="B90" s="87" t="s">
        <v>122</v>
      </c>
      <c r="C90" s="80"/>
    </row>
    <row r="91" spans="1:3">
      <c r="A91" s="73">
        <v>11</v>
      </c>
      <c r="B91" s="39"/>
      <c r="C91" s="80"/>
    </row>
    <row r="92" spans="1:3">
      <c r="A92" s="73">
        <v>12</v>
      </c>
      <c r="B92" s="86" t="s">
        <v>123</v>
      </c>
      <c r="C92" s="27">
        <f t="shared" ref="C92" si="11">SUM(C88:C90)</f>
        <v>0</v>
      </c>
    </row>
    <row r="93" spans="1:3">
      <c r="A93" s="73">
        <v>13</v>
      </c>
      <c r="B93" s="39"/>
      <c r="C93" s="80"/>
    </row>
    <row r="94" spans="1:3">
      <c r="A94" s="73">
        <v>14</v>
      </c>
      <c r="B94" s="86" t="s">
        <v>365</v>
      </c>
      <c r="C94" s="80"/>
    </row>
    <row r="95" spans="1:3">
      <c r="A95" s="73">
        <v>15</v>
      </c>
      <c r="B95" s="86" t="s">
        <v>178</v>
      </c>
      <c r="C95" s="80"/>
    </row>
    <row r="96" spans="1:3">
      <c r="A96" s="73">
        <v>16</v>
      </c>
      <c r="B96" s="87" t="s">
        <v>177</v>
      </c>
      <c r="C96" s="80"/>
    </row>
    <row r="97" spans="1:3">
      <c r="A97" s="73">
        <v>17</v>
      </c>
      <c r="B97" s="87" t="s">
        <v>275</v>
      </c>
      <c r="C97" s="80"/>
    </row>
    <row r="98" spans="1:3">
      <c r="A98" s="73">
        <v>18</v>
      </c>
      <c r="B98" s="87"/>
      <c r="C98" s="80"/>
    </row>
    <row r="99" spans="1:3">
      <c r="A99" s="73">
        <v>19</v>
      </c>
      <c r="B99" s="86" t="s">
        <v>125</v>
      </c>
      <c r="C99" s="27">
        <f t="shared" ref="C99" si="12">SUM(C95:C97)</f>
        <v>0</v>
      </c>
    </row>
    <row r="100" spans="1:3">
      <c r="A100" s="73">
        <v>20</v>
      </c>
      <c r="B100" s="39"/>
      <c r="C100" s="80"/>
    </row>
    <row r="101" spans="1:3">
      <c r="A101" s="73">
        <v>21</v>
      </c>
      <c r="B101" s="87" t="s">
        <v>255</v>
      </c>
      <c r="C101" s="28">
        <f t="shared" ref="C101" si="13">+C85+C92-C99</f>
        <v>-120</v>
      </c>
    </row>
    <row r="102" spans="1:3">
      <c r="A102" s="73">
        <v>22</v>
      </c>
      <c r="B102" s="87" t="s">
        <v>126</v>
      </c>
      <c r="C102" s="94">
        <v>0.35</v>
      </c>
    </row>
    <row r="103" spans="1:3">
      <c r="A103" s="73">
        <v>23</v>
      </c>
      <c r="B103" s="86" t="s">
        <v>127</v>
      </c>
      <c r="C103" s="93">
        <f>ROUND(C101*C102,0)</f>
        <v>-42</v>
      </c>
    </row>
    <row r="104" spans="1:3">
      <c r="A104" s="73">
        <v>24</v>
      </c>
      <c r="B104" s="87" t="s">
        <v>128</v>
      </c>
      <c r="C104" s="80">
        <f t="shared" ref="C104" si="14">+(C95-C88+C96)*C102</f>
        <v>0</v>
      </c>
    </row>
    <row r="105" spans="1:3" ht="13.5" thickBot="1">
      <c r="A105" s="73">
        <v>25</v>
      </c>
      <c r="B105" s="95" t="s">
        <v>129</v>
      </c>
      <c r="C105" s="96">
        <f t="shared" ref="C105" si="15">+C103+C104</f>
        <v>-42</v>
      </c>
    </row>
    <row r="106" spans="1:3" ht="13.5" thickTop="1">
      <c r="A106" s="89"/>
    </row>
  </sheetData>
  <printOptions horizontalCentered="1"/>
  <pageMargins left="0.5" right="0.5" top="1.5" bottom="0.3" header="0.5" footer="0.5"/>
  <pageSetup scale="60" fitToWidth="0" orientation="portrait" useFirstPageNumber="1" r:id="rId1"/>
  <headerFooter scaleWithDoc="0" alignWithMargins="0">
    <oddHeader>&amp;L&amp;"Arial,Regular"&amp;10Avista Corporation
&amp;"Arial,Bold"Electric - Restating Adjustments (Schedule 1.2)&amp;"Arial,Regular"
Twelve Months Ended December 31, 2011&amp;R&amp;"Arial,Regular"&amp;10Exhibit No. ___ (JH-2)
Docket UE-120436 &amp;&amp; UG-120437
Page &amp;P of  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6"/>
  <sheetViews>
    <sheetView topLeftCell="A9" zoomScale="75" zoomScaleNormal="75" workbookViewId="0">
      <pane xSplit="2" ySplit="4" topLeftCell="C40" activePane="bottomRight" state="frozen"/>
      <selection activeCell="G79" sqref="G79"/>
      <selection pane="topRight" activeCell="G79" sqref="G79"/>
      <selection pane="bottomLeft" activeCell="G79" sqref="G79"/>
      <selection pane="bottomRight" activeCell="C54" sqref="C54"/>
    </sheetView>
  </sheetViews>
  <sheetFormatPr defaultColWidth="9" defaultRowHeight="12.75"/>
  <cols>
    <col min="1" max="1" width="4.625" style="64" customWidth="1"/>
    <col min="2" max="2" width="42.5" style="63" bestFit="1" customWidth="1"/>
    <col min="3" max="3" width="13.625" style="586" customWidth="1"/>
    <col min="4" max="16384" width="9" style="14"/>
  </cols>
  <sheetData>
    <row r="1" spans="1:3">
      <c r="A1" s="56"/>
      <c r="B1" s="9" t="s">
        <v>281</v>
      </c>
      <c r="C1" s="572"/>
    </row>
    <row r="2" spans="1:3">
      <c r="A2" s="411"/>
      <c r="B2" s="14"/>
      <c r="C2" s="573" t="s">
        <v>251</v>
      </c>
    </row>
    <row r="3" spans="1:3">
      <c r="A3" s="411"/>
      <c r="B3" s="9"/>
      <c r="C3" s="573"/>
    </row>
    <row r="4" spans="1:3" ht="13.5" thickBot="1">
      <c r="A4" s="411"/>
      <c r="B4" s="9"/>
      <c r="C4" s="574"/>
    </row>
    <row r="5" spans="1:3" ht="13.5" thickTop="1">
      <c r="A5" s="402"/>
      <c r="B5" s="64" t="str">
        <f>+ROO!B2</f>
        <v>(000's of Dollars)</v>
      </c>
      <c r="C5" s="575"/>
    </row>
    <row r="6" spans="1:3">
      <c r="A6" s="62"/>
      <c r="B6" s="64"/>
      <c r="C6" s="575"/>
    </row>
    <row r="7" spans="1:3">
      <c r="A7" s="403"/>
      <c r="B7" s="66" t="s">
        <v>100</v>
      </c>
      <c r="C7" s="573" t="s">
        <v>103</v>
      </c>
    </row>
    <row r="8" spans="1:3">
      <c r="A8" s="403"/>
      <c r="B8" s="66"/>
      <c r="C8" s="573"/>
    </row>
    <row r="9" spans="1:3" s="70" customFormat="1">
      <c r="A9" s="69"/>
      <c r="B9" s="69"/>
      <c r="C9" s="576">
        <v>1.03</v>
      </c>
    </row>
    <row r="10" spans="1:3" s="71" customFormat="1">
      <c r="A10" s="414"/>
      <c r="B10" s="420"/>
      <c r="C10" s="577"/>
    </row>
    <row r="11" spans="1:3" s="71" customFormat="1">
      <c r="A11" s="414" t="s">
        <v>5</v>
      </c>
      <c r="B11" s="420"/>
      <c r="C11" s="577" t="s">
        <v>240</v>
      </c>
    </row>
    <row r="12" spans="1:3" s="424" customFormat="1">
      <c r="A12" s="421" t="s">
        <v>10</v>
      </c>
      <c r="B12" s="422" t="s">
        <v>11</v>
      </c>
      <c r="C12" s="579" t="s">
        <v>241</v>
      </c>
    </row>
    <row r="13" spans="1:3" s="59" customFormat="1">
      <c r="A13" s="418"/>
      <c r="B13" s="419" t="s">
        <v>155</v>
      </c>
      <c r="C13" s="573"/>
    </row>
    <row r="14" spans="1:3">
      <c r="A14" s="73">
        <v>1</v>
      </c>
      <c r="B14" s="416" t="s">
        <v>98</v>
      </c>
      <c r="C14" s="575"/>
    </row>
    <row r="15" spans="1:3">
      <c r="A15" s="75">
        <v>2</v>
      </c>
      <c r="B15" s="63" t="s">
        <v>40</v>
      </c>
      <c r="C15" s="575"/>
    </row>
    <row r="16" spans="1:3" s="15" customFormat="1">
      <c r="A16" s="73">
        <v>3</v>
      </c>
      <c r="B16" s="76" t="s">
        <v>41</v>
      </c>
      <c r="C16" s="580"/>
    </row>
    <row r="17" spans="1:3" s="20" customFormat="1">
      <c r="A17" s="75">
        <v>4</v>
      </c>
      <c r="B17" s="78" t="s">
        <v>42</v>
      </c>
      <c r="C17" s="581">
        <v>0</v>
      </c>
    </row>
    <row r="18" spans="1:3" s="20" customFormat="1">
      <c r="A18" s="73">
        <v>5</v>
      </c>
      <c r="B18" s="78" t="s">
        <v>43</v>
      </c>
      <c r="C18" s="582">
        <v>0</v>
      </c>
    </row>
    <row r="19" spans="1:3" s="20" customFormat="1">
      <c r="A19" s="75">
        <v>6</v>
      </c>
      <c r="B19" s="397" t="s">
        <v>44</v>
      </c>
      <c r="C19" s="581">
        <f t="shared" ref="C19" si="0">SUM(C16:C18)</f>
        <v>0</v>
      </c>
    </row>
    <row r="20" spans="1:3" s="20" customFormat="1">
      <c r="A20" s="73">
        <v>7</v>
      </c>
      <c r="B20" s="78" t="s">
        <v>45</v>
      </c>
      <c r="C20" s="582">
        <v>0</v>
      </c>
    </row>
    <row r="21" spans="1:3" s="20" customFormat="1">
      <c r="A21" s="75">
        <v>8</v>
      </c>
      <c r="B21" s="397" t="s">
        <v>46</v>
      </c>
      <c r="C21" s="581">
        <f t="shared" ref="C21" si="1">SUM(C19:C20)</f>
        <v>0</v>
      </c>
    </row>
    <row r="22" spans="1:3" s="20" customFormat="1">
      <c r="A22" s="73">
        <v>9</v>
      </c>
      <c r="B22" s="79"/>
      <c r="C22" s="581"/>
    </row>
    <row r="23" spans="1:3" s="20" customFormat="1">
      <c r="A23" s="75">
        <v>10</v>
      </c>
      <c r="B23" s="78" t="s">
        <v>20</v>
      </c>
      <c r="C23" s="581"/>
    </row>
    <row r="24" spans="1:3" s="20" customFormat="1">
      <c r="A24" s="73">
        <v>11</v>
      </c>
      <c r="B24" s="78" t="s">
        <v>47</v>
      </c>
      <c r="C24" s="581"/>
    </row>
    <row r="25" spans="1:3" s="20" customFormat="1">
      <c r="A25" s="75">
        <v>12</v>
      </c>
      <c r="B25" s="397" t="s">
        <v>48</v>
      </c>
      <c r="C25" s="581">
        <v>0</v>
      </c>
    </row>
    <row r="26" spans="1:3" s="20" customFormat="1">
      <c r="A26" s="73">
        <v>13</v>
      </c>
      <c r="B26" s="397" t="s">
        <v>49</v>
      </c>
      <c r="C26" s="581">
        <v>0</v>
      </c>
    </row>
    <row r="27" spans="1:3" s="20" customFormat="1">
      <c r="A27" s="75">
        <v>14</v>
      </c>
      <c r="B27" s="397" t="s">
        <v>50</v>
      </c>
      <c r="C27" s="581">
        <v>0</v>
      </c>
    </row>
    <row r="28" spans="1:3" s="20" customFormat="1">
      <c r="A28" s="73">
        <v>15</v>
      </c>
      <c r="B28" s="393" t="s">
        <v>349</v>
      </c>
      <c r="C28" s="581"/>
    </row>
    <row r="29" spans="1:3" s="20" customFormat="1">
      <c r="A29" s="75">
        <v>16</v>
      </c>
      <c r="B29" s="397" t="s">
        <v>51</v>
      </c>
      <c r="C29" s="582">
        <v>0</v>
      </c>
    </row>
    <row r="30" spans="1:3" s="20" customFormat="1">
      <c r="A30" s="73">
        <v>17</v>
      </c>
      <c r="B30" s="398" t="s">
        <v>52</v>
      </c>
      <c r="C30" s="581">
        <f t="shared" ref="C30" si="2">SUM(C25:C29)</f>
        <v>0</v>
      </c>
    </row>
    <row r="31" spans="1:3" s="20" customFormat="1">
      <c r="A31" s="75">
        <v>18</v>
      </c>
      <c r="B31" s="79"/>
      <c r="C31" s="581"/>
    </row>
    <row r="32" spans="1:3" s="20" customFormat="1">
      <c r="A32" s="73">
        <v>19</v>
      </c>
      <c r="B32" s="78" t="s">
        <v>53</v>
      </c>
      <c r="C32" s="581"/>
    </row>
    <row r="33" spans="1:3" s="20" customFormat="1">
      <c r="A33" s="75">
        <v>20</v>
      </c>
      <c r="B33" s="397" t="s">
        <v>48</v>
      </c>
      <c r="C33" s="581">
        <v>0</v>
      </c>
    </row>
    <row r="34" spans="1:3" s="20" customFormat="1">
      <c r="A34" s="73">
        <v>21</v>
      </c>
      <c r="B34" s="397" t="s">
        <v>54</v>
      </c>
      <c r="C34" s="581">
        <v>0</v>
      </c>
    </row>
    <row r="35" spans="1:3" s="20" customFormat="1">
      <c r="A35" s="75">
        <v>22</v>
      </c>
      <c r="B35" s="397" t="s">
        <v>51</v>
      </c>
      <c r="C35" s="582">
        <v>0</v>
      </c>
    </row>
    <row r="36" spans="1:3" s="20" customFormat="1">
      <c r="A36" s="73">
        <v>23</v>
      </c>
      <c r="B36" s="398" t="s">
        <v>55</v>
      </c>
      <c r="C36" s="581">
        <f t="shared" ref="C36" si="3">SUM(C33:C35)</f>
        <v>0</v>
      </c>
    </row>
    <row r="37" spans="1:3" s="20" customFormat="1">
      <c r="A37" s="75">
        <v>24</v>
      </c>
      <c r="B37" s="79"/>
      <c r="C37" s="581"/>
    </row>
    <row r="38" spans="1:3" s="20" customFormat="1">
      <c r="A38" s="73">
        <v>25</v>
      </c>
      <c r="B38" s="78" t="s">
        <v>56</v>
      </c>
      <c r="C38" s="581">
        <v>0</v>
      </c>
    </row>
    <row r="39" spans="1:3" s="20" customFormat="1">
      <c r="A39" s="75">
        <v>26</v>
      </c>
      <c r="B39" s="78" t="s">
        <v>57</v>
      </c>
      <c r="C39" s="581">
        <v>0</v>
      </c>
    </row>
    <row r="40" spans="1:3" s="20" customFormat="1">
      <c r="A40" s="73">
        <v>27</v>
      </c>
      <c r="B40" s="78" t="s">
        <v>58</v>
      </c>
      <c r="C40" s="581">
        <v>0</v>
      </c>
    </row>
    <row r="41" spans="1:3" s="20" customFormat="1">
      <c r="A41" s="75">
        <v>28</v>
      </c>
      <c r="B41" s="79"/>
      <c r="C41" s="581">
        <v>0</v>
      </c>
    </row>
    <row r="42" spans="1:3" s="20" customFormat="1">
      <c r="A42" s="75">
        <v>29</v>
      </c>
      <c r="B42" s="78" t="s">
        <v>59</v>
      </c>
      <c r="C42" s="581">
        <v>0</v>
      </c>
    </row>
    <row r="43" spans="1:3" s="20" customFormat="1">
      <c r="A43" s="73">
        <v>30</v>
      </c>
      <c r="B43" s="397" t="s">
        <v>48</v>
      </c>
      <c r="C43" s="581">
        <v>0</v>
      </c>
    </row>
    <row r="44" spans="1:3" s="20" customFormat="1">
      <c r="A44" s="75">
        <v>31</v>
      </c>
      <c r="B44" s="397" t="s">
        <v>54</v>
      </c>
      <c r="C44" s="581">
        <v>0</v>
      </c>
    </row>
    <row r="45" spans="1:3" s="20" customFormat="1">
      <c r="A45" s="75">
        <v>32</v>
      </c>
      <c r="B45" s="397" t="s">
        <v>51</v>
      </c>
      <c r="C45" s="582">
        <v>0</v>
      </c>
    </row>
    <row r="46" spans="1:3" s="20" customFormat="1">
      <c r="A46" s="73">
        <v>33</v>
      </c>
      <c r="B46" s="398" t="s">
        <v>60</v>
      </c>
      <c r="C46" s="582">
        <f t="shared" ref="C46" si="4">SUM(C43:C45)</f>
        <v>0</v>
      </c>
    </row>
    <row r="47" spans="1:3" s="20" customFormat="1">
      <c r="A47" s="75">
        <v>34</v>
      </c>
      <c r="B47" s="78" t="s">
        <v>61</v>
      </c>
      <c r="C47" s="582">
        <f t="shared" ref="C47" si="5">C46+C40+C39+C38+C36+C30</f>
        <v>0</v>
      </c>
    </row>
    <row r="48" spans="1:3" s="20" customFormat="1">
      <c r="A48" s="75">
        <v>35</v>
      </c>
      <c r="B48" s="79"/>
      <c r="C48" s="581"/>
    </row>
    <row r="49" spans="1:3" s="20" customFormat="1">
      <c r="A49" s="73">
        <v>36</v>
      </c>
      <c r="B49" s="78" t="s">
        <v>62</v>
      </c>
      <c r="C49" s="581">
        <f t="shared" ref="C49" si="6">C21-C47</f>
        <v>0</v>
      </c>
    </row>
    <row r="50" spans="1:3" s="20" customFormat="1">
      <c r="A50" s="75">
        <v>37</v>
      </c>
      <c r="B50" s="78"/>
      <c r="C50" s="581"/>
    </row>
    <row r="51" spans="1:3" s="20" customFormat="1">
      <c r="A51" s="75">
        <v>38</v>
      </c>
      <c r="B51" s="78" t="s">
        <v>63</v>
      </c>
      <c r="C51" s="581"/>
    </row>
    <row r="52" spans="1:3" s="20" customFormat="1">
      <c r="A52" s="73">
        <v>39</v>
      </c>
      <c r="B52" s="78" t="s">
        <v>64</v>
      </c>
      <c r="C52" s="581">
        <f t="shared" ref="C52" si="7">C105</f>
        <v>0</v>
      </c>
    </row>
    <row r="53" spans="1:3" s="20" customFormat="1">
      <c r="A53" s="75">
        <v>40</v>
      </c>
      <c r="B53" s="78" t="s">
        <v>366</v>
      </c>
      <c r="C53" s="581">
        <f>ROUND(+(C77*' Capital '!$J$13)*-35%,0)</f>
        <v>-40</v>
      </c>
    </row>
    <row r="54" spans="1:3" s="20" customFormat="1">
      <c r="A54" s="75">
        <v>41</v>
      </c>
      <c r="B54" s="78" t="s">
        <v>65</v>
      </c>
      <c r="C54" s="581"/>
    </row>
    <row r="55" spans="1:3" s="20" customFormat="1">
      <c r="A55" s="73">
        <v>42</v>
      </c>
      <c r="B55" s="78" t="s">
        <v>238</v>
      </c>
      <c r="C55" s="582"/>
    </row>
    <row r="56" spans="1:3">
      <c r="A56" s="73">
        <v>45</v>
      </c>
      <c r="B56" s="79"/>
      <c r="C56" s="581"/>
    </row>
    <row r="57" spans="1:3" s="15" customFormat="1" ht="13.5" thickBot="1">
      <c r="A57" s="75">
        <v>46</v>
      </c>
      <c r="B57" s="76" t="s">
        <v>66</v>
      </c>
      <c r="C57" s="583">
        <f t="shared" ref="C57" si="8">C49-SUM(C52:C55)</f>
        <v>40</v>
      </c>
    </row>
    <row r="58" spans="1:3" ht="13.5" thickTop="1">
      <c r="A58" s="75">
        <v>47</v>
      </c>
      <c r="B58" s="2"/>
      <c r="C58" s="581"/>
    </row>
    <row r="59" spans="1:3">
      <c r="A59" s="73">
        <v>48</v>
      </c>
      <c r="B59" s="416" t="s">
        <v>21</v>
      </c>
      <c r="C59" s="581"/>
    </row>
    <row r="60" spans="1:3">
      <c r="A60" s="75">
        <v>49</v>
      </c>
      <c r="B60" s="63" t="s">
        <v>67</v>
      </c>
      <c r="C60" s="581"/>
    </row>
    <row r="61" spans="1:3" s="15" customFormat="1">
      <c r="A61" s="75">
        <v>50</v>
      </c>
      <c r="B61" s="396" t="s">
        <v>68</v>
      </c>
      <c r="C61" s="581">
        <v>0</v>
      </c>
    </row>
    <row r="62" spans="1:3" s="20" customFormat="1">
      <c r="A62" s="73">
        <v>51</v>
      </c>
      <c r="B62" s="397" t="s">
        <v>69</v>
      </c>
      <c r="C62" s="581">
        <v>0</v>
      </c>
    </row>
    <row r="63" spans="1:3" s="20" customFormat="1">
      <c r="A63" s="75">
        <v>52</v>
      </c>
      <c r="B63" s="397" t="s">
        <v>70</v>
      </c>
      <c r="C63" s="581">
        <v>0</v>
      </c>
    </row>
    <row r="64" spans="1:3" s="20" customFormat="1">
      <c r="A64" s="75">
        <v>53</v>
      </c>
      <c r="B64" s="397" t="s">
        <v>53</v>
      </c>
      <c r="C64" s="581">
        <v>0</v>
      </c>
    </row>
    <row r="65" spans="1:3" s="20" customFormat="1">
      <c r="A65" s="73">
        <v>54</v>
      </c>
      <c r="B65" s="397" t="s">
        <v>71</v>
      </c>
      <c r="C65" s="582">
        <v>0</v>
      </c>
    </row>
    <row r="66" spans="1:3" s="20" customFormat="1">
      <c r="A66" s="75">
        <v>55</v>
      </c>
      <c r="B66" s="398" t="s">
        <v>72</v>
      </c>
      <c r="C66" s="581">
        <f t="shared" ref="C66" si="9">SUM(C61:C65)</f>
        <v>0</v>
      </c>
    </row>
    <row r="67" spans="1:3" s="20" customFormat="1">
      <c r="A67" s="75">
        <v>56</v>
      </c>
      <c r="B67" s="78" t="s">
        <v>244</v>
      </c>
      <c r="C67" s="581">
        <v>0</v>
      </c>
    </row>
    <row r="68" spans="1:3" s="20" customFormat="1">
      <c r="A68" s="73">
        <v>57</v>
      </c>
      <c r="B68" s="78" t="s">
        <v>245</v>
      </c>
      <c r="C68" s="582">
        <v>0</v>
      </c>
    </row>
    <row r="69" spans="1:3" s="20" customFormat="1">
      <c r="A69" s="75">
        <v>58</v>
      </c>
      <c r="B69" s="397" t="s">
        <v>73</v>
      </c>
      <c r="C69" s="581">
        <f t="shared" ref="C69" si="10">SUM(C67:C68)</f>
        <v>0</v>
      </c>
    </row>
    <row r="70" spans="1:3" s="20" customFormat="1">
      <c r="A70" s="75">
        <v>59</v>
      </c>
      <c r="B70" s="78" t="s">
        <v>246</v>
      </c>
      <c r="C70" s="581">
        <v>0</v>
      </c>
    </row>
    <row r="71" spans="1:3" s="20" customFormat="1">
      <c r="A71" s="73">
        <v>60</v>
      </c>
      <c r="B71" s="78" t="s">
        <v>351</v>
      </c>
      <c r="C71" s="581"/>
    </row>
    <row r="72" spans="1:3" s="20" customFormat="1">
      <c r="A72" s="75">
        <v>61</v>
      </c>
      <c r="B72" s="78" t="s">
        <v>236</v>
      </c>
      <c r="C72" s="581">
        <v>3744</v>
      </c>
    </row>
    <row r="73" spans="1:3" s="20" customFormat="1">
      <c r="A73" s="75">
        <v>62</v>
      </c>
      <c r="B73" s="78" t="s">
        <v>247</v>
      </c>
      <c r="C73" s="581"/>
    </row>
    <row r="74" spans="1:3" s="20" customFormat="1">
      <c r="A74" s="73">
        <v>63</v>
      </c>
      <c r="B74" s="78" t="s">
        <v>248</v>
      </c>
      <c r="C74" s="582">
        <v>0</v>
      </c>
    </row>
    <row r="75" spans="1:3" s="20" customFormat="1">
      <c r="A75" s="75">
        <v>64</v>
      </c>
      <c r="B75" s="79"/>
      <c r="C75" s="584"/>
    </row>
    <row r="76" spans="1:3" s="20" customFormat="1">
      <c r="A76" s="75">
        <v>65</v>
      </c>
      <c r="B76" s="79"/>
      <c r="C76" s="581"/>
    </row>
    <row r="77" spans="1:3" s="15" customFormat="1" ht="13.5" thickBot="1">
      <c r="A77" s="73">
        <v>66</v>
      </c>
      <c r="B77" s="425" t="s">
        <v>74</v>
      </c>
      <c r="C77" s="585">
        <f t="shared" ref="C77" si="11">C66-C69+C70+C72+C73+C74+C71</f>
        <v>3744</v>
      </c>
    </row>
    <row r="78" spans="1:3" ht="13.5" thickTop="1">
      <c r="B78" s="83"/>
    </row>
    <row r="79" spans="1:3">
      <c r="A79" s="84"/>
      <c r="B79" s="38"/>
      <c r="C79" s="587"/>
    </row>
    <row r="80" spans="1:3">
      <c r="A80" s="89"/>
      <c r="B80" s="39"/>
    </row>
    <row r="81" spans="1:3">
      <c r="A81" s="73">
        <v>1</v>
      </c>
      <c r="B81" s="392" t="s">
        <v>116</v>
      </c>
    </row>
    <row r="82" spans="1:3">
      <c r="A82" s="73">
        <v>2</v>
      </c>
      <c r="B82" s="87" t="s">
        <v>18</v>
      </c>
      <c r="C82" s="588">
        <f t="shared" ref="C82" si="12">+C21</f>
        <v>0</v>
      </c>
    </row>
    <row r="83" spans="1:3">
      <c r="A83" s="73">
        <v>3</v>
      </c>
      <c r="B83" s="87" t="s">
        <v>19</v>
      </c>
      <c r="C83" s="581">
        <v>0</v>
      </c>
    </row>
    <row r="84" spans="1:3">
      <c r="A84" s="73">
        <v>4</v>
      </c>
      <c r="B84" s="87" t="s">
        <v>274</v>
      </c>
      <c r="C84" s="581"/>
    </row>
    <row r="85" spans="1:3">
      <c r="A85" s="73">
        <v>5</v>
      </c>
      <c r="B85" s="399" t="s">
        <v>119</v>
      </c>
      <c r="C85" s="589">
        <f t="shared" ref="C85" si="13">+C82-C83-C84</f>
        <v>0</v>
      </c>
    </row>
    <row r="86" spans="1:3">
      <c r="A86" s="73">
        <v>6</v>
      </c>
      <c r="B86" s="91"/>
      <c r="C86" s="590"/>
    </row>
    <row r="87" spans="1:3">
      <c r="A87" s="73">
        <v>7</v>
      </c>
      <c r="B87" s="86" t="s">
        <v>120</v>
      </c>
      <c r="C87" s="590"/>
    </row>
    <row r="88" spans="1:3">
      <c r="A88" s="73">
        <v>8</v>
      </c>
      <c r="B88" s="87" t="s">
        <v>121</v>
      </c>
      <c r="C88" s="590"/>
    </row>
    <row r="89" spans="1:3">
      <c r="A89" s="73">
        <v>9</v>
      </c>
      <c r="B89" s="87" t="s">
        <v>130</v>
      </c>
      <c r="C89" s="590"/>
    </row>
    <row r="90" spans="1:3">
      <c r="A90" s="73">
        <v>10</v>
      </c>
      <c r="B90" s="87" t="s">
        <v>122</v>
      </c>
      <c r="C90" s="590"/>
    </row>
    <row r="91" spans="1:3">
      <c r="A91" s="73">
        <v>11</v>
      </c>
      <c r="B91" s="39"/>
      <c r="C91" s="590"/>
    </row>
    <row r="92" spans="1:3">
      <c r="A92" s="73">
        <v>12</v>
      </c>
      <c r="B92" s="86" t="s">
        <v>123</v>
      </c>
      <c r="C92" s="589">
        <f t="shared" ref="C92" si="14">SUM(C88:C90)</f>
        <v>0</v>
      </c>
    </row>
    <row r="93" spans="1:3">
      <c r="A93" s="73">
        <v>13</v>
      </c>
      <c r="B93" s="39"/>
      <c r="C93" s="590"/>
    </row>
    <row r="94" spans="1:3">
      <c r="A94" s="73">
        <v>14</v>
      </c>
      <c r="B94" s="86" t="s">
        <v>365</v>
      </c>
      <c r="C94" s="590"/>
    </row>
    <row r="95" spans="1:3">
      <c r="A95" s="73">
        <v>15</v>
      </c>
      <c r="B95" s="86" t="s">
        <v>178</v>
      </c>
      <c r="C95" s="590"/>
    </row>
    <row r="96" spans="1:3">
      <c r="A96" s="73">
        <v>16</v>
      </c>
      <c r="B96" s="87" t="s">
        <v>177</v>
      </c>
      <c r="C96" s="590"/>
    </row>
    <row r="97" spans="1:3">
      <c r="A97" s="73">
        <v>17</v>
      </c>
      <c r="B97" s="87" t="s">
        <v>275</v>
      </c>
      <c r="C97" s="590"/>
    </row>
    <row r="98" spans="1:3">
      <c r="A98" s="73">
        <v>18</v>
      </c>
      <c r="B98" s="87"/>
      <c r="C98" s="590"/>
    </row>
    <row r="99" spans="1:3">
      <c r="A99" s="73">
        <v>19</v>
      </c>
      <c r="B99" s="86" t="s">
        <v>125</v>
      </c>
      <c r="C99" s="589">
        <f t="shared" ref="C99" si="15">SUM(C95:C97)</f>
        <v>0</v>
      </c>
    </row>
    <row r="100" spans="1:3">
      <c r="A100" s="73">
        <v>20</v>
      </c>
      <c r="B100" s="39"/>
      <c r="C100" s="590"/>
    </row>
    <row r="101" spans="1:3">
      <c r="A101" s="73">
        <v>21</v>
      </c>
      <c r="B101" s="87" t="s">
        <v>255</v>
      </c>
      <c r="C101" s="584">
        <f t="shared" ref="C101" si="16">+C85+C92-C99</f>
        <v>0</v>
      </c>
    </row>
    <row r="102" spans="1:3">
      <c r="A102" s="73">
        <v>22</v>
      </c>
      <c r="B102" s="87" t="s">
        <v>126</v>
      </c>
      <c r="C102" s="591">
        <v>0.35</v>
      </c>
    </row>
    <row r="103" spans="1:3">
      <c r="A103" s="73">
        <v>23</v>
      </c>
      <c r="B103" s="86" t="s">
        <v>127</v>
      </c>
      <c r="C103" s="592">
        <f t="shared" ref="C103" si="17">C101*C102</f>
        <v>0</v>
      </c>
    </row>
    <row r="104" spans="1:3">
      <c r="A104" s="73">
        <v>24</v>
      </c>
      <c r="B104" s="87" t="s">
        <v>128</v>
      </c>
      <c r="C104" s="590">
        <f t="shared" ref="C104" si="18">+(C95-C88+C96)*C102</f>
        <v>0</v>
      </c>
    </row>
    <row r="105" spans="1:3" ht="13.5" thickBot="1">
      <c r="A105" s="73">
        <v>25</v>
      </c>
      <c r="B105" s="95" t="s">
        <v>129</v>
      </c>
      <c r="C105" s="593">
        <f t="shared" ref="C105" si="19">+C103+C104</f>
        <v>0</v>
      </c>
    </row>
    <row r="106" spans="1:3" ht="13.5" thickTop="1">
      <c r="A106" s="89"/>
    </row>
  </sheetData>
  <printOptions horizontalCentered="1"/>
  <pageMargins left="0.5" right="0.5" top="1.5" bottom="0.3" header="0.5" footer="0.5"/>
  <pageSetup scale="60" fitToWidth="0" orientation="portrait" useFirstPageNumber="1" r:id="rId1"/>
  <headerFooter scaleWithDoc="0" alignWithMargins="0">
    <oddHeader>&amp;L&amp;"Arial,Regular"&amp;10Avista Corporation
&amp;"Arial,Bold"Electric - Restating Adjustments (Schedule 1.2)&amp;"Arial,Regular"
Twelve Months Ended December 31, 2011&amp;R&amp;"Arial,Regular"&amp;10Exhibit No. ___ (JH-2)
Docket UE-120436 &amp;&amp; UG-120437
Page &amp;P of  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6"/>
  <sheetViews>
    <sheetView topLeftCell="A9" zoomScale="75" zoomScaleNormal="75" workbookViewId="0">
      <pane xSplit="2" ySplit="4" topLeftCell="C43" activePane="bottomRight" state="frozen"/>
      <selection activeCell="G79" sqref="G79"/>
      <selection pane="topRight" activeCell="G79" sqref="G79"/>
      <selection pane="bottomLeft" activeCell="G79" sqref="G79"/>
      <selection pane="bottomRight" activeCell="C54" sqref="C54"/>
    </sheetView>
  </sheetViews>
  <sheetFormatPr defaultColWidth="9" defaultRowHeight="12.75"/>
  <cols>
    <col min="1" max="1" width="4.625" style="64" customWidth="1"/>
    <col min="2" max="2" width="42.5" style="63" bestFit="1" customWidth="1"/>
    <col min="3" max="3" width="13.625" style="586" customWidth="1"/>
    <col min="4" max="16384" width="9" style="14"/>
  </cols>
  <sheetData>
    <row r="1" spans="1:3">
      <c r="A1" s="56"/>
      <c r="B1" s="9" t="s">
        <v>281</v>
      </c>
      <c r="C1" s="572"/>
    </row>
    <row r="2" spans="1:3">
      <c r="A2" s="411"/>
      <c r="B2" s="14"/>
      <c r="C2" s="573"/>
    </row>
    <row r="3" spans="1:3">
      <c r="A3" s="411"/>
      <c r="B3" s="9"/>
      <c r="C3" s="573"/>
    </row>
    <row r="4" spans="1:3" ht="13.5" thickBot="1">
      <c r="A4" s="411"/>
      <c r="B4" s="9"/>
      <c r="C4" s="574"/>
    </row>
    <row r="5" spans="1:3" ht="13.5" thickTop="1">
      <c r="A5" s="402"/>
      <c r="B5" s="64" t="str">
        <f>+ROO!B2</f>
        <v>(000's of Dollars)</v>
      </c>
      <c r="C5" s="575"/>
    </row>
    <row r="6" spans="1:3">
      <c r="A6" s="62"/>
      <c r="B6" s="64"/>
      <c r="C6" s="575"/>
    </row>
    <row r="7" spans="1:3">
      <c r="A7" s="403"/>
      <c r="B7" s="66" t="s">
        <v>100</v>
      </c>
      <c r="C7" s="573"/>
    </row>
    <row r="8" spans="1:3">
      <c r="A8" s="403"/>
      <c r="B8" s="66"/>
      <c r="C8" s="573"/>
    </row>
    <row r="9" spans="1:3" s="70" customFormat="1">
      <c r="A9" s="69"/>
      <c r="B9" s="69"/>
      <c r="C9" s="576">
        <v>1.04</v>
      </c>
    </row>
    <row r="10" spans="1:3" s="71" customFormat="1">
      <c r="A10" s="414"/>
      <c r="B10" s="420"/>
      <c r="C10" s="577"/>
    </row>
    <row r="11" spans="1:3" s="71" customFormat="1">
      <c r="A11" s="414" t="s">
        <v>5</v>
      </c>
      <c r="B11" s="420"/>
      <c r="C11" s="577" t="s">
        <v>6</v>
      </c>
    </row>
    <row r="12" spans="1:3" s="424" customFormat="1">
      <c r="A12" s="421" t="s">
        <v>10</v>
      </c>
      <c r="B12" s="422" t="s">
        <v>11</v>
      </c>
      <c r="C12" s="579" t="s">
        <v>389</v>
      </c>
    </row>
    <row r="13" spans="1:3" s="59" customFormat="1">
      <c r="A13" s="418"/>
      <c r="B13" s="419" t="s">
        <v>155</v>
      </c>
      <c r="C13" s="573"/>
    </row>
    <row r="14" spans="1:3">
      <c r="A14" s="73">
        <v>1</v>
      </c>
      <c r="B14" s="416" t="s">
        <v>98</v>
      </c>
      <c r="C14" s="575"/>
    </row>
    <row r="15" spans="1:3">
      <c r="A15" s="75">
        <v>2</v>
      </c>
      <c r="B15" s="63" t="s">
        <v>40</v>
      </c>
      <c r="C15" s="575"/>
    </row>
    <row r="16" spans="1:3" s="15" customFormat="1">
      <c r="A16" s="73">
        <v>3</v>
      </c>
      <c r="B16" s="76" t="s">
        <v>41</v>
      </c>
      <c r="C16" s="580"/>
    </row>
    <row r="17" spans="1:3" s="20" customFormat="1">
      <c r="A17" s="75">
        <v>4</v>
      </c>
      <c r="B17" s="78" t="s">
        <v>42</v>
      </c>
      <c r="C17" s="581">
        <v>0</v>
      </c>
    </row>
    <row r="18" spans="1:3" s="20" customFormat="1">
      <c r="A18" s="73">
        <v>5</v>
      </c>
      <c r="B18" s="78" t="s">
        <v>43</v>
      </c>
      <c r="C18" s="582">
        <v>0</v>
      </c>
    </row>
    <row r="19" spans="1:3" s="20" customFormat="1">
      <c r="A19" s="75">
        <v>6</v>
      </c>
      <c r="B19" s="397" t="s">
        <v>44</v>
      </c>
      <c r="C19" s="581">
        <f t="shared" ref="C19" si="0">SUM(C16:C18)</f>
        <v>0</v>
      </c>
    </row>
    <row r="20" spans="1:3" s="20" customFormat="1">
      <c r="A20" s="73">
        <v>7</v>
      </c>
      <c r="B20" s="78" t="s">
        <v>45</v>
      </c>
      <c r="C20" s="582">
        <v>0</v>
      </c>
    </row>
    <row r="21" spans="1:3" s="20" customFormat="1">
      <c r="A21" s="75">
        <v>8</v>
      </c>
      <c r="B21" s="397" t="s">
        <v>46</v>
      </c>
      <c r="C21" s="581">
        <f t="shared" ref="C21" si="1">SUM(C19:C20)</f>
        <v>0</v>
      </c>
    </row>
    <row r="22" spans="1:3" s="20" customFormat="1">
      <c r="A22" s="73">
        <v>9</v>
      </c>
      <c r="B22" s="79"/>
      <c r="C22" s="581"/>
    </row>
    <row r="23" spans="1:3" s="20" customFormat="1">
      <c r="A23" s="75">
        <v>10</v>
      </c>
      <c r="B23" s="78" t="s">
        <v>20</v>
      </c>
      <c r="C23" s="581"/>
    </row>
    <row r="24" spans="1:3" s="20" customFormat="1">
      <c r="A24" s="73">
        <v>11</v>
      </c>
      <c r="B24" s="78" t="s">
        <v>47</v>
      </c>
      <c r="C24" s="581"/>
    </row>
    <row r="25" spans="1:3" s="20" customFormat="1">
      <c r="A25" s="75">
        <v>12</v>
      </c>
      <c r="B25" s="397" t="s">
        <v>48</v>
      </c>
      <c r="C25" s="581">
        <v>0</v>
      </c>
    </row>
    <row r="26" spans="1:3" s="20" customFormat="1">
      <c r="A26" s="73">
        <v>13</v>
      </c>
      <c r="B26" s="397" t="s">
        <v>49</v>
      </c>
      <c r="C26" s="581">
        <v>0</v>
      </c>
    </row>
    <row r="27" spans="1:3" s="20" customFormat="1">
      <c r="A27" s="75">
        <v>14</v>
      </c>
      <c r="B27" s="397" t="s">
        <v>50</v>
      </c>
      <c r="C27" s="581">
        <v>0</v>
      </c>
    </row>
    <row r="28" spans="1:3" s="20" customFormat="1">
      <c r="A28" s="73">
        <v>15</v>
      </c>
      <c r="B28" s="393" t="s">
        <v>349</v>
      </c>
      <c r="C28" s="581"/>
    </row>
    <row r="29" spans="1:3" s="20" customFormat="1">
      <c r="A29" s="75">
        <v>16</v>
      </c>
      <c r="B29" s="397" t="s">
        <v>51</v>
      </c>
      <c r="C29" s="582">
        <v>0</v>
      </c>
    </row>
    <row r="30" spans="1:3" s="20" customFormat="1">
      <c r="A30" s="73">
        <v>17</v>
      </c>
      <c r="B30" s="398" t="s">
        <v>52</v>
      </c>
      <c r="C30" s="581">
        <f t="shared" ref="C30" si="2">SUM(C25:C29)</f>
        <v>0</v>
      </c>
    </row>
    <row r="31" spans="1:3" s="20" customFormat="1">
      <c r="A31" s="75">
        <v>18</v>
      </c>
      <c r="B31" s="79"/>
      <c r="C31" s="581"/>
    </row>
    <row r="32" spans="1:3" s="20" customFormat="1">
      <c r="A32" s="73">
        <v>19</v>
      </c>
      <c r="B32" s="78" t="s">
        <v>53</v>
      </c>
      <c r="C32" s="581"/>
    </row>
    <row r="33" spans="1:3" s="20" customFormat="1">
      <c r="A33" s="75">
        <v>20</v>
      </c>
      <c r="B33" s="397" t="s">
        <v>48</v>
      </c>
      <c r="C33" s="581">
        <v>0</v>
      </c>
    </row>
    <row r="34" spans="1:3" s="20" customFormat="1">
      <c r="A34" s="73">
        <v>21</v>
      </c>
      <c r="B34" s="397" t="s">
        <v>54</v>
      </c>
      <c r="C34" s="581">
        <v>0</v>
      </c>
    </row>
    <row r="35" spans="1:3" s="20" customFormat="1">
      <c r="A35" s="75">
        <v>22</v>
      </c>
      <c r="B35" s="397" t="s">
        <v>51</v>
      </c>
      <c r="C35" s="582">
        <v>0</v>
      </c>
    </row>
    <row r="36" spans="1:3" s="20" customFormat="1">
      <c r="A36" s="73">
        <v>23</v>
      </c>
      <c r="B36" s="398" t="s">
        <v>55</v>
      </c>
      <c r="C36" s="581">
        <f t="shared" ref="C36" si="3">SUM(C33:C35)</f>
        <v>0</v>
      </c>
    </row>
    <row r="37" spans="1:3" s="20" customFormat="1">
      <c r="A37" s="75">
        <v>24</v>
      </c>
      <c r="B37" s="79"/>
      <c r="C37" s="581"/>
    </row>
    <row r="38" spans="1:3" s="20" customFormat="1">
      <c r="A38" s="73">
        <v>25</v>
      </c>
      <c r="B38" s="78" t="s">
        <v>56</v>
      </c>
      <c r="C38" s="581">
        <v>0</v>
      </c>
    </row>
    <row r="39" spans="1:3" s="20" customFormat="1">
      <c r="A39" s="75">
        <v>26</v>
      </c>
      <c r="B39" s="78" t="s">
        <v>57</v>
      </c>
      <c r="C39" s="581">
        <v>0</v>
      </c>
    </row>
    <row r="40" spans="1:3" s="20" customFormat="1">
      <c r="A40" s="73">
        <v>27</v>
      </c>
      <c r="B40" s="78" t="s">
        <v>58</v>
      </c>
      <c r="C40" s="581">
        <v>0</v>
      </c>
    </row>
    <row r="41" spans="1:3" s="20" customFormat="1">
      <c r="A41" s="75">
        <v>28</v>
      </c>
      <c r="B41" s="79"/>
      <c r="C41" s="581">
        <v>0</v>
      </c>
    </row>
    <row r="42" spans="1:3" s="20" customFormat="1">
      <c r="A42" s="75">
        <v>29</v>
      </c>
      <c r="B42" s="78" t="s">
        <v>59</v>
      </c>
      <c r="C42" s="581">
        <v>0</v>
      </c>
    </row>
    <row r="43" spans="1:3" s="20" customFormat="1">
      <c r="A43" s="73">
        <v>30</v>
      </c>
      <c r="B43" s="397" t="s">
        <v>48</v>
      </c>
      <c r="C43" s="581">
        <v>0</v>
      </c>
    </row>
    <row r="44" spans="1:3" s="20" customFormat="1">
      <c r="A44" s="75">
        <v>31</v>
      </c>
      <c r="B44" s="397" t="s">
        <v>54</v>
      </c>
      <c r="C44" s="581">
        <v>0</v>
      </c>
    </row>
    <row r="45" spans="1:3" s="20" customFormat="1">
      <c r="A45" s="75">
        <v>32</v>
      </c>
      <c r="B45" s="397" t="s">
        <v>51</v>
      </c>
      <c r="C45" s="582">
        <v>0</v>
      </c>
    </row>
    <row r="46" spans="1:3" s="20" customFormat="1">
      <c r="A46" s="73">
        <v>33</v>
      </c>
      <c r="B46" s="398" t="s">
        <v>60</v>
      </c>
      <c r="C46" s="582">
        <f t="shared" ref="C46" si="4">SUM(C43:C45)</f>
        <v>0</v>
      </c>
    </row>
    <row r="47" spans="1:3" s="20" customFormat="1">
      <c r="A47" s="75">
        <v>34</v>
      </c>
      <c r="B47" s="78" t="s">
        <v>61</v>
      </c>
      <c r="C47" s="582">
        <f t="shared" ref="C47" si="5">C46+C40+C39+C38+C36+C30</f>
        <v>0</v>
      </c>
    </row>
    <row r="48" spans="1:3" s="20" customFormat="1">
      <c r="A48" s="75">
        <v>35</v>
      </c>
      <c r="B48" s="79"/>
      <c r="C48" s="581"/>
    </row>
    <row r="49" spans="1:3" s="20" customFormat="1">
      <c r="A49" s="73">
        <v>36</v>
      </c>
      <c r="B49" s="78" t="s">
        <v>62</v>
      </c>
      <c r="C49" s="581">
        <f t="shared" ref="C49" si="6">C21-C47</f>
        <v>0</v>
      </c>
    </row>
    <row r="50" spans="1:3" s="20" customFormat="1">
      <c r="A50" s="75">
        <v>37</v>
      </c>
      <c r="B50" s="78"/>
      <c r="C50" s="581"/>
    </row>
    <row r="51" spans="1:3" s="20" customFormat="1">
      <c r="A51" s="75">
        <v>38</v>
      </c>
      <c r="B51" s="78" t="s">
        <v>63</v>
      </c>
      <c r="C51" s="581"/>
    </row>
    <row r="52" spans="1:3" s="20" customFormat="1">
      <c r="A52" s="73">
        <v>39</v>
      </c>
      <c r="B52" s="78" t="s">
        <v>64</v>
      </c>
      <c r="C52" s="581">
        <v>-312</v>
      </c>
    </row>
    <row r="53" spans="1:3" s="20" customFormat="1">
      <c r="A53" s="75">
        <v>40</v>
      </c>
      <c r="B53" s="78" t="s">
        <v>366</v>
      </c>
      <c r="C53" s="581">
        <f>+(C77*' Capital '!$J$13)*-35%</f>
        <v>0</v>
      </c>
    </row>
    <row r="54" spans="1:3" s="20" customFormat="1">
      <c r="A54" s="75">
        <v>41</v>
      </c>
      <c r="B54" s="78" t="s">
        <v>65</v>
      </c>
      <c r="C54" s="581">
        <v>-1514</v>
      </c>
    </row>
    <row r="55" spans="1:3" s="20" customFormat="1">
      <c r="A55" s="73">
        <v>42</v>
      </c>
      <c r="B55" s="78" t="s">
        <v>238</v>
      </c>
      <c r="C55" s="582"/>
    </row>
    <row r="56" spans="1:3">
      <c r="A56" s="73">
        <v>45</v>
      </c>
      <c r="B56" s="79"/>
      <c r="C56" s="581"/>
    </row>
    <row r="57" spans="1:3" s="15" customFormat="1" ht="13.5" thickBot="1">
      <c r="A57" s="75">
        <v>46</v>
      </c>
      <c r="B57" s="76" t="s">
        <v>66</v>
      </c>
      <c r="C57" s="583">
        <f t="shared" ref="C57" si="7">C49-SUM(C52:C55)</f>
        <v>1826</v>
      </c>
    </row>
    <row r="58" spans="1:3" ht="13.5" thickTop="1">
      <c r="A58" s="75">
        <v>47</v>
      </c>
      <c r="B58" s="2"/>
      <c r="C58" s="581"/>
    </row>
    <row r="59" spans="1:3">
      <c r="A59" s="73">
        <v>48</v>
      </c>
      <c r="B59" s="416" t="s">
        <v>21</v>
      </c>
      <c r="C59" s="581"/>
    </row>
    <row r="60" spans="1:3">
      <c r="A60" s="75">
        <v>49</v>
      </c>
      <c r="B60" s="63" t="s">
        <v>67</v>
      </c>
      <c r="C60" s="581"/>
    </row>
    <row r="61" spans="1:3" s="15" customFormat="1">
      <c r="A61" s="75">
        <v>50</v>
      </c>
      <c r="B61" s="396" t="s">
        <v>68</v>
      </c>
      <c r="C61" s="581">
        <v>0</v>
      </c>
    </row>
    <row r="62" spans="1:3" s="20" customFormat="1">
      <c r="A62" s="73">
        <v>51</v>
      </c>
      <c r="B62" s="397" t="s">
        <v>69</v>
      </c>
      <c r="C62" s="581">
        <v>0</v>
      </c>
    </row>
    <row r="63" spans="1:3" s="20" customFormat="1">
      <c r="A63" s="75">
        <v>52</v>
      </c>
      <c r="B63" s="397" t="s">
        <v>70</v>
      </c>
      <c r="C63" s="581">
        <v>0</v>
      </c>
    </row>
    <row r="64" spans="1:3" s="20" customFormat="1">
      <c r="A64" s="75">
        <v>53</v>
      </c>
      <c r="B64" s="397" t="s">
        <v>53</v>
      </c>
      <c r="C64" s="581">
        <v>0</v>
      </c>
    </row>
    <row r="65" spans="1:3" s="20" customFormat="1">
      <c r="A65" s="73">
        <v>54</v>
      </c>
      <c r="B65" s="397" t="s">
        <v>71</v>
      </c>
      <c r="C65" s="582">
        <v>0</v>
      </c>
    </row>
    <row r="66" spans="1:3" s="20" customFormat="1">
      <c r="A66" s="75">
        <v>55</v>
      </c>
      <c r="B66" s="398" t="s">
        <v>72</v>
      </c>
      <c r="C66" s="581">
        <f t="shared" ref="C66" si="8">SUM(C61:C65)</f>
        <v>0</v>
      </c>
    </row>
    <row r="67" spans="1:3" s="20" customFormat="1">
      <c r="A67" s="75">
        <v>56</v>
      </c>
      <c r="B67" s="78" t="s">
        <v>244</v>
      </c>
      <c r="C67" s="581">
        <v>0</v>
      </c>
    </row>
    <row r="68" spans="1:3" s="20" customFormat="1">
      <c r="A68" s="73">
        <v>57</v>
      </c>
      <c r="B68" s="78" t="s">
        <v>245</v>
      </c>
      <c r="C68" s="582">
        <v>0</v>
      </c>
    </row>
    <row r="69" spans="1:3" s="20" customFormat="1">
      <c r="A69" s="75">
        <v>58</v>
      </c>
      <c r="B69" s="397" t="s">
        <v>73</v>
      </c>
      <c r="C69" s="581">
        <f t="shared" ref="C69" si="9">SUM(C67:C68)</f>
        <v>0</v>
      </c>
    </row>
    <row r="70" spans="1:3" s="20" customFormat="1">
      <c r="A70" s="75">
        <v>59</v>
      </c>
      <c r="B70" s="78" t="s">
        <v>246</v>
      </c>
      <c r="C70" s="581">
        <v>0</v>
      </c>
    </row>
    <row r="71" spans="1:3" s="20" customFormat="1">
      <c r="A71" s="73">
        <v>60</v>
      </c>
      <c r="B71" s="78" t="s">
        <v>351</v>
      </c>
      <c r="C71" s="581"/>
    </row>
    <row r="72" spans="1:3" s="20" customFormat="1">
      <c r="A72" s="75">
        <v>61</v>
      </c>
      <c r="B72" s="78" t="s">
        <v>236</v>
      </c>
      <c r="C72" s="581">
        <v>0</v>
      </c>
    </row>
    <row r="73" spans="1:3" s="20" customFormat="1">
      <c r="A73" s="75">
        <v>62</v>
      </c>
      <c r="B73" s="78" t="s">
        <v>247</v>
      </c>
      <c r="C73" s="581"/>
    </row>
    <row r="74" spans="1:3" s="20" customFormat="1">
      <c r="A74" s="73">
        <v>63</v>
      </c>
      <c r="B74" s="78" t="s">
        <v>248</v>
      </c>
      <c r="C74" s="582">
        <v>0</v>
      </c>
    </row>
    <row r="75" spans="1:3" s="20" customFormat="1">
      <c r="A75" s="75">
        <v>64</v>
      </c>
      <c r="B75" s="79"/>
      <c r="C75" s="584"/>
    </row>
    <row r="76" spans="1:3" s="20" customFormat="1">
      <c r="A76" s="75">
        <v>65</v>
      </c>
      <c r="B76" s="79"/>
      <c r="C76" s="581"/>
    </row>
    <row r="77" spans="1:3" s="15" customFormat="1" ht="13.5" thickBot="1">
      <c r="A77" s="73">
        <v>66</v>
      </c>
      <c r="B77" s="425" t="s">
        <v>74</v>
      </c>
      <c r="C77" s="585">
        <f t="shared" ref="C77" si="10">C66-C69+C70+C72+C73+C74+C71</f>
        <v>0</v>
      </c>
    </row>
    <row r="78" spans="1:3" ht="13.5" thickTop="1">
      <c r="B78" s="83"/>
    </row>
    <row r="79" spans="1:3">
      <c r="A79" s="84"/>
      <c r="B79" s="38"/>
      <c r="C79" s="587"/>
    </row>
    <row r="80" spans="1:3">
      <c r="A80" s="89"/>
      <c r="B80" s="39"/>
    </row>
    <row r="81" spans="1:3">
      <c r="A81" s="73">
        <v>1</v>
      </c>
      <c r="B81" s="392" t="s">
        <v>116</v>
      </c>
    </row>
    <row r="82" spans="1:3">
      <c r="A82" s="73">
        <v>2</v>
      </c>
      <c r="B82" s="87" t="s">
        <v>18</v>
      </c>
      <c r="C82" s="588">
        <f t="shared" ref="C82" si="11">+C21</f>
        <v>0</v>
      </c>
    </row>
    <row r="83" spans="1:3">
      <c r="A83" s="73">
        <v>3</v>
      </c>
      <c r="B83" s="87" t="s">
        <v>19</v>
      </c>
      <c r="C83" s="581">
        <v>0</v>
      </c>
    </row>
    <row r="84" spans="1:3">
      <c r="A84" s="73">
        <v>4</v>
      </c>
      <c r="B84" s="87" t="s">
        <v>274</v>
      </c>
      <c r="C84" s="581"/>
    </row>
    <row r="85" spans="1:3">
      <c r="A85" s="73">
        <v>5</v>
      </c>
      <c r="B85" s="399" t="s">
        <v>119</v>
      </c>
      <c r="C85" s="589">
        <f t="shared" ref="C85" si="12">+C82-C83-C84</f>
        <v>0</v>
      </c>
    </row>
    <row r="86" spans="1:3">
      <c r="A86" s="73">
        <v>6</v>
      </c>
      <c r="B86" s="91"/>
      <c r="C86" s="590"/>
    </row>
    <row r="87" spans="1:3">
      <c r="A87" s="73">
        <v>7</v>
      </c>
      <c r="B87" s="86" t="s">
        <v>120</v>
      </c>
      <c r="C87" s="590"/>
    </row>
    <row r="88" spans="1:3">
      <c r="A88" s="73">
        <v>8</v>
      </c>
      <c r="B88" s="87" t="s">
        <v>121</v>
      </c>
      <c r="C88" s="590"/>
    </row>
    <row r="89" spans="1:3">
      <c r="A89" s="73">
        <v>9</v>
      </c>
      <c r="B89" s="87" t="s">
        <v>130</v>
      </c>
      <c r="C89" s="590"/>
    </row>
    <row r="90" spans="1:3">
      <c r="A90" s="73">
        <v>10</v>
      </c>
      <c r="B90" s="87" t="s">
        <v>122</v>
      </c>
      <c r="C90" s="590"/>
    </row>
    <row r="91" spans="1:3">
      <c r="A91" s="73">
        <v>11</v>
      </c>
      <c r="B91" s="39"/>
      <c r="C91" s="590"/>
    </row>
    <row r="92" spans="1:3">
      <c r="A92" s="73">
        <v>12</v>
      </c>
      <c r="B92" s="86" t="s">
        <v>123</v>
      </c>
      <c r="C92" s="589">
        <f t="shared" ref="C92" si="13">SUM(C88:C90)</f>
        <v>0</v>
      </c>
    </row>
    <row r="93" spans="1:3">
      <c r="A93" s="73">
        <v>13</v>
      </c>
      <c r="B93" s="39"/>
      <c r="C93" s="590"/>
    </row>
    <row r="94" spans="1:3">
      <c r="A94" s="73">
        <v>14</v>
      </c>
      <c r="B94" s="86" t="s">
        <v>365</v>
      </c>
      <c r="C94" s="590"/>
    </row>
    <row r="95" spans="1:3">
      <c r="A95" s="73">
        <v>15</v>
      </c>
      <c r="B95" s="86" t="s">
        <v>178</v>
      </c>
      <c r="C95" s="590"/>
    </row>
    <row r="96" spans="1:3">
      <c r="A96" s="73">
        <v>16</v>
      </c>
      <c r="B96" s="87" t="s">
        <v>177</v>
      </c>
      <c r="C96" s="590"/>
    </row>
    <row r="97" spans="1:3">
      <c r="A97" s="73">
        <v>17</v>
      </c>
      <c r="B97" s="87" t="s">
        <v>275</v>
      </c>
      <c r="C97" s="590"/>
    </row>
    <row r="98" spans="1:3">
      <c r="A98" s="73">
        <v>18</v>
      </c>
      <c r="B98" s="87"/>
      <c r="C98" s="590"/>
    </row>
    <row r="99" spans="1:3">
      <c r="A99" s="73">
        <v>19</v>
      </c>
      <c r="B99" s="86" t="s">
        <v>125</v>
      </c>
      <c r="C99" s="589">
        <f t="shared" ref="C99" si="14">SUM(C95:C97)</f>
        <v>0</v>
      </c>
    </row>
    <row r="100" spans="1:3">
      <c r="A100" s="73">
        <v>20</v>
      </c>
      <c r="B100" s="39"/>
      <c r="C100" s="590"/>
    </row>
    <row r="101" spans="1:3">
      <c r="A101" s="73">
        <v>21</v>
      </c>
      <c r="B101" s="87" t="s">
        <v>255</v>
      </c>
      <c r="C101" s="584">
        <f t="shared" ref="C101" si="15">+C85+C92-C99</f>
        <v>0</v>
      </c>
    </row>
    <row r="102" spans="1:3">
      <c r="A102" s="73">
        <v>22</v>
      </c>
      <c r="B102" s="87" t="s">
        <v>126</v>
      </c>
      <c r="C102" s="591">
        <v>0.35</v>
      </c>
    </row>
    <row r="103" spans="1:3">
      <c r="A103" s="73">
        <v>23</v>
      </c>
      <c r="B103" s="86" t="s">
        <v>127</v>
      </c>
      <c r="C103" s="592">
        <f t="shared" ref="C103" si="16">C101*C102</f>
        <v>0</v>
      </c>
    </row>
    <row r="104" spans="1:3">
      <c r="A104" s="73">
        <v>24</v>
      </c>
      <c r="B104" s="87" t="s">
        <v>128</v>
      </c>
      <c r="C104" s="590">
        <f t="shared" ref="C104" si="17">+(C95-C88+C96)*C102</f>
        <v>0</v>
      </c>
    </row>
    <row r="105" spans="1:3" ht="13.5" thickBot="1">
      <c r="A105" s="73">
        <v>25</v>
      </c>
      <c r="B105" s="95" t="s">
        <v>129</v>
      </c>
      <c r="C105" s="593">
        <f t="shared" ref="C105" si="18">+C103+C104</f>
        <v>0</v>
      </c>
    </row>
    <row r="106" spans="1:3" ht="13.5" thickTop="1">
      <c r="A106" s="89"/>
    </row>
  </sheetData>
  <printOptions horizontalCentered="1"/>
  <pageMargins left="0.5" right="0.5" top="1.5" bottom="0.3" header="0.5" footer="0.5"/>
  <pageSetup scale="60" fitToWidth="0" orientation="portrait" useFirstPageNumber="1" r:id="rId1"/>
  <headerFooter scaleWithDoc="0" alignWithMargins="0">
    <oddHeader>&amp;L&amp;"Arial,Regular"&amp;10Avista Corporation
&amp;"Arial,Bold"Electric - Restating Adjustments (Schedule 1.2)&amp;"Arial,Regular"
Twelve Months Ended December 31, 2011&amp;R&amp;"Arial,Regular"&amp;10Exhibit No. ___ (JH-2)
Docket UE-120436 &amp;&amp; UG-120437
Page &amp;P of  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6"/>
  <sheetViews>
    <sheetView topLeftCell="A9" zoomScale="75" zoomScaleNormal="75" workbookViewId="0">
      <pane xSplit="2" ySplit="4" topLeftCell="C25" activePane="bottomRight" state="frozen"/>
      <selection activeCell="G79" sqref="G79"/>
      <selection pane="topRight" activeCell="G79" sqref="G79"/>
      <selection pane="bottomLeft" activeCell="G79" sqref="G79"/>
      <selection pane="bottomRight" activeCell="C52" sqref="C52"/>
    </sheetView>
  </sheetViews>
  <sheetFormatPr defaultColWidth="9" defaultRowHeight="12.75"/>
  <cols>
    <col min="1" max="1" width="4.625" style="64" customWidth="1"/>
    <col min="2" max="2" width="42.5" style="63" bestFit="1" customWidth="1"/>
    <col min="3" max="3" width="13.625" style="74" customWidth="1"/>
    <col min="4" max="16384" width="9" style="14"/>
  </cols>
  <sheetData>
    <row r="1" spans="1:3">
      <c r="A1" s="56"/>
      <c r="B1" s="9" t="s">
        <v>281</v>
      </c>
      <c r="C1" s="58"/>
    </row>
    <row r="2" spans="1:3">
      <c r="A2" s="411"/>
      <c r="B2" s="14"/>
      <c r="C2" s="66" t="s">
        <v>251</v>
      </c>
    </row>
    <row r="3" spans="1:3">
      <c r="A3" s="411"/>
      <c r="B3" s="9"/>
      <c r="C3" s="66"/>
    </row>
    <row r="4" spans="1:3" ht="13.5" thickBot="1">
      <c r="A4" s="411"/>
      <c r="B4" s="9"/>
      <c r="C4" s="413"/>
    </row>
    <row r="5" spans="1:3" ht="13.5" thickTop="1">
      <c r="A5" s="402"/>
      <c r="B5" s="64" t="str">
        <f>+ROO!B2</f>
        <v>(000's of Dollars)</v>
      </c>
      <c r="C5" s="65"/>
    </row>
    <row r="6" spans="1:3">
      <c r="A6" s="62"/>
      <c r="B6" s="64"/>
      <c r="C6" s="65"/>
    </row>
    <row r="7" spans="1:3">
      <c r="A7" s="403"/>
      <c r="B7" s="66" t="s">
        <v>100</v>
      </c>
      <c r="C7" s="66" t="s">
        <v>104</v>
      </c>
    </row>
    <row r="8" spans="1:3">
      <c r="A8" s="403"/>
      <c r="B8" s="66"/>
      <c r="C8" s="66"/>
    </row>
    <row r="9" spans="1:3" s="70" customFormat="1">
      <c r="A9" s="69"/>
      <c r="B9" s="69"/>
      <c r="C9" s="546">
        <v>2.0099999999999998</v>
      </c>
    </row>
    <row r="10" spans="1:3" s="71" customFormat="1">
      <c r="A10" s="414"/>
      <c r="B10" s="420"/>
      <c r="C10" s="68" t="s">
        <v>2</v>
      </c>
    </row>
    <row r="11" spans="1:3" s="71" customFormat="1">
      <c r="A11" s="414" t="s">
        <v>5</v>
      </c>
      <c r="B11" s="420"/>
      <c r="C11" s="68" t="s">
        <v>345</v>
      </c>
    </row>
    <row r="12" spans="1:3" s="424" customFormat="1">
      <c r="A12" s="421" t="s">
        <v>10</v>
      </c>
      <c r="B12" s="422" t="s">
        <v>11</v>
      </c>
      <c r="C12" s="423" t="s">
        <v>15</v>
      </c>
    </row>
    <row r="13" spans="1:3" s="59" customFormat="1">
      <c r="A13" s="418"/>
      <c r="B13" s="419" t="s">
        <v>155</v>
      </c>
      <c r="C13" s="66"/>
    </row>
    <row r="14" spans="1:3">
      <c r="A14" s="73">
        <v>1</v>
      </c>
      <c r="B14" s="416" t="s">
        <v>98</v>
      </c>
      <c r="C14" s="65"/>
    </row>
    <row r="15" spans="1:3">
      <c r="A15" s="75">
        <v>2</v>
      </c>
      <c r="B15" s="63" t="s">
        <v>40</v>
      </c>
      <c r="C15" s="65"/>
    </row>
    <row r="16" spans="1:3" s="15" customFormat="1">
      <c r="A16" s="73">
        <v>3</v>
      </c>
      <c r="B16" s="76" t="s">
        <v>41</v>
      </c>
      <c r="C16" s="566">
        <v>-16360</v>
      </c>
    </row>
    <row r="17" spans="1:3" s="20" customFormat="1">
      <c r="A17" s="75">
        <v>4</v>
      </c>
      <c r="B17" s="78" t="s">
        <v>42</v>
      </c>
      <c r="C17" s="23">
        <v>0</v>
      </c>
    </row>
    <row r="18" spans="1:3" s="20" customFormat="1">
      <c r="A18" s="73">
        <v>5</v>
      </c>
      <c r="B18" s="78" t="s">
        <v>43</v>
      </c>
      <c r="C18" s="24">
        <v>0</v>
      </c>
    </row>
    <row r="19" spans="1:3" s="20" customFormat="1">
      <c r="A19" s="75">
        <v>6</v>
      </c>
      <c r="B19" s="397" t="s">
        <v>44</v>
      </c>
      <c r="C19" s="23">
        <f t="shared" ref="C19" si="0">SUM(C16:C18)</f>
        <v>-16360</v>
      </c>
    </row>
    <row r="20" spans="1:3" s="20" customFormat="1">
      <c r="A20" s="73">
        <v>7</v>
      </c>
      <c r="B20" s="78" t="s">
        <v>45</v>
      </c>
      <c r="C20" s="24">
        <v>-18</v>
      </c>
    </row>
    <row r="21" spans="1:3" s="20" customFormat="1">
      <c r="A21" s="75">
        <v>8</v>
      </c>
      <c r="B21" s="397" t="s">
        <v>46</v>
      </c>
      <c r="C21" s="23">
        <f t="shared" ref="C21" si="1">SUM(C19:C20)</f>
        <v>-16378</v>
      </c>
    </row>
    <row r="22" spans="1:3" s="20" customFormat="1">
      <c r="A22" s="73">
        <v>9</v>
      </c>
      <c r="B22" s="79"/>
      <c r="C22" s="23"/>
    </row>
    <row r="23" spans="1:3" s="20" customFormat="1">
      <c r="A23" s="75">
        <v>10</v>
      </c>
      <c r="B23" s="78" t="s">
        <v>20</v>
      </c>
      <c r="C23" s="23"/>
    </row>
    <row r="24" spans="1:3" s="20" customFormat="1">
      <c r="A24" s="73">
        <v>11</v>
      </c>
      <c r="B24" s="78" t="s">
        <v>47</v>
      </c>
      <c r="C24" s="23"/>
    </row>
    <row r="25" spans="1:3" s="20" customFormat="1">
      <c r="A25" s="75">
        <v>12</v>
      </c>
      <c r="B25" s="397" t="s">
        <v>48</v>
      </c>
      <c r="C25" s="23">
        <v>0</v>
      </c>
    </row>
    <row r="26" spans="1:3" s="20" customFormat="1">
      <c r="A26" s="73">
        <v>13</v>
      </c>
      <c r="B26" s="397" t="s">
        <v>49</v>
      </c>
      <c r="C26" s="23">
        <v>0</v>
      </c>
    </row>
    <row r="27" spans="1:3" s="20" customFormat="1">
      <c r="A27" s="75">
        <v>14</v>
      </c>
      <c r="B27" s="397" t="s">
        <v>50</v>
      </c>
      <c r="C27" s="23">
        <v>0</v>
      </c>
    </row>
    <row r="28" spans="1:3" s="20" customFormat="1">
      <c r="A28" s="73">
        <v>15</v>
      </c>
      <c r="B28" s="393" t="s">
        <v>349</v>
      </c>
      <c r="C28" s="23"/>
    </row>
    <row r="29" spans="1:3" s="20" customFormat="1">
      <c r="A29" s="75">
        <v>16</v>
      </c>
      <c r="B29" s="397" t="s">
        <v>51</v>
      </c>
      <c r="C29" s="24">
        <v>0</v>
      </c>
    </row>
    <row r="30" spans="1:3" s="20" customFormat="1">
      <c r="A30" s="73">
        <v>17</v>
      </c>
      <c r="B30" s="398" t="s">
        <v>52</v>
      </c>
      <c r="C30" s="23">
        <f t="shared" ref="C30" si="2">SUM(C25:C29)</f>
        <v>0</v>
      </c>
    </row>
    <row r="31" spans="1:3" s="20" customFormat="1">
      <c r="A31" s="75">
        <v>18</v>
      </c>
      <c r="B31" s="79"/>
      <c r="C31" s="23"/>
    </row>
    <row r="32" spans="1:3" s="20" customFormat="1">
      <c r="A32" s="73">
        <v>19</v>
      </c>
      <c r="B32" s="78" t="s">
        <v>53</v>
      </c>
      <c r="C32" s="23"/>
    </row>
    <row r="33" spans="1:3" s="20" customFormat="1">
      <c r="A33" s="75">
        <v>20</v>
      </c>
      <c r="B33" s="397" t="s">
        <v>48</v>
      </c>
      <c r="C33" s="23">
        <v>0</v>
      </c>
    </row>
    <row r="34" spans="1:3" s="20" customFormat="1">
      <c r="A34" s="73">
        <v>21</v>
      </c>
      <c r="B34" s="397" t="s">
        <v>54</v>
      </c>
      <c r="C34" s="23">
        <v>0</v>
      </c>
    </row>
    <row r="35" spans="1:3" s="20" customFormat="1">
      <c r="A35" s="75">
        <v>22</v>
      </c>
      <c r="B35" s="397" t="s">
        <v>51</v>
      </c>
      <c r="C35" s="24">
        <v>-16308</v>
      </c>
    </row>
    <row r="36" spans="1:3" s="20" customFormat="1">
      <c r="A36" s="73">
        <v>23</v>
      </c>
      <c r="B36" s="398" t="s">
        <v>55</v>
      </c>
      <c r="C36" s="23">
        <f t="shared" ref="C36" si="3">SUM(C33:C35)</f>
        <v>-16308</v>
      </c>
    </row>
    <row r="37" spans="1:3" s="20" customFormat="1">
      <c r="A37" s="75">
        <v>24</v>
      </c>
      <c r="B37" s="79"/>
      <c r="C37" s="23"/>
    </row>
    <row r="38" spans="1:3" s="20" customFormat="1">
      <c r="A38" s="73">
        <v>25</v>
      </c>
      <c r="B38" s="78" t="s">
        <v>56</v>
      </c>
      <c r="C38" s="23">
        <v>0</v>
      </c>
    </row>
    <row r="39" spans="1:3" s="20" customFormat="1">
      <c r="A39" s="75">
        <v>26</v>
      </c>
      <c r="B39" s="78" t="s">
        <v>57</v>
      </c>
      <c r="C39" s="23">
        <v>0</v>
      </c>
    </row>
    <row r="40" spans="1:3" s="20" customFormat="1">
      <c r="A40" s="73">
        <v>27</v>
      </c>
      <c r="B40" s="78" t="s">
        <v>58</v>
      </c>
      <c r="C40" s="23">
        <v>0</v>
      </c>
    </row>
    <row r="41" spans="1:3" s="20" customFormat="1">
      <c r="A41" s="75">
        <v>28</v>
      </c>
      <c r="B41" s="79"/>
      <c r="C41" s="23">
        <v>0</v>
      </c>
    </row>
    <row r="42" spans="1:3" s="20" customFormat="1">
      <c r="A42" s="75">
        <v>29</v>
      </c>
      <c r="B42" s="78" t="s">
        <v>59</v>
      </c>
      <c r="C42" s="23">
        <v>0</v>
      </c>
    </row>
    <row r="43" spans="1:3" s="20" customFormat="1">
      <c r="A43" s="73">
        <v>30</v>
      </c>
      <c r="B43" s="397" t="s">
        <v>48</v>
      </c>
      <c r="C43" s="23">
        <v>0</v>
      </c>
    </row>
    <row r="44" spans="1:3" s="20" customFormat="1">
      <c r="A44" s="75">
        <v>31</v>
      </c>
      <c r="B44" s="397" t="s">
        <v>54</v>
      </c>
      <c r="C44" s="23">
        <v>0</v>
      </c>
    </row>
    <row r="45" spans="1:3" s="20" customFormat="1">
      <c r="A45" s="75">
        <v>32</v>
      </c>
      <c r="B45" s="397" t="s">
        <v>51</v>
      </c>
      <c r="C45" s="24">
        <v>0</v>
      </c>
    </row>
    <row r="46" spans="1:3" s="20" customFormat="1">
      <c r="A46" s="73">
        <v>33</v>
      </c>
      <c r="B46" s="398" t="s">
        <v>60</v>
      </c>
      <c r="C46" s="24">
        <f t="shared" ref="C46" si="4">SUM(C43:C45)</f>
        <v>0</v>
      </c>
    </row>
    <row r="47" spans="1:3" s="20" customFormat="1">
      <c r="A47" s="75">
        <v>34</v>
      </c>
      <c r="B47" s="78" t="s">
        <v>61</v>
      </c>
      <c r="C47" s="24">
        <f t="shared" ref="C47" si="5">C46+C40+C39+C38+C36+C30</f>
        <v>-16308</v>
      </c>
    </row>
    <row r="48" spans="1:3" s="20" customFormat="1">
      <c r="A48" s="75">
        <v>35</v>
      </c>
      <c r="B48" s="79"/>
      <c r="C48" s="23"/>
    </row>
    <row r="49" spans="1:3" s="20" customFormat="1">
      <c r="A49" s="73">
        <v>36</v>
      </c>
      <c r="B49" s="78" t="s">
        <v>62</v>
      </c>
      <c r="C49" s="23">
        <f t="shared" ref="C49" si="6">C21-C47</f>
        <v>-70</v>
      </c>
    </row>
    <row r="50" spans="1:3" s="20" customFormat="1">
      <c r="A50" s="75">
        <v>37</v>
      </c>
      <c r="B50" s="78"/>
      <c r="C50" s="23"/>
    </row>
    <row r="51" spans="1:3" s="20" customFormat="1">
      <c r="A51" s="75">
        <v>38</v>
      </c>
      <c r="B51" s="78" t="s">
        <v>63</v>
      </c>
      <c r="C51" s="23"/>
    </row>
    <row r="52" spans="1:3" s="20" customFormat="1">
      <c r="A52" s="73">
        <v>39</v>
      </c>
      <c r="B52" s="78" t="s">
        <v>64</v>
      </c>
      <c r="C52" s="23">
        <f>+ROUND(C105,0)</f>
        <v>-25</v>
      </c>
    </row>
    <row r="53" spans="1:3" s="20" customFormat="1">
      <c r="A53" s="75">
        <v>40</v>
      </c>
      <c r="B53" s="78" t="s">
        <v>366</v>
      </c>
      <c r="C53" s="23">
        <v>0</v>
      </c>
    </row>
    <row r="54" spans="1:3" s="20" customFormat="1">
      <c r="A54" s="75">
        <v>41</v>
      </c>
      <c r="B54" s="78" t="s">
        <v>65</v>
      </c>
      <c r="C54" s="23"/>
    </row>
    <row r="55" spans="1:3" s="20" customFormat="1">
      <c r="A55" s="73">
        <v>42</v>
      </c>
      <c r="B55" s="78" t="s">
        <v>238</v>
      </c>
      <c r="C55" s="24"/>
    </row>
    <row r="56" spans="1:3">
      <c r="A56" s="73">
        <v>45</v>
      </c>
      <c r="B56" s="79"/>
      <c r="C56" s="23"/>
    </row>
    <row r="57" spans="1:3" s="15" customFormat="1" ht="13.5" thickBot="1">
      <c r="A57" s="75">
        <v>46</v>
      </c>
      <c r="B57" s="76" t="s">
        <v>66</v>
      </c>
      <c r="C57" s="567">
        <f t="shared" ref="C57" si="7">C49-SUM(C52:C55)</f>
        <v>-45</v>
      </c>
    </row>
    <row r="58" spans="1:3" ht="13.5" thickTop="1">
      <c r="A58" s="75">
        <v>47</v>
      </c>
      <c r="B58" s="2"/>
      <c r="C58" s="23"/>
    </row>
    <row r="59" spans="1:3">
      <c r="A59" s="73">
        <v>48</v>
      </c>
      <c r="B59" s="416" t="s">
        <v>21</v>
      </c>
      <c r="C59" s="23"/>
    </row>
    <row r="60" spans="1:3">
      <c r="A60" s="75">
        <v>49</v>
      </c>
      <c r="B60" s="63" t="s">
        <v>67</v>
      </c>
      <c r="C60" s="23"/>
    </row>
    <row r="61" spans="1:3" s="15" customFormat="1">
      <c r="A61" s="75">
        <v>50</v>
      </c>
      <c r="B61" s="396" t="s">
        <v>68</v>
      </c>
      <c r="C61" s="23">
        <v>0</v>
      </c>
    </row>
    <row r="62" spans="1:3" s="20" customFormat="1">
      <c r="A62" s="73">
        <v>51</v>
      </c>
      <c r="B62" s="397" t="s">
        <v>69</v>
      </c>
      <c r="C62" s="23">
        <v>0</v>
      </c>
    </row>
    <row r="63" spans="1:3" s="20" customFormat="1">
      <c r="A63" s="75">
        <v>52</v>
      </c>
      <c r="B63" s="397" t="s">
        <v>70</v>
      </c>
      <c r="C63" s="23">
        <v>0</v>
      </c>
    </row>
    <row r="64" spans="1:3" s="20" customFormat="1">
      <c r="A64" s="75">
        <v>53</v>
      </c>
      <c r="B64" s="397" t="s">
        <v>53</v>
      </c>
      <c r="C64" s="23">
        <v>0</v>
      </c>
    </row>
    <row r="65" spans="1:3" s="20" customFormat="1">
      <c r="A65" s="73">
        <v>54</v>
      </c>
      <c r="B65" s="397" t="s">
        <v>71</v>
      </c>
      <c r="C65" s="24">
        <v>0</v>
      </c>
    </row>
    <row r="66" spans="1:3" s="20" customFormat="1">
      <c r="A66" s="75">
        <v>55</v>
      </c>
      <c r="B66" s="398" t="s">
        <v>72</v>
      </c>
      <c r="C66" s="23">
        <f t="shared" ref="C66" si="8">SUM(C61:C65)</f>
        <v>0</v>
      </c>
    </row>
    <row r="67" spans="1:3" s="20" customFormat="1">
      <c r="A67" s="75">
        <v>56</v>
      </c>
      <c r="B67" s="78" t="s">
        <v>244</v>
      </c>
      <c r="C67" s="23">
        <v>0</v>
      </c>
    </row>
    <row r="68" spans="1:3" s="20" customFormat="1">
      <c r="A68" s="73">
        <v>57</v>
      </c>
      <c r="B68" s="78" t="s">
        <v>245</v>
      </c>
      <c r="C68" s="24">
        <v>0</v>
      </c>
    </row>
    <row r="69" spans="1:3" s="20" customFormat="1">
      <c r="A69" s="75">
        <v>58</v>
      </c>
      <c r="B69" s="397" t="s">
        <v>73</v>
      </c>
      <c r="C69" s="23">
        <f t="shared" ref="C69" si="9">SUM(C67:C68)</f>
        <v>0</v>
      </c>
    </row>
    <row r="70" spans="1:3" s="20" customFormat="1">
      <c r="A70" s="75">
        <v>59</v>
      </c>
      <c r="B70" s="78" t="s">
        <v>246</v>
      </c>
      <c r="C70" s="23">
        <v>0</v>
      </c>
    </row>
    <row r="71" spans="1:3" s="20" customFormat="1">
      <c r="A71" s="73">
        <v>60</v>
      </c>
      <c r="B71" s="78" t="s">
        <v>351</v>
      </c>
      <c r="C71" s="23"/>
    </row>
    <row r="72" spans="1:3" s="20" customFormat="1">
      <c r="A72" s="75">
        <v>61</v>
      </c>
      <c r="B72" s="78" t="s">
        <v>236</v>
      </c>
      <c r="C72" s="23"/>
    </row>
    <row r="73" spans="1:3" s="20" customFormat="1">
      <c r="A73" s="75">
        <v>62</v>
      </c>
      <c r="B73" s="78" t="s">
        <v>247</v>
      </c>
      <c r="C73" s="23"/>
    </row>
    <row r="74" spans="1:3" s="20" customFormat="1">
      <c r="A74" s="73">
        <v>63</v>
      </c>
      <c r="B74" s="78" t="s">
        <v>248</v>
      </c>
      <c r="C74" s="24">
        <v>0</v>
      </c>
    </row>
    <row r="75" spans="1:3" s="20" customFormat="1">
      <c r="A75" s="75">
        <v>64</v>
      </c>
      <c r="B75" s="79"/>
      <c r="C75" s="28"/>
    </row>
    <row r="76" spans="1:3" s="20" customFormat="1">
      <c r="A76" s="75">
        <v>65</v>
      </c>
      <c r="B76" s="79"/>
      <c r="C76" s="23"/>
    </row>
    <row r="77" spans="1:3" s="15" customFormat="1" ht="13.5" thickBot="1">
      <c r="A77" s="73">
        <v>66</v>
      </c>
      <c r="B77" s="425" t="s">
        <v>74</v>
      </c>
      <c r="C77" s="568">
        <f t="shared" ref="C77" si="10">C66-C69+C70+C72+C73+C74+C71</f>
        <v>0</v>
      </c>
    </row>
    <row r="78" spans="1:3" ht="13.5" thickTop="1">
      <c r="B78" s="83"/>
    </row>
    <row r="79" spans="1:3">
      <c r="A79" s="84"/>
      <c r="B79" s="38"/>
      <c r="C79" s="57"/>
    </row>
    <row r="80" spans="1:3">
      <c r="A80" s="89"/>
      <c r="B80" s="39"/>
    </row>
    <row r="81" spans="1:3">
      <c r="A81" s="73">
        <v>1</v>
      </c>
      <c r="B81" s="392" t="s">
        <v>116</v>
      </c>
    </row>
    <row r="82" spans="1:3">
      <c r="A82" s="73">
        <v>2</v>
      </c>
      <c r="B82" s="87" t="s">
        <v>18</v>
      </c>
      <c r="C82" s="82">
        <f t="shared" ref="C82" si="11">+C21</f>
        <v>-16378</v>
      </c>
    </row>
    <row r="83" spans="1:3">
      <c r="A83" s="73">
        <v>3</v>
      </c>
      <c r="B83" s="87" t="s">
        <v>19</v>
      </c>
      <c r="C83" s="23">
        <f t="shared" ref="C83" si="12">+C47</f>
        <v>-16308</v>
      </c>
    </row>
    <row r="84" spans="1:3">
      <c r="A84" s="73">
        <v>4</v>
      </c>
      <c r="B84" s="87" t="s">
        <v>274</v>
      </c>
      <c r="C84" s="23"/>
    </row>
    <row r="85" spans="1:3">
      <c r="A85" s="73">
        <v>5</v>
      </c>
      <c r="B85" s="399" t="s">
        <v>119</v>
      </c>
      <c r="C85" s="27">
        <f t="shared" ref="C85" si="13">+C82-C83-C84</f>
        <v>-70</v>
      </c>
    </row>
    <row r="86" spans="1:3">
      <c r="A86" s="73">
        <v>6</v>
      </c>
      <c r="B86" s="91"/>
      <c r="C86" s="80"/>
    </row>
    <row r="87" spans="1:3">
      <c r="A87" s="73">
        <v>7</v>
      </c>
      <c r="B87" s="86" t="s">
        <v>120</v>
      </c>
      <c r="C87" s="80"/>
    </row>
    <row r="88" spans="1:3">
      <c r="A88" s="73">
        <v>8</v>
      </c>
      <c r="B88" s="87" t="s">
        <v>121</v>
      </c>
      <c r="C88" s="80"/>
    </row>
    <row r="89" spans="1:3">
      <c r="A89" s="73">
        <v>9</v>
      </c>
      <c r="B89" s="87" t="s">
        <v>130</v>
      </c>
      <c r="C89" s="80"/>
    </row>
    <row r="90" spans="1:3">
      <c r="A90" s="73">
        <v>10</v>
      </c>
      <c r="B90" s="87" t="s">
        <v>122</v>
      </c>
      <c r="C90" s="80"/>
    </row>
    <row r="91" spans="1:3">
      <c r="A91" s="73">
        <v>11</v>
      </c>
      <c r="B91" s="39"/>
      <c r="C91" s="80"/>
    </row>
    <row r="92" spans="1:3">
      <c r="A92" s="73">
        <v>12</v>
      </c>
      <c r="B92" s="86" t="s">
        <v>123</v>
      </c>
      <c r="C92" s="27">
        <f t="shared" ref="C92" si="14">SUM(C88:C90)</f>
        <v>0</v>
      </c>
    </row>
    <row r="93" spans="1:3">
      <c r="A93" s="73">
        <v>13</v>
      </c>
      <c r="B93" s="39"/>
      <c r="C93" s="80"/>
    </row>
    <row r="94" spans="1:3">
      <c r="A94" s="73">
        <v>14</v>
      </c>
      <c r="B94" s="86" t="s">
        <v>365</v>
      </c>
      <c r="C94" s="80"/>
    </row>
    <row r="95" spans="1:3">
      <c r="A95" s="73">
        <v>15</v>
      </c>
      <c r="B95" s="86" t="s">
        <v>178</v>
      </c>
      <c r="C95" s="80"/>
    </row>
    <row r="96" spans="1:3">
      <c r="A96" s="73">
        <v>16</v>
      </c>
      <c r="B96" s="87" t="s">
        <v>177</v>
      </c>
      <c r="C96" s="80"/>
    </row>
    <row r="97" spans="1:3">
      <c r="A97" s="73">
        <v>17</v>
      </c>
      <c r="B97" s="87" t="s">
        <v>275</v>
      </c>
      <c r="C97" s="80"/>
    </row>
    <row r="98" spans="1:3">
      <c r="A98" s="73">
        <v>18</v>
      </c>
      <c r="B98" s="87"/>
      <c r="C98" s="80"/>
    </row>
    <row r="99" spans="1:3">
      <c r="A99" s="73">
        <v>19</v>
      </c>
      <c r="B99" s="86" t="s">
        <v>125</v>
      </c>
      <c r="C99" s="27">
        <f t="shared" ref="C99" si="15">SUM(C95:C97)</f>
        <v>0</v>
      </c>
    </row>
    <row r="100" spans="1:3">
      <c r="A100" s="73">
        <v>20</v>
      </c>
      <c r="B100" s="39"/>
      <c r="C100" s="80"/>
    </row>
    <row r="101" spans="1:3">
      <c r="A101" s="73">
        <v>21</v>
      </c>
      <c r="B101" s="87" t="s">
        <v>255</v>
      </c>
      <c r="C101" s="28">
        <f t="shared" ref="C101" si="16">+C85+C92-C99</f>
        <v>-70</v>
      </c>
    </row>
    <row r="102" spans="1:3">
      <c r="A102" s="73">
        <v>22</v>
      </c>
      <c r="B102" s="87" t="s">
        <v>126</v>
      </c>
      <c r="C102" s="94">
        <v>0.35</v>
      </c>
    </row>
    <row r="103" spans="1:3">
      <c r="A103" s="73">
        <v>23</v>
      </c>
      <c r="B103" s="86" t="s">
        <v>127</v>
      </c>
      <c r="C103" s="93">
        <f t="shared" ref="C103" si="17">C101*C102</f>
        <v>-24.5</v>
      </c>
    </row>
    <row r="104" spans="1:3">
      <c r="A104" s="73">
        <v>24</v>
      </c>
      <c r="B104" s="87" t="s">
        <v>128</v>
      </c>
      <c r="C104" s="80">
        <f t="shared" ref="C104" si="18">+(C95-C88+C96)*C102</f>
        <v>0</v>
      </c>
    </row>
    <row r="105" spans="1:3" ht="13.5" thickBot="1">
      <c r="A105" s="73">
        <v>25</v>
      </c>
      <c r="B105" s="95" t="s">
        <v>129</v>
      </c>
      <c r="C105" s="96">
        <f t="shared" ref="C105" si="19">+C103+C104</f>
        <v>-24.5</v>
      </c>
    </row>
    <row r="106" spans="1:3" ht="13.5" thickTop="1">
      <c r="A106" s="89"/>
    </row>
  </sheetData>
  <printOptions horizontalCentered="1"/>
  <pageMargins left="0.5" right="0.5" top="1.5" bottom="0.3" header="0.5" footer="0.5"/>
  <pageSetup scale="60" fitToWidth="0" orientation="portrait" useFirstPageNumber="1" r:id="rId1"/>
  <headerFooter scaleWithDoc="0" alignWithMargins="0">
    <oddHeader>&amp;L&amp;"Arial,Regular"&amp;10Avista Corporation
&amp;"Arial,Bold"Electric - Restating Adjustments (Schedule 1.2)&amp;"Arial,Regular"
Twelve Months Ended December 31, 2011&amp;R&amp;"Arial,Regular"&amp;10Exhibit No. ___ (JH-2)
Docket UE-120436 &amp;&amp; UG-120437
Page &amp;P of  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3"/>
  <sheetViews>
    <sheetView topLeftCell="A9" zoomScale="75" zoomScaleNormal="75" workbookViewId="0">
      <pane xSplit="2" ySplit="4" topLeftCell="C28" activePane="bottomRight" state="frozen"/>
      <selection activeCell="G79" sqref="G79"/>
      <selection pane="topRight" activeCell="G79" sqref="G79"/>
      <selection pane="bottomLeft" activeCell="G79" sqref="G79"/>
      <selection pane="bottomRight" activeCell="C53" sqref="C53"/>
    </sheetView>
  </sheetViews>
  <sheetFormatPr defaultColWidth="9" defaultRowHeight="12.75"/>
  <cols>
    <col min="1" max="1" width="4.625" style="64" customWidth="1"/>
    <col min="2" max="2" width="42.5" style="63" bestFit="1" customWidth="1"/>
    <col min="3" max="3" width="13.625" style="74" customWidth="1"/>
    <col min="4" max="16384" width="9" style="14"/>
  </cols>
  <sheetData>
    <row r="1" spans="1:3">
      <c r="A1" s="56"/>
      <c r="B1" s="9" t="s">
        <v>281</v>
      </c>
      <c r="C1" s="58"/>
    </row>
    <row r="2" spans="1:3">
      <c r="A2" s="411"/>
      <c r="B2" s="14"/>
      <c r="C2" s="66" t="s">
        <v>250</v>
      </c>
    </row>
    <row r="3" spans="1:3">
      <c r="A3" s="411"/>
      <c r="B3" s="9"/>
      <c r="C3" s="66"/>
    </row>
    <row r="4" spans="1:3" ht="13.5" thickBot="1">
      <c r="A4" s="411"/>
      <c r="B4" s="9"/>
      <c r="C4" s="413"/>
    </row>
    <row r="5" spans="1:3" ht="13.5" thickTop="1">
      <c r="A5" s="402"/>
      <c r="B5" s="64" t="str">
        <f>+ROO!B2</f>
        <v>(000's of Dollars)</v>
      </c>
      <c r="C5" s="65"/>
    </row>
    <row r="6" spans="1:3">
      <c r="A6" s="62"/>
      <c r="B6" s="64"/>
      <c r="C6" s="65"/>
    </row>
    <row r="7" spans="1:3">
      <c r="A7" s="403"/>
      <c r="B7" s="66" t="s">
        <v>100</v>
      </c>
      <c r="C7" s="66" t="s">
        <v>105</v>
      </c>
    </row>
    <row r="8" spans="1:3">
      <c r="A8" s="403"/>
      <c r="B8" s="66"/>
      <c r="C8" s="66"/>
    </row>
    <row r="9" spans="1:3" s="70" customFormat="1">
      <c r="A9" s="69"/>
      <c r="B9" s="69"/>
      <c r="C9" s="546">
        <v>2.02</v>
      </c>
    </row>
    <row r="10" spans="1:3" s="71" customFormat="1">
      <c r="A10" s="414"/>
      <c r="B10" s="420"/>
      <c r="C10" s="68"/>
    </row>
    <row r="11" spans="1:3" s="71" customFormat="1">
      <c r="A11" s="414" t="s">
        <v>5</v>
      </c>
      <c r="B11" s="420"/>
      <c r="C11" s="68" t="s">
        <v>344</v>
      </c>
    </row>
    <row r="12" spans="1:3" s="424" customFormat="1">
      <c r="A12" s="421" t="s">
        <v>10</v>
      </c>
      <c r="B12" s="422" t="s">
        <v>11</v>
      </c>
      <c r="C12" s="423" t="s">
        <v>16</v>
      </c>
    </row>
    <row r="13" spans="1:3" s="59" customFormat="1">
      <c r="A13" s="418"/>
      <c r="B13" s="419" t="s">
        <v>155</v>
      </c>
      <c r="C13" s="66"/>
    </row>
    <row r="14" spans="1:3">
      <c r="A14" s="73">
        <v>1</v>
      </c>
      <c r="B14" s="416" t="s">
        <v>98</v>
      </c>
      <c r="C14" s="65"/>
    </row>
    <row r="15" spans="1:3">
      <c r="A15" s="75">
        <v>2</v>
      </c>
      <c r="B15" s="63" t="s">
        <v>40</v>
      </c>
      <c r="C15" s="65"/>
    </row>
    <row r="16" spans="1:3" s="15" customFormat="1">
      <c r="A16" s="73">
        <v>3</v>
      </c>
      <c r="B16" s="76" t="s">
        <v>41</v>
      </c>
      <c r="C16" s="566"/>
    </row>
    <row r="17" spans="1:3" s="20" customFormat="1">
      <c r="A17" s="75">
        <v>4</v>
      </c>
      <c r="B17" s="78" t="s">
        <v>42</v>
      </c>
      <c r="C17" s="23">
        <v>0</v>
      </c>
    </row>
    <row r="18" spans="1:3" s="20" customFormat="1">
      <c r="A18" s="73">
        <v>5</v>
      </c>
      <c r="B18" s="78" t="s">
        <v>43</v>
      </c>
      <c r="C18" s="24">
        <v>0</v>
      </c>
    </row>
    <row r="19" spans="1:3" s="20" customFormat="1">
      <c r="A19" s="75">
        <v>6</v>
      </c>
      <c r="B19" s="397" t="s">
        <v>44</v>
      </c>
      <c r="C19" s="23">
        <f t="shared" ref="C19" si="0">SUM(C16:C18)</f>
        <v>0</v>
      </c>
    </row>
    <row r="20" spans="1:3" s="20" customFormat="1">
      <c r="A20" s="73">
        <v>7</v>
      </c>
      <c r="B20" s="78" t="s">
        <v>45</v>
      </c>
      <c r="C20" s="24">
        <v>0</v>
      </c>
    </row>
    <row r="21" spans="1:3" s="20" customFormat="1">
      <c r="A21" s="75">
        <v>8</v>
      </c>
      <c r="B21" s="397" t="s">
        <v>46</v>
      </c>
      <c r="C21" s="23">
        <f t="shared" ref="C21" si="1">SUM(C19:C20)</f>
        <v>0</v>
      </c>
    </row>
    <row r="22" spans="1:3" s="20" customFormat="1">
      <c r="A22" s="73">
        <v>9</v>
      </c>
      <c r="B22" s="79"/>
      <c r="C22" s="23"/>
    </row>
    <row r="23" spans="1:3" s="20" customFormat="1">
      <c r="A23" s="75">
        <v>10</v>
      </c>
      <c r="B23" s="78" t="s">
        <v>20</v>
      </c>
      <c r="C23" s="23"/>
    </row>
    <row r="24" spans="1:3" s="20" customFormat="1">
      <c r="A24" s="73">
        <v>11</v>
      </c>
      <c r="B24" s="78" t="s">
        <v>47</v>
      </c>
      <c r="C24" s="23"/>
    </row>
    <row r="25" spans="1:3" s="20" customFormat="1">
      <c r="A25" s="75">
        <v>12</v>
      </c>
      <c r="B25" s="397" t="s">
        <v>48</v>
      </c>
      <c r="C25" s="23">
        <v>0</v>
      </c>
    </row>
    <row r="26" spans="1:3" s="20" customFormat="1">
      <c r="A26" s="73">
        <v>13</v>
      </c>
      <c r="B26" s="397" t="s">
        <v>49</v>
      </c>
      <c r="C26" s="23">
        <v>0</v>
      </c>
    </row>
    <row r="27" spans="1:3" s="20" customFormat="1">
      <c r="A27" s="75">
        <v>14</v>
      </c>
      <c r="B27" s="397" t="s">
        <v>50</v>
      </c>
      <c r="C27" s="23">
        <v>0</v>
      </c>
    </row>
    <row r="28" spans="1:3" s="20" customFormat="1">
      <c r="A28" s="73">
        <v>15</v>
      </c>
      <c r="B28" s="393" t="s">
        <v>349</v>
      </c>
      <c r="C28" s="23"/>
    </row>
    <row r="29" spans="1:3" s="20" customFormat="1">
      <c r="A29" s="75">
        <v>16</v>
      </c>
      <c r="B29" s="397" t="s">
        <v>51</v>
      </c>
      <c r="C29" s="24">
        <v>0</v>
      </c>
    </row>
    <row r="30" spans="1:3" s="20" customFormat="1">
      <c r="A30" s="73">
        <v>17</v>
      </c>
      <c r="B30" s="398" t="s">
        <v>52</v>
      </c>
      <c r="C30" s="23">
        <f t="shared" ref="C30" si="2">SUM(C25:C29)</f>
        <v>0</v>
      </c>
    </row>
    <row r="31" spans="1:3" s="20" customFormat="1">
      <c r="A31" s="75">
        <v>18</v>
      </c>
      <c r="B31" s="79"/>
      <c r="C31" s="23"/>
    </row>
    <row r="32" spans="1:3" s="20" customFormat="1">
      <c r="A32" s="73">
        <v>19</v>
      </c>
      <c r="B32" s="78" t="s">
        <v>53</v>
      </c>
      <c r="C32" s="23"/>
    </row>
    <row r="33" spans="1:3" s="20" customFormat="1">
      <c r="A33" s="75">
        <v>20</v>
      </c>
      <c r="B33" s="397" t="s">
        <v>48</v>
      </c>
      <c r="C33" s="23">
        <v>0</v>
      </c>
    </row>
    <row r="34" spans="1:3" s="20" customFormat="1">
      <c r="A34" s="73">
        <v>21</v>
      </c>
      <c r="B34" s="397" t="s">
        <v>54</v>
      </c>
      <c r="C34" s="23">
        <v>0</v>
      </c>
    </row>
    <row r="35" spans="1:3" s="20" customFormat="1">
      <c r="A35" s="75">
        <v>22</v>
      </c>
      <c r="B35" s="397" t="s">
        <v>51</v>
      </c>
      <c r="C35" s="24">
        <v>0</v>
      </c>
    </row>
    <row r="36" spans="1:3" s="20" customFormat="1">
      <c r="A36" s="73">
        <v>23</v>
      </c>
      <c r="B36" s="398" t="s">
        <v>55</v>
      </c>
      <c r="C36" s="23">
        <f t="shared" ref="C36" si="3">SUM(C33:C35)</f>
        <v>0</v>
      </c>
    </row>
    <row r="37" spans="1:3" s="20" customFormat="1">
      <c r="A37" s="75">
        <v>24</v>
      </c>
      <c r="B37" s="79"/>
      <c r="C37" s="23"/>
    </row>
    <row r="38" spans="1:3" s="20" customFormat="1">
      <c r="A38" s="73">
        <v>25</v>
      </c>
      <c r="B38" s="78" t="s">
        <v>56</v>
      </c>
      <c r="C38" s="23">
        <v>317</v>
      </c>
    </row>
    <row r="39" spans="1:3" s="20" customFormat="1">
      <c r="A39" s="75">
        <v>26</v>
      </c>
      <c r="B39" s="78" t="s">
        <v>57</v>
      </c>
      <c r="C39" s="23">
        <v>0</v>
      </c>
    </row>
    <row r="40" spans="1:3" s="20" customFormat="1">
      <c r="A40" s="73">
        <v>27</v>
      </c>
      <c r="B40" s="78" t="s">
        <v>58</v>
      </c>
      <c r="C40" s="23">
        <v>0</v>
      </c>
    </row>
    <row r="41" spans="1:3" s="20" customFormat="1">
      <c r="A41" s="75">
        <v>28</v>
      </c>
      <c r="B41" s="79"/>
      <c r="C41" s="23">
        <v>0</v>
      </c>
    </row>
    <row r="42" spans="1:3" s="20" customFormat="1">
      <c r="A42" s="75">
        <v>29</v>
      </c>
      <c r="B42" s="78" t="s">
        <v>59</v>
      </c>
      <c r="C42" s="23">
        <v>0</v>
      </c>
    </row>
    <row r="43" spans="1:3" s="20" customFormat="1">
      <c r="A43" s="73">
        <v>30</v>
      </c>
      <c r="B43" s="397" t="s">
        <v>48</v>
      </c>
      <c r="C43" s="23">
        <v>0</v>
      </c>
    </row>
    <row r="44" spans="1:3" s="20" customFormat="1">
      <c r="A44" s="75">
        <v>31</v>
      </c>
      <c r="B44" s="397" t="s">
        <v>54</v>
      </c>
      <c r="C44" s="23">
        <v>0</v>
      </c>
    </row>
    <row r="45" spans="1:3" s="20" customFormat="1">
      <c r="A45" s="75">
        <v>32</v>
      </c>
      <c r="B45" s="397" t="s">
        <v>51</v>
      </c>
      <c r="C45" s="24">
        <v>0</v>
      </c>
    </row>
    <row r="46" spans="1:3" s="20" customFormat="1">
      <c r="A46" s="73">
        <v>33</v>
      </c>
      <c r="B46" s="398" t="s">
        <v>60</v>
      </c>
      <c r="C46" s="24">
        <f t="shared" ref="C46" si="4">SUM(C43:C45)</f>
        <v>0</v>
      </c>
    </row>
    <row r="47" spans="1:3" s="20" customFormat="1">
      <c r="A47" s="75">
        <v>34</v>
      </c>
      <c r="B47" s="78" t="s">
        <v>61</v>
      </c>
      <c r="C47" s="24">
        <f t="shared" ref="C47" si="5">C46+C40+C39+C38+C36+C30</f>
        <v>317</v>
      </c>
    </row>
    <row r="48" spans="1:3" s="20" customFormat="1">
      <c r="A48" s="75">
        <v>35</v>
      </c>
      <c r="B48" s="79"/>
      <c r="C48" s="23"/>
    </row>
    <row r="49" spans="1:3" s="20" customFormat="1">
      <c r="A49" s="73">
        <v>36</v>
      </c>
      <c r="B49" s="78" t="s">
        <v>62</v>
      </c>
      <c r="C49" s="23">
        <f t="shared" ref="C49" si="6">C21-C47</f>
        <v>-317</v>
      </c>
    </row>
    <row r="50" spans="1:3" s="20" customFormat="1">
      <c r="A50" s="75">
        <v>37</v>
      </c>
      <c r="B50" s="78"/>
      <c r="C50" s="23"/>
    </row>
    <row r="51" spans="1:3" s="20" customFormat="1">
      <c r="A51" s="75">
        <v>38</v>
      </c>
      <c r="B51" s="78" t="s">
        <v>63</v>
      </c>
      <c r="C51" s="23"/>
    </row>
    <row r="52" spans="1:3" s="20" customFormat="1">
      <c r="A52" s="73">
        <v>39</v>
      </c>
      <c r="B52" s="78" t="s">
        <v>64</v>
      </c>
      <c r="C52" s="23">
        <f>ROUND(C105,0)</f>
        <v>-111</v>
      </c>
    </row>
    <row r="53" spans="1:3" s="20" customFormat="1">
      <c r="A53" s="75">
        <v>40</v>
      </c>
      <c r="B53" s="78" t="s">
        <v>366</v>
      </c>
      <c r="C53" s="23"/>
    </row>
    <row r="54" spans="1:3" s="20" customFormat="1">
      <c r="A54" s="75">
        <v>41</v>
      </c>
      <c r="B54" s="78" t="s">
        <v>65</v>
      </c>
      <c r="C54" s="23"/>
    </row>
    <row r="55" spans="1:3" s="20" customFormat="1">
      <c r="A55" s="73">
        <v>42</v>
      </c>
      <c r="B55" s="78" t="s">
        <v>238</v>
      </c>
      <c r="C55" s="24"/>
    </row>
    <row r="56" spans="1:3">
      <c r="A56" s="73">
        <v>45</v>
      </c>
      <c r="B56" s="79"/>
      <c r="C56" s="23"/>
    </row>
    <row r="57" spans="1:3" s="15" customFormat="1" ht="13.5" thickBot="1">
      <c r="A57" s="75">
        <v>46</v>
      </c>
      <c r="B57" s="76" t="s">
        <v>66</v>
      </c>
      <c r="C57" s="567">
        <f t="shared" ref="C57" si="7">C49-SUM(C52:C55)</f>
        <v>-206</v>
      </c>
    </row>
    <row r="58" spans="1:3" ht="13.5" thickTop="1">
      <c r="A58" s="75">
        <v>47</v>
      </c>
      <c r="B58" s="2"/>
      <c r="C58" s="23"/>
    </row>
    <row r="59" spans="1:3">
      <c r="A59" s="73">
        <v>48</v>
      </c>
      <c r="B59" s="416" t="s">
        <v>21</v>
      </c>
      <c r="C59" s="23"/>
    </row>
    <row r="60" spans="1:3">
      <c r="A60" s="75">
        <v>49</v>
      </c>
      <c r="B60" s="63" t="s">
        <v>67</v>
      </c>
      <c r="C60" s="23"/>
    </row>
    <row r="61" spans="1:3" s="15" customFormat="1">
      <c r="A61" s="75">
        <v>50</v>
      </c>
      <c r="B61" s="396" t="s">
        <v>68</v>
      </c>
      <c r="C61" s="23">
        <v>0</v>
      </c>
    </row>
    <row r="62" spans="1:3" s="20" customFormat="1">
      <c r="A62" s="73">
        <v>51</v>
      </c>
      <c r="B62" s="397" t="s">
        <v>69</v>
      </c>
      <c r="C62" s="23">
        <v>0</v>
      </c>
    </row>
    <row r="63" spans="1:3" s="20" customFormat="1">
      <c r="A63" s="75">
        <v>52</v>
      </c>
      <c r="B63" s="397" t="s">
        <v>70</v>
      </c>
      <c r="C63" s="23">
        <v>0</v>
      </c>
    </row>
    <row r="64" spans="1:3" s="20" customFormat="1">
      <c r="A64" s="75">
        <v>53</v>
      </c>
      <c r="B64" s="397" t="s">
        <v>53</v>
      </c>
      <c r="C64" s="23">
        <v>0</v>
      </c>
    </row>
    <row r="65" spans="1:3" s="20" customFormat="1">
      <c r="A65" s="73">
        <v>54</v>
      </c>
      <c r="B65" s="397" t="s">
        <v>71</v>
      </c>
      <c r="C65" s="24">
        <v>0</v>
      </c>
    </row>
    <row r="66" spans="1:3" s="20" customFormat="1">
      <c r="A66" s="75">
        <v>55</v>
      </c>
      <c r="B66" s="398" t="s">
        <v>72</v>
      </c>
      <c r="C66" s="23">
        <f t="shared" ref="C66" si="8">SUM(C61:C65)</f>
        <v>0</v>
      </c>
    </row>
    <row r="67" spans="1:3" s="20" customFormat="1">
      <c r="A67" s="75">
        <v>56</v>
      </c>
      <c r="B67" s="78" t="s">
        <v>244</v>
      </c>
      <c r="C67" s="23">
        <v>0</v>
      </c>
    </row>
    <row r="68" spans="1:3" s="20" customFormat="1">
      <c r="A68" s="73">
        <v>57</v>
      </c>
      <c r="B68" s="78" t="s">
        <v>245</v>
      </c>
      <c r="C68" s="24">
        <v>0</v>
      </c>
    </row>
    <row r="69" spans="1:3" s="20" customFormat="1">
      <c r="A69" s="75">
        <v>58</v>
      </c>
      <c r="B69" s="397" t="s">
        <v>73</v>
      </c>
      <c r="C69" s="23">
        <f t="shared" ref="C69" si="9">SUM(C67:C68)</f>
        <v>0</v>
      </c>
    </row>
    <row r="70" spans="1:3" s="20" customFormat="1">
      <c r="A70" s="75">
        <v>59</v>
      </c>
      <c r="B70" s="78" t="s">
        <v>246</v>
      </c>
      <c r="C70" s="23">
        <v>0</v>
      </c>
    </row>
    <row r="71" spans="1:3" s="20" customFormat="1">
      <c r="A71" s="73">
        <v>60</v>
      </c>
      <c r="B71" s="78" t="s">
        <v>351</v>
      </c>
      <c r="C71" s="23"/>
    </row>
    <row r="72" spans="1:3" s="20" customFormat="1">
      <c r="A72" s="75">
        <v>61</v>
      </c>
      <c r="B72" s="78" t="s">
        <v>236</v>
      </c>
      <c r="C72" s="23"/>
    </row>
    <row r="73" spans="1:3" s="20" customFormat="1">
      <c r="A73" s="75">
        <v>62</v>
      </c>
      <c r="B73" s="78" t="s">
        <v>247</v>
      </c>
      <c r="C73" s="23"/>
    </row>
    <row r="74" spans="1:3" s="20" customFormat="1">
      <c r="A74" s="73">
        <v>63</v>
      </c>
      <c r="B74" s="78" t="s">
        <v>248</v>
      </c>
      <c r="C74" s="24">
        <v>0</v>
      </c>
    </row>
    <row r="75" spans="1:3" s="20" customFormat="1">
      <c r="A75" s="75">
        <v>64</v>
      </c>
      <c r="B75" s="79"/>
      <c r="C75" s="28"/>
    </row>
    <row r="76" spans="1:3" s="20" customFormat="1">
      <c r="A76" s="75">
        <v>65</v>
      </c>
      <c r="B76" s="79"/>
      <c r="C76" s="23"/>
    </row>
    <row r="77" spans="1:3" s="15" customFormat="1" ht="13.5" thickBot="1">
      <c r="A77" s="73">
        <v>66</v>
      </c>
      <c r="B77" s="425" t="s">
        <v>74</v>
      </c>
      <c r="C77" s="568">
        <f t="shared" ref="C77" si="10">C66-C69+C70+C72+C73+C74+C71</f>
        <v>0</v>
      </c>
    </row>
    <row r="78" spans="1:3" ht="13.5" thickTop="1">
      <c r="B78" s="83"/>
    </row>
    <row r="79" spans="1:3">
      <c r="A79" s="84"/>
      <c r="B79" s="38"/>
      <c r="C79" s="57"/>
    </row>
    <row r="80" spans="1:3">
      <c r="A80" s="89"/>
      <c r="B80" s="39"/>
    </row>
    <row r="81" spans="1:3">
      <c r="A81" s="73">
        <v>1</v>
      </c>
      <c r="B81" s="392" t="s">
        <v>116</v>
      </c>
    </row>
    <row r="82" spans="1:3">
      <c r="A82" s="73">
        <v>2</v>
      </c>
      <c r="B82" s="87" t="s">
        <v>18</v>
      </c>
      <c r="C82" s="82">
        <f t="shared" ref="C82" si="11">+C21</f>
        <v>0</v>
      </c>
    </row>
    <row r="83" spans="1:3">
      <c r="A83" s="73">
        <v>3</v>
      </c>
      <c r="B83" s="87" t="s">
        <v>19</v>
      </c>
      <c r="C83" s="23">
        <f t="shared" ref="C83" si="12">+C47</f>
        <v>317</v>
      </c>
    </row>
    <row r="84" spans="1:3">
      <c r="A84" s="73">
        <v>4</v>
      </c>
      <c r="B84" s="87" t="s">
        <v>274</v>
      </c>
      <c r="C84" s="23"/>
    </row>
    <row r="85" spans="1:3">
      <c r="A85" s="73">
        <v>5</v>
      </c>
      <c r="B85" s="399" t="s">
        <v>119</v>
      </c>
      <c r="C85" s="27">
        <f t="shared" ref="C85" si="13">+C82-C83-C84</f>
        <v>-317</v>
      </c>
    </row>
    <row r="86" spans="1:3">
      <c r="A86" s="73">
        <v>6</v>
      </c>
      <c r="B86" s="91"/>
      <c r="C86" s="80"/>
    </row>
    <row r="87" spans="1:3">
      <c r="A87" s="73">
        <v>7</v>
      </c>
      <c r="B87" s="86" t="s">
        <v>120</v>
      </c>
      <c r="C87" s="80"/>
    </row>
    <row r="88" spans="1:3">
      <c r="A88" s="73">
        <v>8</v>
      </c>
      <c r="B88" s="87" t="s">
        <v>121</v>
      </c>
      <c r="C88" s="80"/>
    </row>
    <row r="89" spans="1:3">
      <c r="A89" s="73">
        <v>9</v>
      </c>
      <c r="B89" s="87" t="s">
        <v>130</v>
      </c>
      <c r="C89" s="80"/>
    </row>
    <row r="90" spans="1:3">
      <c r="A90" s="73">
        <v>10</v>
      </c>
      <c r="B90" s="87" t="s">
        <v>122</v>
      </c>
      <c r="C90" s="80"/>
    </row>
    <row r="91" spans="1:3">
      <c r="A91" s="73">
        <v>11</v>
      </c>
      <c r="B91" s="39"/>
      <c r="C91" s="80"/>
    </row>
    <row r="92" spans="1:3">
      <c r="A92" s="73">
        <v>12</v>
      </c>
      <c r="B92" s="86" t="s">
        <v>123</v>
      </c>
      <c r="C92" s="27">
        <f t="shared" ref="C92" si="14">SUM(C88:C90)</f>
        <v>0</v>
      </c>
    </row>
    <row r="93" spans="1:3">
      <c r="A93" s="73">
        <v>13</v>
      </c>
      <c r="B93" s="39"/>
      <c r="C93" s="80"/>
    </row>
    <row r="94" spans="1:3">
      <c r="A94" s="73">
        <v>14</v>
      </c>
      <c r="B94" s="86" t="s">
        <v>365</v>
      </c>
      <c r="C94" s="80"/>
    </row>
    <row r="95" spans="1:3">
      <c r="A95" s="73">
        <v>15</v>
      </c>
      <c r="B95" s="86" t="s">
        <v>178</v>
      </c>
      <c r="C95" s="80"/>
    </row>
    <row r="96" spans="1:3">
      <c r="A96" s="73">
        <v>16</v>
      </c>
      <c r="B96" s="87" t="s">
        <v>177</v>
      </c>
      <c r="C96" s="80"/>
    </row>
    <row r="97" spans="1:3">
      <c r="A97" s="73">
        <v>17</v>
      </c>
      <c r="B97" s="87" t="s">
        <v>275</v>
      </c>
      <c r="C97" s="80"/>
    </row>
    <row r="98" spans="1:3">
      <c r="A98" s="73">
        <v>18</v>
      </c>
      <c r="B98" s="87"/>
      <c r="C98" s="80"/>
    </row>
    <row r="99" spans="1:3">
      <c r="A99" s="73">
        <v>19</v>
      </c>
      <c r="B99" s="86" t="s">
        <v>125</v>
      </c>
      <c r="C99" s="27">
        <f t="shared" ref="C99" si="15">SUM(C95:C97)</f>
        <v>0</v>
      </c>
    </row>
    <row r="100" spans="1:3">
      <c r="A100" s="73">
        <v>20</v>
      </c>
      <c r="B100" s="39"/>
      <c r="C100" s="80"/>
    </row>
    <row r="101" spans="1:3">
      <c r="A101" s="73">
        <v>21</v>
      </c>
      <c r="B101" s="87" t="s">
        <v>255</v>
      </c>
      <c r="C101" s="28">
        <f t="shared" ref="C101" si="16">+C85+C92-C99</f>
        <v>-317</v>
      </c>
    </row>
    <row r="102" spans="1:3">
      <c r="A102" s="73">
        <v>22</v>
      </c>
      <c r="B102" s="87" t="s">
        <v>126</v>
      </c>
      <c r="C102" s="94">
        <v>0.35</v>
      </c>
    </row>
    <row r="103" spans="1:3">
      <c r="A103" s="73">
        <v>23</v>
      </c>
      <c r="B103" s="86" t="s">
        <v>127</v>
      </c>
      <c r="C103" s="93">
        <f t="shared" ref="C103" si="17">C101*C102</f>
        <v>-110.94999999999999</v>
      </c>
    </row>
    <row r="104" spans="1:3">
      <c r="A104" s="73">
        <v>24</v>
      </c>
      <c r="B104" s="87" t="s">
        <v>128</v>
      </c>
      <c r="C104" s="80">
        <f t="shared" ref="C104" si="18">+(C95-C88+C96)*C102</f>
        <v>0</v>
      </c>
    </row>
    <row r="105" spans="1:3" ht="13.5" thickBot="1">
      <c r="A105" s="73">
        <v>25</v>
      </c>
      <c r="B105" s="95" t="s">
        <v>129</v>
      </c>
      <c r="C105" s="96">
        <f t="shared" ref="C105" si="19">+C103+C104</f>
        <v>-110.94999999999999</v>
      </c>
    </row>
    <row r="106" spans="1:3" ht="13.5" thickTop="1">
      <c r="A106" s="89"/>
    </row>
    <row r="113" spans="3:3">
      <c r="C113" s="98"/>
    </row>
  </sheetData>
  <printOptions horizontalCentered="1"/>
  <pageMargins left="0.5" right="0.5" top="1.5" bottom="0.3" header="0.5" footer="0.5"/>
  <pageSetup scale="60" fitToWidth="0" orientation="portrait" useFirstPageNumber="1" r:id="rId1"/>
  <headerFooter scaleWithDoc="0" alignWithMargins="0">
    <oddHeader>&amp;L&amp;"Arial,Regular"&amp;10Avista Corporation
&amp;"Arial,Bold"Electric - Restating Adjustments (Schedule 1.2)&amp;"Arial,Regular"
Twelve Months Ended December 31, 2011&amp;R&amp;"Arial,Regular"&amp;10Exhibit No. ___ (JH-2)
Docket UE-120436 &amp;&amp; UG-120437
Page &amp;P of  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6"/>
  <sheetViews>
    <sheetView topLeftCell="A9" zoomScale="75" zoomScaleNormal="75" workbookViewId="0">
      <pane xSplit="2" ySplit="4" topLeftCell="C37" activePane="bottomRight" state="frozen"/>
      <selection activeCell="G79" sqref="G79"/>
      <selection pane="topRight" activeCell="G79" sqref="G79"/>
      <selection pane="bottomLeft" activeCell="G79" sqref="G79"/>
      <selection pane="bottomRight" activeCell="C53" sqref="C53"/>
    </sheetView>
  </sheetViews>
  <sheetFormatPr defaultColWidth="9" defaultRowHeight="12.75"/>
  <cols>
    <col min="1" max="1" width="4.625" style="64" customWidth="1"/>
    <col min="2" max="2" width="42.5" style="63" bestFit="1" customWidth="1"/>
    <col min="3" max="3" width="13.625" style="74" customWidth="1"/>
    <col min="4" max="16384" width="9" style="14"/>
  </cols>
  <sheetData>
    <row r="1" spans="1:3">
      <c r="A1" s="56"/>
      <c r="B1" s="9" t="s">
        <v>281</v>
      </c>
      <c r="C1" s="58"/>
    </row>
    <row r="2" spans="1:3">
      <c r="A2" s="411"/>
      <c r="B2" s="14"/>
      <c r="C2" s="66" t="s">
        <v>250</v>
      </c>
    </row>
    <row r="3" spans="1:3">
      <c r="A3" s="411"/>
      <c r="B3" s="9"/>
      <c r="C3" s="66"/>
    </row>
    <row r="4" spans="1:3" ht="13.5" thickBot="1">
      <c r="A4" s="411"/>
      <c r="B4" s="9"/>
      <c r="C4" s="413"/>
    </row>
    <row r="5" spans="1:3" ht="13.5" thickTop="1">
      <c r="A5" s="402"/>
      <c r="B5" s="64" t="str">
        <f>+ROO!B2</f>
        <v>(000's of Dollars)</v>
      </c>
      <c r="C5" s="65"/>
    </row>
    <row r="6" spans="1:3">
      <c r="A6" s="62"/>
      <c r="B6" s="64"/>
      <c r="C6" s="65"/>
    </row>
    <row r="7" spans="1:3">
      <c r="A7" s="403"/>
      <c r="B7" s="66" t="s">
        <v>100</v>
      </c>
      <c r="C7" s="66" t="s">
        <v>106</v>
      </c>
    </row>
    <row r="8" spans="1:3">
      <c r="A8" s="403"/>
      <c r="B8" s="66"/>
      <c r="C8" s="66"/>
    </row>
    <row r="9" spans="1:3" s="70" customFormat="1">
      <c r="A9" s="69"/>
      <c r="B9" s="69"/>
      <c r="C9" s="546">
        <v>2.0299999999999998</v>
      </c>
    </row>
    <row r="10" spans="1:3" s="71" customFormat="1">
      <c r="A10" s="414"/>
      <c r="B10" s="420"/>
      <c r="C10" s="68"/>
    </row>
    <row r="11" spans="1:3" s="71" customFormat="1">
      <c r="A11" s="414" t="s">
        <v>5</v>
      </c>
      <c r="B11" s="420"/>
      <c r="C11" s="68" t="s">
        <v>313</v>
      </c>
    </row>
    <row r="12" spans="1:3" s="424" customFormat="1">
      <c r="A12" s="421" t="s">
        <v>10</v>
      </c>
      <c r="B12" s="422" t="s">
        <v>11</v>
      </c>
      <c r="C12" s="423" t="s">
        <v>16</v>
      </c>
    </row>
    <row r="13" spans="1:3" s="59" customFormat="1">
      <c r="A13" s="418"/>
      <c r="B13" s="419" t="s">
        <v>155</v>
      </c>
      <c r="C13" s="66"/>
    </row>
    <row r="14" spans="1:3">
      <c r="A14" s="73">
        <v>1</v>
      </c>
      <c r="B14" s="416" t="s">
        <v>98</v>
      </c>
      <c r="C14" s="65"/>
    </row>
    <row r="15" spans="1:3">
      <c r="A15" s="75">
        <v>2</v>
      </c>
      <c r="B15" s="63" t="s">
        <v>40</v>
      </c>
      <c r="C15" s="65"/>
    </row>
    <row r="16" spans="1:3" s="15" customFormat="1">
      <c r="A16" s="73">
        <v>3</v>
      </c>
      <c r="B16" s="76" t="s">
        <v>41</v>
      </c>
      <c r="C16" s="566"/>
    </row>
    <row r="17" spans="1:3" s="20" customFormat="1">
      <c r="A17" s="75">
        <v>4</v>
      </c>
      <c r="B17" s="78" t="s">
        <v>42</v>
      </c>
      <c r="C17" s="23">
        <v>0</v>
      </c>
    </row>
    <row r="18" spans="1:3" s="20" customFormat="1">
      <c r="A18" s="73">
        <v>5</v>
      </c>
      <c r="B18" s="78" t="s">
        <v>43</v>
      </c>
      <c r="C18" s="24">
        <v>0</v>
      </c>
    </row>
    <row r="19" spans="1:3" s="20" customFormat="1">
      <c r="A19" s="75">
        <v>6</v>
      </c>
      <c r="B19" s="397" t="s">
        <v>44</v>
      </c>
      <c r="C19" s="23">
        <f t="shared" ref="C19" si="0">SUM(C16:C18)</f>
        <v>0</v>
      </c>
    </row>
    <row r="20" spans="1:3" s="20" customFormat="1">
      <c r="A20" s="73">
        <v>7</v>
      </c>
      <c r="B20" s="78" t="s">
        <v>45</v>
      </c>
      <c r="C20" s="24">
        <v>0</v>
      </c>
    </row>
    <row r="21" spans="1:3" s="20" customFormat="1">
      <c r="A21" s="75">
        <v>8</v>
      </c>
      <c r="B21" s="397" t="s">
        <v>46</v>
      </c>
      <c r="C21" s="23">
        <f t="shared" ref="C21" si="1">SUM(C19:C20)</f>
        <v>0</v>
      </c>
    </row>
    <row r="22" spans="1:3" s="20" customFormat="1">
      <c r="A22" s="73">
        <v>9</v>
      </c>
      <c r="B22" s="79"/>
      <c r="C22" s="23"/>
    </row>
    <row r="23" spans="1:3" s="20" customFormat="1">
      <c r="A23" s="75">
        <v>10</v>
      </c>
      <c r="B23" s="78" t="s">
        <v>20</v>
      </c>
      <c r="C23" s="23"/>
    </row>
    <row r="24" spans="1:3" s="20" customFormat="1">
      <c r="A24" s="73">
        <v>11</v>
      </c>
      <c r="B24" s="78" t="s">
        <v>47</v>
      </c>
      <c r="C24" s="23"/>
    </row>
    <row r="25" spans="1:3" s="20" customFormat="1">
      <c r="A25" s="75">
        <v>12</v>
      </c>
      <c r="B25" s="397" t="s">
        <v>48</v>
      </c>
      <c r="C25" s="23">
        <v>0</v>
      </c>
    </row>
    <row r="26" spans="1:3" s="20" customFormat="1">
      <c r="A26" s="73">
        <v>13</v>
      </c>
      <c r="B26" s="397" t="s">
        <v>49</v>
      </c>
      <c r="C26" s="23">
        <v>0</v>
      </c>
    </row>
    <row r="27" spans="1:3" s="20" customFormat="1">
      <c r="A27" s="75">
        <v>14</v>
      </c>
      <c r="B27" s="397" t="s">
        <v>50</v>
      </c>
      <c r="C27" s="23">
        <v>0</v>
      </c>
    </row>
    <row r="28" spans="1:3" s="20" customFormat="1">
      <c r="A28" s="73">
        <v>15</v>
      </c>
      <c r="B28" s="393" t="s">
        <v>349</v>
      </c>
      <c r="C28" s="23"/>
    </row>
    <row r="29" spans="1:3" s="20" customFormat="1">
      <c r="A29" s="75">
        <v>16</v>
      </c>
      <c r="B29" s="397" t="s">
        <v>51</v>
      </c>
      <c r="C29" s="24">
        <v>0</v>
      </c>
    </row>
    <row r="30" spans="1:3" s="20" customFormat="1">
      <c r="A30" s="73">
        <v>17</v>
      </c>
      <c r="B30" s="398" t="s">
        <v>52</v>
      </c>
      <c r="C30" s="23">
        <f t="shared" ref="C30" si="2">SUM(C25:C29)</f>
        <v>0</v>
      </c>
    </row>
    <row r="31" spans="1:3" s="20" customFormat="1">
      <c r="A31" s="75">
        <v>18</v>
      </c>
      <c r="B31" s="79"/>
      <c r="C31" s="23"/>
    </row>
    <row r="32" spans="1:3" s="20" customFormat="1">
      <c r="A32" s="73">
        <v>19</v>
      </c>
      <c r="B32" s="78" t="s">
        <v>53</v>
      </c>
      <c r="C32" s="23"/>
    </row>
    <row r="33" spans="1:3" s="20" customFormat="1">
      <c r="A33" s="75">
        <v>20</v>
      </c>
      <c r="B33" s="397" t="s">
        <v>48</v>
      </c>
      <c r="C33" s="23">
        <v>0</v>
      </c>
    </row>
    <row r="34" spans="1:3" s="20" customFormat="1">
      <c r="A34" s="73">
        <v>21</v>
      </c>
      <c r="B34" s="397" t="s">
        <v>54</v>
      </c>
      <c r="C34" s="23">
        <v>0</v>
      </c>
    </row>
    <row r="35" spans="1:3" s="20" customFormat="1">
      <c r="A35" s="75">
        <v>22</v>
      </c>
      <c r="B35" s="397" t="s">
        <v>51</v>
      </c>
      <c r="C35" s="24">
        <v>0</v>
      </c>
    </row>
    <row r="36" spans="1:3" s="20" customFormat="1">
      <c r="A36" s="73">
        <v>23</v>
      </c>
      <c r="B36" s="398" t="s">
        <v>55</v>
      </c>
      <c r="C36" s="23">
        <f t="shared" ref="C36" si="3">SUM(C33:C35)</f>
        <v>0</v>
      </c>
    </row>
    <row r="37" spans="1:3" s="20" customFormat="1">
      <c r="A37" s="75">
        <v>24</v>
      </c>
      <c r="B37" s="79"/>
      <c r="C37" s="23"/>
    </row>
    <row r="38" spans="1:3" s="20" customFormat="1">
      <c r="A38" s="73">
        <v>25</v>
      </c>
      <c r="B38" s="78" t="s">
        <v>56</v>
      </c>
      <c r="C38" s="23">
        <v>0</v>
      </c>
    </row>
    <row r="39" spans="1:3" s="20" customFormat="1">
      <c r="A39" s="75">
        <v>26</v>
      </c>
      <c r="B39" s="78" t="s">
        <v>57</v>
      </c>
      <c r="C39" s="23">
        <v>0</v>
      </c>
    </row>
    <row r="40" spans="1:3" s="20" customFormat="1">
      <c r="A40" s="73">
        <v>27</v>
      </c>
      <c r="B40" s="78" t="s">
        <v>58</v>
      </c>
      <c r="C40" s="23">
        <v>0</v>
      </c>
    </row>
    <row r="41" spans="1:3" s="20" customFormat="1">
      <c r="A41" s="75">
        <v>28</v>
      </c>
      <c r="B41" s="79"/>
      <c r="C41" s="23">
        <v>0</v>
      </c>
    </row>
    <row r="42" spans="1:3" s="20" customFormat="1">
      <c r="A42" s="75">
        <v>29</v>
      </c>
      <c r="B42" s="78" t="s">
        <v>59</v>
      </c>
      <c r="C42" s="23">
        <v>0</v>
      </c>
    </row>
    <row r="43" spans="1:3" s="20" customFormat="1">
      <c r="A43" s="73">
        <v>30</v>
      </c>
      <c r="B43" s="397" t="s">
        <v>48</v>
      </c>
      <c r="C43" s="23">
        <v>48</v>
      </c>
    </row>
    <row r="44" spans="1:3" s="20" customFormat="1">
      <c r="A44" s="75">
        <v>31</v>
      </c>
      <c r="B44" s="397" t="s">
        <v>54</v>
      </c>
      <c r="C44" s="23">
        <v>0</v>
      </c>
    </row>
    <row r="45" spans="1:3" s="20" customFormat="1">
      <c r="A45" s="75">
        <v>32</v>
      </c>
      <c r="B45" s="397" t="s">
        <v>51</v>
      </c>
      <c r="C45" s="24">
        <v>0</v>
      </c>
    </row>
    <row r="46" spans="1:3" s="20" customFormat="1">
      <c r="A46" s="73">
        <v>33</v>
      </c>
      <c r="B46" s="398" t="s">
        <v>60</v>
      </c>
      <c r="C46" s="24">
        <f t="shared" ref="C46" si="4">SUM(C43:C45)</f>
        <v>48</v>
      </c>
    </row>
    <row r="47" spans="1:3" s="20" customFormat="1">
      <c r="A47" s="75">
        <v>34</v>
      </c>
      <c r="B47" s="78" t="s">
        <v>61</v>
      </c>
      <c r="C47" s="24">
        <f t="shared" ref="C47" si="5">C46+C40+C39+C38+C36+C30</f>
        <v>48</v>
      </c>
    </row>
    <row r="48" spans="1:3" s="20" customFormat="1">
      <c r="A48" s="75">
        <v>35</v>
      </c>
      <c r="B48" s="79"/>
      <c r="C48" s="23"/>
    </row>
    <row r="49" spans="1:3" s="20" customFormat="1">
      <c r="A49" s="73">
        <v>36</v>
      </c>
      <c r="B49" s="78" t="s">
        <v>62</v>
      </c>
      <c r="C49" s="23">
        <f t="shared" ref="C49" si="6">C21-C47</f>
        <v>-48</v>
      </c>
    </row>
    <row r="50" spans="1:3" s="20" customFormat="1">
      <c r="A50" s="75">
        <v>37</v>
      </c>
      <c r="B50" s="78"/>
      <c r="C50" s="23"/>
    </row>
    <row r="51" spans="1:3" s="20" customFormat="1">
      <c r="A51" s="75">
        <v>38</v>
      </c>
      <c r="B51" s="78" t="s">
        <v>63</v>
      </c>
      <c r="C51" s="23"/>
    </row>
    <row r="52" spans="1:3" s="20" customFormat="1">
      <c r="A52" s="73">
        <v>39</v>
      </c>
      <c r="B52" s="78" t="s">
        <v>64</v>
      </c>
      <c r="C52" s="23">
        <f>ROUND(C105,0)</f>
        <v>-17</v>
      </c>
    </row>
    <row r="53" spans="1:3" s="20" customFormat="1">
      <c r="A53" s="75">
        <v>40</v>
      </c>
      <c r="B53" s="78" t="s">
        <v>366</v>
      </c>
      <c r="C53" s="23">
        <v>0</v>
      </c>
    </row>
    <row r="54" spans="1:3" s="20" customFormat="1">
      <c r="A54" s="75">
        <v>41</v>
      </c>
      <c r="B54" s="78" t="s">
        <v>65</v>
      </c>
      <c r="C54" s="23"/>
    </row>
    <row r="55" spans="1:3" s="20" customFormat="1">
      <c r="A55" s="73">
        <v>42</v>
      </c>
      <c r="B55" s="78" t="s">
        <v>238</v>
      </c>
      <c r="C55" s="24"/>
    </row>
    <row r="56" spans="1:3">
      <c r="A56" s="73">
        <v>45</v>
      </c>
      <c r="B56" s="79"/>
      <c r="C56" s="23"/>
    </row>
    <row r="57" spans="1:3" s="15" customFormat="1" ht="13.5" thickBot="1">
      <c r="A57" s="75">
        <v>46</v>
      </c>
      <c r="B57" s="76" t="s">
        <v>66</v>
      </c>
      <c r="C57" s="567">
        <f t="shared" ref="C57" si="7">C49-SUM(C52:C55)</f>
        <v>-31</v>
      </c>
    </row>
    <row r="58" spans="1:3" ht="13.5" thickTop="1">
      <c r="A58" s="75">
        <v>47</v>
      </c>
      <c r="B58" s="2"/>
      <c r="C58" s="23"/>
    </row>
    <row r="59" spans="1:3">
      <c r="A59" s="73">
        <v>48</v>
      </c>
      <c r="B59" s="416" t="s">
        <v>21</v>
      </c>
      <c r="C59" s="23"/>
    </row>
    <row r="60" spans="1:3">
      <c r="A60" s="75">
        <v>49</v>
      </c>
      <c r="B60" s="63" t="s">
        <v>67</v>
      </c>
      <c r="C60" s="23"/>
    </row>
    <row r="61" spans="1:3" s="15" customFormat="1">
      <c r="A61" s="75">
        <v>50</v>
      </c>
      <c r="B61" s="396" t="s">
        <v>68</v>
      </c>
      <c r="C61" s="23">
        <v>0</v>
      </c>
    </row>
    <row r="62" spans="1:3" s="20" customFormat="1">
      <c r="A62" s="73">
        <v>51</v>
      </c>
      <c r="B62" s="397" t="s">
        <v>69</v>
      </c>
      <c r="C62" s="23">
        <v>0</v>
      </c>
    </row>
    <row r="63" spans="1:3" s="20" customFormat="1">
      <c r="A63" s="75">
        <v>52</v>
      </c>
      <c r="B63" s="397" t="s">
        <v>70</v>
      </c>
      <c r="C63" s="23">
        <v>0</v>
      </c>
    </row>
    <row r="64" spans="1:3" s="20" customFormat="1">
      <c r="A64" s="75">
        <v>53</v>
      </c>
      <c r="B64" s="397" t="s">
        <v>53</v>
      </c>
      <c r="C64" s="23">
        <v>0</v>
      </c>
    </row>
    <row r="65" spans="1:3" s="20" customFormat="1">
      <c r="A65" s="73">
        <v>54</v>
      </c>
      <c r="B65" s="397" t="s">
        <v>71</v>
      </c>
      <c r="C65" s="24">
        <v>0</v>
      </c>
    </row>
    <row r="66" spans="1:3" s="20" customFormat="1">
      <c r="A66" s="75">
        <v>55</v>
      </c>
      <c r="B66" s="398" t="s">
        <v>72</v>
      </c>
      <c r="C66" s="23">
        <f t="shared" ref="C66" si="8">SUM(C61:C65)</f>
        <v>0</v>
      </c>
    </row>
    <row r="67" spans="1:3" s="20" customFormat="1">
      <c r="A67" s="75">
        <v>56</v>
      </c>
      <c r="B67" s="78" t="s">
        <v>244</v>
      </c>
      <c r="C67" s="23">
        <v>0</v>
      </c>
    </row>
    <row r="68" spans="1:3" s="20" customFormat="1">
      <c r="A68" s="73">
        <v>57</v>
      </c>
      <c r="B68" s="78" t="s">
        <v>245</v>
      </c>
      <c r="C68" s="24">
        <v>0</v>
      </c>
    </row>
    <row r="69" spans="1:3" s="20" customFormat="1">
      <c r="A69" s="75">
        <v>58</v>
      </c>
      <c r="B69" s="397" t="s">
        <v>73</v>
      </c>
      <c r="C69" s="23">
        <f t="shared" ref="C69" si="9">SUM(C67:C68)</f>
        <v>0</v>
      </c>
    </row>
    <row r="70" spans="1:3" s="20" customFormat="1">
      <c r="A70" s="75">
        <v>59</v>
      </c>
      <c r="B70" s="78" t="s">
        <v>246</v>
      </c>
      <c r="C70" s="23">
        <v>0</v>
      </c>
    </row>
    <row r="71" spans="1:3" s="20" customFormat="1">
      <c r="A71" s="73">
        <v>60</v>
      </c>
      <c r="B71" s="78" t="s">
        <v>351</v>
      </c>
      <c r="C71" s="23"/>
    </row>
    <row r="72" spans="1:3" s="20" customFormat="1">
      <c r="A72" s="75">
        <v>61</v>
      </c>
      <c r="B72" s="78" t="s">
        <v>236</v>
      </c>
      <c r="C72" s="23"/>
    </row>
    <row r="73" spans="1:3" s="20" customFormat="1">
      <c r="A73" s="75">
        <v>62</v>
      </c>
      <c r="B73" s="78" t="s">
        <v>247</v>
      </c>
      <c r="C73" s="23"/>
    </row>
    <row r="74" spans="1:3" s="20" customFormat="1">
      <c r="A74" s="73">
        <v>63</v>
      </c>
      <c r="B74" s="78" t="s">
        <v>248</v>
      </c>
      <c r="C74" s="24">
        <v>0</v>
      </c>
    </row>
    <row r="75" spans="1:3" s="20" customFormat="1">
      <c r="A75" s="75">
        <v>64</v>
      </c>
      <c r="B75" s="79"/>
      <c r="C75" s="28"/>
    </row>
    <row r="76" spans="1:3" s="20" customFormat="1">
      <c r="A76" s="75">
        <v>65</v>
      </c>
      <c r="B76" s="79"/>
      <c r="C76" s="23"/>
    </row>
    <row r="77" spans="1:3" s="15" customFormat="1" ht="13.5" thickBot="1">
      <c r="A77" s="73">
        <v>66</v>
      </c>
      <c r="B77" s="425" t="s">
        <v>74</v>
      </c>
      <c r="C77" s="568">
        <f t="shared" ref="C77" si="10">C66-C69+C70+C72+C73+C74+C71</f>
        <v>0</v>
      </c>
    </row>
    <row r="78" spans="1:3" ht="13.5" thickTop="1">
      <c r="B78" s="83"/>
    </row>
    <row r="79" spans="1:3">
      <c r="A79" s="84"/>
      <c r="B79" s="38"/>
      <c r="C79" s="57"/>
    </row>
    <row r="80" spans="1:3">
      <c r="A80" s="89"/>
      <c r="B80" s="39"/>
    </row>
    <row r="81" spans="1:3">
      <c r="A81" s="73">
        <v>1</v>
      </c>
      <c r="B81" s="392" t="s">
        <v>116</v>
      </c>
    </row>
    <row r="82" spans="1:3">
      <c r="A82" s="73">
        <v>2</v>
      </c>
      <c r="B82" s="87" t="s">
        <v>18</v>
      </c>
      <c r="C82" s="82">
        <f t="shared" ref="C82" si="11">+C21</f>
        <v>0</v>
      </c>
    </row>
    <row r="83" spans="1:3">
      <c r="A83" s="73">
        <v>3</v>
      </c>
      <c r="B83" s="87" t="s">
        <v>19</v>
      </c>
      <c r="C83" s="23">
        <f t="shared" ref="C83" si="12">+C47</f>
        <v>48</v>
      </c>
    </row>
    <row r="84" spans="1:3">
      <c r="A84" s="73">
        <v>4</v>
      </c>
      <c r="B84" s="87" t="s">
        <v>274</v>
      </c>
      <c r="C84" s="23"/>
    </row>
    <row r="85" spans="1:3">
      <c r="A85" s="73">
        <v>5</v>
      </c>
      <c r="B85" s="399" t="s">
        <v>119</v>
      </c>
      <c r="C85" s="27">
        <f t="shared" ref="C85" si="13">+C82-C83-C84</f>
        <v>-48</v>
      </c>
    </row>
    <row r="86" spans="1:3">
      <c r="A86" s="73">
        <v>6</v>
      </c>
      <c r="B86" s="91"/>
      <c r="C86" s="80"/>
    </row>
    <row r="87" spans="1:3">
      <c r="A87" s="73">
        <v>7</v>
      </c>
      <c r="B87" s="86" t="s">
        <v>120</v>
      </c>
      <c r="C87" s="80"/>
    </row>
    <row r="88" spans="1:3">
      <c r="A88" s="73">
        <v>8</v>
      </c>
      <c r="B88" s="87" t="s">
        <v>121</v>
      </c>
      <c r="C88" s="80"/>
    </row>
    <row r="89" spans="1:3">
      <c r="A89" s="73">
        <v>9</v>
      </c>
      <c r="B89" s="87" t="s">
        <v>130</v>
      </c>
      <c r="C89" s="80"/>
    </row>
    <row r="90" spans="1:3">
      <c r="A90" s="73">
        <v>10</v>
      </c>
      <c r="B90" s="87" t="s">
        <v>122</v>
      </c>
      <c r="C90" s="80"/>
    </row>
    <row r="91" spans="1:3">
      <c r="A91" s="73">
        <v>11</v>
      </c>
      <c r="B91" s="39"/>
      <c r="C91" s="80"/>
    </row>
    <row r="92" spans="1:3">
      <c r="A92" s="73">
        <v>12</v>
      </c>
      <c r="B92" s="86" t="s">
        <v>123</v>
      </c>
      <c r="C92" s="27">
        <f t="shared" ref="C92" si="14">SUM(C88:C90)</f>
        <v>0</v>
      </c>
    </row>
    <row r="93" spans="1:3">
      <c r="A93" s="73">
        <v>13</v>
      </c>
      <c r="B93" s="39"/>
      <c r="C93" s="80"/>
    </row>
    <row r="94" spans="1:3">
      <c r="A94" s="73">
        <v>14</v>
      </c>
      <c r="B94" s="86" t="s">
        <v>365</v>
      </c>
      <c r="C94" s="80"/>
    </row>
    <row r="95" spans="1:3">
      <c r="A95" s="73">
        <v>15</v>
      </c>
      <c r="B95" s="86" t="s">
        <v>178</v>
      </c>
      <c r="C95" s="80"/>
    </row>
    <row r="96" spans="1:3">
      <c r="A96" s="73">
        <v>16</v>
      </c>
      <c r="B96" s="87" t="s">
        <v>177</v>
      </c>
      <c r="C96" s="80"/>
    </row>
    <row r="97" spans="1:3">
      <c r="A97" s="73">
        <v>17</v>
      </c>
      <c r="B97" s="87" t="s">
        <v>275</v>
      </c>
      <c r="C97" s="80"/>
    </row>
    <row r="98" spans="1:3">
      <c r="A98" s="73">
        <v>18</v>
      </c>
      <c r="B98" s="87"/>
      <c r="C98" s="80"/>
    </row>
    <row r="99" spans="1:3">
      <c r="A99" s="73">
        <v>19</v>
      </c>
      <c r="B99" s="86" t="s">
        <v>125</v>
      </c>
      <c r="C99" s="27">
        <f t="shared" ref="C99" si="15">SUM(C95:C97)</f>
        <v>0</v>
      </c>
    </row>
    <row r="100" spans="1:3">
      <c r="A100" s="73">
        <v>20</v>
      </c>
      <c r="B100" s="39"/>
      <c r="C100" s="80"/>
    </row>
    <row r="101" spans="1:3">
      <c r="A101" s="73">
        <v>21</v>
      </c>
      <c r="B101" s="87" t="s">
        <v>255</v>
      </c>
      <c r="C101" s="28">
        <f t="shared" ref="C101" si="16">+C85+C92-C99</f>
        <v>-48</v>
      </c>
    </row>
    <row r="102" spans="1:3">
      <c r="A102" s="73">
        <v>22</v>
      </c>
      <c r="B102" s="87" t="s">
        <v>126</v>
      </c>
      <c r="C102" s="94">
        <v>0.35</v>
      </c>
    </row>
    <row r="103" spans="1:3">
      <c r="A103" s="73">
        <v>23</v>
      </c>
      <c r="B103" s="86" t="s">
        <v>127</v>
      </c>
      <c r="C103" s="93">
        <f t="shared" ref="C103" si="17">C101*C102</f>
        <v>-16.799999999999997</v>
      </c>
    </row>
    <row r="104" spans="1:3">
      <c r="A104" s="73">
        <v>24</v>
      </c>
      <c r="B104" s="87" t="s">
        <v>128</v>
      </c>
      <c r="C104" s="80">
        <f t="shared" ref="C104" si="18">+(C95-C88+C96)*C102</f>
        <v>0</v>
      </c>
    </row>
    <row r="105" spans="1:3" ht="13.5" thickBot="1">
      <c r="A105" s="73">
        <v>25</v>
      </c>
      <c r="B105" s="95" t="s">
        <v>129</v>
      </c>
      <c r="C105" s="96">
        <f t="shared" ref="C105" si="19">+C103+C104</f>
        <v>-16.799999999999997</v>
      </c>
    </row>
    <row r="106" spans="1:3" ht="13.5" thickTop="1">
      <c r="A106" s="89"/>
    </row>
  </sheetData>
  <printOptions horizontalCentered="1"/>
  <pageMargins left="0.5" right="0.5" top="1.5" bottom="0.3" header="0.5" footer="0.5"/>
  <pageSetup scale="60" fitToWidth="0" orientation="portrait" useFirstPageNumber="1" r:id="rId1"/>
  <headerFooter scaleWithDoc="0" alignWithMargins="0">
    <oddHeader>&amp;L&amp;"Arial,Regular"&amp;10Avista Corporation
&amp;"Arial,Bold"Electric - Restating Adjustments (Schedule 1.2)&amp;"Arial,Regular"
Twelve Months Ended December 31, 2011&amp;R&amp;"Arial,Regular"&amp;10Exhibit No. ___ (JH-2)
Docket UE-120436 &amp;&amp; UG-120437
Page &amp;P of  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6"/>
  <sheetViews>
    <sheetView topLeftCell="A9" zoomScale="75" zoomScaleNormal="75" workbookViewId="0">
      <pane xSplit="2" ySplit="4" topLeftCell="C34" activePane="bottomRight" state="frozen"/>
      <selection activeCell="G79" sqref="G79"/>
      <selection pane="topRight" activeCell="G79" sqref="G79"/>
      <selection pane="bottomLeft" activeCell="G79" sqref="G79"/>
      <selection pane="bottomRight" activeCell="C52" sqref="C52"/>
    </sheetView>
  </sheetViews>
  <sheetFormatPr defaultColWidth="9" defaultRowHeight="12.75"/>
  <cols>
    <col min="1" max="1" width="4.625" style="64" customWidth="1"/>
    <col min="2" max="2" width="42.5" style="63" bestFit="1" customWidth="1"/>
    <col min="3" max="3" width="13.625" style="65" customWidth="1"/>
    <col min="4" max="16384" width="9" style="14"/>
  </cols>
  <sheetData>
    <row r="1" spans="1:3">
      <c r="A1" s="56"/>
      <c r="B1" s="9" t="s">
        <v>281</v>
      </c>
      <c r="C1" s="58"/>
    </row>
    <row r="2" spans="1:3">
      <c r="A2" s="411"/>
      <c r="B2" s="14"/>
      <c r="C2" s="66" t="s">
        <v>250</v>
      </c>
    </row>
    <row r="3" spans="1:3">
      <c r="A3" s="411"/>
      <c r="B3" s="9"/>
      <c r="C3" s="66"/>
    </row>
    <row r="4" spans="1:3" ht="13.5" thickBot="1">
      <c r="A4" s="411"/>
      <c r="B4" s="9"/>
      <c r="C4" s="413"/>
    </row>
    <row r="5" spans="1:3" ht="13.5" thickTop="1">
      <c r="A5" s="402"/>
      <c r="B5" s="64" t="str">
        <f>+ROO!B2</f>
        <v>(000's of Dollars)</v>
      </c>
      <c r="C5" s="66"/>
    </row>
    <row r="6" spans="1:3">
      <c r="A6" s="62"/>
      <c r="B6" s="64"/>
      <c r="C6" s="66"/>
    </row>
    <row r="7" spans="1:3">
      <c r="A7" s="403"/>
      <c r="B7" s="66" t="s">
        <v>100</v>
      </c>
      <c r="C7" s="60" t="s">
        <v>107</v>
      </c>
    </row>
    <row r="8" spans="1:3">
      <c r="A8" s="403"/>
      <c r="B8" s="66"/>
      <c r="C8" s="60"/>
    </row>
    <row r="9" spans="1:3" s="70" customFormat="1">
      <c r="A9" s="69"/>
      <c r="B9" s="69"/>
      <c r="C9" s="546">
        <v>2.04</v>
      </c>
    </row>
    <row r="10" spans="1:3" s="71" customFormat="1">
      <c r="A10" s="414"/>
      <c r="B10" s="420"/>
      <c r="C10" s="68" t="s">
        <v>342</v>
      </c>
    </row>
    <row r="11" spans="1:3" s="71" customFormat="1">
      <c r="A11" s="414" t="s">
        <v>5</v>
      </c>
      <c r="B11" s="420"/>
      <c r="C11" s="68" t="s">
        <v>343</v>
      </c>
    </row>
    <row r="12" spans="1:3" s="424" customFormat="1">
      <c r="A12" s="421" t="s">
        <v>10</v>
      </c>
      <c r="B12" s="422" t="s">
        <v>11</v>
      </c>
      <c r="C12" s="423" t="s">
        <v>17</v>
      </c>
    </row>
    <row r="13" spans="1:3" s="59" customFormat="1">
      <c r="A13" s="418"/>
      <c r="B13" s="419" t="s">
        <v>155</v>
      </c>
      <c r="C13" s="66"/>
    </row>
    <row r="14" spans="1:3">
      <c r="A14" s="73">
        <v>1</v>
      </c>
      <c r="B14" s="416" t="s">
        <v>98</v>
      </c>
    </row>
    <row r="15" spans="1:3">
      <c r="A15" s="75">
        <v>2</v>
      </c>
      <c r="B15" s="63" t="s">
        <v>40</v>
      </c>
    </row>
    <row r="16" spans="1:3" s="15" customFormat="1">
      <c r="A16" s="73">
        <v>3</v>
      </c>
      <c r="B16" s="76" t="s">
        <v>41</v>
      </c>
      <c r="C16" s="566"/>
    </row>
    <row r="17" spans="1:3" s="20" customFormat="1">
      <c r="A17" s="75">
        <v>4</v>
      </c>
      <c r="B17" s="78" t="s">
        <v>42</v>
      </c>
      <c r="C17" s="23"/>
    </row>
    <row r="18" spans="1:3" s="20" customFormat="1">
      <c r="A18" s="73">
        <v>5</v>
      </c>
      <c r="B18" s="78" t="s">
        <v>43</v>
      </c>
      <c r="C18" s="24"/>
    </row>
    <row r="19" spans="1:3" s="20" customFormat="1">
      <c r="A19" s="75">
        <v>6</v>
      </c>
      <c r="B19" s="397" t="s">
        <v>44</v>
      </c>
      <c r="C19" s="23">
        <f>SUM(C16:C18)</f>
        <v>0</v>
      </c>
    </row>
    <row r="20" spans="1:3" s="20" customFormat="1">
      <c r="A20" s="73">
        <v>7</v>
      </c>
      <c r="B20" s="78" t="s">
        <v>45</v>
      </c>
      <c r="C20" s="24"/>
    </row>
    <row r="21" spans="1:3" s="20" customFormat="1">
      <c r="A21" s="75">
        <v>8</v>
      </c>
      <c r="B21" s="397" t="s">
        <v>46</v>
      </c>
      <c r="C21" s="23">
        <f>SUM(C19:C20)</f>
        <v>0</v>
      </c>
    </row>
    <row r="22" spans="1:3" s="20" customFormat="1">
      <c r="A22" s="73">
        <v>9</v>
      </c>
      <c r="B22" s="79"/>
      <c r="C22" s="23"/>
    </row>
    <row r="23" spans="1:3" s="20" customFormat="1">
      <c r="A23" s="75">
        <v>10</v>
      </c>
      <c r="B23" s="78" t="s">
        <v>20</v>
      </c>
      <c r="C23" s="23"/>
    </row>
    <row r="24" spans="1:3" s="20" customFormat="1">
      <c r="A24" s="73">
        <v>11</v>
      </c>
      <c r="B24" s="78" t="s">
        <v>47</v>
      </c>
      <c r="C24" s="23"/>
    </row>
    <row r="25" spans="1:3" s="20" customFormat="1">
      <c r="A25" s="75">
        <v>12</v>
      </c>
      <c r="B25" s="397" t="s">
        <v>48</v>
      </c>
      <c r="C25" s="23"/>
    </row>
    <row r="26" spans="1:3" s="20" customFormat="1">
      <c r="A26" s="73">
        <v>13</v>
      </c>
      <c r="B26" s="397" t="s">
        <v>49</v>
      </c>
      <c r="C26" s="23"/>
    </row>
    <row r="27" spans="1:3" s="20" customFormat="1">
      <c r="A27" s="75">
        <v>14</v>
      </c>
      <c r="B27" s="397" t="s">
        <v>50</v>
      </c>
      <c r="C27" s="23"/>
    </row>
    <row r="28" spans="1:3" s="20" customFormat="1">
      <c r="A28" s="73">
        <v>15</v>
      </c>
      <c r="B28" s="393" t="s">
        <v>349</v>
      </c>
      <c r="C28" s="23"/>
    </row>
    <row r="29" spans="1:3" s="20" customFormat="1">
      <c r="A29" s="75">
        <v>16</v>
      </c>
      <c r="B29" s="397" t="s">
        <v>51</v>
      </c>
      <c r="C29" s="24"/>
    </row>
    <row r="30" spans="1:3" s="20" customFormat="1">
      <c r="A30" s="73">
        <v>17</v>
      </c>
      <c r="B30" s="398" t="s">
        <v>52</v>
      </c>
      <c r="C30" s="23">
        <f t="shared" ref="C30" si="0">SUM(C25:C29)</f>
        <v>0</v>
      </c>
    </row>
    <row r="31" spans="1:3" s="20" customFormat="1">
      <c r="A31" s="75">
        <v>18</v>
      </c>
      <c r="B31" s="79"/>
      <c r="C31" s="23"/>
    </row>
    <row r="32" spans="1:3" s="20" customFormat="1">
      <c r="A32" s="73">
        <v>19</v>
      </c>
      <c r="B32" s="78" t="s">
        <v>53</v>
      </c>
      <c r="C32" s="23"/>
    </row>
    <row r="33" spans="1:3" s="20" customFormat="1">
      <c r="A33" s="75">
        <v>20</v>
      </c>
      <c r="B33" s="397" t="s">
        <v>48</v>
      </c>
      <c r="C33" s="23"/>
    </row>
    <row r="34" spans="1:3" s="20" customFormat="1">
      <c r="A34" s="73">
        <v>21</v>
      </c>
      <c r="B34" s="397" t="s">
        <v>54</v>
      </c>
      <c r="C34" s="23"/>
    </row>
    <row r="35" spans="1:3" s="20" customFormat="1">
      <c r="A35" s="75">
        <v>22</v>
      </c>
      <c r="B35" s="397" t="s">
        <v>51</v>
      </c>
      <c r="C35" s="24"/>
    </row>
    <row r="36" spans="1:3" s="20" customFormat="1">
      <c r="A36" s="73">
        <v>23</v>
      </c>
      <c r="B36" s="398" t="s">
        <v>55</v>
      </c>
      <c r="C36" s="23">
        <f>SUM(C33:C35)</f>
        <v>0</v>
      </c>
    </row>
    <row r="37" spans="1:3" s="20" customFormat="1">
      <c r="A37" s="75">
        <v>24</v>
      </c>
      <c r="B37" s="79"/>
      <c r="C37" s="23"/>
    </row>
    <row r="38" spans="1:3" s="20" customFormat="1">
      <c r="A38" s="73">
        <v>25</v>
      </c>
      <c r="B38" s="78" t="s">
        <v>56</v>
      </c>
      <c r="C38" s="23"/>
    </row>
    <row r="39" spans="1:3" s="20" customFormat="1">
      <c r="A39" s="75">
        <v>26</v>
      </c>
      <c r="B39" s="78" t="s">
        <v>57</v>
      </c>
      <c r="C39" s="23">
        <v>0</v>
      </c>
    </row>
    <row r="40" spans="1:3" s="20" customFormat="1">
      <c r="A40" s="73">
        <v>27</v>
      </c>
      <c r="B40" s="78" t="s">
        <v>58</v>
      </c>
      <c r="C40" s="23"/>
    </row>
    <row r="41" spans="1:3" s="20" customFormat="1">
      <c r="A41" s="75">
        <v>28</v>
      </c>
      <c r="B41" s="79"/>
      <c r="C41" s="23"/>
    </row>
    <row r="42" spans="1:3" s="20" customFormat="1">
      <c r="A42" s="75">
        <v>29</v>
      </c>
      <c r="B42" s="78" t="s">
        <v>59</v>
      </c>
      <c r="C42" s="23"/>
    </row>
    <row r="43" spans="1:3" s="20" customFormat="1">
      <c r="A43" s="73">
        <v>30</v>
      </c>
      <c r="B43" s="397" t="s">
        <v>48</v>
      </c>
      <c r="C43" s="23">
        <v>-230</v>
      </c>
    </row>
    <row r="44" spans="1:3" s="20" customFormat="1">
      <c r="A44" s="75">
        <v>31</v>
      </c>
      <c r="B44" s="397" t="s">
        <v>54</v>
      </c>
      <c r="C44" s="23"/>
    </row>
    <row r="45" spans="1:3" s="20" customFormat="1">
      <c r="A45" s="75">
        <v>32</v>
      </c>
      <c r="B45" s="397" t="s">
        <v>51</v>
      </c>
      <c r="C45" s="24"/>
    </row>
    <row r="46" spans="1:3" s="20" customFormat="1">
      <c r="A46" s="73">
        <v>33</v>
      </c>
      <c r="B46" s="398" t="s">
        <v>60</v>
      </c>
      <c r="C46" s="24">
        <f>SUM(C43:C45)</f>
        <v>-230</v>
      </c>
    </row>
    <row r="47" spans="1:3" s="20" customFormat="1">
      <c r="A47" s="75">
        <v>34</v>
      </c>
      <c r="B47" s="78" t="s">
        <v>61</v>
      </c>
      <c r="C47" s="24">
        <f t="shared" ref="C47" si="1">C46+C40+C39+C38+C36+C30</f>
        <v>-230</v>
      </c>
    </row>
    <row r="48" spans="1:3" s="20" customFormat="1">
      <c r="A48" s="75">
        <v>35</v>
      </c>
      <c r="B48" s="79"/>
      <c r="C48" s="23"/>
    </row>
    <row r="49" spans="1:3" s="20" customFormat="1">
      <c r="A49" s="73">
        <v>36</v>
      </c>
      <c r="B49" s="78" t="s">
        <v>62</v>
      </c>
      <c r="C49" s="23">
        <f t="shared" ref="C49" si="2">C21-C47</f>
        <v>230</v>
      </c>
    </row>
    <row r="50" spans="1:3" s="20" customFormat="1">
      <c r="A50" s="75">
        <v>37</v>
      </c>
      <c r="B50" s="78"/>
      <c r="C50" s="23"/>
    </row>
    <row r="51" spans="1:3" s="20" customFormat="1">
      <c r="A51" s="75">
        <v>38</v>
      </c>
      <c r="B51" s="78" t="s">
        <v>63</v>
      </c>
      <c r="C51" s="23"/>
    </row>
    <row r="52" spans="1:3" s="20" customFormat="1">
      <c r="A52" s="73">
        <v>39</v>
      </c>
      <c r="B52" s="78" t="s">
        <v>64</v>
      </c>
      <c r="C52" s="23">
        <f>+ROUND(C105,0)</f>
        <v>81</v>
      </c>
    </row>
    <row r="53" spans="1:3" s="20" customFormat="1">
      <c r="A53" s="75">
        <v>40</v>
      </c>
      <c r="B53" s="78" t="s">
        <v>366</v>
      </c>
      <c r="C53" s="23"/>
    </row>
    <row r="54" spans="1:3" s="20" customFormat="1">
      <c r="A54" s="75">
        <v>41</v>
      </c>
      <c r="B54" s="78" t="s">
        <v>65</v>
      </c>
      <c r="C54" s="23"/>
    </row>
    <row r="55" spans="1:3" s="20" customFormat="1">
      <c r="A55" s="73">
        <v>42</v>
      </c>
      <c r="B55" s="78" t="s">
        <v>238</v>
      </c>
      <c r="C55" s="24"/>
    </row>
    <row r="56" spans="1:3">
      <c r="A56" s="73">
        <v>45</v>
      </c>
      <c r="B56" s="79"/>
      <c r="C56" s="23"/>
    </row>
    <row r="57" spans="1:3" s="15" customFormat="1" ht="13.5" thickBot="1">
      <c r="A57" s="75">
        <v>46</v>
      </c>
      <c r="B57" s="76" t="s">
        <v>66</v>
      </c>
      <c r="C57" s="567">
        <f>+C49-C52</f>
        <v>149</v>
      </c>
    </row>
    <row r="58" spans="1:3" ht="13.5" thickTop="1">
      <c r="A58" s="75">
        <v>47</v>
      </c>
      <c r="B58" s="2"/>
      <c r="C58" s="23"/>
    </row>
    <row r="59" spans="1:3">
      <c r="A59" s="73">
        <v>48</v>
      </c>
      <c r="B59" s="416" t="s">
        <v>21</v>
      </c>
      <c r="C59" s="23"/>
    </row>
    <row r="60" spans="1:3">
      <c r="A60" s="75">
        <v>49</v>
      </c>
      <c r="B60" s="63" t="s">
        <v>67</v>
      </c>
      <c r="C60" s="23"/>
    </row>
    <row r="61" spans="1:3" s="15" customFormat="1">
      <c r="A61" s="75">
        <v>50</v>
      </c>
      <c r="B61" s="396" t="s">
        <v>68</v>
      </c>
      <c r="C61" s="23"/>
    </row>
    <row r="62" spans="1:3" s="20" customFormat="1">
      <c r="A62" s="73">
        <v>51</v>
      </c>
      <c r="B62" s="397" t="s">
        <v>69</v>
      </c>
      <c r="C62" s="23"/>
    </row>
    <row r="63" spans="1:3" s="20" customFormat="1">
      <c r="A63" s="75">
        <v>52</v>
      </c>
      <c r="B63" s="397" t="s">
        <v>70</v>
      </c>
      <c r="C63" s="23"/>
    </row>
    <row r="64" spans="1:3" s="20" customFormat="1">
      <c r="A64" s="75">
        <v>53</v>
      </c>
      <c r="B64" s="397" t="s">
        <v>53</v>
      </c>
      <c r="C64" s="23">
        <v>0</v>
      </c>
    </row>
    <row r="65" spans="1:3" s="20" customFormat="1">
      <c r="A65" s="73">
        <v>54</v>
      </c>
      <c r="B65" s="397" t="s">
        <v>71</v>
      </c>
      <c r="C65" s="24"/>
    </row>
    <row r="66" spans="1:3" s="20" customFormat="1">
      <c r="A66" s="75">
        <v>55</v>
      </c>
      <c r="B66" s="398" t="s">
        <v>72</v>
      </c>
      <c r="C66" s="23">
        <f t="shared" ref="C66" si="3">SUM(C61:C65)</f>
        <v>0</v>
      </c>
    </row>
    <row r="67" spans="1:3" s="20" customFormat="1">
      <c r="A67" s="75">
        <v>56</v>
      </c>
      <c r="B67" s="78" t="s">
        <v>244</v>
      </c>
      <c r="C67" s="23">
        <v>0</v>
      </c>
    </row>
    <row r="68" spans="1:3" s="20" customFormat="1">
      <c r="A68" s="73">
        <v>57</v>
      </c>
      <c r="B68" s="78" t="s">
        <v>245</v>
      </c>
      <c r="C68" s="24">
        <v>0</v>
      </c>
    </row>
    <row r="69" spans="1:3" s="20" customFormat="1">
      <c r="A69" s="75">
        <v>58</v>
      </c>
      <c r="B69" s="397" t="s">
        <v>73</v>
      </c>
      <c r="C69" s="23"/>
    </row>
    <row r="70" spans="1:3" s="20" customFormat="1">
      <c r="A70" s="75">
        <v>59</v>
      </c>
      <c r="B70" s="78" t="s">
        <v>246</v>
      </c>
      <c r="C70" s="23"/>
    </row>
    <row r="71" spans="1:3" s="20" customFormat="1">
      <c r="A71" s="73">
        <v>60</v>
      </c>
      <c r="B71" s="78" t="s">
        <v>351</v>
      </c>
      <c r="C71" s="23"/>
    </row>
    <row r="72" spans="1:3" s="20" customFormat="1">
      <c r="A72" s="75">
        <v>61</v>
      </c>
      <c r="B72" s="78" t="s">
        <v>236</v>
      </c>
      <c r="C72" s="23"/>
    </row>
    <row r="73" spans="1:3" s="20" customFormat="1">
      <c r="A73" s="75">
        <v>62</v>
      </c>
      <c r="B73" s="78" t="s">
        <v>247</v>
      </c>
      <c r="C73" s="23"/>
    </row>
    <row r="74" spans="1:3" s="20" customFormat="1">
      <c r="A74" s="73">
        <v>63</v>
      </c>
      <c r="B74" s="78" t="s">
        <v>248</v>
      </c>
      <c r="C74" s="24">
        <v>0</v>
      </c>
    </row>
    <row r="75" spans="1:3" s="20" customFormat="1">
      <c r="A75" s="75">
        <v>64</v>
      </c>
      <c r="B75" s="79"/>
      <c r="C75" s="28"/>
    </row>
    <row r="76" spans="1:3" s="20" customFormat="1">
      <c r="A76" s="75">
        <v>65</v>
      </c>
      <c r="B76" s="79"/>
      <c r="C76" s="23"/>
    </row>
    <row r="77" spans="1:3" s="15" customFormat="1" ht="13.5" thickBot="1">
      <c r="A77" s="73">
        <v>66</v>
      </c>
      <c r="B77" s="425" t="s">
        <v>74</v>
      </c>
      <c r="C77" s="568">
        <f t="shared" ref="C77" si="4">C66-C69+C70+C72+C73+C74+C71</f>
        <v>0</v>
      </c>
    </row>
    <row r="78" spans="1:3" ht="13.5" thickTop="1">
      <c r="B78" s="83"/>
    </row>
    <row r="79" spans="1:3">
      <c r="A79" s="84"/>
      <c r="B79" s="38"/>
      <c r="C79" s="57"/>
    </row>
    <row r="80" spans="1:3">
      <c r="A80" s="89"/>
      <c r="B80" s="39"/>
    </row>
    <row r="81" spans="1:3">
      <c r="A81" s="73">
        <v>1</v>
      </c>
      <c r="B81" s="392" t="s">
        <v>116</v>
      </c>
    </row>
    <row r="82" spans="1:3">
      <c r="A82" s="73">
        <v>2</v>
      </c>
      <c r="B82" s="87" t="s">
        <v>18</v>
      </c>
      <c r="C82" s="23"/>
    </row>
    <row r="83" spans="1:3">
      <c r="A83" s="73">
        <v>3</v>
      </c>
      <c r="B83" s="87" t="s">
        <v>19</v>
      </c>
      <c r="C83" s="23">
        <f t="shared" ref="C83" si="5">+C47</f>
        <v>-230</v>
      </c>
    </row>
    <row r="84" spans="1:3">
      <c r="A84" s="73">
        <v>4</v>
      </c>
      <c r="B84" s="87" t="s">
        <v>274</v>
      </c>
      <c r="C84" s="23"/>
    </row>
    <row r="85" spans="1:3">
      <c r="A85" s="73">
        <v>5</v>
      </c>
      <c r="B85" s="399" t="s">
        <v>119</v>
      </c>
      <c r="C85" s="27">
        <f>+C82-C83-C84</f>
        <v>230</v>
      </c>
    </row>
    <row r="86" spans="1:3">
      <c r="A86" s="73">
        <v>6</v>
      </c>
      <c r="B86" s="91"/>
      <c r="C86" s="23"/>
    </row>
    <row r="87" spans="1:3">
      <c r="A87" s="73">
        <v>7</v>
      </c>
      <c r="B87" s="86" t="s">
        <v>120</v>
      </c>
      <c r="C87" s="23"/>
    </row>
    <row r="88" spans="1:3">
      <c r="A88" s="73">
        <v>8</v>
      </c>
      <c r="B88" s="87" t="s">
        <v>121</v>
      </c>
      <c r="C88" s="23"/>
    </row>
    <row r="89" spans="1:3">
      <c r="A89" s="73">
        <v>9</v>
      </c>
      <c r="B89" s="87" t="s">
        <v>130</v>
      </c>
      <c r="C89" s="23"/>
    </row>
    <row r="90" spans="1:3">
      <c r="A90" s="73">
        <v>10</v>
      </c>
      <c r="B90" s="87" t="s">
        <v>122</v>
      </c>
      <c r="C90" s="23"/>
    </row>
    <row r="91" spans="1:3">
      <c r="A91" s="73">
        <v>11</v>
      </c>
      <c r="B91" s="39"/>
      <c r="C91" s="23"/>
    </row>
    <row r="92" spans="1:3">
      <c r="A92" s="73">
        <v>12</v>
      </c>
      <c r="B92" s="86" t="s">
        <v>123</v>
      </c>
      <c r="C92" s="27">
        <f>SUM(C88:C90)</f>
        <v>0</v>
      </c>
    </row>
    <row r="93" spans="1:3">
      <c r="A93" s="73">
        <v>13</v>
      </c>
      <c r="B93" s="39"/>
      <c r="C93" s="23"/>
    </row>
    <row r="94" spans="1:3">
      <c r="A94" s="73">
        <v>14</v>
      </c>
      <c r="B94" s="86" t="s">
        <v>365</v>
      </c>
      <c r="C94" s="23"/>
    </row>
    <row r="95" spans="1:3">
      <c r="A95" s="73">
        <v>15</v>
      </c>
      <c r="B95" s="86" t="s">
        <v>178</v>
      </c>
      <c r="C95" s="23"/>
    </row>
    <row r="96" spans="1:3">
      <c r="A96" s="73">
        <v>16</v>
      </c>
      <c r="B96" s="87" t="s">
        <v>177</v>
      </c>
      <c r="C96" s="23"/>
    </row>
    <row r="97" spans="1:3">
      <c r="A97" s="73">
        <v>17</v>
      </c>
      <c r="B97" s="87" t="s">
        <v>275</v>
      </c>
      <c r="C97" s="23"/>
    </row>
    <row r="98" spans="1:3">
      <c r="A98" s="73">
        <v>18</v>
      </c>
      <c r="B98" s="87"/>
      <c r="C98" s="23"/>
    </row>
    <row r="99" spans="1:3">
      <c r="A99" s="73">
        <v>19</v>
      </c>
      <c r="B99" s="86" t="s">
        <v>125</v>
      </c>
      <c r="C99" s="27">
        <f>SUM(C96:C97)</f>
        <v>0</v>
      </c>
    </row>
    <row r="100" spans="1:3">
      <c r="A100" s="73">
        <v>20</v>
      </c>
      <c r="B100" s="39"/>
      <c r="C100" s="23"/>
    </row>
    <row r="101" spans="1:3">
      <c r="A101" s="73">
        <v>21</v>
      </c>
      <c r="B101" s="87" t="s">
        <v>255</v>
      </c>
      <c r="C101" s="28">
        <f>+C85+C92-C99</f>
        <v>230</v>
      </c>
    </row>
    <row r="102" spans="1:3">
      <c r="A102" s="73">
        <v>22</v>
      </c>
      <c r="B102" s="87" t="s">
        <v>126</v>
      </c>
      <c r="C102" s="94">
        <v>0.35</v>
      </c>
    </row>
    <row r="103" spans="1:3">
      <c r="A103" s="73">
        <v>23</v>
      </c>
      <c r="B103" s="86" t="s">
        <v>127</v>
      </c>
      <c r="C103" s="93">
        <f>C101*C102</f>
        <v>80.5</v>
      </c>
    </row>
    <row r="104" spans="1:3">
      <c r="A104" s="73">
        <v>24</v>
      </c>
      <c r="B104" s="87" t="s">
        <v>128</v>
      </c>
      <c r="C104" s="23"/>
    </row>
    <row r="105" spans="1:3" ht="13.5" thickBot="1">
      <c r="A105" s="73">
        <v>25</v>
      </c>
      <c r="B105" s="95" t="s">
        <v>129</v>
      </c>
      <c r="C105" s="97">
        <f>+C103+C104</f>
        <v>80.5</v>
      </c>
    </row>
    <row r="106" spans="1:3" ht="13.5" thickTop="1">
      <c r="A106" s="89"/>
    </row>
  </sheetData>
  <printOptions horizontalCentered="1"/>
  <pageMargins left="0.5" right="0.5" top="1.5" bottom="0.3" header="0.5" footer="0.5"/>
  <pageSetup scale="60" fitToWidth="0" orientation="portrait" useFirstPageNumber="1" r:id="rId1"/>
  <headerFooter scaleWithDoc="0" alignWithMargins="0">
    <oddHeader>&amp;L&amp;"Arial,Regular"&amp;10Avista Corporation
&amp;"Arial,Bold"Electric - Restating Adjustments (Schedule 1.2)&amp;"Arial,Regular"
Twelve Months Ended December 31, 2011&amp;R&amp;"Arial,Regular"&amp;10Exhibit No. ___ (JH-2)
Docket UE-120436 &amp;&amp; UG-120437
Page &amp;P of  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6"/>
  <sheetViews>
    <sheetView topLeftCell="A9" zoomScale="75" zoomScaleNormal="75" workbookViewId="0">
      <pane xSplit="2" ySplit="4" topLeftCell="C28" activePane="bottomRight" state="frozen"/>
      <selection activeCell="G79" sqref="G79"/>
      <selection pane="topRight" activeCell="G79" sqref="G79"/>
      <selection pane="bottomLeft" activeCell="G79" sqref="G79"/>
      <selection pane="bottomRight" activeCell="C55" sqref="C55"/>
    </sheetView>
  </sheetViews>
  <sheetFormatPr defaultColWidth="9" defaultRowHeight="12.75"/>
  <cols>
    <col min="1" max="1" width="4.625" style="64" customWidth="1"/>
    <col min="2" max="2" width="42.5" style="63" bestFit="1" customWidth="1"/>
    <col min="3" max="3" width="13.625" style="74" customWidth="1"/>
    <col min="4" max="16384" width="9" style="14"/>
  </cols>
  <sheetData>
    <row r="1" spans="1:3">
      <c r="A1" s="56"/>
      <c r="B1" s="9" t="s">
        <v>281</v>
      </c>
      <c r="C1" s="58"/>
    </row>
    <row r="2" spans="1:3">
      <c r="A2" s="411"/>
      <c r="B2" s="14"/>
      <c r="C2" s="66" t="s">
        <v>381</v>
      </c>
    </row>
    <row r="3" spans="1:3">
      <c r="A3" s="411"/>
      <c r="B3" s="9"/>
      <c r="C3" s="66"/>
    </row>
    <row r="4" spans="1:3" ht="13.5" thickBot="1">
      <c r="A4" s="411"/>
      <c r="B4" s="9"/>
      <c r="C4" s="413"/>
    </row>
    <row r="5" spans="1:3" ht="13.5" thickTop="1">
      <c r="A5" s="402"/>
      <c r="B5" s="64" t="str">
        <f>+ROO!B2</f>
        <v>(000's of Dollars)</v>
      </c>
      <c r="C5" s="65"/>
    </row>
    <row r="6" spans="1:3">
      <c r="A6" s="62"/>
      <c r="B6" s="64"/>
      <c r="C6" s="65"/>
    </row>
    <row r="7" spans="1:3">
      <c r="A7" s="403"/>
      <c r="B7" s="66" t="s">
        <v>100</v>
      </c>
      <c r="C7" s="66" t="s">
        <v>156</v>
      </c>
    </row>
    <row r="8" spans="1:3">
      <c r="A8" s="403"/>
      <c r="B8" s="66"/>
      <c r="C8" s="66"/>
    </row>
    <row r="9" spans="1:3" s="70" customFormat="1">
      <c r="A9" s="69"/>
      <c r="B9" s="69"/>
      <c r="C9" s="547">
        <v>2.0499999999999998</v>
      </c>
    </row>
    <row r="10" spans="1:3" s="71" customFormat="1">
      <c r="A10" s="414"/>
      <c r="B10" s="420"/>
      <c r="C10" s="556" t="s">
        <v>340</v>
      </c>
    </row>
    <row r="11" spans="1:3" s="71" customFormat="1">
      <c r="A11" s="414" t="s">
        <v>5</v>
      </c>
      <c r="B11" s="420"/>
      <c r="C11" s="557" t="s">
        <v>341</v>
      </c>
    </row>
    <row r="12" spans="1:3" s="424" customFormat="1">
      <c r="A12" s="421" t="s">
        <v>10</v>
      </c>
      <c r="B12" s="422" t="s">
        <v>11</v>
      </c>
      <c r="C12" s="558" t="s">
        <v>16</v>
      </c>
    </row>
    <row r="13" spans="1:3" s="59" customFormat="1">
      <c r="A13" s="418"/>
      <c r="B13" s="419" t="s">
        <v>155</v>
      </c>
      <c r="C13" s="66"/>
    </row>
    <row r="14" spans="1:3">
      <c r="A14" s="73">
        <v>1</v>
      </c>
      <c r="B14" s="416" t="s">
        <v>98</v>
      </c>
      <c r="C14" s="65"/>
    </row>
    <row r="15" spans="1:3">
      <c r="A15" s="75">
        <v>2</v>
      </c>
      <c r="B15" s="63" t="s">
        <v>40</v>
      </c>
      <c r="C15" s="65"/>
    </row>
    <row r="16" spans="1:3" s="15" customFormat="1">
      <c r="A16" s="73">
        <v>3</v>
      </c>
      <c r="B16" s="76" t="s">
        <v>41</v>
      </c>
      <c r="C16" s="566"/>
    </row>
    <row r="17" spans="1:3" s="20" customFormat="1">
      <c r="A17" s="75">
        <v>4</v>
      </c>
      <c r="B17" s="78" t="s">
        <v>42</v>
      </c>
      <c r="C17" s="23">
        <v>0</v>
      </c>
    </row>
    <row r="18" spans="1:3" s="20" customFormat="1">
      <c r="A18" s="73">
        <v>5</v>
      </c>
      <c r="B18" s="78" t="s">
        <v>43</v>
      </c>
      <c r="C18" s="24">
        <v>0</v>
      </c>
    </row>
    <row r="19" spans="1:3" s="20" customFormat="1">
      <c r="A19" s="75">
        <v>6</v>
      </c>
      <c r="B19" s="397" t="s">
        <v>44</v>
      </c>
      <c r="C19" s="23">
        <f>SUM(C16:C18)</f>
        <v>0</v>
      </c>
    </row>
    <row r="20" spans="1:3" s="20" customFormat="1">
      <c r="A20" s="73">
        <v>7</v>
      </c>
      <c r="B20" s="78" t="s">
        <v>45</v>
      </c>
      <c r="C20" s="24">
        <v>0</v>
      </c>
    </row>
    <row r="21" spans="1:3" s="20" customFormat="1">
      <c r="A21" s="75">
        <v>8</v>
      </c>
      <c r="B21" s="397" t="s">
        <v>46</v>
      </c>
      <c r="C21" s="23">
        <f>SUM(C19:C20)</f>
        <v>0</v>
      </c>
    </row>
    <row r="22" spans="1:3" s="20" customFormat="1">
      <c r="A22" s="73">
        <v>9</v>
      </c>
      <c r="B22" s="79"/>
      <c r="C22" s="23"/>
    </row>
    <row r="23" spans="1:3" s="20" customFormat="1">
      <c r="A23" s="75">
        <v>10</v>
      </c>
      <c r="B23" s="78" t="s">
        <v>20</v>
      </c>
      <c r="C23" s="23"/>
    </row>
    <row r="24" spans="1:3" s="20" customFormat="1">
      <c r="A24" s="73">
        <v>11</v>
      </c>
      <c r="B24" s="78" t="s">
        <v>47</v>
      </c>
      <c r="C24" s="23"/>
    </row>
    <row r="25" spans="1:3" s="20" customFormat="1">
      <c r="A25" s="75">
        <v>12</v>
      </c>
      <c r="B25" s="397" t="s">
        <v>48</v>
      </c>
      <c r="C25" s="23">
        <v>0</v>
      </c>
    </row>
    <row r="26" spans="1:3" s="20" customFormat="1">
      <c r="A26" s="73">
        <v>13</v>
      </c>
      <c r="B26" s="397" t="s">
        <v>49</v>
      </c>
      <c r="C26" s="23">
        <v>0</v>
      </c>
    </row>
    <row r="27" spans="1:3" s="20" customFormat="1">
      <c r="A27" s="75">
        <v>14</v>
      </c>
      <c r="B27" s="397" t="s">
        <v>50</v>
      </c>
      <c r="C27" s="23">
        <v>0</v>
      </c>
    </row>
    <row r="28" spans="1:3" s="20" customFormat="1">
      <c r="A28" s="73">
        <v>15</v>
      </c>
      <c r="B28" s="393" t="s">
        <v>349</v>
      </c>
      <c r="C28" s="23"/>
    </row>
    <row r="29" spans="1:3" s="20" customFormat="1">
      <c r="A29" s="75">
        <v>16</v>
      </c>
      <c r="B29" s="397" t="s">
        <v>51</v>
      </c>
      <c r="C29" s="24">
        <v>0</v>
      </c>
    </row>
    <row r="30" spans="1:3" s="20" customFormat="1">
      <c r="A30" s="73">
        <v>17</v>
      </c>
      <c r="B30" s="398" t="s">
        <v>52</v>
      </c>
      <c r="C30" s="23">
        <f t="shared" ref="C30" si="0">SUM(C25:C29)</f>
        <v>0</v>
      </c>
    </row>
    <row r="31" spans="1:3" s="20" customFormat="1">
      <c r="A31" s="75">
        <v>18</v>
      </c>
      <c r="B31" s="79"/>
      <c r="C31" s="23"/>
    </row>
    <row r="32" spans="1:3" s="20" customFormat="1">
      <c r="A32" s="73">
        <v>19</v>
      </c>
      <c r="B32" s="78" t="s">
        <v>53</v>
      </c>
      <c r="C32" s="23"/>
    </row>
    <row r="33" spans="1:3" s="20" customFormat="1">
      <c r="A33" s="75">
        <v>20</v>
      </c>
      <c r="B33" s="397" t="s">
        <v>48</v>
      </c>
      <c r="C33" s="23">
        <v>0</v>
      </c>
    </row>
    <row r="34" spans="1:3" s="20" customFormat="1">
      <c r="A34" s="73">
        <v>21</v>
      </c>
      <c r="B34" s="397" t="s">
        <v>54</v>
      </c>
      <c r="C34" s="23">
        <v>0</v>
      </c>
    </row>
    <row r="35" spans="1:3" s="20" customFormat="1">
      <c r="A35" s="75">
        <v>22</v>
      </c>
      <c r="B35" s="397" t="s">
        <v>51</v>
      </c>
      <c r="C35" s="24">
        <v>0</v>
      </c>
    </row>
    <row r="36" spans="1:3" s="20" customFormat="1">
      <c r="A36" s="73">
        <v>23</v>
      </c>
      <c r="B36" s="398" t="s">
        <v>55</v>
      </c>
      <c r="C36" s="23">
        <f>SUM(C33:C35)</f>
        <v>0</v>
      </c>
    </row>
    <row r="37" spans="1:3" s="20" customFormat="1">
      <c r="A37" s="75">
        <v>24</v>
      </c>
      <c r="B37" s="79"/>
      <c r="C37" s="23"/>
    </row>
    <row r="38" spans="1:3" s="20" customFormat="1">
      <c r="A38" s="73">
        <v>25</v>
      </c>
      <c r="B38" s="78" t="s">
        <v>56</v>
      </c>
      <c r="C38" s="23">
        <v>0</v>
      </c>
    </row>
    <row r="39" spans="1:3" s="20" customFormat="1">
      <c r="A39" s="75">
        <v>26</v>
      </c>
      <c r="B39" s="78" t="s">
        <v>57</v>
      </c>
      <c r="C39" s="23">
        <v>0</v>
      </c>
    </row>
    <row r="40" spans="1:3" s="20" customFormat="1">
      <c r="A40" s="73">
        <v>27</v>
      </c>
      <c r="B40" s="78" t="s">
        <v>58</v>
      </c>
      <c r="C40" s="23">
        <v>0</v>
      </c>
    </row>
    <row r="41" spans="1:3" s="20" customFormat="1">
      <c r="A41" s="75">
        <v>28</v>
      </c>
      <c r="B41" s="79"/>
      <c r="C41" s="23">
        <v>0</v>
      </c>
    </row>
    <row r="42" spans="1:3" s="20" customFormat="1">
      <c r="A42" s="75">
        <v>29</v>
      </c>
      <c r="B42" s="78" t="s">
        <v>59</v>
      </c>
      <c r="C42" s="23">
        <v>0</v>
      </c>
    </row>
    <row r="43" spans="1:3" s="20" customFormat="1">
      <c r="A43" s="73">
        <v>30</v>
      </c>
      <c r="B43" s="397" t="s">
        <v>48</v>
      </c>
      <c r="C43" s="23">
        <v>0</v>
      </c>
    </row>
    <row r="44" spans="1:3" s="20" customFormat="1">
      <c r="A44" s="75">
        <v>31</v>
      </c>
      <c r="B44" s="397" t="s">
        <v>54</v>
      </c>
      <c r="C44" s="23">
        <v>0</v>
      </c>
    </row>
    <row r="45" spans="1:3" s="20" customFormat="1">
      <c r="A45" s="75">
        <v>32</v>
      </c>
      <c r="B45" s="397" t="s">
        <v>51</v>
      </c>
      <c r="C45" s="24">
        <v>0</v>
      </c>
    </row>
    <row r="46" spans="1:3" s="20" customFormat="1">
      <c r="A46" s="73">
        <v>33</v>
      </c>
      <c r="B46" s="398" t="s">
        <v>60</v>
      </c>
      <c r="C46" s="24">
        <f>SUM(C43:C45)</f>
        <v>0</v>
      </c>
    </row>
    <row r="47" spans="1:3" s="20" customFormat="1">
      <c r="A47" s="75">
        <v>34</v>
      </c>
      <c r="B47" s="78" t="s">
        <v>61</v>
      </c>
      <c r="C47" s="24">
        <f t="shared" ref="C47" si="1">C46+C40+C39+C38+C36+C30</f>
        <v>0</v>
      </c>
    </row>
    <row r="48" spans="1:3" s="20" customFormat="1">
      <c r="A48" s="75">
        <v>35</v>
      </c>
      <c r="B48" s="79"/>
      <c r="C48" s="23"/>
    </row>
    <row r="49" spans="1:3" s="20" customFormat="1">
      <c r="A49" s="73">
        <v>36</v>
      </c>
      <c r="B49" s="78" t="s">
        <v>62</v>
      </c>
      <c r="C49" s="23">
        <f t="shared" ref="C49" si="2">C21-C47</f>
        <v>0</v>
      </c>
    </row>
    <row r="50" spans="1:3" s="20" customFormat="1">
      <c r="A50" s="75">
        <v>37</v>
      </c>
      <c r="B50" s="78"/>
      <c r="C50" s="23"/>
    </row>
    <row r="51" spans="1:3" s="20" customFormat="1">
      <c r="A51" s="75">
        <v>38</v>
      </c>
      <c r="B51" s="78" t="s">
        <v>63</v>
      </c>
      <c r="C51" s="23"/>
    </row>
    <row r="52" spans="1:3" s="20" customFormat="1">
      <c r="A52" s="73">
        <v>39</v>
      </c>
      <c r="B52" s="78" t="s">
        <v>64</v>
      </c>
      <c r="C52" s="23">
        <v>-127</v>
      </c>
    </row>
    <row r="53" spans="1:3" s="20" customFormat="1">
      <c r="A53" s="75">
        <v>40</v>
      </c>
      <c r="B53" s="78" t="s">
        <v>366</v>
      </c>
      <c r="C53" s="23">
        <v>0</v>
      </c>
    </row>
    <row r="54" spans="1:3" s="20" customFormat="1">
      <c r="A54" s="75">
        <v>41</v>
      </c>
      <c r="B54" s="78" t="s">
        <v>65</v>
      </c>
      <c r="C54" s="23">
        <v>147</v>
      </c>
    </row>
    <row r="55" spans="1:3" s="20" customFormat="1">
      <c r="A55" s="73">
        <v>42</v>
      </c>
      <c r="B55" s="78" t="s">
        <v>238</v>
      </c>
      <c r="C55" s="24">
        <v>-15</v>
      </c>
    </row>
    <row r="56" spans="1:3">
      <c r="A56" s="73">
        <v>45</v>
      </c>
      <c r="B56" s="79"/>
      <c r="C56" s="23"/>
    </row>
    <row r="57" spans="1:3" s="15" customFormat="1" ht="13.5" thickBot="1">
      <c r="A57" s="75">
        <v>46</v>
      </c>
      <c r="B57" s="76" t="s">
        <v>66</v>
      </c>
      <c r="C57" s="567">
        <f t="shared" ref="C57" si="3">C49-SUM(C52:C55)</f>
        <v>-5</v>
      </c>
    </row>
    <row r="58" spans="1:3" ht="13.5" thickTop="1">
      <c r="A58" s="75">
        <v>47</v>
      </c>
      <c r="B58" s="2"/>
      <c r="C58" s="23"/>
    </row>
    <row r="59" spans="1:3">
      <c r="A59" s="73">
        <v>48</v>
      </c>
      <c r="B59" s="416" t="s">
        <v>21</v>
      </c>
      <c r="C59" s="23"/>
    </row>
    <row r="60" spans="1:3">
      <c r="A60" s="75">
        <v>49</v>
      </c>
      <c r="B60" s="63" t="s">
        <v>67</v>
      </c>
      <c r="C60" s="23"/>
    </row>
    <row r="61" spans="1:3" s="15" customFormat="1">
      <c r="A61" s="75">
        <v>50</v>
      </c>
      <c r="B61" s="396" t="s">
        <v>68</v>
      </c>
      <c r="C61" s="23">
        <v>0</v>
      </c>
    </row>
    <row r="62" spans="1:3" s="20" customFormat="1">
      <c r="A62" s="73">
        <v>51</v>
      </c>
      <c r="B62" s="397" t="s">
        <v>69</v>
      </c>
      <c r="C62" s="23">
        <v>0</v>
      </c>
    </row>
    <row r="63" spans="1:3" s="20" customFormat="1">
      <c r="A63" s="75">
        <v>52</v>
      </c>
      <c r="B63" s="397" t="s">
        <v>70</v>
      </c>
      <c r="C63" s="23">
        <v>0</v>
      </c>
    </row>
    <row r="64" spans="1:3" s="20" customFormat="1">
      <c r="A64" s="75">
        <v>53</v>
      </c>
      <c r="B64" s="397" t="s">
        <v>53</v>
      </c>
      <c r="C64" s="23">
        <v>0</v>
      </c>
    </row>
    <row r="65" spans="1:3" s="20" customFormat="1">
      <c r="A65" s="73">
        <v>54</v>
      </c>
      <c r="B65" s="397" t="s">
        <v>71</v>
      </c>
      <c r="C65" s="24">
        <v>0</v>
      </c>
    </row>
    <row r="66" spans="1:3" s="20" customFormat="1">
      <c r="A66" s="75">
        <v>55</v>
      </c>
      <c r="B66" s="398" t="s">
        <v>72</v>
      </c>
      <c r="C66" s="23">
        <f>SUM(C61:C65)</f>
        <v>0</v>
      </c>
    </row>
    <row r="67" spans="1:3" s="20" customFormat="1">
      <c r="A67" s="75">
        <v>56</v>
      </c>
      <c r="B67" s="78" t="s">
        <v>244</v>
      </c>
      <c r="C67" s="23">
        <v>0</v>
      </c>
    </row>
    <row r="68" spans="1:3" s="20" customFormat="1">
      <c r="A68" s="73">
        <v>57</v>
      </c>
      <c r="B68" s="78" t="s">
        <v>245</v>
      </c>
      <c r="C68" s="24">
        <v>0</v>
      </c>
    </row>
    <row r="69" spans="1:3" s="20" customFormat="1">
      <c r="A69" s="75">
        <v>58</v>
      </c>
      <c r="B69" s="397" t="s">
        <v>73</v>
      </c>
      <c r="C69" s="23">
        <f>SUM(C67:C68)</f>
        <v>0</v>
      </c>
    </row>
    <row r="70" spans="1:3" s="20" customFormat="1">
      <c r="A70" s="75">
        <v>59</v>
      </c>
      <c r="B70" s="78" t="s">
        <v>246</v>
      </c>
      <c r="C70" s="23">
        <v>0</v>
      </c>
    </row>
    <row r="71" spans="1:3" s="20" customFormat="1">
      <c r="A71" s="73">
        <v>60</v>
      </c>
      <c r="B71" s="78" t="s">
        <v>351</v>
      </c>
      <c r="C71" s="23"/>
    </row>
    <row r="72" spans="1:3" s="20" customFormat="1">
      <c r="A72" s="75">
        <v>61</v>
      </c>
      <c r="B72" s="78" t="s">
        <v>236</v>
      </c>
      <c r="C72" s="23"/>
    </row>
    <row r="73" spans="1:3" s="20" customFormat="1">
      <c r="A73" s="75">
        <v>62</v>
      </c>
      <c r="B73" s="78" t="s">
        <v>247</v>
      </c>
      <c r="C73" s="23"/>
    </row>
    <row r="74" spans="1:3" s="20" customFormat="1">
      <c r="A74" s="73">
        <v>63</v>
      </c>
      <c r="B74" s="78" t="s">
        <v>248</v>
      </c>
      <c r="C74" s="24">
        <v>0</v>
      </c>
    </row>
    <row r="75" spans="1:3" s="20" customFormat="1">
      <c r="A75" s="75">
        <v>64</v>
      </c>
      <c r="B75" s="79"/>
      <c r="C75" s="28"/>
    </row>
    <row r="76" spans="1:3" s="20" customFormat="1">
      <c r="A76" s="75">
        <v>65</v>
      </c>
      <c r="B76" s="79"/>
      <c r="C76" s="23"/>
    </row>
    <row r="77" spans="1:3" s="15" customFormat="1" ht="13.5" thickBot="1">
      <c r="A77" s="73">
        <v>66</v>
      </c>
      <c r="B77" s="425" t="s">
        <v>74</v>
      </c>
      <c r="C77" s="568">
        <f t="shared" ref="C77" si="4">C66-C69+C70+C72+C73+C74+C71</f>
        <v>0</v>
      </c>
    </row>
    <row r="78" spans="1:3" ht="13.5" thickTop="1">
      <c r="B78" s="83"/>
    </row>
    <row r="79" spans="1:3">
      <c r="A79" s="84"/>
      <c r="B79" s="38"/>
      <c r="C79" s="57"/>
    </row>
    <row r="80" spans="1:3">
      <c r="A80" s="89"/>
      <c r="B80" s="39"/>
    </row>
    <row r="81" spans="1:3">
      <c r="A81" s="73">
        <v>1</v>
      </c>
      <c r="B81" s="392" t="s">
        <v>116</v>
      </c>
    </row>
    <row r="82" spans="1:3">
      <c r="A82" s="73">
        <v>2</v>
      </c>
      <c r="B82" s="87" t="s">
        <v>18</v>
      </c>
      <c r="C82" s="82">
        <f t="shared" ref="C82" si="5">+C21</f>
        <v>0</v>
      </c>
    </row>
    <row r="83" spans="1:3">
      <c r="A83" s="73">
        <v>3</v>
      </c>
      <c r="B83" s="87" t="s">
        <v>19</v>
      </c>
      <c r="C83" s="23">
        <f t="shared" ref="C83" si="6">+C47</f>
        <v>0</v>
      </c>
    </row>
    <row r="84" spans="1:3">
      <c r="A84" s="73">
        <v>4</v>
      </c>
      <c r="B84" s="87" t="s">
        <v>274</v>
      </c>
      <c r="C84" s="23"/>
    </row>
    <row r="85" spans="1:3">
      <c r="A85" s="73">
        <v>5</v>
      </c>
      <c r="B85" s="399" t="s">
        <v>119</v>
      </c>
      <c r="C85" s="27">
        <f>+C82-C83-C84</f>
        <v>0</v>
      </c>
    </row>
    <row r="86" spans="1:3">
      <c r="A86" s="73">
        <v>6</v>
      </c>
      <c r="B86" s="91"/>
      <c r="C86" s="80"/>
    </row>
    <row r="87" spans="1:3">
      <c r="A87" s="73">
        <v>7</v>
      </c>
      <c r="B87" s="86" t="s">
        <v>120</v>
      </c>
      <c r="C87" s="80"/>
    </row>
    <row r="88" spans="1:3">
      <c r="A88" s="73">
        <v>8</v>
      </c>
      <c r="B88" s="87" t="s">
        <v>121</v>
      </c>
      <c r="C88" s="80"/>
    </row>
    <row r="89" spans="1:3">
      <c r="A89" s="73">
        <v>9</v>
      </c>
      <c r="B89" s="87" t="s">
        <v>130</v>
      </c>
      <c r="C89" s="80"/>
    </row>
    <row r="90" spans="1:3">
      <c r="A90" s="73">
        <v>10</v>
      </c>
      <c r="B90" s="87" t="s">
        <v>122</v>
      </c>
      <c r="C90" s="80"/>
    </row>
    <row r="91" spans="1:3">
      <c r="A91" s="73">
        <v>11</v>
      </c>
      <c r="B91" s="39"/>
      <c r="C91" s="80"/>
    </row>
    <row r="92" spans="1:3">
      <c r="A92" s="73">
        <v>12</v>
      </c>
      <c r="B92" s="86" t="s">
        <v>123</v>
      </c>
      <c r="C92" s="27">
        <f>SUM(C88:C90)</f>
        <v>0</v>
      </c>
    </row>
    <row r="93" spans="1:3">
      <c r="A93" s="73">
        <v>13</v>
      </c>
      <c r="B93" s="39"/>
      <c r="C93" s="80"/>
    </row>
    <row r="94" spans="1:3">
      <c r="A94" s="73">
        <v>14</v>
      </c>
      <c r="B94" s="86" t="s">
        <v>365</v>
      </c>
      <c r="C94" s="80"/>
    </row>
    <row r="95" spans="1:3">
      <c r="A95" s="73">
        <v>15</v>
      </c>
      <c r="B95" s="86" t="s">
        <v>178</v>
      </c>
      <c r="C95" s="80"/>
    </row>
    <row r="96" spans="1:3">
      <c r="A96" s="73">
        <v>16</v>
      </c>
      <c r="B96" s="87" t="s">
        <v>177</v>
      </c>
      <c r="C96" s="80"/>
    </row>
    <row r="97" spans="1:3">
      <c r="A97" s="73">
        <v>17</v>
      </c>
      <c r="B97" s="87" t="s">
        <v>275</v>
      </c>
      <c r="C97" s="80"/>
    </row>
    <row r="98" spans="1:3">
      <c r="A98" s="73">
        <v>18</v>
      </c>
      <c r="B98" s="87"/>
      <c r="C98" s="80"/>
    </row>
    <row r="99" spans="1:3">
      <c r="A99" s="73">
        <v>19</v>
      </c>
      <c r="B99" s="86" t="s">
        <v>125</v>
      </c>
      <c r="C99" s="27">
        <f>SUM(C95:C97)</f>
        <v>0</v>
      </c>
    </row>
    <row r="100" spans="1:3">
      <c r="A100" s="73">
        <v>20</v>
      </c>
      <c r="B100" s="39"/>
      <c r="C100" s="80"/>
    </row>
    <row r="101" spans="1:3">
      <c r="A101" s="73">
        <v>21</v>
      </c>
      <c r="B101" s="87" t="s">
        <v>255</v>
      </c>
      <c r="C101" s="28">
        <f>+C85+C92-C99</f>
        <v>0</v>
      </c>
    </row>
    <row r="102" spans="1:3">
      <c r="A102" s="73">
        <v>22</v>
      </c>
      <c r="B102" s="87" t="s">
        <v>126</v>
      </c>
      <c r="C102" s="94">
        <v>0.35</v>
      </c>
    </row>
    <row r="103" spans="1:3">
      <c r="A103" s="73">
        <v>23</v>
      </c>
      <c r="B103" s="86" t="s">
        <v>127</v>
      </c>
      <c r="C103" s="93">
        <f>C101*C102</f>
        <v>0</v>
      </c>
    </row>
    <row r="104" spans="1:3">
      <c r="A104" s="73">
        <v>24</v>
      </c>
      <c r="B104" s="87" t="s">
        <v>128</v>
      </c>
      <c r="C104" s="80">
        <f>+(C95-C88+C96)*C102</f>
        <v>0</v>
      </c>
    </row>
    <row r="105" spans="1:3" ht="13.5" thickBot="1">
      <c r="A105" s="73">
        <v>25</v>
      </c>
      <c r="B105" s="95" t="s">
        <v>129</v>
      </c>
      <c r="C105" s="96">
        <f>+C103+C104</f>
        <v>0</v>
      </c>
    </row>
    <row r="106" spans="1:3" ht="13.5" thickTop="1">
      <c r="A106" s="89"/>
    </row>
  </sheetData>
  <printOptions horizontalCentered="1"/>
  <pageMargins left="0.5" right="0.5" top="1.5" bottom="0.3" header="0.5" footer="0.5"/>
  <pageSetup scale="60" fitToWidth="0" orientation="portrait" useFirstPageNumber="1" r:id="rId1"/>
  <headerFooter scaleWithDoc="0" alignWithMargins="0">
    <oddHeader>&amp;L&amp;"Arial,Regular"&amp;10Avista Corporation
&amp;"Arial,Bold"Electric - Restating Adjustments (Schedule 1.2)&amp;"Arial,Regular"
Twelve Months Ended December 31, 2011&amp;R&amp;"Arial,Regular"&amp;10Exhibit No. ___ (JH-2)
Docket UE-120436 &amp;&amp; UG-120437
Page &amp;P of 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Y113"/>
  <sheetViews>
    <sheetView topLeftCell="A19" zoomScale="75" zoomScaleNormal="75" workbookViewId="0">
      <selection activeCell="F54" sqref="F54"/>
    </sheetView>
  </sheetViews>
  <sheetFormatPr defaultColWidth="9" defaultRowHeight="12.75"/>
  <cols>
    <col min="1" max="1" width="4.625" style="64" customWidth="1"/>
    <col min="2" max="2" width="26.75" style="63" customWidth="1"/>
    <col min="3" max="3" width="13.625" style="65" customWidth="1"/>
    <col min="4" max="5" width="13.625" style="74" customWidth="1"/>
    <col min="6" max="7" width="13.625" style="586" customWidth="1"/>
    <col min="8" max="10" width="13.625" style="74" customWidth="1"/>
    <col min="11" max="11" width="13.625" style="65" customWidth="1"/>
    <col min="12" max="19" width="13.625" style="74" customWidth="1"/>
    <col min="20" max="25" width="13.625" style="586" customWidth="1"/>
    <col min="26" max="16384" width="9" style="14"/>
  </cols>
  <sheetData>
    <row r="1" spans="1:25">
      <c r="A1" s="56"/>
      <c r="B1" s="9" t="s">
        <v>281</v>
      </c>
      <c r="C1" s="57" t="s">
        <v>253</v>
      </c>
      <c r="D1" s="58"/>
      <c r="E1" s="58"/>
      <c r="F1" s="572"/>
      <c r="G1" s="572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72"/>
      <c r="U1" s="572"/>
      <c r="V1" s="572"/>
      <c r="W1" s="572"/>
      <c r="X1" s="572"/>
      <c r="Y1" s="572"/>
    </row>
    <row r="2" spans="1:25">
      <c r="A2" s="411"/>
      <c r="B2" s="14"/>
      <c r="D2" s="66"/>
      <c r="E2" s="66"/>
      <c r="F2" s="573"/>
      <c r="G2" s="573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573"/>
      <c r="U2" s="573"/>
      <c r="V2" s="573"/>
      <c r="W2" s="573"/>
      <c r="X2" s="573"/>
      <c r="Y2" s="573"/>
    </row>
    <row r="3" spans="1:25">
      <c r="A3" s="411"/>
      <c r="B3" s="9"/>
      <c r="D3" s="66"/>
      <c r="E3" s="66"/>
      <c r="F3" s="573"/>
      <c r="G3" s="573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573"/>
      <c r="U3" s="573"/>
      <c r="V3" s="573"/>
      <c r="W3" s="573"/>
      <c r="X3" s="573"/>
      <c r="Y3" s="573"/>
    </row>
    <row r="4" spans="1:25" ht="13.5" thickBot="1">
      <c r="A4" s="411"/>
      <c r="B4" s="9"/>
      <c r="C4" s="412"/>
      <c r="D4" s="413"/>
      <c r="E4" s="413"/>
      <c r="F4" s="574"/>
      <c r="G4" s="574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574"/>
      <c r="U4" s="574"/>
      <c r="V4" s="574"/>
      <c r="W4" s="574"/>
      <c r="X4" s="574"/>
      <c r="Y4" s="574"/>
    </row>
    <row r="5" spans="1:25" ht="13.5" thickTop="1">
      <c r="A5" s="641"/>
      <c r="B5" s="642" t="str">
        <f>+ROO!B2</f>
        <v>(000's of Dollars)</v>
      </c>
      <c r="C5" s="643"/>
      <c r="D5" s="644"/>
      <c r="E5" s="643"/>
      <c r="F5" s="643"/>
      <c r="G5" s="643"/>
      <c r="H5" s="643"/>
      <c r="I5" s="643"/>
      <c r="J5" s="643"/>
      <c r="K5" s="644"/>
      <c r="L5" s="643"/>
      <c r="M5" s="643"/>
      <c r="N5" s="643"/>
      <c r="O5" s="643"/>
      <c r="P5" s="643"/>
      <c r="Q5" s="643"/>
      <c r="R5" s="643"/>
      <c r="S5" s="643"/>
      <c r="T5" s="643"/>
      <c r="U5" s="643"/>
      <c r="V5" s="643"/>
      <c r="W5" s="643"/>
      <c r="X5" s="645"/>
      <c r="Y5" s="645"/>
    </row>
    <row r="6" spans="1:25">
      <c r="A6" s="646"/>
      <c r="B6" s="642"/>
      <c r="C6" s="643"/>
      <c r="D6" s="644"/>
      <c r="E6" s="643"/>
      <c r="F6" s="643"/>
      <c r="G6" s="643"/>
      <c r="H6" s="643"/>
      <c r="I6" s="643"/>
      <c r="J6" s="643"/>
      <c r="K6" s="644"/>
      <c r="L6" s="643"/>
      <c r="M6" s="643"/>
      <c r="N6" s="643"/>
      <c r="O6" s="643"/>
      <c r="P6" s="643"/>
      <c r="Q6" s="643"/>
      <c r="R6" s="643"/>
      <c r="S6" s="643"/>
      <c r="T6" s="643"/>
      <c r="U6" s="643"/>
      <c r="V6" s="643"/>
      <c r="W6" s="643"/>
      <c r="X6" s="645"/>
      <c r="Y6" s="645"/>
    </row>
    <row r="7" spans="1:25">
      <c r="A7" s="647"/>
      <c r="B7" s="644" t="s">
        <v>100</v>
      </c>
      <c r="C7" s="644" t="s">
        <v>101</v>
      </c>
      <c r="D7" s="644" t="s">
        <v>102</v>
      </c>
      <c r="E7" s="644" t="s">
        <v>198</v>
      </c>
      <c r="F7" s="644" t="s">
        <v>103</v>
      </c>
      <c r="G7" s="644"/>
      <c r="H7" s="644" t="s">
        <v>104</v>
      </c>
      <c r="I7" s="644" t="s">
        <v>105</v>
      </c>
      <c r="J7" s="644" t="s">
        <v>106</v>
      </c>
      <c r="K7" s="648" t="s">
        <v>107</v>
      </c>
      <c r="L7" s="644" t="s">
        <v>156</v>
      </c>
      <c r="M7" s="644" t="s">
        <v>157</v>
      </c>
      <c r="N7" s="644" t="s">
        <v>158</v>
      </c>
      <c r="O7" s="644" t="s">
        <v>159</v>
      </c>
      <c r="P7" s="649" t="s">
        <v>160</v>
      </c>
      <c r="Q7" s="644" t="s">
        <v>170</v>
      </c>
      <c r="R7" s="644" t="s">
        <v>171</v>
      </c>
      <c r="S7" s="644" t="s">
        <v>172</v>
      </c>
      <c r="T7" s="644" t="s">
        <v>242</v>
      </c>
      <c r="U7" s="644" t="s">
        <v>173</v>
      </c>
      <c r="V7" s="644" t="s">
        <v>174</v>
      </c>
      <c r="W7" s="644" t="s">
        <v>175</v>
      </c>
      <c r="X7" s="644" t="s">
        <v>176</v>
      </c>
      <c r="Y7" s="644" t="s">
        <v>176</v>
      </c>
    </row>
    <row r="8" spans="1:25">
      <c r="A8" s="647"/>
      <c r="B8" s="644"/>
      <c r="C8" s="644"/>
      <c r="D8" s="644"/>
      <c r="E8" s="644"/>
      <c r="F8" s="644"/>
      <c r="G8" s="644"/>
      <c r="H8" s="644"/>
      <c r="I8" s="644"/>
      <c r="J8" s="644"/>
      <c r="K8" s="648"/>
      <c r="L8" s="644"/>
      <c r="M8" s="644"/>
      <c r="N8" s="711"/>
      <c r="O8" s="711"/>
      <c r="P8" s="710"/>
      <c r="Q8" s="710"/>
      <c r="R8" s="644"/>
      <c r="S8" s="644"/>
      <c r="T8" s="644"/>
      <c r="U8" s="644"/>
      <c r="V8" s="644"/>
      <c r="W8" s="644"/>
      <c r="X8" s="644"/>
      <c r="Y8" s="644"/>
    </row>
    <row r="9" spans="1:25" s="70" customFormat="1">
      <c r="A9" s="650"/>
      <c r="B9" s="650"/>
      <c r="C9" s="643"/>
      <c r="D9" s="651">
        <v>1.01</v>
      </c>
      <c r="E9" s="652">
        <v>1.02</v>
      </c>
      <c r="F9" s="652">
        <v>1.03</v>
      </c>
      <c r="G9" s="652">
        <v>1.04</v>
      </c>
      <c r="H9" s="652">
        <v>2.0099999999999998</v>
      </c>
      <c r="I9" s="652">
        <v>2.02</v>
      </c>
      <c r="J9" s="652">
        <v>2.0299999999999998</v>
      </c>
      <c r="K9" s="652">
        <v>2.04</v>
      </c>
      <c r="L9" s="653">
        <v>2.0499999999999998</v>
      </c>
      <c r="M9" s="652">
        <v>2.06</v>
      </c>
      <c r="N9" s="652">
        <v>2.0699999999999998</v>
      </c>
      <c r="O9" s="652">
        <v>2.08</v>
      </c>
      <c r="P9" s="653">
        <v>2.09</v>
      </c>
      <c r="Q9" s="652">
        <v>2.1</v>
      </c>
      <c r="R9" s="652">
        <v>2.11</v>
      </c>
      <c r="S9" s="652">
        <v>2.12</v>
      </c>
      <c r="T9" s="652">
        <v>2.13</v>
      </c>
      <c r="U9" s="652">
        <v>2.14</v>
      </c>
      <c r="V9" s="652">
        <v>2.15</v>
      </c>
      <c r="W9" s="652">
        <v>2.16</v>
      </c>
      <c r="X9" s="652">
        <v>2.17</v>
      </c>
      <c r="Y9" s="652">
        <v>2.1800000000000002</v>
      </c>
    </row>
    <row r="10" spans="1:25" s="71" customFormat="1">
      <c r="A10" s="654"/>
      <c r="B10" s="655"/>
      <c r="C10" s="557" t="s">
        <v>31</v>
      </c>
      <c r="D10" s="557" t="s">
        <v>0</v>
      </c>
      <c r="E10" s="557" t="s">
        <v>346</v>
      </c>
      <c r="F10" s="557"/>
      <c r="G10" s="557"/>
      <c r="H10" s="557" t="s">
        <v>2</v>
      </c>
      <c r="I10" s="557"/>
      <c r="J10" s="557"/>
      <c r="K10" s="557" t="s">
        <v>342</v>
      </c>
      <c r="L10" s="556" t="s">
        <v>340</v>
      </c>
      <c r="M10" s="557" t="s">
        <v>2</v>
      </c>
      <c r="N10" s="557" t="s">
        <v>338</v>
      </c>
      <c r="O10" s="557" t="s">
        <v>2</v>
      </c>
      <c r="P10" s="557" t="s">
        <v>335</v>
      </c>
      <c r="Q10" s="557" t="s">
        <v>3</v>
      </c>
      <c r="R10" s="557" t="s">
        <v>330</v>
      </c>
      <c r="S10" s="557"/>
      <c r="T10" s="656"/>
      <c r="U10" s="557" t="s">
        <v>326</v>
      </c>
      <c r="V10" s="656"/>
      <c r="W10" s="557" t="s">
        <v>332</v>
      </c>
      <c r="X10" s="557" t="s">
        <v>3</v>
      </c>
      <c r="Y10" s="557" t="s">
        <v>3</v>
      </c>
    </row>
    <row r="11" spans="1:25" s="71" customFormat="1">
      <c r="A11" s="654" t="s">
        <v>5</v>
      </c>
      <c r="B11" s="655"/>
      <c r="C11" s="557" t="s">
        <v>154</v>
      </c>
      <c r="D11" s="557" t="s">
        <v>6</v>
      </c>
      <c r="E11" s="557" t="s">
        <v>347</v>
      </c>
      <c r="F11" s="557" t="s">
        <v>240</v>
      </c>
      <c r="G11" s="557" t="s">
        <v>6</v>
      </c>
      <c r="H11" s="557" t="s">
        <v>345</v>
      </c>
      <c r="I11" s="557" t="s">
        <v>344</v>
      </c>
      <c r="J11" s="557" t="s">
        <v>313</v>
      </c>
      <c r="K11" s="557" t="s">
        <v>343</v>
      </c>
      <c r="L11" s="557" t="s">
        <v>341</v>
      </c>
      <c r="M11" s="557" t="s">
        <v>26</v>
      </c>
      <c r="N11" s="557" t="s">
        <v>1</v>
      </c>
      <c r="O11" s="557" t="s">
        <v>337</v>
      </c>
      <c r="P11" s="557" t="s">
        <v>336</v>
      </c>
      <c r="Q11" s="557" t="s">
        <v>333</v>
      </c>
      <c r="R11" s="557" t="s">
        <v>331</v>
      </c>
      <c r="S11" s="557" t="s">
        <v>329</v>
      </c>
      <c r="T11" s="557" t="s">
        <v>328</v>
      </c>
      <c r="U11" s="557" t="s">
        <v>327</v>
      </c>
      <c r="V11" s="557" t="s">
        <v>3</v>
      </c>
      <c r="W11" s="557" t="s">
        <v>323</v>
      </c>
      <c r="X11" s="557" t="s">
        <v>321</v>
      </c>
      <c r="Y11" s="557" t="s">
        <v>388</v>
      </c>
    </row>
    <row r="12" spans="1:25" s="424" customFormat="1">
      <c r="A12" s="657" t="s">
        <v>10</v>
      </c>
      <c r="B12" s="658" t="s">
        <v>11</v>
      </c>
      <c r="C12" s="558" t="s">
        <v>34</v>
      </c>
      <c r="D12" s="558" t="s">
        <v>12</v>
      </c>
      <c r="E12" s="558" t="s">
        <v>348</v>
      </c>
      <c r="F12" s="558" t="s">
        <v>241</v>
      </c>
      <c r="G12" s="558" t="s">
        <v>389</v>
      </c>
      <c r="H12" s="558" t="s">
        <v>15</v>
      </c>
      <c r="I12" s="558" t="s">
        <v>16</v>
      </c>
      <c r="J12" s="558" t="s">
        <v>16</v>
      </c>
      <c r="K12" s="558" t="s">
        <v>17</v>
      </c>
      <c r="L12" s="558" t="s">
        <v>16</v>
      </c>
      <c r="M12" s="558" t="s">
        <v>339</v>
      </c>
      <c r="N12" s="558" t="s">
        <v>13</v>
      </c>
      <c r="O12" s="558" t="s">
        <v>239</v>
      </c>
      <c r="P12" s="558" t="s">
        <v>214</v>
      </c>
      <c r="Q12" s="558" t="s">
        <v>334</v>
      </c>
      <c r="R12" s="558" t="s">
        <v>314</v>
      </c>
      <c r="S12" s="558" t="s">
        <v>38</v>
      </c>
      <c r="T12" s="558" t="s">
        <v>154</v>
      </c>
      <c r="U12" s="558" t="s">
        <v>154</v>
      </c>
      <c r="V12" s="558" t="s">
        <v>325</v>
      </c>
      <c r="W12" s="558" t="s">
        <v>324</v>
      </c>
      <c r="X12" s="558" t="s">
        <v>322</v>
      </c>
      <c r="Y12" s="558" t="s">
        <v>16</v>
      </c>
    </row>
    <row r="13" spans="1:25" s="59" customFormat="1">
      <c r="A13" s="659"/>
      <c r="B13" s="660" t="s">
        <v>155</v>
      </c>
      <c r="C13" s="709" t="s">
        <v>243</v>
      </c>
      <c r="D13" s="709"/>
      <c r="E13" s="709"/>
      <c r="F13" s="644"/>
      <c r="G13" s="644"/>
      <c r="H13" s="644"/>
      <c r="I13" s="644"/>
      <c r="J13" s="644"/>
      <c r="K13" s="644"/>
      <c r="L13" s="644"/>
      <c r="M13" s="644"/>
      <c r="N13" s="644"/>
      <c r="O13" s="644"/>
      <c r="P13" s="644"/>
      <c r="Q13" s="644"/>
      <c r="R13" s="644"/>
      <c r="S13" s="644"/>
      <c r="T13" s="644"/>
      <c r="U13" s="644"/>
      <c r="V13" s="644"/>
      <c r="W13" s="644"/>
      <c r="X13" s="648"/>
      <c r="Y13" s="648"/>
    </row>
    <row r="14" spans="1:25">
      <c r="A14" s="661">
        <v>1</v>
      </c>
      <c r="B14" s="662" t="s">
        <v>98</v>
      </c>
      <c r="C14" s="663"/>
      <c r="D14" s="643"/>
      <c r="E14" s="643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3"/>
      <c r="R14" s="643"/>
      <c r="S14" s="643"/>
      <c r="T14" s="643"/>
      <c r="U14" s="643"/>
      <c r="V14" s="643"/>
      <c r="W14" s="643"/>
      <c r="X14" s="664"/>
      <c r="Y14" s="664"/>
    </row>
    <row r="15" spans="1:25">
      <c r="A15" s="665">
        <v>2</v>
      </c>
      <c r="B15" s="666" t="s">
        <v>40</v>
      </c>
      <c r="C15" s="643"/>
      <c r="D15" s="643"/>
      <c r="E15" s="643"/>
      <c r="F15" s="643"/>
      <c r="G15" s="643"/>
      <c r="H15" s="643"/>
      <c r="I15" s="643"/>
      <c r="J15" s="643"/>
      <c r="K15" s="643"/>
      <c r="L15" s="643"/>
      <c r="M15" s="643"/>
      <c r="N15" s="643"/>
      <c r="O15" s="643"/>
      <c r="P15" s="643"/>
      <c r="Q15" s="643"/>
      <c r="R15" s="643"/>
      <c r="S15" s="643"/>
      <c r="T15" s="643"/>
      <c r="U15" s="643"/>
      <c r="V15" s="643"/>
      <c r="W15" s="643"/>
      <c r="X15" s="664"/>
      <c r="Y15" s="664"/>
    </row>
    <row r="16" spans="1:25" s="15" customFormat="1">
      <c r="A16" s="661">
        <v>3</v>
      </c>
      <c r="B16" s="667" t="s">
        <v>41</v>
      </c>
      <c r="C16" s="668">
        <f t="shared" ref="C16:C21" si="0">SUM(D16:Y16)</f>
        <v>-16286</v>
      </c>
      <c r="D16" s="669">
        <f>+'Adj 1.01'!C16</f>
        <v>0</v>
      </c>
      <c r="E16" s="669"/>
      <c r="F16" s="669"/>
      <c r="G16" s="669"/>
      <c r="H16" s="669">
        <f>+'Adj 2.01'!C16</f>
        <v>-16360</v>
      </c>
      <c r="I16" s="669"/>
      <c r="J16" s="669"/>
      <c r="K16" s="669"/>
      <c r="L16" s="669"/>
      <c r="M16" s="669"/>
      <c r="N16" s="669"/>
      <c r="O16" s="669"/>
      <c r="P16" s="669"/>
      <c r="Q16" s="669"/>
      <c r="R16" s="669"/>
      <c r="S16" s="669">
        <f>+'Adj 2.12'!C16</f>
        <v>74</v>
      </c>
      <c r="T16" s="669"/>
      <c r="U16" s="669"/>
      <c r="V16" s="629">
        <v>0</v>
      </c>
      <c r="W16" s="669"/>
      <c r="X16" s="669"/>
      <c r="Y16" s="669"/>
    </row>
    <row r="17" spans="1:25" s="20" customFormat="1">
      <c r="A17" s="665">
        <v>4</v>
      </c>
      <c r="B17" s="670" t="s">
        <v>42</v>
      </c>
      <c r="C17" s="629">
        <f t="shared" si="0"/>
        <v>0</v>
      </c>
      <c r="D17" s="629">
        <v>0</v>
      </c>
      <c r="E17" s="629">
        <v>0</v>
      </c>
      <c r="F17" s="629">
        <v>0</v>
      </c>
      <c r="G17" s="629">
        <v>0</v>
      </c>
      <c r="H17" s="629">
        <v>0</v>
      </c>
      <c r="I17" s="629">
        <v>0</v>
      </c>
      <c r="J17" s="629">
        <v>0</v>
      </c>
      <c r="K17" s="629"/>
      <c r="L17" s="629">
        <v>0</v>
      </c>
      <c r="M17" s="629">
        <v>0</v>
      </c>
      <c r="N17" s="629">
        <v>0</v>
      </c>
      <c r="O17" s="629">
        <v>0</v>
      </c>
      <c r="P17" s="629">
        <v>0</v>
      </c>
      <c r="Q17" s="629">
        <v>0</v>
      </c>
      <c r="R17" s="629">
        <v>0</v>
      </c>
      <c r="S17" s="629">
        <v>0</v>
      </c>
      <c r="T17" s="629">
        <v>0</v>
      </c>
      <c r="U17" s="629">
        <v>0</v>
      </c>
      <c r="V17" s="629">
        <v>0</v>
      </c>
      <c r="W17" s="629">
        <v>0</v>
      </c>
      <c r="X17" s="629">
        <v>0</v>
      </c>
      <c r="Y17" s="629">
        <v>0</v>
      </c>
    </row>
    <row r="18" spans="1:25" s="20" customFormat="1">
      <c r="A18" s="661">
        <v>5</v>
      </c>
      <c r="B18" s="670" t="s">
        <v>43</v>
      </c>
      <c r="C18" s="553">
        <f t="shared" si="0"/>
        <v>0</v>
      </c>
      <c r="D18" s="553">
        <v>0</v>
      </c>
      <c r="E18" s="553"/>
      <c r="F18" s="553">
        <v>0</v>
      </c>
      <c r="G18" s="553">
        <v>0</v>
      </c>
      <c r="H18" s="553">
        <v>0</v>
      </c>
      <c r="I18" s="553">
        <v>0</v>
      </c>
      <c r="J18" s="553">
        <v>0</v>
      </c>
      <c r="K18" s="553"/>
      <c r="L18" s="553">
        <v>0</v>
      </c>
      <c r="M18" s="553">
        <v>0</v>
      </c>
      <c r="N18" s="553">
        <v>0</v>
      </c>
      <c r="O18" s="553">
        <v>0</v>
      </c>
      <c r="P18" s="553">
        <v>0</v>
      </c>
      <c r="Q18" s="553">
        <v>0</v>
      </c>
      <c r="R18" s="553">
        <v>0</v>
      </c>
      <c r="S18" s="553">
        <v>0</v>
      </c>
      <c r="T18" s="553">
        <v>0</v>
      </c>
      <c r="U18" s="553">
        <v>0</v>
      </c>
      <c r="V18" s="553">
        <v>0</v>
      </c>
      <c r="W18" s="553">
        <v>0</v>
      </c>
      <c r="X18" s="553">
        <v>0</v>
      </c>
      <c r="Y18" s="553">
        <v>0</v>
      </c>
    </row>
    <row r="19" spans="1:25" s="20" customFormat="1">
      <c r="A19" s="665">
        <v>6</v>
      </c>
      <c r="B19" s="671" t="s">
        <v>44</v>
      </c>
      <c r="C19" s="629">
        <f t="shared" si="0"/>
        <v>-16286</v>
      </c>
      <c r="D19" s="629">
        <f t="shared" ref="D19:M19" si="1">SUM(D16:D18)</f>
        <v>0</v>
      </c>
      <c r="E19" s="629">
        <f t="shared" si="1"/>
        <v>0</v>
      </c>
      <c r="F19" s="629">
        <f t="shared" si="1"/>
        <v>0</v>
      </c>
      <c r="G19" s="629">
        <f t="shared" ref="G19" si="2">SUM(G16:G18)</f>
        <v>0</v>
      </c>
      <c r="H19" s="629">
        <f t="shared" si="1"/>
        <v>-16360</v>
      </c>
      <c r="I19" s="629">
        <f t="shared" si="1"/>
        <v>0</v>
      </c>
      <c r="J19" s="629">
        <f t="shared" si="1"/>
        <v>0</v>
      </c>
      <c r="K19" s="629">
        <f>SUM(K16:K18)</f>
        <v>0</v>
      </c>
      <c r="L19" s="629">
        <f>SUM(L16:L18)</f>
        <v>0</v>
      </c>
      <c r="M19" s="629">
        <f t="shared" si="1"/>
        <v>0</v>
      </c>
      <c r="N19" s="629">
        <f t="shared" ref="N19:R19" si="3">SUM(N16:N18)</f>
        <v>0</v>
      </c>
      <c r="O19" s="629">
        <f t="shared" si="3"/>
        <v>0</v>
      </c>
      <c r="P19" s="629">
        <f t="shared" si="3"/>
        <v>0</v>
      </c>
      <c r="Q19" s="629">
        <f t="shared" si="3"/>
        <v>0</v>
      </c>
      <c r="R19" s="629">
        <f t="shared" si="3"/>
        <v>0</v>
      </c>
      <c r="S19" s="629">
        <f t="shared" ref="S19:X19" si="4">SUM(S16:S18)</f>
        <v>74</v>
      </c>
      <c r="T19" s="629">
        <f t="shared" si="4"/>
        <v>0</v>
      </c>
      <c r="U19" s="629">
        <f t="shared" si="4"/>
        <v>0</v>
      </c>
      <c r="V19" s="629">
        <f>SUM(V16:V18)</f>
        <v>0</v>
      </c>
      <c r="W19" s="629">
        <f t="shared" si="4"/>
        <v>0</v>
      </c>
      <c r="X19" s="629">
        <f t="shared" si="4"/>
        <v>0</v>
      </c>
      <c r="Y19" s="629">
        <f t="shared" ref="Y19" si="5">SUM(Y16:Y18)</f>
        <v>0</v>
      </c>
    </row>
    <row r="20" spans="1:25" s="20" customFormat="1">
      <c r="A20" s="661">
        <v>7</v>
      </c>
      <c r="B20" s="670" t="s">
        <v>45</v>
      </c>
      <c r="C20" s="553">
        <f t="shared" si="0"/>
        <v>-18</v>
      </c>
      <c r="D20" s="553">
        <v>0</v>
      </c>
      <c r="E20" s="553">
        <v>0</v>
      </c>
      <c r="F20" s="553">
        <v>0</v>
      </c>
      <c r="G20" s="553">
        <v>0</v>
      </c>
      <c r="H20" s="672">
        <f>+'Adj 2.01'!C20</f>
        <v>-18</v>
      </c>
      <c r="I20" s="553">
        <v>0</v>
      </c>
      <c r="J20" s="553">
        <v>0</v>
      </c>
      <c r="K20" s="553"/>
      <c r="L20" s="553">
        <v>0</v>
      </c>
      <c r="M20" s="553">
        <v>0</v>
      </c>
      <c r="N20" s="553">
        <v>0</v>
      </c>
      <c r="O20" s="553">
        <v>0</v>
      </c>
      <c r="P20" s="553">
        <v>0</v>
      </c>
      <c r="Q20" s="553">
        <v>0</v>
      </c>
      <c r="R20" s="553">
        <v>0</v>
      </c>
      <c r="S20" s="553"/>
      <c r="T20" s="553">
        <v>0</v>
      </c>
      <c r="U20" s="553">
        <v>0</v>
      </c>
      <c r="V20" s="553">
        <v>0</v>
      </c>
      <c r="W20" s="553">
        <v>0</v>
      </c>
      <c r="X20" s="553">
        <v>0</v>
      </c>
      <c r="Y20" s="553">
        <v>0</v>
      </c>
    </row>
    <row r="21" spans="1:25" s="20" customFormat="1">
      <c r="A21" s="665">
        <v>8</v>
      </c>
      <c r="B21" s="671" t="s">
        <v>46</v>
      </c>
      <c r="C21" s="629">
        <f t="shared" si="0"/>
        <v>-16304</v>
      </c>
      <c r="D21" s="629">
        <f t="shared" ref="D21:M21" si="6">SUM(D19:D20)</f>
        <v>0</v>
      </c>
      <c r="E21" s="629">
        <f t="shared" si="6"/>
        <v>0</v>
      </c>
      <c r="F21" s="629">
        <f t="shared" si="6"/>
        <v>0</v>
      </c>
      <c r="G21" s="629">
        <f t="shared" ref="G21" si="7">SUM(G19:G20)</f>
        <v>0</v>
      </c>
      <c r="H21" s="629">
        <f t="shared" si="6"/>
        <v>-16378</v>
      </c>
      <c r="I21" s="629">
        <f t="shared" si="6"/>
        <v>0</v>
      </c>
      <c r="J21" s="629">
        <f t="shared" si="6"/>
        <v>0</v>
      </c>
      <c r="K21" s="629">
        <f>SUM(K19:K20)</f>
        <v>0</v>
      </c>
      <c r="L21" s="629">
        <f>SUM(L19:L20)</f>
        <v>0</v>
      </c>
      <c r="M21" s="629">
        <f t="shared" si="6"/>
        <v>0</v>
      </c>
      <c r="N21" s="629">
        <f t="shared" ref="N21:R21" si="8">SUM(N19:N20)</f>
        <v>0</v>
      </c>
      <c r="O21" s="629">
        <f t="shared" si="8"/>
        <v>0</v>
      </c>
      <c r="P21" s="629">
        <f t="shared" si="8"/>
        <v>0</v>
      </c>
      <c r="Q21" s="629">
        <f t="shared" si="8"/>
        <v>0</v>
      </c>
      <c r="R21" s="629">
        <f t="shared" si="8"/>
        <v>0</v>
      </c>
      <c r="S21" s="629">
        <f t="shared" ref="S21:X21" si="9">SUM(S19:S20)</f>
        <v>74</v>
      </c>
      <c r="T21" s="629">
        <f t="shared" si="9"/>
        <v>0</v>
      </c>
      <c r="U21" s="629">
        <f t="shared" si="9"/>
        <v>0</v>
      </c>
      <c r="V21" s="629">
        <f t="shared" si="9"/>
        <v>0</v>
      </c>
      <c r="W21" s="629">
        <f t="shared" si="9"/>
        <v>0</v>
      </c>
      <c r="X21" s="629">
        <f t="shared" si="9"/>
        <v>0</v>
      </c>
      <c r="Y21" s="629">
        <f t="shared" ref="Y21" si="10">SUM(Y19:Y20)</f>
        <v>0</v>
      </c>
    </row>
    <row r="22" spans="1:25" s="20" customFormat="1">
      <c r="A22" s="661">
        <v>9</v>
      </c>
      <c r="B22" s="673"/>
      <c r="C22" s="629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</row>
    <row r="23" spans="1:25" s="20" customFormat="1">
      <c r="A23" s="665">
        <v>10</v>
      </c>
      <c r="B23" s="670" t="s">
        <v>20</v>
      </c>
      <c r="C23" s="629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</row>
    <row r="24" spans="1:25" s="20" customFormat="1">
      <c r="A24" s="661">
        <v>11</v>
      </c>
      <c r="B24" s="670" t="s">
        <v>47</v>
      </c>
      <c r="C24" s="629"/>
      <c r="D24" s="629"/>
      <c r="E24" s="629"/>
      <c r="F24" s="629"/>
      <c r="G24" s="629"/>
      <c r="H24" s="629"/>
      <c r="I24" s="629"/>
      <c r="J24" s="629"/>
      <c r="K24" s="629"/>
      <c r="L24" s="629"/>
      <c r="M24" s="629"/>
      <c r="N24" s="629"/>
      <c r="O24" s="629"/>
      <c r="P24" s="629"/>
      <c r="Q24" s="629"/>
      <c r="R24" s="629"/>
      <c r="S24" s="629"/>
      <c r="T24" s="629"/>
      <c r="U24" s="629"/>
      <c r="V24" s="629"/>
      <c r="W24" s="629"/>
      <c r="X24" s="629"/>
      <c r="Y24" s="629"/>
    </row>
    <row r="25" spans="1:25" s="20" customFormat="1">
      <c r="A25" s="665">
        <v>12</v>
      </c>
      <c r="B25" s="671" t="s">
        <v>48</v>
      </c>
      <c r="C25" s="629">
        <f>SUM(D25:Y25)</f>
        <v>-12604</v>
      </c>
      <c r="D25" s="629">
        <v>0</v>
      </c>
      <c r="E25" s="629">
        <f>+'Adj 1.02'!C25</f>
        <v>176</v>
      </c>
      <c r="F25" s="629">
        <v>0</v>
      </c>
      <c r="G25" s="629">
        <v>0</v>
      </c>
      <c r="H25" s="629">
        <v>0</v>
      </c>
      <c r="I25" s="629">
        <v>0</v>
      </c>
      <c r="J25" s="629">
        <v>0</v>
      </c>
      <c r="K25" s="629"/>
      <c r="L25" s="629">
        <v>0</v>
      </c>
      <c r="M25" s="629">
        <f>+'Adj 2.06'!C25</f>
        <v>-12788</v>
      </c>
      <c r="N25" s="629">
        <f>+'Adj 2.07'!C25</f>
        <v>14</v>
      </c>
      <c r="O25" s="629">
        <v>0</v>
      </c>
      <c r="P25" s="629">
        <v>0</v>
      </c>
      <c r="Q25" s="629">
        <v>0</v>
      </c>
      <c r="R25" s="629">
        <v>0</v>
      </c>
      <c r="S25" s="629">
        <v>0</v>
      </c>
      <c r="T25" s="629">
        <f>+'Adj 2.13'!C25</f>
        <v>-6</v>
      </c>
      <c r="U25" s="629">
        <v>0</v>
      </c>
      <c r="V25" s="629">
        <v>0</v>
      </c>
      <c r="W25" s="629">
        <v>0</v>
      </c>
      <c r="X25" s="629">
        <v>0</v>
      </c>
      <c r="Y25" s="629">
        <v>0</v>
      </c>
    </row>
    <row r="26" spans="1:25" s="20" customFormat="1">
      <c r="A26" s="661">
        <v>13</v>
      </c>
      <c r="B26" s="671" t="s">
        <v>49</v>
      </c>
      <c r="C26" s="629">
        <f t="shared" ref="C26:C30" si="11">SUM(D26:Y26)</f>
        <v>0</v>
      </c>
      <c r="D26" s="629">
        <v>0</v>
      </c>
      <c r="E26" s="629">
        <f>+'Adj 1.02'!C26</f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/>
      <c r="L26" s="629">
        <v>0</v>
      </c>
      <c r="M26" s="629">
        <v>0</v>
      </c>
      <c r="N26" s="629">
        <v>0</v>
      </c>
      <c r="O26" s="629">
        <v>0</v>
      </c>
      <c r="P26" s="629">
        <v>0</v>
      </c>
      <c r="Q26" s="629">
        <v>0</v>
      </c>
      <c r="R26" s="629">
        <v>0</v>
      </c>
      <c r="S26" s="629">
        <v>0</v>
      </c>
      <c r="T26" s="629">
        <v>0</v>
      </c>
      <c r="U26" s="629">
        <v>0</v>
      </c>
      <c r="V26" s="629">
        <v>0</v>
      </c>
      <c r="W26" s="629">
        <v>0</v>
      </c>
      <c r="X26" s="629">
        <v>0</v>
      </c>
      <c r="Y26" s="629">
        <v>0</v>
      </c>
    </row>
    <row r="27" spans="1:25" s="20" customFormat="1">
      <c r="A27" s="665">
        <v>14</v>
      </c>
      <c r="B27" s="671" t="s">
        <v>50</v>
      </c>
      <c r="C27" s="629">
        <f t="shared" si="11"/>
        <v>-191</v>
      </c>
      <c r="D27" s="629">
        <v>0</v>
      </c>
      <c r="E27" s="629">
        <f>+'Adj 1.02'!C27</f>
        <v>-191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/>
      <c r="L27" s="629">
        <v>0</v>
      </c>
      <c r="M27" s="629">
        <v>0</v>
      </c>
      <c r="N27" s="629">
        <v>0</v>
      </c>
      <c r="O27" s="629">
        <v>0</v>
      </c>
      <c r="P27" s="629">
        <v>0</v>
      </c>
      <c r="Q27" s="629"/>
      <c r="R27" s="629"/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</row>
    <row r="28" spans="1:25" s="20" customFormat="1">
      <c r="A28" s="661">
        <v>15</v>
      </c>
      <c r="B28" s="674" t="s">
        <v>349</v>
      </c>
      <c r="C28" s="629">
        <f t="shared" si="11"/>
        <v>5701</v>
      </c>
      <c r="D28" s="629"/>
      <c r="E28" s="629">
        <f>+'Adj 1.02'!C28</f>
        <v>0</v>
      </c>
      <c r="F28" s="629"/>
      <c r="G28" s="629"/>
      <c r="H28" s="629"/>
      <c r="I28" s="629"/>
      <c r="J28" s="629"/>
      <c r="K28" s="629"/>
      <c r="L28" s="629"/>
      <c r="M28" s="629"/>
      <c r="N28" s="629"/>
      <c r="O28" s="629"/>
      <c r="P28" s="629"/>
      <c r="Q28" s="629"/>
      <c r="R28" s="629"/>
      <c r="S28" s="669">
        <f>+'Adj 2.12'!C28</f>
        <v>4610</v>
      </c>
      <c r="T28" s="629"/>
      <c r="U28" s="629"/>
      <c r="V28" s="629"/>
      <c r="W28" s="629">
        <f>+'Adj 2.16'!C28</f>
        <v>1091</v>
      </c>
      <c r="X28" s="629"/>
      <c r="Y28" s="629"/>
    </row>
    <row r="29" spans="1:25" s="20" customFormat="1">
      <c r="A29" s="665">
        <v>16</v>
      </c>
      <c r="B29" s="671" t="s">
        <v>51</v>
      </c>
      <c r="C29" s="553">
        <f t="shared" si="11"/>
        <v>0</v>
      </c>
      <c r="D29" s="553">
        <v>0</v>
      </c>
      <c r="E29" s="553">
        <f>+'Adj 1.02'!C29</f>
        <v>0</v>
      </c>
      <c r="F29" s="553">
        <v>0</v>
      </c>
      <c r="G29" s="553">
        <v>0</v>
      </c>
      <c r="H29" s="553">
        <v>0</v>
      </c>
      <c r="I29" s="553">
        <v>0</v>
      </c>
      <c r="J29" s="553">
        <v>0</v>
      </c>
      <c r="K29" s="553"/>
      <c r="L29" s="553">
        <v>0</v>
      </c>
      <c r="M29" s="553">
        <v>0</v>
      </c>
      <c r="N29" s="553">
        <v>0</v>
      </c>
      <c r="O29" s="553">
        <v>0</v>
      </c>
      <c r="P29" s="553">
        <v>0</v>
      </c>
      <c r="Q29" s="553">
        <v>0</v>
      </c>
      <c r="R29" s="553">
        <v>0</v>
      </c>
      <c r="S29" s="553">
        <v>0</v>
      </c>
      <c r="T29" s="553"/>
      <c r="U29" s="553">
        <v>0</v>
      </c>
      <c r="V29" s="553">
        <v>0</v>
      </c>
      <c r="W29" s="553">
        <v>0</v>
      </c>
      <c r="X29" s="553">
        <v>0</v>
      </c>
      <c r="Y29" s="553">
        <v>0</v>
      </c>
    </row>
    <row r="30" spans="1:25" s="20" customFormat="1">
      <c r="A30" s="661">
        <v>17</v>
      </c>
      <c r="B30" s="675" t="s">
        <v>52</v>
      </c>
      <c r="C30" s="629">
        <f t="shared" si="11"/>
        <v>-7094</v>
      </c>
      <c r="D30" s="629">
        <f t="shared" ref="D30:X30" si="12">SUM(D25:D29)</f>
        <v>0</v>
      </c>
      <c r="E30" s="629">
        <f t="shared" si="12"/>
        <v>-15</v>
      </c>
      <c r="F30" s="629">
        <f t="shared" si="12"/>
        <v>0</v>
      </c>
      <c r="G30" s="629">
        <f t="shared" ref="G30" si="13">SUM(G25:G29)</f>
        <v>0</v>
      </c>
      <c r="H30" s="629">
        <f t="shared" si="12"/>
        <v>0</v>
      </c>
      <c r="I30" s="629">
        <f t="shared" si="12"/>
        <v>0</v>
      </c>
      <c r="J30" s="629">
        <f t="shared" si="12"/>
        <v>0</v>
      </c>
      <c r="K30" s="629">
        <f t="shared" si="12"/>
        <v>0</v>
      </c>
      <c r="L30" s="629">
        <f t="shared" si="12"/>
        <v>0</v>
      </c>
      <c r="M30" s="629">
        <f t="shared" si="12"/>
        <v>-12788</v>
      </c>
      <c r="N30" s="629">
        <f t="shared" si="12"/>
        <v>14</v>
      </c>
      <c r="O30" s="629">
        <f t="shared" si="12"/>
        <v>0</v>
      </c>
      <c r="P30" s="629">
        <f t="shared" si="12"/>
        <v>0</v>
      </c>
      <c r="Q30" s="629">
        <f t="shared" si="12"/>
        <v>0</v>
      </c>
      <c r="R30" s="629">
        <f t="shared" si="12"/>
        <v>0</v>
      </c>
      <c r="S30" s="629">
        <f t="shared" si="12"/>
        <v>4610</v>
      </c>
      <c r="T30" s="629">
        <f t="shared" si="12"/>
        <v>-6</v>
      </c>
      <c r="U30" s="629">
        <f t="shared" si="12"/>
        <v>0</v>
      </c>
      <c r="V30" s="629">
        <f t="shared" si="12"/>
        <v>0</v>
      </c>
      <c r="W30" s="629">
        <f t="shared" si="12"/>
        <v>1091</v>
      </c>
      <c r="X30" s="629">
        <f t="shared" si="12"/>
        <v>0</v>
      </c>
      <c r="Y30" s="629">
        <f t="shared" ref="Y30" si="14">SUM(Y25:Y29)</f>
        <v>0</v>
      </c>
    </row>
    <row r="31" spans="1:25" s="20" customFormat="1">
      <c r="A31" s="665">
        <v>18</v>
      </c>
      <c r="B31" s="673"/>
      <c r="C31" s="629"/>
      <c r="D31" s="629"/>
      <c r="E31" s="629"/>
      <c r="F31" s="629"/>
      <c r="G31" s="629"/>
      <c r="H31" s="629"/>
      <c r="I31" s="629"/>
      <c r="J31" s="629"/>
      <c r="K31" s="629"/>
      <c r="L31" s="629"/>
      <c r="M31" s="629"/>
      <c r="N31" s="629"/>
      <c r="O31" s="629"/>
      <c r="P31" s="629"/>
      <c r="Q31" s="629"/>
      <c r="R31" s="629"/>
      <c r="S31" s="629"/>
      <c r="T31" s="629"/>
      <c r="U31" s="629"/>
      <c r="V31" s="629"/>
      <c r="W31" s="629"/>
      <c r="X31" s="629"/>
      <c r="Y31" s="629"/>
    </row>
    <row r="32" spans="1:25" s="20" customFormat="1">
      <c r="A32" s="661">
        <v>19</v>
      </c>
      <c r="B32" s="670" t="s">
        <v>53</v>
      </c>
      <c r="C32" s="629"/>
      <c r="D32" s="629"/>
      <c r="E32" s="629"/>
      <c r="F32" s="629"/>
      <c r="G32" s="629"/>
      <c r="H32" s="629"/>
      <c r="I32" s="629"/>
      <c r="J32" s="629"/>
      <c r="K32" s="629"/>
      <c r="L32" s="629"/>
      <c r="M32" s="629"/>
      <c r="N32" s="629"/>
      <c r="O32" s="629"/>
      <c r="P32" s="629"/>
      <c r="Q32" s="629"/>
      <c r="R32" s="629"/>
      <c r="S32" s="629"/>
      <c r="T32" s="629"/>
      <c r="U32" s="629"/>
      <c r="V32" s="629"/>
      <c r="W32" s="629"/>
      <c r="X32" s="629"/>
      <c r="Y32" s="629"/>
    </row>
    <row r="33" spans="1:25" s="20" customFormat="1">
      <c r="A33" s="665">
        <v>20</v>
      </c>
      <c r="B33" s="671" t="s">
        <v>48</v>
      </c>
      <c r="C33" s="629">
        <f>SUM(D33:Y33)</f>
        <v>-1279</v>
      </c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/>
      <c r="L33" s="629">
        <v>0</v>
      </c>
      <c r="M33" s="629">
        <v>0</v>
      </c>
      <c r="N33" s="629">
        <v>0</v>
      </c>
      <c r="O33" s="629">
        <v>0</v>
      </c>
      <c r="P33" s="629">
        <v>0</v>
      </c>
      <c r="Q33" s="629">
        <v>0</v>
      </c>
      <c r="R33" s="629">
        <v>0</v>
      </c>
      <c r="S33" s="629">
        <v>0</v>
      </c>
      <c r="T33" s="629">
        <f>+'Adj 2.13'!C33</f>
        <v>-1</v>
      </c>
      <c r="U33" s="629">
        <f>+'Adj 2.14'!C33</f>
        <v>-1278</v>
      </c>
      <c r="V33" s="629">
        <v>0</v>
      </c>
      <c r="W33" s="629">
        <v>0</v>
      </c>
      <c r="X33" s="629">
        <v>0</v>
      </c>
      <c r="Y33" s="629">
        <v>0</v>
      </c>
    </row>
    <row r="34" spans="1:25" s="20" customFormat="1">
      <c r="A34" s="661">
        <v>21</v>
      </c>
      <c r="B34" s="671" t="s">
        <v>54</v>
      </c>
      <c r="C34" s="629">
        <f t="shared" ref="C34:C35" si="15">SUM(D34:Y34)</f>
        <v>-80</v>
      </c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/>
      <c r="L34" s="629">
        <v>0</v>
      </c>
      <c r="M34" s="629"/>
      <c r="N34" s="629"/>
      <c r="O34" s="629"/>
      <c r="P34" s="629"/>
      <c r="Q34" s="629"/>
      <c r="R34" s="629">
        <f>+'Adj 2.11'!C34</f>
        <v>-80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</row>
    <row r="35" spans="1:25" s="20" customFormat="1">
      <c r="A35" s="665">
        <v>22</v>
      </c>
      <c r="B35" s="671" t="s">
        <v>51</v>
      </c>
      <c r="C35" s="553">
        <f t="shared" si="15"/>
        <v>-16408</v>
      </c>
      <c r="D35" s="553">
        <v>0</v>
      </c>
      <c r="E35" s="553">
        <v>0</v>
      </c>
      <c r="F35" s="553">
        <v>0</v>
      </c>
      <c r="G35" s="553">
        <v>0</v>
      </c>
      <c r="H35" s="672">
        <f>+'Adj 2.01'!C35</f>
        <v>-16308</v>
      </c>
      <c r="I35" s="553">
        <v>0</v>
      </c>
      <c r="J35" s="553">
        <v>0</v>
      </c>
      <c r="K35" s="553"/>
      <c r="L35" s="553">
        <v>0</v>
      </c>
      <c r="M35" s="553">
        <v>0</v>
      </c>
      <c r="N35" s="553">
        <v>0</v>
      </c>
      <c r="O35" s="553">
        <v>0</v>
      </c>
      <c r="P35" s="553">
        <v>0</v>
      </c>
      <c r="Q35" s="553">
        <f>+'Adj 2.10'!C35</f>
        <v>-103</v>
      </c>
      <c r="R35" s="553">
        <v>0</v>
      </c>
      <c r="S35" s="672">
        <f>+'Adj 2.12'!C35</f>
        <v>3</v>
      </c>
      <c r="T35" s="553"/>
      <c r="U35" s="553">
        <v>0</v>
      </c>
      <c r="V35" s="553">
        <v>0</v>
      </c>
      <c r="W35" s="553">
        <v>0</v>
      </c>
      <c r="X35" s="553">
        <v>0</v>
      </c>
      <c r="Y35" s="553">
        <v>0</v>
      </c>
    </row>
    <row r="36" spans="1:25" s="20" customFormat="1">
      <c r="A36" s="661">
        <v>23</v>
      </c>
      <c r="B36" s="675" t="s">
        <v>55</v>
      </c>
      <c r="C36" s="629">
        <f>SUM(D36:Y36)</f>
        <v>-17767</v>
      </c>
      <c r="D36" s="629">
        <f t="shared" ref="D36:M36" si="16">SUM(D33:D35)</f>
        <v>0</v>
      </c>
      <c r="E36" s="629">
        <f t="shared" si="16"/>
        <v>0</v>
      </c>
      <c r="F36" s="629">
        <f t="shared" si="16"/>
        <v>0</v>
      </c>
      <c r="G36" s="629">
        <f t="shared" ref="G36" si="17">SUM(G33:G35)</f>
        <v>0</v>
      </c>
      <c r="H36" s="629">
        <f t="shared" si="16"/>
        <v>-16308</v>
      </c>
      <c r="I36" s="629">
        <f t="shared" si="16"/>
        <v>0</v>
      </c>
      <c r="J36" s="629">
        <f t="shared" si="16"/>
        <v>0</v>
      </c>
      <c r="K36" s="629">
        <f>SUM(K33:K35)</f>
        <v>0</v>
      </c>
      <c r="L36" s="629">
        <f>SUM(L33:L35)</f>
        <v>0</v>
      </c>
      <c r="M36" s="629">
        <f t="shared" si="16"/>
        <v>0</v>
      </c>
      <c r="N36" s="629">
        <f t="shared" ref="N36:R36" si="18">SUM(N33:N35)</f>
        <v>0</v>
      </c>
      <c r="O36" s="629">
        <f t="shared" si="18"/>
        <v>0</v>
      </c>
      <c r="P36" s="629">
        <f t="shared" si="18"/>
        <v>0</v>
      </c>
      <c r="Q36" s="629">
        <f t="shared" si="18"/>
        <v>-103</v>
      </c>
      <c r="R36" s="629">
        <f t="shared" si="18"/>
        <v>-80</v>
      </c>
      <c r="S36" s="629">
        <f t="shared" ref="S36:X36" si="19">SUM(S33:S35)</f>
        <v>3</v>
      </c>
      <c r="T36" s="629">
        <f t="shared" si="19"/>
        <v>-1</v>
      </c>
      <c r="U36" s="629">
        <f t="shared" si="19"/>
        <v>-1278</v>
      </c>
      <c r="V36" s="629">
        <f t="shared" si="19"/>
        <v>0</v>
      </c>
      <c r="W36" s="629">
        <f t="shared" si="19"/>
        <v>0</v>
      </c>
      <c r="X36" s="629">
        <f t="shared" si="19"/>
        <v>0</v>
      </c>
      <c r="Y36" s="629">
        <f t="shared" ref="Y36" si="20">SUM(Y33:Y35)</f>
        <v>0</v>
      </c>
    </row>
    <row r="37" spans="1:25" s="20" customFormat="1">
      <c r="A37" s="665">
        <v>24</v>
      </c>
      <c r="B37" s="673"/>
      <c r="C37" s="629"/>
      <c r="D37" s="629"/>
      <c r="E37" s="629"/>
      <c r="F37" s="629"/>
      <c r="G37" s="629"/>
      <c r="H37" s="629"/>
      <c r="I37" s="629"/>
      <c r="J37" s="629"/>
      <c r="K37" s="629"/>
      <c r="L37" s="629"/>
      <c r="M37" s="629"/>
      <c r="N37" s="629"/>
      <c r="O37" s="629"/>
      <c r="P37" s="629"/>
      <c r="Q37" s="629"/>
      <c r="R37" s="629"/>
      <c r="S37" s="629"/>
      <c r="T37" s="629"/>
      <c r="U37" s="629"/>
      <c r="V37" s="629"/>
      <c r="W37" s="629"/>
      <c r="X37" s="629"/>
      <c r="Y37" s="629"/>
    </row>
    <row r="38" spans="1:25" s="20" customFormat="1">
      <c r="A38" s="661">
        <v>25</v>
      </c>
      <c r="B38" s="670" t="s">
        <v>56</v>
      </c>
      <c r="C38" s="629">
        <f>SUM(D38:Y38)</f>
        <v>319</v>
      </c>
      <c r="D38" s="629">
        <v>0</v>
      </c>
      <c r="E38" s="629">
        <f>+'Adj 1.02'!C38</f>
        <v>4</v>
      </c>
      <c r="F38" s="629">
        <v>0</v>
      </c>
      <c r="G38" s="629">
        <v>0</v>
      </c>
      <c r="H38" s="629">
        <v>0</v>
      </c>
      <c r="I38" s="629">
        <f>+'Adj 2.02'!C38</f>
        <v>317</v>
      </c>
      <c r="J38" s="629">
        <v>0</v>
      </c>
      <c r="K38" s="629"/>
      <c r="L38" s="629">
        <v>0</v>
      </c>
      <c r="M38" s="629">
        <v>0</v>
      </c>
      <c r="N38" s="629">
        <v>0</v>
      </c>
      <c r="O38" s="629">
        <f>+'Adj 2.08'!C38</f>
        <v>-2</v>
      </c>
      <c r="P38" s="629">
        <v>0</v>
      </c>
      <c r="Q38" s="629">
        <v>0</v>
      </c>
      <c r="R38" s="629">
        <v>0</v>
      </c>
      <c r="S38" s="629">
        <v>0</v>
      </c>
      <c r="T38" s="629">
        <v>0</v>
      </c>
      <c r="U38" s="629"/>
      <c r="V38" s="629">
        <v>0</v>
      </c>
      <c r="W38" s="629">
        <v>0</v>
      </c>
      <c r="X38" s="629">
        <v>0</v>
      </c>
      <c r="Y38" s="629">
        <v>0</v>
      </c>
    </row>
    <row r="39" spans="1:25" s="20" customFormat="1">
      <c r="A39" s="665">
        <v>26</v>
      </c>
      <c r="B39" s="670" t="s">
        <v>57</v>
      </c>
      <c r="C39" s="629">
        <f t="shared" ref="C39:C40" si="21">SUM(D39:Y39)</f>
        <v>-20111</v>
      </c>
      <c r="D39" s="629">
        <v>0</v>
      </c>
      <c r="E39" s="629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0</v>
      </c>
      <c r="M39" s="629">
        <v>0</v>
      </c>
      <c r="N39" s="629">
        <v>0</v>
      </c>
      <c r="O39" s="629">
        <v>0</v>
      </c>
      <c r="P39" s="629">
        <v>0</v>
      </c>
      <c r="Q39" s="629">
        <v>0</v>
      </c>
      <c r="R39" s="629">
        <v>0</v>
      </c>
      <c r="S39" s="669">
        <f>+'Adj 2.12'!C39</f>
        <v>-20102</v>
      </c>
      <c r="T39" s="629">
        <f>+'Adj 2.13'!C39</f>
        <v>-9</v>
      </c>
      <c r="U39" s="629">
        <v>0</v>
      </c>
      <c r="V39" s="629">
        <v>0</v>
      </c>
      <c r="W39" s="629">
        <v>0</v>
      </c>
      <c r="X39" s="629">
        <v>0</v>
      </c>
      <c r="Y39" s="629">
        <v>0</v>
      </c>
    </row>
    <row r="40" spans="1:25" s="20" customFormat="1">
      <c r="A40" s="661">
        <v>27</v>
      </c>
      <c r="B40" s="670" t="s">
        <v>58</v>
      </c>
      <c r="C40" s="629">
        <f t="shared" si="21"/>
        <v>0</v>
      </c>
      <c r="D40" s="629">
        <v>0</v>
      </c>
      <c r="E40" s="629">
        <v>0</v>
      </c>
      <c r="F40" s="629">
        <v>0</v>
      </c>
      <c r="G40" s="629">
        <v>0</v>
      </c>
      <c r="H40" s="629">
        <v>0</v>
      </c>
      <c r="I40" s="629">
        <v>0</v>
      </c>
      <c r="J40" s="629">
        <v>0</v>
      </c>
      <c r="K40" s="629"/>
      <c r="L40" s="629">
        <v>0</v>
      </c>
      <c r="M40" s="629">
        <v>0</v>
      </c>
      <c r="N40" s="629">
        <v>0</v>
      </c>
      <c r="O40" s="629">
        <v>0</v>
      </c>
      <c r="P40" s="629">
        <v>0</v>
      </c>
      <c r="Q40" s="629">
        <v>0</v>
      </c>
      <c r="R40" s="629">
        <v>0</v>
      </c>
      <c r="S40" s="629">
        <v>0</v>
      </c>
      <c r="T40" s="629">
        <v>0</v>
      </c>
      <c r="U40" s="629">
        <v>0</v>
      </c>
      <c r="V40" s="629">
        <v>0</v>
      </c>
      <c r="W40" s="629">
        <v>0</v>
      </c>
      <c r="X40" s="629">
        <v>0</v>
      </c>
      <c r="Y40" s="629">
        <v>0</v>
      </c>
    </row>
    <row r="41" spans="1:25" s="20" customFormat="1">
      <c r="A41" s="665">
        <v>28</v>
      </c>
      <c r="B41" s="673"/>
      <c r="C41" s="629"/>
      <c r="D41" s="629">
        <v>0</v>
      </c>
      <c r="E41" s="629">
        <v>0</v>
      </c>
      <c r="F41" s="629">
        <v>0</v>
      </c>
      <c r="G41" s="629">
        <v>0</v>
      </c>
      <c r="H41" s="629">
        <v>0</v>
      </c>
      <c r="I41" s="629">
        <v>0</v>
      </c>
      <c r="J41" s="629">
        <v>0</v>
      </c>
      <c r="K41" s="629"/>
      <c r="L41" s="629">
        <v>0</v>
      </c>
      <c r="M41" s="629">
        <v>0</v>
      </c>
      <c r="N41" s="629">
        <v>0</v>
      </c>
      <c r="O41" s="629">
        <v>0</v>
      </c>
      <c r="P41" s="629">
        <v>0</v>
      </c>
      <c r="Q41" s="629">
        <v>0</v>
      </c>
      <c r="R41" s="629">
        <v>0</v>
      </c>
      <c r="S41" s="629">
        <v>0</v>
      </c>
      <c r="T41" s="629">
        <v>0</v>
      </c>
      <c r="U41" s="629">
        <v>0</v>
      </c>
      <c r="V41" s="629">
        <v>0</v>
      </c>
      <c r="W41" s="629">
        <v>0</v>
      </c>
      <c r="X41" s="629">
        <v>0</v>
      </c>
      <c r="Y41" s="629">
        <v>0</v>
      </c>
    </row>
    <row r="42" spans="1:25" s="20" customFormat="1">
      <c r="A42" s="665">
        <v>29</v>
      </c>
      <c r="B42" s="670" t="s">
        <v>59</v>
      </c>
      <c r="C42" s="629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/>
      <c r="L42" s="629">
        <v>0</v>
      </c>
      <c r="M42" s="629">
        <v>0</v>
      </c>
      <c r="N42" s="629">
        <v>0</v>
      </c>
      <c r="O42" s="629">
        <v>0</v>
      </c>
      <c r="P42" s="629">
        <v>0</v>
      </c>
      <c r="Q42" s="629">
        <v>0</v>
      </c>
      <c r="R42" s="629">
        <v>0</v>
      </c>
      <c r="S42" s="629">
        <v>0</v>
      </c>
      <c r="T42" s="629">
        <v>0</v>
      </c>
      <c r="U42" s="629">
        <v>0</v>
      </c>
      <c r="V42" s="629">
        <v>0</v>
      </c>
      <c r="W42" s="629">
        <v>0</v>
      </c>
      <c r="X42" s="629">
        <v>0</v>
      </c>
      <c r="Y42" s="629">
        <v>0</v>
      </c>
    </row>
    <row r="43" spans="1:25" s="20" customFormat="1">
      <c r="A43" s="661">
        <v>30</v>
      </c>
      <c r="B43" s="671" t="s">
        <v>48</v>
      </c>
      <c r="C43" s="629">
        <f t="shared" ref="C43:C47" si="22">SUM(D43:Y43)</f>
        <v>-1223</v>
      </c>
      <c r="D43" s="629">
        <v>0</v>
      </c>
      <c r="E43" s="629">
        <f>+'Adj 1.02'!C43</f>
        <v>131</v>
      </c>
      <c r="F43" s="629">
        <v>0</v>
      </c>
      <c r="G43" s="629">
        <v>0</v>
      </c>
      <c r="H43" s="629">
        <v>0</v>
      </c>
      <c r="I43" s="629">
        <v>0</v>
      </c>
      <c r="J43" s="629">
        <f>+'Adj 2.03'!C43</f>
        <v>48</v>
      </c>
      <c r="K43" s="629">
        <f>+'Adj 2.04'!C43</f>
        <v>-230</v>
      </c>
      <c r="L43" s="629">
        <v>0</v>
      </c>
      <c r="M43" s="629">
        <v>0</v>
      </c>
      <c r="N43" s="629">
        <v>0</v>
      </c>
      <c r="O43" s="629">
        <v>0</v>
      </c>
      <c r="P43" s="629">
        <f>+'Adj 2.09'!C43</f>
        <v>-5</v>
      </c>
      <c r="Q43" s="629">
        <v>0</v>
      </c>
      <c r="R43" s="629">
        <v>0</v>
      </c>
      <c r="S43" s="629">
        <v>0</v>
      </c>
      <c r="T43" s="629">
        <f>+'Adj 2.13'!C43</f>
        <v>-280</v>
      </c>
      <c r="U43" s="629">
        <v>0</v>
      </c>
      <c r="V43" s="629">
        <f>+'Adj 2.15'!C43</f>
        <v>243</v>
      </c>
      <c r="W43" s="629"/>
      <c r="X43" s="629">
        <v>0</v>
      </c>
      <c r="Y43" s="629">
        <f>+'Adj 2.18'!C43</f>
        <v>-1130</v>
      </c>
    </row>
    <row r="44" spans="1:25" s="20" customFormat="1">
      <c r="A44" s="665">
        <v>31</v>
      </c>
      <c r="B44" s="671" t="s">
        <v>54</v>
      </c>
      <c r="C44" s="629">
        <f t="shared" si="22"/>
        <v>0</v>
      </c>
      <c r="D44" s="629">
        <v>0</v>
      </c>
      <c r="E44" s="629">
        <v>0</v>
      </c>
      <c r="F44" s="629">
        <v>0</v>
      </c>
      <c r="G44" s="629">
        <v>0</v>
      </c>
      <c r="H44" s="629">
        <v>0</v>
      </c>
      <c r="I44" s="629">
        <v>0</v>
      </c>
      <c r="J44" s="629">
        <v>0</v>
      </c>
      <c r="K44" s="629"/>
      <c r="L44" s="629">
        <v>0</v>
      </c>
      <c r="M44" s="629"/>
      <c r="N44" s="629"/>
      <c r="O44" s="629"/>
      <c r="P44" s="629"/>
      <c r="Q44" s="629"/>
      <c r="R44" s="629"/>
      <c r="S44" s="629">
        <v>0</v>
      </c>
      <c r="T44" s="629">
        <v>0</v>
      </c>
      <c r="U44" s="629">
        <v>0</v>
      </c>
      <c r="V44" s="629">
        <v>0</v>
      </c>
      <c r="W44" s="629">
        <v>0</v>
      </c>
      <c r="X44" s="629">
        <v>0</v>
      </c>
      <c r="Y44" s="629">
        <v>0</v>
      </c>
    </row>
    <row r="45" spans="1:25" s="20" customFormat="1">
      <c r="A45" s="665">
        <v>32</v>
      </c>
      <c r="B45" s="671" t="s">
        <v>51</v>
      </c>
      <c r="C45" s="629">
        <f t="shared" si="22"/>
        <v>0</v>
      </c>
      <c r="D45" s="553">
        <v>0</v>
      </c>
      <c r="E45" s="553">
        <v>0</v>
      </c>
      <c r="F45" s="553">
        <v>0</v>
      </c>
      <c r="G45" s="553">
        <v>0</v>
      </c>
      <c r="H45" s="553">
        <v>0</v>
      </c>
      <c r="I45" s="553">
        <v>0</v>
      </c>
      <c r="J45" s="553">
        <v>0</v>
      </c>
      <c r="K45" s="553"/>
      <c r="L45" s="553">
        <v>0</v>
      </c>
      <c r="M45" s="553">
        <v>0</v>
      </c>
      <c r="N45" s="553">
        <v>0</v>
      </c>
      <c r="O45" s="553">
        <v>0</v>
      </c>
      <c r="P45" s="553">
        <v>0</v>
      </c>
      <c r="Q45" s="553">
        <v>0</v>
      </c>
      <c r="R45" s="553">
        <v>0</v>
      </c>
      <c r="S45" s="553">
        <v>0</v>
      </c>
      <c r="T45" s="553"/>
      <c r="U45" s="553">
        <v>0</v>
      </c>
      <c r="V45" s="553">
        <v>0</v>
      </c>
      <c r="W45" s="553">
        <v>0</v>
      </c>
      <c r="X45" s="553">
        <v>0</v>
      </c>
      <c r="Y45" s="553">
        <v>0</v>
      </c>
    </row>
    <row r="46" spans="1:25" s="20" customFormat="1">
      <c r="A46" s="661">
        <v>33</v>
      </c>
      <c r="B46" s="675" t="s">
        <v>60</v>
      </c>
      <c r="C46" s="676">
        <f t="shared" si="22"/>
        <v>-1223</v>
      </c>
      <c r="D46" s="553">
        <f t="shared" ref="D46:M46" si="23">SUM(D43:D45)</f>
        <v>0</v>
      </c>
      <c r="E46" s="676">
        <f>SUM(E43:E45)</f>
        <v>131</v>
      </c>
      <c r="F46" s="553">
        <f t="shared" si="23"/>
        <v>0</v>
      </c>
      <c r="G46" s="553">
        <f t="shared" ref="G46" si="24">SUM(G43:G45)</f>
        <v>0</v>
      </c>
      <c r="H46" s="553">
        <f t="shared" si="23"/>
        <v>0</v>
      </c>
      <c r="I46" s="553">
        <f t="shared" si="23"/>
        <v>0</v>
      </c>
      <c r="J46" s="553">
        <f t="shared" si="23"/>
        <v>48</v>
      </c>
      <c r="K46" s="553">
        <f>SUM(K43:K45)</f>
        <v>-230</v>
      </c>
      <c r="L46" s="553">
        <f>SUM(L43:L45)</f>
        <v>0</v>
      </c>
      <c r="M46" s="553">
        <f t="shared" si="23"/>
        <v>0</v>
      </c>
      <c r="N46" s="553">
        <f t="shared" ref="N46:R46" si="25">SUM(N43:N45)</f>
        <v>0</v>
      </c>
      <c r="O46" s="553">
        <f t="shared" si="25"/>
        <v>0</v>
      </c>
      <c r="P46" s="553">
        <f t="shared" si="25"/>
        <v>-5</v>
      </c>
      <c r="Q46" s="553">
        <f t="shared" si="25"/>
        <v>0</v>
      </c>
      <c r="R46" s="553">
        <f t="shared" si="25"/>
        <v>0</v>
      </c>
      <c r="S46" s="553">
        <f t="shared" ref="S46:X46" si="26">SUM(S43:S45)</f>
        <v>0</v>
      </c>
      <c r="T46" s="553">
        <f t="shared" si="26"/>
        <v>-280</v>
      </c>
      <c r="U46" s="553">
        <f t="shared" si="26"/>
        <v>0</v>
      </c>
      <c r="V46" s="553">
        <f t="shared" si="26"/>
        <v>243</v>
      </c>
      <c r="W46" s="553">
        <f t="shared" si="26"/>
        <v>0</v>
      </c>
      <c r="X46" s="553">
        <f t="shared" si="26"/>
        <v>0</v>
      </c>
      <c r="Y46" s="553">
        <f t="shared" ref="Y46" si="27">SUM(Y43:Y45)</f>
        <v>-1130</v>
      </c>
    </row>
    <row r="47" spans="1:25" s="20" customFormat="1">
      <c r="A47" s="665">
        <v>34</v>
      </c>
      <c r="B47" s="670" t="s">
        <v>61</v>
      </c>
      <c r="C47" s="676">
        <f t="shared" si="22"/>
        <v>-45876</v>
      </c>
      <c r="D47" s="553">
        <f t="shared" ref="D47:N47" si="28">D46+D40+D39+D38+D36+D30</f>
        <v>0</v>
      </c>
      <c r="E47" s="553">
        <f>E46+E40+E39+E38+E36+E30</f>
        <v>120</v>
      </c>
      <c r="F47" s="553">
        <f t="shared" si="28"/>
        <v>0</v>
      </c>
      <c r="G47" s="553">
        <f t="shared" ref="G47" si="29">G46+G40+G39+G38+G36+G30</f>
        <v>0</v>
      </c>
      <c r="H47" s="553">
        <f t="shared" si="28"/>
        <v>-16308</v>
      </c>
      <c r="I47" s="553">
        <f t="shared" si="28"/>
        <v>317</v>
      </c>
      <c r="J47" s="553">
        <f t="shared" si="28"/>
        <v>48</v>
      </c>
      <c r="K47" s="553">
        <f t="shared" si="28"/>
        <v>-230</v>
      </c>
      <c r="L47" s="553">
        <f t="shared" si="28"/>
        <v>0</v>
      </c>
      <c r="M47" s="553">
        <f t="shared" si="28"/>
        <v>-12788</v>
      </c>
      <c r="N47" s="553">
        <f t="shared" si="28"/>
        <v>14</v>
      </c>
      <c r="O47" s="553">
        <f t="shared" ref="O47:R47" si="30">O46+O40+O39+O38+O36+O30</f>
        <v>-2</v>
      </c>
      <c r="P47" s="553">
        <f t="shared" si="30"/>
        <v>-5</v>
      </c>
      <c r="Q47" s="553">
        <f t="shared" si="30"/>
        <v>-103</v>
      </c>
      <c r="R47" s="553">
        <f t="shared" si="30"/>
        <v>-80</v>
      </c>
      <c r="S47" s="553">
        <f t="shared" ref="S47:X47" si="31">S46+S40+S39+S38+S36+S30</f>
        <v>-15489</v>
      </c>
      <c r="T47" s="553">
        <f t="shared" si="31"/>
        <v>-296</v>
      </c>
      <c r="U47" s="553">
        <f t="shared" si="31"/>
        <v>-1278</v>
      </c>
      <c r="V47" s="553">
        <f t="shared" si="31"/>
        <v>243</v>
      </c>
      <c r="W47" s="553">
        <f t="shared" si="31"/>
        <v>1091</v>
      </c>
      <c r="X47" s="553">
        <f t="shared" si="31"/>
        <v>0</v>
      </c>
      <c r="Y47" s="553">
        <f t="shared" ref="Y47" si="32">Y46+Y40+Y39+Y38+Y36+Y30</f>
        <v>-1130</v>
      </c>
    </row>
    <row r="48" spans="1:25" s="20" customFormat="1">
      <c r="A48" s="665">
        <v>35</v>
      </c>
      <c r="B48" s="673"/>
      <c r="C48" s="629"/>
      <c r="D48" s="629"/>
      <c r="E48" s="629"/>
      <c r="F48" s="629"/>
      <c r="G48" s="629"/>
      <c r="H48" s="629"/>
      <c r="I48" s="629"/>
      <c r="J48" s="629"/>
      <c r="K48" s="629"/>
      <c r="L48" s="629"/>
      <c r="M48" s="629"/>
      <c r="N48" s="629"/>
      <c r="O48" s="629"/>
      <c r="P48" s="629"/>
      <c r="Q48" s="629"/>
      <c r="R48" s="629"/>
      <c r="S48" s="629"/>
      <c r="T48" s="629"/>
      <c r="U48" s="629"/>
      <c r="V48" s="629"/>
      <c r="W48" s="629"/>
      <c r="X48" s="629"/>
      <c r="Y48" s="629"/>
    </row>
    <row r="49" spans="1:25" s="20" customFormat="1">
      <c r="A49" s="661">
        <v>36</v>
      </c>
      <c r="B49" s="670" t="s">
        <v>62</v>
      </c>
      <c r="C49" s="629">
        <f t="shared" ref="C49" si="33">SUM(D49:Y49)</f>
        <v>29572</v>
      </c>
      <c r="D49" s="629">
        <f t="shared" ref="D49:X49" si="34">D21-D47</f>
        <v>0</v>
      </c>
      <c r="E49" s="629">
        <f>+'Adj 1.02'!C49</f>
        <v>-120</v>
      </c>
      <c r="F49" s="629">
        <f t="shared" si="34"/>
        <v>0</v>
      </c>
      <c r="G49" s="629">
        <f t="shared" ref="G49" si="35">G21-G47</f>
        <v>0</v>
      </c>
      <c r="H49" s="629">
        <f t="shared" si="34"/>
        <v>-70</v>
      </c>
      <c r="I49" s="629">
        <f t="shared" si="34"/>
        <v>-317</v>
      </c>
      <c r="J49" s="629">
        <f t="shared" si="34"/>
        <v>-48</v>
      </c>
      <c r="K49" s="629">
        <f t="shared" si="34"/>
        <v>230</v>
      </c>
      <c r="L49" s="629">
        <f t="shared" si="34"/>
        <v>0</v>
      </c>
      <c r="M49" s="629">
        <f t="shared" si="34"/>
        <v>12788</v>
      </c>
      <c r="N49" s="629">
        <f t="shared" si="34"/>
        <v>-14</v>
      </c>
      <c r="O49" s="629">
        <f t="shared" si="34"/>
        <v>2</v>
      </c>
      <c r="P49" s="629">
        <f t="shared" si="34"/>
        <v>5</v>
      </c>
      <c r="Q49" s="629">
        <f t="shared" si="34"/>
        <v>103</v>
      </c>
      <c r="R49" s="629">
        <f t="shared" si="34"/>
        <v>80</v>
      </c>
      <c r="S49" s="629">
        <f t="shared" si="34"/>
        <v>15563</v>
      </c>
      <c r="T49" s="629">
        <f t="shared" si="34"/>
        <v>296</v>
      </c>
      <c r="U49" s="629">
        <f t="shared" si="34"/>
        <v>1278</v>
      </c>
      <c r="V49" s="629">
        <f t="shared" si="34"/>
        <v>-243</v>
      </c>
      <c r="W49" s="629">
        <f t="shared" si="34"/>
        <v>-1091</v>
      </c>
      <c r="X49" s="629">
        <f t="shared" si="34"/>
        <v>0</v>
      </c>
      <c r="Y49" s="629">
        <f t="shared" ref="Y49" si="36">Y21-Y47</f>
        <v>1130</v>
      </c>
    </row>
    <row r="50" spans="1:25" s="20" customFormat="1">
      <c r="A50" s="665">
        <v>37</v>
      </c>
      <c r="B50" s="670"/>
      <c r="C50" s="629"/>
      <c r="D50" s="629"/>
      <c r="E50" s="629"/>
      <c r="F50" s="629"/>
      <c r="G50" s="629"/>
      <c r="H50" s="629"/>
      <c r="I50" s="629"/>
      <c r="J50" s="629"/>
      <c r="K50" s="629"/>
      <c r="L50" s="629"/>
      <c r="M50" s="629"/>
      <c r="N50" s="629"/>
      <c r="O50" s="629"/>
      <c r="P50" s="629"/>
      <c r="Q50" s="629"/>
      <c r="R50" s="629"/>
      <c r="S50" s="629"/>
      <c r="T50" s="629"/>
      <c r="U50" s="629"/>
      <c r="V50" s="629"/>
      <c r="W50" s="629"/>
      <c r="X50" s="629"/>
      <c r="Y50" s="629"/>
    </row>
    <row r="51" spans="1:25" s="20" customFormat="1">
      <c r="A51" s="665">
        <v>38</v>
      </c>
      <c r="B51" s="670" t="s">
        <v>63</v>
      </c>
      <c r="C51" s="629"/>
      <c r="D51" s="629"/>
      <c r="E51" s="629"/>
      <c r="F51" s="629"/>
      <c r="G51" s="629"/>
      <c r="H51" s="629"/>
      <c r="I51" s="629"/>
      <c r="J51" s="629"/>
      <c r="K51" s="629"/>
      <c r="L51" s="629"/>
      <c r="M51" s="629"/>
      <c r="N51" s="629"/>
      <c r="O51" s="629"/>
      <c r="P51" s="629"/>
      <c r="Q51" s="629"/>
      <c r="R51" s="629"/>
      <c r="S51" s="629"/>
      <c r="T51" s="629"/>
      <c r="U51" s="629"/>
      <c r="V51" s="629"/>
      <c r="W51" s="629"/>
      <c r="X51" s="629"/>
      <c r="Y51" s="629"/>
    </row>
    <row r="52" spans="1:25" s="20" customFormat="1">
      <c r="A52" s="661">
        <v>39</v>
      </c>
      <c r="B52" s="670" t="s">
        <v>64</v>
      </c>
      <c r="C52" s="629">
        <f t="shared" ref="C52:C55" si="37">SUM(D52:Y52)</f>
        <v>5369</v>
      </c>
      <c r="D52" s="629">
        <f t="shared" ref="D52:F52" si="38">D105</f>
        <v>0</v>
      </c>
      <c r="E52" s="629">
        <f>+'Adj 1.02'!C52</f>
        <v>-109</v>
      </c>
      <c r="F52" s="629">
        <f t="shared" si="38"/>
        <v>0</v>
      </c>
      <c r="G52" s="629">
        <f>+'Adj 1.04'!C52</f>
        <v>-312</v>
      </c>
      <c r="H52" s="629">
        <f>+'Adj 2.01'!C52</f>
        <v>-25</v>
      </c>
      <c r="I52" s="629">
        <f>+'Adj 2.02'!C52</f>
        <v>-111</v>
      </c>
      <c r="J52" s="629">
        <f>+'Adj 2.03'!C52</f>
        <v>-17</v>
      </c>
      <c r="K52" s="629">
        <f>+'Adj 2.04'!C52</f>
        <v>81</v>
      </c>
      <c r="L52" s="629">
        <f>+'Adj 2.05'!C52</f>
        <v>-127</v>
      </c>
      <c r="M52" s="629">
        <v>0</v>
      </c>
      <c r="N52" s="629">
        <f>+'Adj 2.07'!C52</f>
        <v>-5</v>
      </c>
      <c r="O52" s="629">
        <f>+'Adj 2.08'!C52</f>
        <v>1</v>
      </c>
      <c r="P52" s="629">
        <f>+'Adj 2.09'!C52</f>
        <v>2</v>
      </c>
      <c r="Q52" s="629">
        <f>+'Adj 2.10'!C52</f>
        <v>36</v>
      </c>
      <c r="R52" s="629">
        <f>+'Adj 2.11'!C52</f>
        <v>28</v>
      </c>
      <c r="S52" s="629">
        <f>+'Adj 2.12'!C52</f>
        <v>5447</v>
      </c>
      <c r="T52" s="629">
        <f>+'Adj 2.13'!C52</f>
        <v>104</v>
      </c>
      <c r="U52" s="629">
        <f>+'Adj 2.14'!C52</f>
        <v>447</v>
      </c>
      <c r="V52" s="629">
        <f>+'Adj 2.15'!C52</f>
        <v>-85</v>
      </c>
      <c r="W52" s="629">
        <f>+'Adj 2.16'!C52</f>
        <v>-382</v>
      </c>
      <c r="X52" s="629"/>
      <c r="Y52" s="629">
        <f>+'Adj 2.18'!C52</f>
        <v>396</v>
      </c>
    </row>
    <row r="53" spans="1:25" s="20" customFormat="1">
      <c r="A53" s="665">
        <v>40</v>
      </c>
      <c r="B53" s="670" t="s">
        <v>366</v>
      </c>
      <c r="C53" s="629">
        <f t="shared" si="37"/>
        <v>-526</v>
      </c>
      <c r="D53" s="629">
        <f>+ROUND((D77*' Capital '!$J$13)*-35%,0)</f>
        <v>-3</v>
      </c>
      <c r="E53" s="629">
        <f>+ROUND((E77*' Capital '!$J$13)*-35%,0)</f>
        <v>76</v>
      </c>
      <c r="F53" s="629">
        <f>+ROUND((F77*' Capital '!$J$13)*-35%,0)</f>
        <v>-40</v>
      </c>
      <c r="G53" s="629">
        <f>+(G77*' Capital '!$J$13)*-35%</f>
        <v>0</v>
      </c>
      <c r="H53" s="629">
        <v>0</v>
      </c>
      <c r="I53" s="629"/>
      <c r="J53" s="629">
        <v>0</v>
      </c>
      <c r="K53" s="629"/>
      <c r="L53" s="629">
        <v>0</v>
      </c>
      <c r="M53" s="629">
        <f>-M104</f>
        <v>0</v>
      </c>
      <c r="N53" s="629"/>
      <c r="O53" s="629"/>
      <c r="P53" s="629"/>
      <c r="Q53" s="629"/>
      <c r="R53" s="629">
        <f>-R104</f>
        <v>0</v>
      </c>
      <c r="S53" s="629">
        <v>0</v>
      </c>
      <c r="T53" s="629">
        <v>0</v>
      </c>
      <c r="U53" s="629">
        <v>0</v>
      </c>
      <c r="V53" s="629">
        <v>0</v>
      </c>
      <c r="W53" s="629">
        <v>0</v>
      </c>
      <c r="X53" s="629">
        <f>+'Adj 2.17'!C52</f>
        <v>-559</v>
      </c>
      <c r="Y53" s="629"/>
    </row>
    <row r="54" spans="1:25" s="20" customFormat="1">
      <c r="A54" s="665">
        <v>41</v>
      </c>
      <c r="B54" s="670" t="s">
        <v>65</v>
      </c>
      <c r="C54" s="629">
        <f t="shared" si="37"/>
        <v>3108.7999999999993</v>
      </c>
      <c r="D54" s="629"/>
      <c r="E54" s="629"/>
      <c r="F54" s="629"/>
      <c r="G54" s="629">
        <f>+'Adj 1.04'!C54</f>
        <v>-1514</v>
      </c>
      <c r="H54" s="629"/>
      <c r="I54" s="629"/>
      <c r="J54" s="629"/>
      <c r="K54" s="629"/>
      <c r="L54" s="629">
        <f>+'Adj 2.05'!C54</f>
        <v>147</v>
      </c>
      <c r="M54" s="629">
        <f>+M105</f>
        <v>4475.7999999999993</v>
      </c>
      <c r="N54" s="629"/>
      <c r="O54" s="629"/>
      <c r="P54" s="629"/>
      <c r="Q54" s="629"/>
      <c r="R54" s="629"/>
      <c r="S54" s="629"/>
      <c r="T54" s="629"/>
      <c r="U54" s="629"/>
      <c r="V54" s="629"/>
      <c r="W54" s="629"/>
      <c r="X54" s="629"/>
      <c r="Y54" s="629"/>
    </row>
    <row r="55" spans="1:25" s="20" customFormat="1">
      <c r="A55" s="661">
        <v>42</v>
      </c>
      <c r="B55" s="670" t="s">
        <v>238</v>
      </c>
      <c r="C55" s="553">
        <f t="shared" si="37"/>
        <v>-15</v>
      </c>
      <c r="D55" s="553"/>
      <c r="E55" s="553"/>
      <c r="F55" s="553"/>
      <c r="G55" s="553"/>
      <c r="H55" s="553"/>
      <c r="I55" s="553"/>
      <c r="J55" s="553"/>
      <c r="K55" s="553"/>
      <c r="L55" s="553">
        <f>+'Adj 2.05'!C55</f>
        <v>-15</v>
      </c>
      <c r="M55" s="553"/>
      <c r="N55" s="553"/>
      <c r="O55" s="553"/>
      <c r="P55" s="553"/>
      <c r="Q55" s="553"/>
      <c r="R55" s="553"/>
      <c r="S55" s="553"/>
      <c r="T55" s="553"/>
      <c r="U55" s="553"/>
      <c r="V55" s="553"/>
      <c r="W55" s="553"/>
      <c r="X55" s="553"/>
      <c r="Y55" s="553"/>
    </row>
    <row r="56" spans="1:25">
      <c r="A56" s="661">
        <v>45</v>
      </c>
      <c r="B56" s="673"/>
      <c r="C56" s="629"/>
      <c r="D56" s="629"/>
      <c r="E56" s="629"/>
      <c r="F56" s="629"/>
      <c r="G56" s="629"/>
      <c r="H56" s="629"/>
      <c r="I56" s="629"/>
      <c r="J56" s="629"/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/>
      <c r="X56" s="629"/>
      <c r="Y56" s="629"/>
    </row>
    <row r="57" spans="1:25" s="15" customFormat="1" ht="13.5" thickBot="1">
      <c r="A57" s="665">
        <v>46</v>
      </c>
      <c r="B57" s="667" t="s">
        <v>66</v>
      </c>
      <c r="C57" s="677">
        <f t="shared" ref="C57:J57" si="39">C49-SUM(C52:C55)</f>
        <v>21635.200000000001</v>
      </c>
      <c r="D57" s="677">
        <f t="shared" si="39"/>
        <v>3</v>
      </c>
      <c r="E57" s="677">
        <f t="shared" si="39"/>
        <v>-87</v>
      </c>
      <c r="F57" s="677">
        <f t="shared" si="39"/>
        <v>40</v>
      </c>
      <c r="G57" s="677">
        <f t="shared" ref="G57" si="40">G49-SUM(G52:G55)</f>
        <v>1826</v>
      </c>
      <c r="H57" s="677">
        <f t="shared" si="39"/>
        <v>-45</v>
      </c>
      <c r="I57" s="677">
        <f t="shared" si="39"/>
        <v>-206</v>
      </c>
      <c r="J57" s="677">
        <f t="shared" si="39"/>
        <v>-31</v>
      </c>
      <c r="K57" s="677">
        <f>+K49-K52</f>
        <v>149</v>
      </c>
      <c r="L57" s="677">
        <f t="shared" ref="L57:X57" si="41">L49-SUM(L52:L55)</f>
        <v>-5</v>
      </c>
      <c r="M57" s="677">
        <f t="shared" si="41"/>
        <v>8312.2000000000007</v>
      </c>
      <c r="N57" s="677">
        <f t="shared" si="41"/>
        <v>-9</v>
      </c>
      <c r="O57" s="677">
        <f t="shared" si="41"/>
        <v>1</v>
      </c>
      <c r="P57" s="677">
        <f t="shared" si="41"/>
        <v>3</v>
      </c>
      <c r="Q57" s="677">
        <f t="shared" si="41"/>
        <v>67</v>
      </c>
      <c r="R57" s="677">
        <f t="shared" si="41"/>
        <v>52</v>
      </c>
      <c r="S57" s="677">
        <f t="shared" si="41"/>
        <v>10116</v>
      </c>
      <c r="T57" s="677">
        <f t="shared" si="41"/>
        <v>192</v>
      </c>
      <c r="U57" s="677">
        <f t="shared" si="41"/>
        <v>831</v>
      </c>
      <c r="V57" s="677">
        <f>V49-SUM(V52:V55)</f>
        <v>-158</v>
      </c>
      <c r="W57" s="677">
        <f t="shared" si="41"/>
        <v>-709</v>
      </c>
      <c r="X57" s="677">
        <f t="shared" si="41"/>
        <v>559</v>
      </c>
      <c r="Y57" s="677">
        <f t="shared" ref="Y57" si="42">Y49-SUM(Y52:Y55)</f>
        <v>734</v>
      </c>
    </row>
    <row r="58" spans="1:25" ht="13.5" thickTop="1">
      <c r="A58" s="665">
        <v>47</v>
      </c>
      <c r="B58" s="678"/>
      <c r="C58" s="629"/>
      <c r="D58" s="629"/>
      <c r="E58" s="629"/>
      <c r="F58" s="629"/>
      <c r="G58" s="629"/>
      <c r="H58" s="629"/>
      <c r="I58" s="629"/>
      <c r="J58" s="629"/>
      <c r="K58" s="629"/>
      <c r="L58" s="629"/>
      <c r="M58" s="629"/>
      <c r="N58" s="629"/>
      <c r="O58" s="629"/>
      <c r="P58" s="629"/>
      <c r="Q58" s="629"/>
      <c r="R58" s="629"/>
      <c r="S58" s="629"/>
      <c r="T58" s="629"/>
      <c r="U58" s="629"/>
      <c r="V58" s="629"/>
      <c r="W58" s="629"/>
      <c r="X58" s="629"/>
      <c r="Y58" s="629"/>
    </row>
    <row r="59" spans="1:25">
      <c r="A59" s="661">
        <v>48</v>
      </c>
      <c r="B59" s="662" t="s">
        <v>21</v>
      </c>
      <c r="C59" s="629"/>
      <c r="D59" s="629"/>
      <c r="E59" s="629"/>
      <c r="F59" s="629"/>
      <c r="G59" s="629"/>
      <c r="H59" s="629"/>
      <c r="I59" s="629"/>
      <c r="J59" s="629"/>
      <c r="K59" s="629"/>
      <c r="L59" s="629"/>
      <c r="M59" s="629"/>
      <c r="N59" s="629"/>
      <c r="O59" s="629"/>
      <c r="P59" s="629"/>
      <c r="Q59" s="629"/>
      <c r="R59" s="629"/>
      <c r="S59" s="629"/>
      <c r="T59" s="629"/>
      <c r="U59" s="629"/>
      <c r="V59" s="629"/>
      <c r="W59" s="629"/>
      <c r="X59" s="629"/>
      <c r="Y59" s="629"/>
    </row>
    <row r="60" spans="1:25">
      <c r="A60" s="665">
        <v>49</v>
      </c>
      <c r="B60" s="666" t="s">
        <v>67</v>
      </c>
      <c r="C60" s="629"/>
      <c r="D60" s="629"/>
      <c r="E60" s="629"/>
      <c r="F60" s="629"/>
      <c r="G60" s="629"/>
      <c r="H60" s="629"/>
      <c r="I60" s="629"/>
      <c r="J60" s="629"/>
      <c r="K60" s="629"/>
      <c r="L60" s="629"/>
      <c r="M60" s="629"/>
      <c r="N60" s="629"/>
      <c r="O60" s="629"/>
      <c r="P60" s="629"/>
      <c r="Q60" s="629"/>
      <c r="R60" s="629"/>
      <c r="S60" s="629"/>
      <c r="T60" s="629"/>
      <c r="U60" s="629"/>
      <c r="V60" s="629"/>
      <c r="W60" s="629"/>
      <c r="X60" s="629"/>
      <c r="Y60" s="629"/>
    </row>
    <row r="61" spans="1:25" s="15" customFormat="1">
      <c r="A61" s="665">
        <v>50</v>
      </c>
      <c r="B61" s="679" t="s">
        <v>68</v>
      </c>
      <c r="C61" s="629">
        <f>SUM(D61:Y61)</f>
        <v>0</v>
      </c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/>
      <c r="L61" s="629">
        <v>0</v>
      </c>
      <c r="M61" s="629">
        <v>0</v>
      </c>
      <c r="N61" s="629">
        <v>0</v>
      </c>
      <c r="O61" s="629">
        <v>0</v>
      </c>
      <c r="P61" s="629"/>
      <c r="Q61" s="629">
        <v>0</v>
      </c>
      <c r="R61" s="629">
        <v>0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</row>
    <row r="62" spans="1:25" s="20" customFormat="1">
      <c r="A62" s="661">
        <v>51</v>
      </c>
      <c r="B62" s="671" t="s">
        <v>69</v>
      </c>
      <c r="C62" s="629">
        <f t="shared" ref="C62:C74" si="43">SUM(D62:Y62)</f>
        <v>0</v>
      </c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/>
      <c r="L62" s="629">
        <v>0</v>
      </c>
      <c r="M62" s="629"/>
      <c r="N62" s="629"/>
      <c r="O62" s="629"/>
      <c r="P62" s="629"/>
      <c r="Q62" s="629"/>
      <c r="R62" s="629"/>
      <c r="S62" s="629"/>
      <c r="T62" s="629"/>
      <c r="U62" s="629"/>
      <c r="V62" s="629">
        <v>0</v>
      </c>
      <c r="W62" s="629">
        <v>0</v>
      </c>
      <c r="X62" s="629">
        <v>0</v>
      </c>
      <c r="Y62" s="629">
        <v>0</v>
      </c>
    </row>
    <row r="63" spans="1:25" s="20" customFormat="1">
      <c r="A63" s="665">
        <v>52</v>
      </c>
      <c r="B63" s="671" t="s">
        <v>70</v>
      </c>
      <c r="C63" s="629">
        <f t="shared" si="43"/>
        <v>0</v>
      </c>
      <c r="D63" s="629">
        <v>0</v>
      </c>
      <c r="E63" s="629">
        <v>0</v>
      </c>
      <c r="F63" s="629">
        <v>0</v>
      </c>
      <c r="G63" s="629">
        <v>0</v>
      </c>
      <c r="H63" s="629">
        <v>0</v>
      </c>
      <c r="I63" s="629">
        <v>0</v>
      </c>
      <c r="J63" s="629">
        <v>0</v>
      </c>
      <c r="K63" s="629"/>
      <c r="L63" s="629">
        <v>0</v>
      </c>
      <c r="M63" s="629">
        <v>0</v>
      </c>
      <c r="N63" s="629">
        <v>0</v>
      </c>
      <c r="O63" s="629">
        <v>0</v>
      </c>
      <c r="P63" s="629">
        <v>0</v>
      </c>
      <c r="Q63" s="629">
        <v>0</v>
      </c>
      <c r="R63" s="629">
        <v>0</v>
      </c>
      <c r="S63" s="629">
        <v>0</v>
      </c>
      <c r="T63" s="629">
        <v>0</v>
      </c>
      <c r="U63" s="629">
        <v>0</v>
      </c>
      <c r="V63" s="629">
        <v>0</v>
      </c>
      <c r="W63" s="629">
        <v>0</v>
      </c>
      <c r="X63" s="629">
        <v>0</v>
      </c>
      <c r="Y63" s="629">
        <v>0</v>
      </c>
    </row>
    <row r="64" spans="1:25" s="20" customFormat="1">
      <c r="A64" s="665">
        <v>53</v>
      </c>
      <c r="B64" s="671" t="s">
        <v>53</v>
      </c>
      <c r="C64" s="629">
        <f t="shared" si="43"/>
        <v>0</v>
      </c>
      <c r="D64" s="629">
        <v>0</v>
      </c>
      <c r="E64" s="629">
        <v>0</v>
      </c>
      <c r="F64" s="629">
        <v>0</v>
      </c>
      <c r="G64" s="629">
        <v>0</v>
      </c>
      <c r="H64" s="629">
        <v>0</v>
      </c>
      <c r="I64" s="629">
        <v>0</v>
      </c>
      <c r="J64" s="629">
        <v>0</v>
      </c>
      <c r="K64" s="629">
        <v>0</v>
      </c>
      <c r="L64" s="629">
        <v>0</v>
      </c>
      <c r="M64" s="629">
        <v>0</v>
      </c>
      <c r="N64" s="629">
        <v>0</v>
      </c>
      <c r="O64" s="629">
        <v>0</v>
      </c>
      <c r="P64" s="629">
        <v>0</v>
      </c>
      <c r="Q64" s="629">
        <v>0</v>
      </c>
      <c r="R64" s="629">
        <v>0</v>
      </c>
      <c r="S64" s="629">
        <v>0</v>
      </c>
      <c r="T64" s="629">
        <v>0</v>
      </c>
      <c r="U64" s="629">
        <v>0</v>
      </c>
      <c r="V64" s="629">
        <v>0</v>
      </c>
      <c r="W64" s="629">
        <v>0</v>
      </c>
      <c r="X64" s="629">
        <v>0</v>
      </c>
      <c r="Y64" s="629">
        <v>0</v>
      </c>
    </row>
    <row r="65" spans="1:25" s="20" customFormat="1">
      <c r="A65" s="661">
        <v>54</v>
      </c>
      <c r="B65" s="671" t="s">
        <v>71</v>
      </c>
      <c r="C65" s="553">
        <f t="shared" si="43"/>
        <v>0</v>
      </c>
      <c r="D65" s="553">
        <v>0</v>
      </c>
      <c r="E65" s="553">
        <v>0</v>
      </c>
      <c r="F65" s="553">
        <v>0</v>
      </c>
      <c r="G65" s="553">
        <v>0</v>
      </c>
      <c r="H65" s="553">
        <v>0</v>
      </c>
      <c r="I65" s="553">
        <v>0</v>
      </c>
      <c r="J65" s="553">
        <v>0</v>
      </c>
      <c r="K65" s="553"/>
      <c r="L65" s="553">
        <v>0</v>
      </c>
      <c r="M65" s="553">
        <v>0</v>
      </c>
      <c r="N65" s="553">
        <v>0</v>
      </c>
      <c r="O65" s="553">
        <v>0</v>
      </c>
      <c r="P65" s="553">
        <v>0</v>
      </c>
      <c r="Q65" s="553">
        <v>0</v>
      </c>
      <c r="R65" s="553">
        <v>0</v>
      </c>
      <c r="S65" s="553">
        <v>0</v>
      </c>
      <c r="T65" s="553">
        <v>0</v>
      </c>
      <c r="U65" s="553">
        <v>0</v>
      </c>
      <c r="V65" s="553">
        <v>0</v>
      </c>
      <c r="W65" s="553">
        <v>0</v>
      </c>
      <c r="X65" s="553">
        <v>0</v>
      </c>
      <c r="Y65" s="553">
        <v>0</v>
      </c>
    </row>
    <row r="66" spans="1:25" s="20" customFormat="1">
      <c r="A66" s="665">
        <v>55</v>
      </c>
      <c r="B66" s="675" t="s">
        <v>72</v>
      </c>
      <c r="C66" s="629">
        <f t="shared" si="43"/>
        <v>0</v>
      </c>
      <c r="D66" s="629">
        <f t="shared" ref="D66:M66" si="44">SUM(D61:D65)</f>
        <v>0</v>
      </c>
      <c r="E66" s="629">
        <f t="shared" si="44"/>
        <v>0</v>
      </c>
      <c r="F66" s="629">
        <f t="shared" si="44"/>
        <v>0</v>
      </c>
      <c r="G66" s="629">
        <f t="shared" ref="G66" si="45">SUM(G61:G65)</f>
        <v>0</v>
      </c>
      <c r="H66" s="629">
        <f t="shared" si="44"/>
        <v>0</v>
      </c>
      <c r="I66" s="629">
        <f t="shared" si="44"/>
        <v>0</v>
      </c>
      <c r="J66" s="629">
        <f t="shared" si="44"/>
        <v>0</v>
      </c>
      <c r="K66" s="629">
        <f t="shared" si="44"/>
        <v>0</v>
      </c>
      <c r="L66" s="629">
        <f>SUM(L61:L65)</f>
        <v>0</v>
      </c>
      <c r="M66" s="629">
        <f t="shared" si="44"/>
        <v>0</v>
      </c>
      <c r="N66" s="629">
        <f t="shared" ref="N66" si="46">SUM(N61:N65)</f>
        <v>0</v>
      </c>
      <c r="O66" s="629">
        <f t="shared" ref="O66:P66" si="47">SUM(O61:O65)</f>
        <v>0</v>
      </c>
      <c r="P66" s="629">
        <f t="shared" si="47"/>
        <v>0</v>
      </c>
      <c r="Q66" s="629">
        <f t="shared" ref="Q66:U66" si="48">SUM(Q61:Q65)</f>
        <v>0</v>
      </c>
      <c r="R66" s="629">
        <f t="shared" si="48"/>
        <v>0</v>
      </c>
      <c r="S66" s="629">
        <f t="shared" si="48"/>
        <v>0</v>
      </c>
      <c r="T66" s="629">
        <f t="shared" si="48"/>
        <v>0</v>
      </c>
      <c r="U66" s="629">
        <f t="shared" si="48"/>
        <v>0</v>
      </c>
      <c r="V66" s="629">
        <f t="shared" ref="V66:X66" si="49">SUM(V61:V65)</f>
        <v>0</v>
      </c>
      <c r="W66" s="629">
        <f t="shared" si="49"/>
        <v>0</v>
      </c>
      <c r="X66" s="629">
        <f t="shared" si="49"/>
        <v>0</v>
      </c>
      <c r="Y66" s="629">
        <f t="shared" ref="Y66" si="50">SUM(Y61:Y65)</f>
        <v>0</v>
      </c>
    </row>
    <row r="67" spans="1:25" s="20" customFormat="1">
      <c r="A67" s="665">
        <v>56</v>
      </c>
      <c r="B67" s="670" t="s">
        <v>244</v>
      </c>
      <c r="C67" s="629">
        <f t="shared" si="43"/>
        <v>0</v>
      </c>
      <c r="D67" s="629">
        <v>0</v>
      </c>
      <c r="E67" s="629">
        <v>0</v>
      </c>
      <c r="F67" s="629">
        <v>0</v>
      </c>
      <c r="G67" s="629">
        <v>0</v>
      </c>
      <c r="H67" s="629">
        <v>0</v>
      </c>
      <c r="I67" s="629">
        <v>0</v>
      </c>
      <c r="J67" s="629">
        <v>0</v>
      </c>
      <c r="K67" s="629">
        <v>0</v>
      </c>
      <c r="L67" s="629">
        <v>0</v>
      </c>
      <c r="M67" s="629">
        <v>0</v>
      </c>
      <c r="N67" s="629">
        <v>0</v>
      </c>
      <c r="O67" s="629">
        <v>0</v>
      </c>
      <c r="P67" s="629">
        <v>0</v>
      </c>
      <c r="Q67" s="629">
        <v>0</v>
      </c>
      <c r="R67" s="629">
        <v>0</v>
      </c>
      <c r="S67" s="629">
        <v>0</v>
      </c>
      <c r="T67" s="629">
        <v>0</v>
      </c>
      <c r="U67" s="629">
        <v>0</v>
      </c>
      <c r="V67" s="629">
        <v>0</v>
      </c>
      <c r="W67" s="629">
        <v>0</v>
      </c>
      <c r="X67" s="629">
        <v>0</v>
      </c>
      <c r="Y67" s="629">
        <v>0</v>
      </c>
    </row>
    <row r="68" spans="1:25" s="20" customFormat="1">
      <c r="A68" s="661">
        <v>57</v>
      </c>
      <c r="B68" s="670" t="s">
        <v>245</v>
      </c>
      <c r="C68" s="553">
        <f t="shared" si="43"/>
        <v>0</v>
      </c>
      <c r="D68" s="553">
        <v>0</v>
      </c>
      <c r="E68" s="553">
        <v>0</v>
      </c>
      <c r="F68" s="553">
        <v>0</v>
      </c>
      <c r="G68" s="553">
        <v>0</v>
      </c>
      <c r="H68" s="553">
        <v>0</v>
      </c>
      <c r="I68" s="553">
        <v>0</v>
      </c>
      <c r="J68" s="553">
        <v>0</v>
      </c>
      <c r="K68" s="553">
        <v>0</v>
      </c>
      <c r="L68" s="553">
        <v>0</v>
      </c>
      <c r="M68" s="553"/>
      <c r="N68" s="553"/>
      <c r="O68" s="553"/>
      <c r="P68" s="553"/>
      <c r="Q68" s="553"/>
      <c r="R68" s="553"/>
      <c r="S68" s="553"/>
      <c r="T68" s="553"/>
      <c r="U68" s="553"/>
      <c r="V68" s="553">
        <v>0</v>
      </c>
      <c r="W68" s="553">
        <v>0</v>
      </c>
      <c r="X68" s="553">
        <v>0</v>
      </c>
      <c r="Y68" s="553">
        <v>0</v>
      </c>
    </row>
    <row r="69" spans="1:25" s="20" customFormat="1">
      <c r="A69" s="665">
        <v>58</v>
      </c>
      <c r="B69" s="671" t="s">
        <v>73</v>
      </c>
      <c r="C69" s="629">
        <f t="shared" si="43"/>
        <v>0</v>
      </c>
      <c r="D69" s="629">
        <f t="shared" ref="D69:M69" si="51">SUM(D67:D68)</f>
        <v>0</v>
      </c>
      <c r="E69" s="629">
        <f t="shared" si="51"/>
        <v>0</v>
      </c>
      <c r="F69" s="629">
        <f t="shared" si="51"/>
        <v>0</v>
      </c>
      <c r="G69" s="629">
        <f t="shared" ref="G69" si="52">SUM(G67:G68)</f>
        <v>0</v>
      </c>
      <c r="H69" s="629">
        <f t="shared" si="51"/>
        <v>0</v>
      </c>
      <c r="I69" s="629">
        <f t="shared" si="51"/>
        <v>0</v>
      </c>
      <c r="J69" s="629">
        <f t="shared" si="51"/>
        <v>0</v>
      </c>
      <c r="K69" s="629"/>
      <c r="L69" s="629">
        <f>SUM(L67:L68)</f>
        <v>0</v>
      </c>
      <c r="M69" s="629">
        <f t="shared" si="51"/>
        <v>0</v>
      </c>
      <c r="N69" s="629">
        <f t="shared" ref="N69" si="53">SUM(N67:N68)</f>
        <v>0</v>
      </c>
      <c r="O69" s="629">
        <f t="shared" ref="O69:P69" si="54">SUM(O67:O68)</f>
        <v>0</v>
      </c>
      <c r="P69" s="629">
        <f t="shared" si="54"/>
        <v>0</v>
      </c>
      <c r="Q69" s="629">
        <f t="shared" ref="Q69:U69" si="55">SUM(Q67:Q68)</f>
        <v>0</v>
      </c>
      <c r="R69" s="629">
        <f t="shared" si="55"/>
        <v>0</v>
      </c>
      <c r="S69" s="629">
        <f t="shared" si="55"/>
        <v>0</v>
      </c>
      <c r="T69" s="629">
        <f t="shared" si="55"/>
        <v>0</v>
      </c>
      <c r="U69" s="629">
        <f t="shared" si="55"/>
        <v>0</v>
      </c>
      <c r="V69" s="629">
        <f t="shared" ref="V69:X69" si="56">SUM(V67:V68)</f>
        <v>0</v>
      </c>
      <c r="W69" s="629">
        <f t="shared" si="56"/>
        <v>0</v>
      </c>
      <c r="X69" s="629">
        <f t="shared" si="56"/>
        <v>0</v>
      </c>
      <c r="Y69" s="629">
        <f t="shared" ref="Y69" si="57">SUM(Y67:Y68)</f>
        <v>0</v>
      </c>
    </row>
    <row r="70" spans="1:25" s="20" customFormat="1">
      <c r="A70" s="665">
        <v>59</v>
      </c>
      <c r="B70" s="670" t="s">
        <v>246</v>
      </c>
      <c r="C70" s="629">
        <f t="shared" si="43"/>
        <v>0</v>
      </c>
      <c r="D70" s="629">
        <v>0</v>
      </c>
      <c r="E70" s="629"/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/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</row>
    <row r="71" spans="1:25" s="20" customFormat="1">
      <c r="A71" s="661">
        <v>60</v>
      </c>
      <c r="B71" s="670" t="s">
        <v>351</v>
      </c>
      <c r="C71" s="629">
        <f t="shared" si="43"/>
        <v>-7013</v>
      </c>
      <c r="D71" s="629"/>
      <c r="E71" s="629">
        <v>-7013</v>
      </c>
      <c r="F71" s="629"/>
      <c r="G71" s="629"/>
      <c r="H71" s="629"/>
      <c r="I71" s="629"/>
      <c r="J71" s="629"/>
      <c r="K71" s="629"/>
      <c r="L71" s="629"/>
      <c r="M71" s="629"/>
      <c r="N71" s="629"/>
      <c r="O71" s="629"/>
      <c r="P71" s="629"/>
      <c r="Q71" s="629"/>
      <c r="R71" s="629"/>
      <c r="S71" s="629"/>
      <c r="T71" s="629"/>
      <c r="U71" s="629"/>
      <c r="V71" s="629"/>
      <c r="W71" s="629"/>
      <c r="X71" s="629"/>
      <c r="Y71" s="629"/>
    </row>
    <row r="72" spans="1:25" s="20" customFormat="1">
      <c r="A72" s="665">
        <v>61</v>
      </c>
      <c r="B72" s="670" t="s">
        <v>236</v>
      </c>
      <c r="C72" s="629">
        <f t="shared" si="43"/>
        <v>3744</v>
      </c>
      <c r="D72" s="629"/>
      <c r="E72" s="629"/>
      <c r="F72" s="629">
        <f>+'Adj 1.03'!C72</f>
        <v>3744</v>
      </c>
      <c r="G72" s="629">
        <v>0</v>
      </c>
      <c r="H72" s="629"/>
      <c r="I72" s="629"/>
      <c r="J72" s="629"/>
      <c r="K72" s="629"/>
      <c r="L72" s="629"/>
      <c r="M72" s="629"/>
      <c r="N72" s="629"/>
      <c r="O72" s="629"/>
      <c r="P72" s="629"/>
      <c r="Q72" s="629"/>
      <c r="R72" s="629"/>
      <c r="S72" s="629"/>
      <c r="T72" s="629"/>
      <c r="U72" s="629"/>
      <c r="V72" s="629"/>
      <c r="W72" s="629"/>
      <c r="X72" s="629"/>
      <c r="Y72" s="629"/>
    </row>
    <row r="73" spans="1:25" s="20" customFormat="1">
      <c r="A73" s="665">
        <v>62</v>
      </c>
      <c r="B73" s="670" t="s">
        <v>247</v>
      </c>
      <c r="C73" s="629">
        <f t="shared" si="43"/>
        <v>0</v>
      </c>
      <c r="D73" s="629"/>
      <c r="E73" s="629"/>
      <c r="F73" s="629"/>
      <c r="G73" s="629"/>
      <c r="H73" s="629"/>
      <c r="I73" s="629"/>
      <c r="J73" s="629"/>
      <c r="K73" s="629"/>
      <c r="L73" s="629"/>
      <c r="M73" s="629"/>
      <c r="N73" s="629"/>
      <c r="O73" s="629"/>
      <c r="P73" s="629"/>
      <c r="Q73" s="629"/>
      <c r="R73" s="629"/>
      <c r="S73" s="629"/>
      <c r="T73" s="629"/>
      <c r="U73" s="629"/>
      <c r="V73" s="629"/>
      <c r="W73" s="629"/>
      <c r="X73" s="629"/>
      <c r="Y73" s="629"/>
    </row>
    <row r="74" spans="1:25" s="20" customFormat="1">
      <c r="A74" s="661">
        <v>63</v>
      </c>
      <c r="B74" s="670" t="s">
        <v>248</v>
      </c>
      <c r="C74" s="553">
        <f t="shared" si="43"/>
        <v>285</v>
      </c>
      <c r="D74" s="553">
        <f>+'Adj 1.01'!C74</f>
        <v>285</v>
      </c>
      <c r="E74" s="553"/>
      <c r="F74" s="553">
        <v>0</v>
      </c>
      <c r="G74" s="553">
        <v>0</v>
      </c>
      <c r="H74" s="553">
        <v>0</v>
      </c>
      <c r="I74" s="553">
        <v>0</v>
      </c>
      <c r="J74" s="553">
        <v>0</v>
      </c>
      <c r="K74" s="553">
        <v>0</v>
      </c>
      <c r="L74" s="553">
        <v>0</v>
      </c>
      <c r="M74" s="553">
        <v>0</v>
      </c>
      <c r="N74" s="553">
        <v>0</v>
      </c>
      <c r="O74" s="553">
        <v>0</v>
      </c>
      <c r="P74" s="553">
        <v>0</v>
      </c>
      <c r="Q74" s="553">
        <v>0</v>
      </c>
      <c r="R74" s="553">
        <v>0</v>
      </c>
      <c r="S74" s="553">
        <v>0</v>
      </c>
      <c r="T74" s="553">
        <v>0</v>
      </c>
      <c r="U74" s="553">
        <v>0</v>
      </c>
      <c r="V74" s="553">
        <v>0</v>
      </c>
      <c r="W74" s="553">
        <v>0</v>
      </c>
      <c r="X74" s="553">
        <v>0</v>
      </c>
      <c r="Y74" s="553">
        <v>0</v>
      </c>
    </row>
    <row r="75" spans="1:25" s="20" customFormat="1">
      <c r="A75" s="665">
        <v>64</v>
      </c>
      <c r="B75" s="673"/>
      <c r="C75" s="629"/>
      <c r="D75" s="559"/>
      <c r="E75" s="559"/>
      <c r="F75" s="559"/>
      <c r="G75" s="559"/>
      <c r="H75" s="559"/>
      <c r="I75" s="559"/>
      <c r="J75" s="559"/>
      <c r="K75" s="559"/>
      <c r="L75" s="559"/>
      <c r="M75" s="559"/>
      <c r="N75" s="559"/>
      <c r="O75" s="559"/>
      <c r="P75" s="559"/>
      <c r="Q75" s="559"/>
      <c r="R75" s="559"/>
      <c r="S75" s="559"/>
      <c r="T75" s="559"/>
      <c r="U75" s="559"/>
      <c r="V75" s="559"/>
      <c r="W75" s="559"/>
      <c r="X75" s="559"/>
      <c r="Y75" s="559"/>
    </row>
    <row r="76" spans="1:25" s="20" customFormat="1">
      <c r="A76" s="665">
        <v>65</v>
      </c>
      <c r="B76" s="673"/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/>
      <c r="P76" s="629"/>
      <c r="Q76" s="629"/>
      <c r="R76" s="629"/>
      <c r="S76" s="629"/>
      <c r="T76" s="629"/>
      <c r="U76" s="629"/>
      <c r="V76" s="629"/>
      <c r="W76" s="629"/>
      <c r="X76" s="629"/>
      <c r="Y76" s="629"/>
    </row>
    <row r="77" spans="1:25" s="15" customFormat="1" ht="13.5" thickBot="1">
      <c r="A77" s="661">
        <v>66</v>
      </c>
      <c r="B77" s="680" t="s">
        <v>74</v>
      </c>
      <c r="C77" s="681">
        <f>C66-C69+C70+C72+C73+C74+C71</f>
        <v>-2984</v>
      </c>
      <c r="D77" s="681">
        <f>D66-D69+D70+D72+D73+D74+D71</f>
        <v>285</v>
      </c>
      <c r="E77" s="681">
        <f t="shared" ref="E77:X77" si="58">E66-E69+E70+E72+E73+E74+E71</f>
        <v>-7013</v>
      </c>
      <c r="F77" s="681">
        <f t="shared" si="58"/>
        <v>3744</v>
      </c>
      <c r="G77" s="681">
        <f t="shared" ref="G77" si="59">G66-G69+G70+G72+G73+G74+G71</f>
        <v>0</v>
      </c>
      <c r="H77" s="681">
        <f t="shared" si="58"/>
        <v>0</v>
      </c>
      <c r="I77" s="681">
        <f t="shared" si="58"/>
        <v>0</v>
      </c>
      <c r="J77" s="681">
        <f t="shared" si="58"/>
        <v>0</v>
      </c>
      <c r="K77" s="681">
        <f t="shared" si="58"/>
        <v>0</v>
      </c>
      <c r="L77" s="681">
        <f t="shared" si="58"/>
        <v>0</v>
      </c>
      <c r="M77" s="681">
        <f t="shared" si="58"/>
        <v>0</v>
      </c>
      <c r="N77" s="681">
        <f t="shared" si="58"/>
        <v>0</v>
      </c>
      <c r="O77" s="681">
        <f t="shared" si="58"/>
        <v>0</v>
      </c>
      <c r="P77" s="681">
        <f t="shared" si="58"/>
        <v>0</v>
      </c>
      <c r="Q77" s="681">
        <f t="shared" ref="Q77:U77" si="60">Q66-Q69+Q70+Q72+Q73+Q74+Q71</f>
        <v>0</v>
      </c>
      <c r="R77" s="681">
        <f t="shared" si="60"/>
        <v>0</v>
      </c>
      <c r="S77" s="681">
        <f t="shared" si="60"/>
        <v>0</v>
      </c>
      <c r="T77" s="681">
        <f t="shared" si="60"/>
        <v>0</v>
      </c>
      <c r="U77" s="681">
        <f t="shared" si="60"/>
        <v>0</v>
      </c>
      <c r="V77" s="681">
        <f t="shared" si="58"/>
        <v>0</v>
      </c>
      <c r="W77" s="681">
        <f t="shared" si="58"/>
        <v>0</v>
      </c>
      <c r="X77" s="681">
        <f t="shared" si="58"/>
        <v>0</v>
      </c>
      <c r="Y77" s="681">
        <f t="shared" ref="Y77" si="61">Y66-Y69+Y70+Y72+Y73+Y74+Y71</f>
        <v>0</v>
      </c>
    </row>
    <row r="78" spans="1:25" ht="13.5" thickTop="1">
      <c r="B78" s="83"/>
      <c r="C78" s="41"/>
    </row>
    <row r="79" spans="1:25">
      <c r="A79" s="84"/>
      <c r="B79" s="38"/>
      <c r="C79" s="85"/>
      <c r="D79" s="57"/>
      <c r="E79" s="57"/>
      <c r="F79" s="587"/>
      <c r="G79" s="58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87"/>
      <c r="U79" s="587"/>
      <c r="V79" s="587"/>
      <c r="W79" s="587"/>
      <c r="X79" s="587"/>
      <c r="Y79" s="587"/>
    </row>
    <row r="80" spans="1:25">
      <c r="A80" s="89"/>
      <c r="B80" s="39"/>
      <c r="C80" s="88"/>
    </row>
    <row r="81" spans="1:25">
      <c r="A81" s="73">
        <v>1</v>
      </c>
      <c r="B81" s="390" t="s">
        <v>116</v>
      </c>
      <c r="C81" s="90"/>
    </row>
    <row r="82" spans="1:25">
      <c r="A82" s="73">
        <v>2</v>
      </c>
      <c r="B82" s="87" t="s">
        <v>18</v>
      </c>
      <c r="C82" s="23">
        <f>SUM(D82:Y82)</f>
        <v>-16304</v>
      </c>
      <c r="D82" s="82">
        <f t="shared" ref="D82:J82" si="62">+D21</f>
        <v>0</v>
      </c>
      <c r="E82" s="82">
        <f t="shared" si="62"/>
        <v>0</v>
      </c>
      <c r="F82" s="588">
        <f t="shared" si="62"/>
        <v>0</v>
      </c>
      <c r="G82" s="588">
        <f t="shared" ref="G82" si="63">+G21</f>
        <v>0</v>
      </c>
      <c r="H82" s="566">
        <f>+'Adj 2.01'!C82</f>
        <v>-16378</v>
      </c>
      <c r="I82" s="82">
        <f t="shared" si="62"/>
        <v>0</v>
      </c>
      <c r="J82" s="82">
        <f t="shared" si="62"/>
        <v>0</v>
      </c>
      <c r="K82" s="23"/>
      <c r="L82" s="82">
        <f t="shared" ref="L82:X82" si="64">+L21</f>
        <v>0</v>
      </c>
      <c r="M82" s="82">
        <f t="shared" si="64"/>
        <v>0</v>
      </c>
      <c r="N82" s="82">
        <f t="shared" si="64"/>
        <v>0</v>
      </c>
      <c r="O82" s="82">
        <f t="shared" si="64"/>
        <v>0</v>
      </c>
      <c r="P82" s="82">
        <f t="shared" si="64"/>
        <v>0</v>
      </c>
      <c r="Q82" s="82">
        <f t="shared" si="64"/>
        <v>0</v>
      </c>
      <c r="R82" s="82">
        <f t="shared" si="64"/>
        <v>0</v>
      </c>
      <c r="S82" s="82">
        <f t="shared" si="64"/>
        <v>74</v>
      </c>
      <c r="T82" s="588">
        <f t="shared" si="64"/>
        <v>0</v>
      </c>
      <c r="U82" s="588">
        <f t="shared" si="64"/>
        <v>0</v>
      </c>
      <c r="V82" s="588">
        <f t="shared" si="64"/>
        <v>0</v>
      </c>
      <c r="W82" s="588">
        <f t="shared" si="64"/>
        <v>0</v>
      </c>
      <c r="X82" s="588">
        <f t="shared" si="64"/>
        <v>0</v>
      </c>
      <c r="Y82" s="588">
        <f t="shared" ref="Y82" si="65">+Y21</f>
        <v>0</v>
      </c>
    </row>
    <row r="83" spans="1:25">
      <c r="A83" s="73">
        <v>3</v>
      </c>
      <c r="B83" s="87" t="s">
        <v>19</v>
      </c>
      <c r="C83" s="23">
        <f>SUM(D83:Y83)</f>
        <v>-45876</v>
      </c>
      <c r="D83" s="23">
        <f>+D47</f>
        <v>0</v>
      </c>
      <c r="E83" s="23">
        <f>+E47</f>
        <v>120</v>
      </c>
      <c r="F83" s="581">
        <v>0</v>
      </c>
      <c r="G83" s="581">
        <v>0</v>
      </c>
      <c r="H83" s="566">
        <f>+'Adj 2.01'!C83</f>
        <v>-16308</v>
      </c>
      <c r="I83" s="23">
        <f t="shared" ref="I83:X83" si="66">+I47</f>
        <v>317</v>
      </c>
      <c r="J83" s="23">
        <f t="shared" si="66"/>
        <v>48</v>
      </c>
      <c r="K83" s="23">
        <f t="shared" si="66"/>
        <v>-230</v>
      </c>
      <c r="L83" s="23">
        <f t="shared" si="66"/>
        <v>0</v>
      </c>
      <c r="M83" s="23">
        <f t="shared" si="66"/>
        <v>-12788</v>
      </c>
      <c r="N83" s="23">
        <f t="shared" si="66"/>
        <v>14</v>
      </c>
      <c r="O83" s="23">
        <f t="shared" si="66"/>
        <v>-2</v>
      </c>
      <c r="P83" s="23">
        <f t="shared" si="66"/>
        <v>-5</v>
      </c>
      <c r="Q83" s="23">
        <f t="shared" si="66"/>
        <v>-103</v>
      </c>
      <c r="R83" s="23">
        <f t="shared" si="66"/>
        <v>-80</v>
      </c>
      <c r="S83" s="23">
        <f t="shared" si="66"/>
        <v>-15489</v>
      </c>
      <c r="T83" s="581">
        <f t="shared" si="66"/>
        <v>-296</v>
      </c>
      <c r="U83" s="581">
        <f t="shared" si="66"/>
        <v>-1278</v>
      </c>
      <c r="V83" s="581">
        <f t="shared" si="66"/>
        <v>243</v>
      </c>
      <c r="W83" s="581">
        <f t="shared" si="66"/>
        <v>1091</v>
      </c>
      <c r="X83" s="581">
        <f t="shared" si="66"/>
        <v>0</v>
      </c>
      <c r="Y83" s="581">
        <f t="shared" ref="Y83" si="67">+Y47</f>
        <v>-1130</v>
      </c>
    </row>
    <row r="84" spans="1:25">
      <c r="A84" s="73">
        <v>4</v>
      </c>
      <c r="B84" s="87" t="s">
        <v>274</v>
      </c>
      <c r="C84" s="24">
        <f>SUM(D84:Y84)</f>
        <v>0</v>
      </c>
      <c r="D84" s="23"/>
      <c r="E84" s="23"/>
      <c r="F84" s="581"/>
      <c r="G84" s="581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581"/>
      <c r="U84" s="581"/>
      <c r="V84" s="581"/>
      <c r="W84" s="581"/>
      <c r="X84" s="581"/>
      <c r="Y84" s="581"/>
    </row>
    <row r="85" spans="1:25">
      <c r="A85" s="73">
        <v>5</v>
      </c>
      <c r="B85" s="399" t="s">
        <v>119</v>
      </c>
      <c r="C85" s="27">
        <f>SUM(D85:Y85)</f>
        <v>29572</v>
      </c>
      <c r="D85" s="27">
        <f t="shared" ref="D85:J85" si="68">+D82-D83-D84</f>
        <v>0</v>
      </c>
      <c r="E85" s="27">
        <f t="shared" si="68"/>
        <v>-120</v>
      </c>
      <c r="F85" s="589">
        <f t="shared" si="68"/>
        <v>0</v>
      </c>
      <c r="G85" s="589">
        <f t="shared" ref="G85" si="69">+G82-G83-G84</f>
        <v>0</v>
      </c>
      <c r="H85" s="27">
        <f t="shared" si="68"/>
        <v>-70</v>
      </c>
      <c r="I85" s="27">
        <f t="shared" si="68"/>
        <v>-317</v>
      </c>
      <c r="J85" s="27">
        <f t="shared" si="68"/>
        <v>-48</v>
      </c>
      <c r="K85" s="27">
        <f>+K82-K83-K84</f>
        <v>230</v>
      </c>
      <c r="L85" s="27">
        <f>+L82-L83-L84</f>
        <v>0</v>
      </c>
      <c r="M85" s="27">
        <f>+M82-M83-M84</f>
        <v>12788</v>
      </c>
      <c r="N85" s="27">
        <f>+N82-N83-N84</f>
        <v>-14</v>
      </c>
      <c r="O85" s="27">
        <f t="shared" ref="O85:R85" si="70">+O82-O83-O84</f>
        <v>2</v>
      </c>
      <c r="P85" s="27">
        <f t="shared" si="70"/>
        <v>5</v>
      </c>
      <c r="Q85" s="27">
        <f t="shared" si="70"/>
        <v>103</v>
      </c>
      <c r="R85" s="27">
        <f t="shared" si="70"/>
        <v>80</v>
      </c>
      <c r="S85" s="27">
        <f t="shared" ref="S85:X85" si="71">+S82-S83-S84</f>
        <v>15563</v>
      </c>
      <c r="T85" s="589">
        <f t="shared" si="71"/>
        <v>296</v>
      </c>
      <c r="U85" s="589">
        <f t="shared" si="71"/>
        <v>1278</v>
      </c>
      <c r="V85" s="589">
        <f t="shared" si="71"/>
        <v>-243</v>
      </c>
      <c r="W85" s="589">
        <f t="shared" si="71"/>
        <v>-1091</v>
      </c>
      <c r="X85" s="589">
        <f t="shared" si="71"/>
        <v>0</v>
      </c>
      <c r="Y85" s="589">
        <f t="shared" ref="Y85" si="72">+Y82-Y83-Y84</f>
        <v>1130</v>
      </c>
    </row>
    <row r="86" spans="1:25">
      <c r="A86" s="73">
        <v>6</v>
      </c>
      <c r="B86" s="91"/>
      <c r="C86" s="28"/>
      <c r="D86" s="80"/>
      <c r="E86" s="80"/>
      <c r="F86" s="590"/>
      <c r="G86" s="590"/>
      <c r="H86" s="80"/>
      <c r="I86" s="80"/>
      <c r="J86" s="80"/>
      <c r="K86" s="23"/>
      <c r="L86" s="80"/>
      <c r="M86" s="80"/>
      <c r="N86" s="80"/>
      <c r="O86" s="80"/>
      <c r="P86" s="80"/>
      <c r="Q86" s="80"/>
      <c r="R86" s="80"/>
      <c r="S86" s="80"/>
      <c r="T86" s="590"/>
      <c r="U86" s="590"/>
      <c r="V86" s="590"/>
      <c r="W86" s="590"/>
      <c r="X86" s="590"/>
      <c r="Y86" s="590"/>
    </row>
    <row r="87" spans="1:25">
      <c r="A87" s="73">
        <v>7</v>
      </c>
      <c r="B87" s="86" t="s">
        <v>120</v>
      </c>
      <c r="C87" s="92"/>
      <c r="D87" s="80"/>
      <c r="E87" s="80"/>
      <c r="F87" s="590"/>
      <c r="G87" s="590"/>
      <c r="H87" s="80"/>
      <c r="I87" s="80"/>
      <c r="J87" s="80"/>
      <c r="K87" s="23"/>
      <c r="L87" s="80"/>
      <c r="M87" s="80"/>
      <c r="N87" s="80"/>
      <c r="O87" s="80"/>
      <c r="P87" s="80"/>
      <c r="Q87" s="80"/>
      <c r="R87" s="80"/>
      <c r="S87" s="80"/>
      <c r="T87" s="590"/>
      <c r="U87" s="590"/>
      <c r="V87" s="590"/>
      <c r="W87" s="590"/>
      <c r="X87" s="590"/>
      <c r="Y87" s="590"/>
    </row>
    <row r="88" spans="1:25">
      <c r="A88" s="73">
        <v>8</v>
      </c>
      <c r="B88" s="87" t="s">
        <v>121</v>
      </c>
      <c r="C88" s="23">
        <f>SUM(D88:Y88)</f>
        <v>0</v>
      </c>
      <c r="D88" s="80"/>
      <c r="E88" s="80"/>
      <c r="F88" s="590"/>
      <c r="G88" s="590"/>
      <c r="H88" s="80"/>
      <c r="I88" s="80"/>
      <c r="J88" s="80"/>
      <c r="K88" s="23"/>
      <c r="L88" s="80"/>
      <c r="M88" s="80"/>
      <c r="N88" s="80"/>
      <c r="O88" s="80"/>
      <c r="P88" s="80"/>
      <c r="Q88" s="80"/>
      <c r="R88" s="80"/>
      <c r="S88" s="80"/>
      <c r="T88" s="590"/>
      <c r="U88" s="590"/>
      <c r="V88" s="590"/>
      <c r="W88" s="590"/>
      <c r="X88" s="590"/>
      <c r="Y88" s="590"/>
    </row>
    <row r="89" spans="1:25">
      <c r="A89" s="73">
        <v>9</v>
      </c>
      <c r="B89" s="87" t="s">
        <v>130</v>
      </c>
      <c r="C89" s="23">
        <f t="shared" ref="C89:C92" si="73">SUM(D89:Y89)</f>
        <v>0</v>
      </c>
      <c r="D89" s="80"/>
      <c r="E89" s="80"/>
      <c r="F89" s="590"/>
      <c r="G89" s="590"/>
      <c r="H89" s="80"/>
      <c r="I89" s="80"/>
      <c r="J89" s="80"/>
      <c r="K89" s="23"/>
      <c r="L89" s="80"/>
      <c r="M89" s="80"/>
      <c r="N89" s="80"/>
      <c r="O89" s="80"/>
      <c r="P89" s="80"/>
      <c r="Q89" s="80"/>
      <c r="R89" s="80"/>
      <c r="S89" s="80"/>
      <c r="T89" s="590"/>
      <c r="U89" s="590"/>
      <c r="V89" s="590"/>
      <c r="W89" s="590"/>
      <c r="X89" s="590"/>
      <c r="Y89" s="590"/>
    </row>
    <row r="90" spans="1:25">
      <c r="A90" s="73">
        <v>10</v>
      </c>
      <c r="B90" s="87" t="s">
        <v>122</v>
      </c>
      <c r="C90" s="23">
        <f t="shared" si="73"/>
        <v>0</v>
      </c>
      <c r="D90" s="80"/>
      <c r="E90" s="80"/>
      <c r="F90" s="590"/>
      <c r="G90" s="590"/>
      <c r="H90" s="80"/>
      <c r="I90" s="80"/>
      <c r="J90" s="80"/>
      <c r="K90" s="23"/>
      <c r="L90" s="80"/>
      <c r="M90" s="80"/>
      <c r="N90" s="80"/>
      <c r="O90" s="80"/>
      <c r="P90" s="80"/>
      <c r="Q90" s="80"/>
      <c r="R90" s="80"/>
      <c r="S90" s="80"/>
      <c r="T90" s="590"/>
      <c r="U90" s="590"/>
      <c r="V90" s="590"/>
      <c r="W90" s="590"/>
      <c r="X90" s="590"/>
      <c r="Y90" s="590"/>
    </row>
    <row r="91" spans="1:25">
      <c r="A91" s="73">
        <v>11</v>
      </c>
      <c r="B91" s="39"/>
      <c r="C91" s="23">
        <f t="shared" si="73"/>
        <v>0</v>
      </c>
      <c r="D91" s="80"/>
      <c r="E91" s="80"/>
      <c r="F91" s="590"/>
      <c r="G91" s="590"/>
      <c r="H91" s="80"/>
      <c r="I91" s="80"/>
      <c r="J91" s="80"/>
      <c r="K91" s="23"/>
      <c r="L91" s="80"/>
      <c r="M91" s="80"/>
      <c r="N91" s="80"/>
      <c r="O91" s="80"/>
      <c r="P91" s="80"/>
      <c r="Q91" s="80"/>
      <c r="R91" s="80"/>
      <c r="S91" s="80"/>
      <c r="T91" s="590"/>
      <c r="U91" s="590"/>
      <c r="V91" s="590"/>
      <c r="W91" s="590"/>
      <c r="X91" s="590"/>
      <c r="Y91" s="590"/>
    </row>
    <row r="92" spans="1:25">
      <c r="A92" s="73">
        <v>12</v>
      </c>
      <c r="B92" s="86" t="s">
        <v>123</v>
      </c>
      <c r="C92" s="27">
        <f t="shared" si="73"/>
        <v>0</v>
      </c>
      <c r="D92" s="27">
        <f t="shared" ref="D92:X92" si="74">SUM(D88:D90)</f>
        <v>0</v>
      </c>
      <c r="E92" s="27">
        <f t="shared" si="74"/>
        <v>0</v>
      </c>
      <c r="F92" s="589">
        <f t="shared" si="74"/>
        <v>0</v>
      </c>
      <c r="G92" s="589">
        <f t="shared" ref="G92" si="75">SUM(G88:G90)</f>
        <v>0</v>
      </c>
      <c r="H92" s="27">
        <f t="shared" si="74"/>
        <v>0</v>
      </c>
      <c r="I92" s="27">
        <f t="shared" si="74"/>
        <v>0</v>
      </c>
      <c r="J92" s="27">
        <f t="shared" si="74"/>
        <v>0</v>
      </c>
      <c r="K92" s="27">
        <f>SUM(K88:K90)</f>
        <v>0</v>
      </c>
      <c r="L92" s="27">
        <f>SUM(L88:L90)</f>
        <v>0</v>
      </c>
      <c r="M92" s="27">
        <f t="shared" si="74"/>
        <v>0</v>
      </c>
      <c r="N92" s="27">
        <f t="shared" ref="N92:R92" si="76">SUM(N88:N90)</f>
        <v>0</v>
      </c>
      <c r="O92" s="27">
        <f t="shared" si="76"/>
        <v>0</v>
      </c>
      <c r="P92" s="27">
        <f t="shared" si="76"/>
        <v>0</v>
      </c>
      <c r="Q92" s="27">
        <f t="shared" si="76"/>
        <v>0</v>
      </c>
      <c r="R92" s="27">
        <f t="shared" si="76"/>
        <v>0</v>
      </c>
      <c r="S92" s="27">
        <f t="shared" si="74"/>
        <v>0</v>
      </c>
      <c r="T92" s="589">
        <f t="shared" si="74"/>
        <v>0</v>
      </c>
      <c r="U92" s="589">
        <f t="shared" si="74"/>
        <v>0</v>
      </c>
      <c r="V92" s="589">
        <f t="shared" si="74"/>
        <v>0</v>
      </c>
      <c r="W92" s="589">
        <f t="shared" si="74"/>
        <v>0</v>
      </c>
      <c r="X92" s="589">
        <f t="shared" si="74"/>
        <v>0</v>
      </c>
      <c r="Y92" s="589">
        <f t="shared" ref="Y92" si="77">SUM(Y88:Y90)</f>
        <v>0</v>
      </c>
    </row>
    <row r="93" spans="1:25">
      <c r="A93" s="73">
        <v>13</v>
      </c>
      <c r="B93" s="39"/>
      <c r="C93" s="28"/>
      <c r="D93" s="80"/>
      <c r="E93" s="80"/>
      <c r="F93" s="590"/>
      <c r="G93" s="590"/>
      <c r="H93" s="80"/>
      <c r="I93" s="80"/>
      <c r="J93" s="80"/>
      <c r="K93" s="23"/>
      <c r="L93" s="80"/>
      <c r="M93" s="80"/>
      <c r="N93" s="80"/>
      <c r="O93" s="80"/>
      <c r="P93" s="80"/>
      <c r="Q93" s="80"/>
      <c r="R93" s="80"/>
      <c r="S93" s="80"/>
      <c r="T93" s="590"/>
      <c r="U93" s="590"/>
      <c r="V93" s="590"/>
      <c r="W93" s="590"/>
      <c r="X93" s="590"/>
      <c r="Y93" s="590"/>
    </row>
    <row r="94" spans="1:25">
      <c r="A94" s="73">
        <v>14</v>
      </c>
      <c r="B94" s="86" t="s">
        <v>365</v>
      </c>
      <c r="C94" s="92"/>
      <c r="D94" s="80"/>
      <c r="E94" s="80"/>
      <c r="F94" s="590"/>
      <c r="G94" s="590"/>
      <c r="H94" s="80"/>
      <c r="I94" s="80"/>
      <c r="J94" s="80"/>
      <c r="K94" s="23"/>
      <c r="L94" s="80"/>
      <c r="M94" s="80"/>
      <c r="N94" s="80"/>
      <c r="O94" s="80"/>
      <c r="P94" s="80"/>
      <c r="Q94" s="80"/>
      <c r="R94" s="80"/>
      <c r="S94" s="80"/>
      <c r="T94" s="590"/>
      <c r="U94" s="590"/>
      <c r="V94" s="590"/>
      <c r="W94" s="590"/>
      <c r="X94" s="590"/>
      <c r="Y94" s="590"/>
    </row>
    <row r="95" spans="1:25">
      <c r="A95" s="73">
        <v>15</v>
      </c>
      <c r="B95" s="86" t="s">
        <v>178</v>
      </c>
      <c r="C95" s="23">
        <f>SUM(D95:Y95)</f>
        <v>0</v>
      </c>
      <c r="D95" s="80"/>
      <c r="E95" s="80"/>
      <c r="F95" s="590"/>
      <c r="G95" s="590"/>
      <c r="H95" s="80"/>
      <c r="I95" s="80"/>
      <c r="J95" s="80"/>
      <c r="K95" s="23"/>
      <c r="L95" s="80"/>
      <c r="M95" s="80">
        <v>0</v>
      </c>
      <c r="N95" s="80">
        <v>0</v>
      </c>
      <c r="O95" s="80">
        <v>0</v>
      </c>
      <c r="P95" s="80">
        <v>0</v>
      </c>
      <c r="Q95" s="80">
        <v>0</v>
      </c>
      <c r="R95" s="80">
        <v>0</v>
      </c>
      <c r="S95" s="80"/>
      <c r="T95" s="590"/>
      <c r="U95" s="590"/>
      <c r="V95" s="590"/>
      <c r="W95" s="590"/>
      <c r="X95" s="590"/>
      <c r="Y95" s="590"/>
    </row>
    <row r="96" spans="1:25">
      <c r="A96" s="73">
        <v>16</v>
      </c>
      <c r="B96" s="87" t="s">
        <v>177</v>
      </c>
      <c r="C96" s="23">
        <f t="shared" ref="C96:C99" si="78">SUM(D96:Y96)</f>
        <v>0</v>
      </c>
      <c r="D96" s="80"/>
      <c r="E96" s="80"/>
      <c r="F96" s="590"/>
      <c r="G96" s="590"/>
      <c r="H96" s="80"/>
      <c r="I96" s="80"/>
      <c r="J96" s="80"/>
      <c r="K96" s="23"/>
      <c r="L96" s="80"/>
      <c r="M96" s="80"/>
      <c r="N96" s="80"/>
      <c r="O96" s="80"/>
      <c r="P96" s="80"/>
      <c r="Q96" s="80"/>
      <c r="R96" s="80"/>
      <c r="S96" s="80"/>
      <c r="T96" s="590"/>
      <c r="U96" s="590"/>
      <c r="V96" s="590"/>
      <c r="W96" s="590"/>
      <c r="X96" s="590"/>
      <c r="Y96" s="590"/>
    </row>
    <row r="97" spans="1:25">
      <c r="A97" s="73">
        <v>17</v>
      </c>
      <c r="B97" s="87" t="s">
        <v>275</v>
      </c>
      <c r="C97" s="23">
        <f t="shared" si="78"/>
        <v>0</v>
      </c>
      <c r="D97" s="80"/>
      <c r="E97" s="80"/>
      <c r="F97" s="590"/>
      <c r="G97" s="590"/>
      <c r="H97" s="80"/>
      <c r="I97" s="80"/>
      <c r="J97" s="80"/>
      <c r="K97" s="23"/>
      <c r="L97" s="80"/>
      <c r="M97" s="80"/>
      <c r="N97" s="80"/>
      <c r="O97" s="80"/>
      <c r="P97" s="80"/>
      <c r="Q97" s="80"/>
      <c r="R97" s="80"/>
      <c r="S97" s="80"/>
      <c r="T97" s="590"/>
      <c r="U97" s="590"/>
      <c r="V97" s="590"/>
      <c r="W97" s="590"/>
      <c r="X97" s="590"/>
      <c r="Y97" s="590"/>
    </row>
    <row r="98" spans="1:25">
      <c r="A98" s="73">
        <v>18</v>
      </c>
      <c r="B98" s="87"/>
      <c r="C98" s="23">
        <f t="shared" si="78"/>
        <v>0</v>
      </c>
      <c r="D98" s="80"/>
      <c r="E98" s="80"/>
      <c r="F98" s="590"/>
      <c r="G98" s="590"/>
      <c r="H98" s="80"/>
      <c r="I98" s="80"/>
      <c r="J98" s="80"/>
      <c r="K98" s="23"/>
      <c r="L98" s="80"/>
      <c r="M98" s="80"/>
      <c r="N98" s="80"/>
      <c r="O98" s="80"/>
      <c r="P98" s="80"/>
      <c r="Q98" s="80"/>
      <c r="R98" s="80"/>
      <c r="S98" s="80"/>
      <c r="T98" s="590"/>
      <c r="U98" s="590"/>
      <c r="V98" s="590"/>
      <c r="W98" s="590"/>
      <c r="X98" s="590"/>
      <c r="Y98" s="590"/>
    </row>
    <row r="99" spans="1:25">
      <c r="A99" s="73">
        <v>19</v>
      </c>
      <c r="B99" s="86" t="s">
        <v>125</v>
      </c>
      <c r="C99" s="27">
        <f t="shared" si="78"/>
        <v>0</v>
      </c>
      <c r="D99" s="27">
        <f t="shared" ref="D99:X99" si="79">SUM(D95:D97)</f>
        <v>0</v>
      </c>
      <c r="E99" s="27">
        <f t="shared" si="79"/>
        <v>0</v>
      </c>
      <c r="F99" s="589">
        <f t="shared" si="79"/>
        <v>0</v>
      </c>
      <c r="G99" s="589">
        <f t="shared" ref="G99" si="80">SUM(G95:G97)</f>
        <v>0</v>
      </c>
      <c r="H99" s="27">
        <f t="shared" si="79"/>
        <v>0</v>
      </c>
      <c r="I99" s="27">
        <f t="shared" si="79"/>
        <v>0</v>
      </c>
      <c r="J99" s="27">
        <f t="shared" si="79"/>
        <v>0</v>
      </c>
      <c r="K99" s="27">
        <f>SUM(K96:K97)</f>
        <v>0</v>
      </c>
      <c r="L99" s="27">
        <f>SUM(L95:L97)</f>
        <v>0</v>
      </c>
      <c r="M99" s="27">
        <f t="shared" si="79"/>
        <v>0</v>
      </c>
      <c r="N99" s="27">
        <f t="shared" ref="N99:R99" si="81">SUM(N95:N97)</f>
        <v>0</v>
      </c>
      <c r="O99" s="27">
        <f t="shared" si="81"/>
        <v>0</v>
      </c>
      <c r="P99" s="27">
        <f t="shared" si="81"/>
        <v>0</v>
      </c>
      <c r="Q99" s="27">
        <f t="shared" si="81"/>
        <v>0</v>
      </c>
      <c r="R99" s="27">
        <f t="shared" si="81"/>
        <v>0</v>
      </c>
      <c r="S99" s="27">
        <f t="shared" si="79"/>
        <v>0</v>
      </c>
      <c r="T99" s="589">
        <f t="shared" si="79"/>
        <v>0</v>
      </c>
      <c r="U99" s="589">
        <f t="shared" si="79"/>
        <v>0</v>
      </c>
      <c r="V99" s="589">
        <f t="shared" si="79"/>
        <v>0</v>
      </c>
      <c r="W99" s="589">
        <f t="shared" si="79"/>
        <v>0</v>
      </c>
      <c r="X99" s="589">
        <f t="shared" si="79"/>
        <v>0</v>
      </c>
      <c r="Y99" s="589">
        <f t="shared" ref="Y99" si="82">SUM(Y95:Y97)</f>
        <v>0</v>
      </c>
    </row>
    <row r="100" spans="1:25">
      <c r="A100" s="73">
        <v>20</v>
      </c>
      <c r="B100" s="39"/>
      <c r="C100" s="93"/>
      <c r="D100" s="80"/>
      <c r="E100" s="80"/>
      <c r="F100" s="590"/>
      <c r="G100" s="590"/>
      <c r="H100" s="80"/>
      <c r="I100" s="80"/>
      <c r="J100" s="80"/>
      <c r="K100" s="23"/>
      <c r="L100" s="80"/>
      <c r="M100" s="80"/>
      <c r="N100" s="80"/>
      <c r="O100" s="80"/>
      <c r="P100" s="80"/>
      <c r="Q100" s="80"/>
      <c r="R100" s="80"/>
      <c r="S100" s="80"/>
      <c r="T100" s="590"/>
      <c r="U100" s="590"/>
      <c r="V100" s="590"/>
      <c r="W100" s="590"/>
      <c r="X100" s="590"/>
      <c r="Y100" s="590"/>
    </row>
    <row r="101" spans="1:25">
      <c r="A101" s="73">
        <v>21</v>
      </c>
      <c r="B101" s="87" t="s">
        <v>255</v>
      </c>
      <c r="C101" s="28">
        <f>+C85+C92-C99</f>
        <v>29572</v>
      </c>
      <c r="D101" s="28">
        <f t="shared" ref="D101:X101" si="83">+D85+D92-D99</f>
        <v>0</v>
      </c>
      <c r="E101" s="28">
        <f t="shared" si="83"/>
        <v>-120</v>
      </c>
      <c r="F101" s="584">
        <f t="shared" si="83"/>
        <v>0</v>
      </c>
      <c r="G101" s="584">
        <f t="shared" ref="G101" si="84">+G85+G92-G99</f>
        <v>0</v>
      </c>
      <c r="H101" s="28">
        <f t="shared" si="83"/>
        <v>-70</v>
      </c>
      <c r="I101" s="28">
        <f t="shared" si="83"/>
        <v>-317</v>
      </c>
      <c r="J101" s="28">
        <f t="shared" si="83"/>
        <v>-48</v>
      </c>
      <c r="K101" s="28">
        <f>+K85+K92-K99</f>
        <v>230</v>
      </c>
      <c r="L101" s="28">
        <f>+L85+L92-L99</f>
        <v>0</v>
      </c>
      <c r="M101" s="28">
        <f t="shared" si="83"/>
        <v>12788</v>
      </c>
      <c r="N101" s="28">
        <f>+N85+N92-N99</f>
        <v>-14</v>
      </c>
      <c r="O101" s="28">
        <f t="shared" ref="O101:R101" si="85">+O85+O92-O99</f>
        <v>2</v>
      </c>
      <c r="P101" s="28">
        <f t="shared" si="85"/>
        <v>5</v>
      </c>
      <c r="Q101" s="28">
        <f t="shared" si="85"/>
        <v>103</v>
      </c>
      <c r="R101" s="28">
        <f t="shared" si="85"/>
        <v>80</v>
      </c>
      <c r="S101" s="28">
        <f t="shared" si="83"/>
        <v>15563</v>
      </c>
      <c r="T101" s="584">
        <f t="shared" si="83"/>
        <v>296</v>
      </c>
      <c r="U101" s="584">
        <f t="shared" si="83"/>
        <v>1278</v>
      </c>
      <c r="V101" s="584">
        <f t="shared" si="83"/>
        <v>-243</v>
      </c>
      <c r="W101" s="584">
        <f t="shared" si="83"/>
        <v>-1091</v>
      </c>
      <c r="X101" s="584">
        <f t="shared" si="83"/>
        <v>0</v>
      </c>
      <c r="Y101" s="584">
        <f t="shared" ref="Y101" si="86">+Y85+Y92-Y99</f>
        <v>1130</v>
      </c>
    </row>
    <row r="102" spans="1:25">
      <c r="A102" s="73">
        <v>22</v>
      </c>
      <c r="B102" s="87" t="s">
        <v>126</v>
      </c>
      <c r="C102" s="94">
        <v>0.35</v>
      </c>
      <c r="D102" s="94">
        <f>+C102</f>
        <v>0.35</v>
      </c>
      <c r="E102" s="94">
        <f>+D102</f>
        <v>0.35</v>
      </c>
      <c r="F102" s="591">
        <f>+E102</f>
        <v>0.35</v>
      </c>
      <c r="G102" s="591">
        <f>+F102</f>
        <v>0.35</v>
      </c>
      <c r="H102" s="94">
        <f>+F102</f>
        <v>0.35</v>
      </c>
      <c r="I102" s="94">
        <f t="shared" ref="I102:Y102" si="87">+H102</f>
        <v>0.35</v>
      </c>
      <c r="J102" s="94">
        <f t="shared" si="87"/>
        <v>0.35</v>
      </c>
      <c r="K102" s="94">
        <f t="shared" si="87"/>
        <v>0.35</v>
      </c>
      <c r="L102" s="94">
        <f>+M102</f>
        <v>0.35</v>
      </c>
      <c r="M102" s="94">
        <f>+J102</f>
        <v>0.35</v>
      </c>
      <c r="N102" s="94">
        <f t="shared" ref="N102:O102" si="88">+K102</f>
        <v>0.35</v>
      </c>
      <c r="O102" s="94">
        <f t="shared" si="88"/>
        <v>0.35</v>
      </c>
      <c r="P102" s="94">
        <f>+N102</f>
        <v>0.35</v>
      </c>
      <c r="Q102" s="94">
        <f>+O102</f>
        <v>0.35</v>
      </c>
      <c r="R102" s="94">
        <v>0.35</v>
      </c>
      <c r="S102" s="94">
        <f>+L102</f>
        <v>0.35</v>
      </c>
      <c r="T102" s="591">
        <f t="shared" si="87"/>
        <v>0.35</v>
      </c>
      <c r="U102" s="591">
        <f t="shared" si="87"/>
        <v>0.35</v>
      </c>
      <c r="V102" s="591">
        <f t="shared" si="87"/>
        <v>0.35</v>
      </c>
      <c r="W102" s="591">
        <f t="shared" si="87"/>
        <v>0.35</v>
      </c>
      <c r="X102" s="591">
        <f t="shared" si="87"/>
        <v>0.35</v>
      </c>
      <c r="Y102" s="591">
        <f t="shared" si="87"/>
        <v>0.35</v>
      </c>
    </row>
    <row r="103" spans="1:25">
      <c r="A103" s="73">
        <v>23</v>
      </c>
      <c r="B103" s="86" t="s">
        <v>127</v>
      </c>
      <c r="C103" s="93">
        <f>C101*C102</f>
        <v>10350.199999999999</v>
      </c>
      <c r="D103" s="93">
        <f t="shared" ref="D103:X103" si="89">D101*D102</f>
        <v>0</v>
      </c>
      <c r="E103" s="93">
        <f t="shared" si="89"/>
        <v>-42</v>
      </c>
      <c r="F103" s="592">
        <f t="shared" si="89"/>
        <v>0</v>
      </c>
      <c r="G103" s="592">
        <f t="shared" ref="G103" si="90">G101*G102</f>
        <v>0</v>
      </c>
      <c r="H103" s="93">
        <f t="shared" si="89"/>
        <v>-24.5</v>
      </c>
      <c r="I103" s="93">
        <f t="shared" si="89"/>
        <v>-110.94999999999999</v>
      </c>
      <c r="J103" s="93">
        <f t="shared" si="89"/>
        <v>-16.799999999999997</v>
      </c>
      <c r="K103" s="93">
        <f>K101*K102</f>
        <v>80.5</v>
      </c>
      <c r="L103" s="93">
        <f>L101*L102</f>
        <v>0</v>
      </c>
      <c r="M103" s="93">
        <f t="shared" si="89"/>
        <v>4475.7999999999993</v>
      </c>
      <c r="N103" s="93">
        <f t="shared" ref="N103:R103" si="91">N101*N102</f>
        <v>-4.8999999999999995</v>
      </c>
      <c r="O103" s="93">
        <f t="shared" si="91"/>
        <v>0.7</v>
      </c>
      <c r="P103" s="93">
        <f t="shared" si="91"/>
        <v>1.75</v>
      </c>
      <c r="Q103" s="93">
        <f t="shared" si="91"/>
        <v>36.049999999999997</v>
      </c>
      <c r="R103" s="93">
        <f t="shared" si="91"/>
        <v>28</v>
      </c>
      <c r="S103" s="93">
        <f t="shared" si="89"/>
        <v>5447.0499999999993</v>
      </c>
      <c r="T103" s="592">
        <f t="shared" si="89"/>
        <v>103.6</v>
      </c>
      <c r="U103" s="592">
        <f t="shared" si="89"/>
        <v>447.29999999999995</v>
      </c>
      <c r="V103" s="592">
        <f t="shared" si="89"/>
        <v>-85.05</v>
      </c>
      <c r="W103" s="592">
        <f t="shared" si="89"/>
        <v>-381.84999999999997</v>
      </c>
      <c r="X103" s="592">
        <f t="shared" si="89"/>
        <v>0</v>
      </c>
      <c r="Y103" s="592">
        <f t="shared" ref="Y103" si="92">Y101*Y102</f>
        <v>395.5</v>
      </c>
    </row>
    <row r="104" spans="1:25">
      <c r="A104" s="73">
        <v>24</v>
      </c>
      <c r="B104" s="87" t="s">
        <v>128</v>
      </c>
      <c r="C104" s="80">
        <f>+(C95-C88+C96)*C102</f>
        <v>0</v>
      </c>
      <c r="D104" s="80">
        <f>+(D95-D88+D96)*D102</f>
        <v>0</v>
      </c>
      <c r="E104" s="80">
        <f t="shared" ref="E104:X104" si="93">+(E95-E88+E96)*E102</f>
        <v>0</v>
      </c>
      <c r="F104" s="590">
        <f t="shared" si="93"/>
        <v>0</v>
      </c>
      <c r="G104" s="590">
        <f t="shared" ref="G104" si="94">+(G95-G88+G96)*G102</f>
        <v>0</v>
      </c>
      <c r="H104" s="80">
        <f t="shared" si="93"/>
        <v>0</v>
      </c>
      <c r="I104" s="80">
        <f t="shared" si="93"/>
        <v>0</v>
      </c>
      <c r="J104" s="80">
        <f t="shared" si="93"/>
        <v>0</v>
      </c>
      <c r="K104" s="23"/>
      <c r="L104" s="80">
        <f>+(L95-L88+L96)*L102</f>
        <v>0</v>
      </c>
      <c r="M104" s="80">
        <f t="shared" si="93"/>
        <v>0</v>
      </c>
      <c r="N104" s="80">
        <f t="shared" ref="N104:R104" si="95">+(N95-N88+N96)*N102</f>
        <v>0</v>
      </c>
      <c r="O104" s="80">
        <f t="shared" si="95"/>
        <v>0</v>
      </c>
      <c r="P104" s="80">
        <f t="shared" si="95"/>
        <v>0</v>
      </c>
      <c r="Q104" s="80">
        <f t="shared" si="95"/>
        <v>0</v>
      </c>
      <c r="R104" s="80">
        <f t="shared" si="95"/>
        <v>0</v>
      </c>
      <c r="S104" s="80">
        <f t="shared" si="93"/>
        <v>0</v>
      </c>
      <c r="T104" s="590">
        <f t="shared" si="93"/>
        <v>0</v>
      </c>
      <c r="U104" s="590">
        <f t="shared" si="93"/>
        <v>0</v>
      </c>
      <c r="V104" s="590">
        <f t="shared" si="93"/>
        <v>0</v>
      </c>
      <c r="W104" s="590">
        <f t="shared" si="93"/>
        <v>0</v>
      </c>
      <c r="X104" s="590">
        <f t="shared" si="93"/>
        <v>0</v>
      </c>
      <c r="Y104" s="590">
        <f t="shared" ref="Y104" si="96">+(Y95-Y88+Y96)*Y102</f>
        <v>0</v>
      </c>
    </row>
    <row r="105" spans="1:25" ht="13.5" thickBot="1">
      <c r="A105" s="73">
        <v>25</v>
      </c>
      <c r="B105" s="95" t="s">
        <v>129</v>
      </c>
      <c r="C105" s="96">
        <f>+C103+C104</f>
        <v>10350.199999999999</v>
      </c>
      <c r="D105" s="96">
        <f t="shared" ref="D105:X105" si="97">+D103+D104</f>
        <v>0</v>
      </c>
      <c r="E105" s="96">
        <f t="shared" si="97"/>
        <v>-42</v>
      </c>
      <c r="F105" s="593">
        <f t="shared" si="97"/>
        <v>0</v>
      </c>
      <c r="G105" s="593">
        <f t="shared" ref="G105" si="98">+G103+G104</f>
        <v>0</v>
      </c>
      <c r="H105" s="96">
        <f t="shared" si="97"/>
        <v>-24.5</v>
      </c>
      <c r="I105" s="96">
        <f t="shared" si="97"/>
        <v>-110.94999999999999</v>
      </c>
      <c r="J105" s="96">
        <f t="shared" si="97"/>
        <v>-16.799999999999997</v>
      </c>
      <c r="K105" s="97">
        <f>+K103+K104</f>
        <v>80.5</v>
      </c>
      <c r="L105" s="96">
        <f>+L103+L104</f>
        <v>0</v>
      </c>
      <c r="M105" s="96">
        <f t="shared" si="97"/>
        <v>4475.7999999999993</v>
      </c>
      <c r="N105" s="96">
        <f t="shared" ref="N105:R105" si="99">+N103+N104</f>
        <v>-4.8999999999999995</v>
      </c>
      <c r="O105" s="96">
        <f t="shared" si="99"/>
        <v>0.7</v>
      </c>
      <c r="P105" s="96">
        <f t="shared" si="99"/>
        <v>1.75</v>
      </c>
      <c r="Q105" s="96">
        <f t="shared" si="99"/>
        <v>36.049999999999997</v>
      </c>
      <c r="R105" s="96">
        <f t="shared" si="99"/>
        <v>28</v>
      </c>
      <c r="S105" s="96">
        <f t="shared" si="97"/>
        <v>5447.0499999999993</v>
      </c>
      <c r="T105" s="593">
        <f t="shared" si="97"/>
        <v>103.6</v>
      </c>
      <c r="U105" s="593">
        <f t="shared" si="97"/>
        <v>447.29999999999995</v>
      </c>
      <c r="V105" s="593">
        <f t="shared" si="97"/>
        <v>-85.05</v>
      </c>
      <c r="W105" s="593">
        <f t="shared" si="97"/>
        <v>-381.84999999999997</v>
      </c>
      <c r="X105" s="593">
        <f t="shared" si="97"/>
        <v>0</v>
      </c>
      <c r="Y105" s="593">
        <f t="shared" ref="Y105" si="100">+Y103+Y104</f>
        <v>395.5</v>
      </c>
    </row>
    <row r="106" spans="1:25" ht="13.5" thickTop="1">
      <c r="A106" s="89"/>
    </row>
    <row r="113" spans="9:9">
      <c r="I113" s="98"/>
    </row>
  </sheetData>
  <customSheetViews>
    <customSheetView guid="{6E1B8C45-B07F-11D2-B0DC-0000832CDFF0}" scale="75" showPageBreaks="1" showGridLines="0" printArea="1" hiddenColumns="1" showRuler="0">
      <selection sqref="A1:IV65536"/>
      <colBreaks count="5" manualBreakCount="5">
        <brk id="11" max="70" man="1"/>
        <brk id="18" max="70" man="1"/>
        <brk id="25" max="70" man="1"/>
        <brk id="32" max="1048575" man="1"/>
        <brk id="40" max="1048575" man="1"/>
      </colBreaks>
      <pageMargins left="0.75" right="0.51" top="0.75" bottom="0.5" header="0.5" footer="0.5"/>
      <pageSetup scale="76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2-B049-11D2-8670-0000832CEEE8}" scale="75" showPageBreaks="1" showGridLines="0" hiddenColumns="1" showRuler="0" topLeftCell="AF1">
      <selection activeCell="AG1" sqref="AG1:AO65536"/>
      <colBreaks count="5" manualBreakCount="5">
        <brk id="11" max="70" man="1"/>
        <brk id="18" max="70" man="1"/>
        <brk id="25" max="70" man="1"/>
        <brk id="32" max="1048575" man="1"/>
        <brk id="52" max="1048575" man="1"/>
      </colBreaks>
      <pageMargins left="0.75" right="0.51" top="0.75" bottom="0.5" header="0.5" footer="0.5"/>
      <pageSetup scale="76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3">
    <mergeCell ref="C13:E13"/>
    <mergeCell ref="P8:Q8"/>
    <mergeCell ref="N8:O8"/>
  </mergeCells>
  <phoneticPr fontId="0" type="noConversion"/>
  <printOptions horizontalCentered="1"/>
  <pageMargins left="0.5" right="0.5" top="1.2" bottom="0.3" header="0.5" footer="0.5"/>
  <pageSetup scale="60" fitToWidth="0" orientation="portrait" r:id="rId3"/>
  <headerFooter scaleWithDoc="0" alignWithMargins="0">
    <oddHeader>&amp;L&amp;"Arial,Regular"&amp;10Avista Corporation
&amp;"Arial,Bold"Electric - Results of Operations (Schedule 1.2) &amp;"Arial,Regular"
Twelve Months Ended Dcember 31, 2011&amp;R&amp;"Arial,Regular"&amp;10Exhibit No. ___ (JH-2)
Dockets UE-120436 &amp;&amp; UG-120437
Page &amp;P+1 of  11</oddHeader>
  </headerFooter>
  <rowBreaks count="1" manualBreakCount="1">
    <brk id="77" min="2" max="28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6"/>
  <sheetViews>
    <sheetView topLeftCell="A9" zoomScale="75" zoomScaleNormal="75" workbookViewId="0">
      <pane xSplit="2" ySplit="4" topLeftCell="C40" activePane="bottomRight" state="frozen"/>
      <selection activeCell="G79" sqref="G79"/>
      <selection pane="topRight" activeCell="G79" sqref="G79"/>
      <selection pane="bottomLeft" activeCell="G79" sqref="G79"/>
      <selection pane="bottomRight" activeCell="C55" sqref="C55"/>
    </sheetView>
  </sheetViews>
  <sheetFormatPr defaultColWidth="9" defaultRowHeight="12.75"/>
  <cols>
    <col min="1" max="1" width="4.625" style="64" customWidth="1"/>
    <col min="2" max="2" width="42.5" style="63" bestFit="1" customWidth="1"/>
    <col min="3" max="3" width="13.625" style="74" customWidth="1"/>
    <col min="4" max="16384" width="9" style="14"/>
  </cols>
  <sheetData>
    <row r="1" spans="1:3">
      <c r="A1" s="56"/>
      <c r="B1" s="9" t="s">
        <v>281</v>
      </c>
      <c r="C1" s="58"/>
    </row>
    <row r="2" spans="1:3">
      <c r="A2" s="411"/>
      <c r="B2" s="14"/>
      <c r="C2" s="66" t="s">
        <v>251</v>
      </c>
    </row>
    <row r="3" spans="1:3">
      <c r="A3" s="411"/>
      <c r="B3" s="9"/>
      <c r="C3" s="66"/>
    </row>
    <row r="4" spans="1:3" ht="13.5" thickBot="1">
      <c r="A4" s="411"/>
      <c r="B4" s="9"/>
      <c r="C4" s="413"/>
    </row>
    <row r="5" spans="1:3" ht="13.5" thickTop="1">
      <c r="A5" s="402"/>
      <c r="B5" s="64" t="str">
        <f>+ROO!B2</f>
        <v>(000's of Dollars)</v>
      </c>
      <c r="C5" s="65"/>
    </row>
    <row r="6" spans="1:3">
      <c r="A6" s="62"/>
      <c r="B6" s="64"/>
      <c r="C6" s="65"/>
    </row>
    <row r="7" spans="1:3">
      <c r="A7" s="403"/>
      <c r="B7" s="66" t="s">
        <v>100</v>
      </c>
      <c r="C7" s="66" t="s">
        <v>157</v>
      </c>
    </row>
    <row r="8" spans="1:3">
      <c r="A8" s="403"/>
      <c r="B8" s="66"/>
      <c r="C8" s="66"/>
    </row>
    <row r="9" spans="1:3" s="70" customFormat="1">
      <c r="A9" s="69"/>
      <c r="B9" s="69"/>
      <c r="C9" s="546">
        <v>2.06</v>
      </c>
    </row>
    <row r="10" spans="1:3" s="71" customFormat="1">
      <c r="A10" s="414"/>
      <c r="B10" s="420"/>
      <c r="C10" s="68" t="s">
        <v>2</v>
      </c>
    </row>
    <row r="11" spans="1:3" s="71" customFormat="1">
      <c r="A11" s="414" t="s">
        <v>5</v>
      </c>
      <c r="B11" s="420"/>
      <c r="C11" s="68" t="s">
        <v>26</v>
      </c>
    </row>
    <row r="12" spans="1:3" s="424" customFormat="1">
      <c r="A12" s="421" t="s">
        <v>10</v>
      </c>
      <c r="B12" s="422" t="s">
        <v>11</v>
      </c>
      <c r="C12" s="423" t="s">
        <v>339</v>
      </c>
    </row>
    <row r="13" spans="1:3" s="59" customFormat="1">
      <c r="A13" s="418"/>
      <c r="B13" s="419" t="s">
        <v>155</v>
      </c>
      <c r="C13" s="66"/>
    </row>
    <row r="14" spans="1:3">
      <c r="A14" s="73">
        <v>1</v>
      </c>
      <c r="B14" s="416" t="s">
        <v>98</v>
      </c>
      <c r="C14" s="65"/>
    </row>
    <row r="15" spans="1:3">
      <c r="A15" s="75">
        <v>2</v>
      </c>
      <c r="B15" s="63" t="s">
        <v>40</v>
      </c>
      <c r="C15" s="65"/>
    </row>
    <row r="16" spans="1:3" s="15" customFormat="1">
      <c r="A16" s="73">
        <v>3</v>
      </c>
      <c r="B16" s="76" t="s">
        <v>41</v>
      </c>
      <c r="C16" s="566"/>
    </row>
    <row r="17" spans="1:3" s="20" customFormat="1">
      <c r="A17" s="75">
        <v>4</v>
      </c>
      <c r="B17" s="78" t="s">
        <v>42</v>
      </c>
      <c r="C17" s="23">
        <v>0</v>
      </c>
    </row>
    <row r="18" spans="1:3" s="20" customFormat="1">
      <c r="A18" s="73">
        <v>5</v>
      </c>
      <c r="B18" s="78" t="s">
        <v>43</v>
      </c>
      <c r="C18" s="24">
        <v>0</v>
      </c>
    </row>
    <row r="19" spans="1:3" s="20" customFormat="1">
      <c r="A19" s="75">
        <v>6</v>
      </c>
      <c r="B19" s="397" t="s">
        <v>44</v>
      </c>
      <c r="C19" s="23">
        <f t="shared" ref="C19" si="0">SUM(C16:C18)</f>
        <v>0</v>
      </c>
    </row>
    <row r="20" spans="1:3" s="20" customFormat="1">
      <c r="A20" s="73">
        <v>7</v>
      </c>
      <c r="B20" s="78" t="s">
        <v>45</v>
      </c>
      <c r="C20" s="24">
        <v>0</v>
      </c>
    </row>
    <row r="21" spans="1:3" s="20" customFormat="1">
      <c r="A21" s="75">
        <v>8</v>
      </c>
      <c r="B21" s="397" t="s">
        <v>46</v>
      </c>
      <c r="C21" s="23">
        <f t="shared" ref="C21" si="1">SUM(C19:C20)</f>
        <v>0</v>
      </c>
    </row>
    <row r="22" spans="1:3" s="20" customFormat="1">
      <c r="A22" s="73">
        <v>9</v>
      </c>
      <c r="B22" s="79"/>
      <c r="C22" s="23"/>
    </row>
    <row r="23" spans="1:3" s="20" customFormat="1">
      <c r="A23" s="75">
        <v>10</v>
      </c>
      <c r="B23" s="78" t="s">
        <v>20</v>
      </c>
      <c r="C23" s="23"/>
    </row>
    <row r="24" spans="1:3" s="20" customFormat="1">
      <c r="A24" s="73">
        <v>11</v>
      </c>
      <c r="B24" s="78" t="s">
        <v>47</v>
      </c>
      <c r="C24" s="23"/>
    </row>
    <row r="25" spans="1:3" s="20" customFormat="1">
      <c r="A25" s="75">
        <v>12</v>
      </c>
      <c r="B25" s="397" t="s">
        <v>48</v>
      </c>
      <c r="C25" s="23">
        <v>-12788</v>
      </c>
    </row>
    <row r="26" spans="1:3" s="20" customFormat="1">
      <c r="A26" s="73">
        <v>13</v>
      </c>
      <c r="B26" s="397" t="s">
        <v>49</v>
      </c>
      <c r="C26" s="23">
        <v>0</v>
      </c>
    </row>
    <row r="27" spans="1:3" s="20" customFormat="1">
      <c r="A27" s="75">
        <v>14</v>
      </c>
      <c r="B27" s="397" t="s">
        <v>50</v>
      </c>
      <c r="C27" s="23">
        <v>0</v>
      </c>
    </row>
    <row r="28" spans="1:3" s="20" customFormat="1">
      <c r="A28" s="73">
        <v>15</v>
      </c>
      <c r="B28" s="393" t="s">
        <v>349</v>
      </c>
      <c r="C28" s="23"/>
    </row>
    <row r="29" spans="1:3" s="20" customFormat="1">
      <c r="A29" s="75">
        <v>16</v>
      </c>
      <c r="B29" s="397" t="s">
        <v>51</v>
      </c>
      <c r="C29" s="24">
        <v>0</v>
      </c>
    </row>
    <row r="30" spans="1:3" s="20" customFormat="1">
      <c r="A30" s="73">
        <v>17</v>
      </c>
      <c r="B30" s="398" t="s">
        <v>52</v>
      </c>
      <c r="C30" s="23">
        <f t="shared" ref="C30" si="2">SUM(C25:C29)</f>
        <v>-12788</v>
      </c>
    </row>
    <row r="31" spans="1:3" s="20" customFormat="1">
      <c r="A31" s="75">
        <v>18</v>
      </c>
      <c r="B31" s="79"/>
      <c r="C31" s="23"/>
    </row>
    <row r="32" spans="1:3" s="20" customFormat="1">
      <c r="A32" s="73">
        <v>19</v>
      </c>
      <c r="B32" s="78" t="s">
        <v>53</v>
      </c>
      <c r="C32" s="23"/>
    </row>
    <row r="33" spans="1:3" s="20" customFormat="1">
      <c r="A33" s="75">
        <v>20</v>
      </c>
      <c r="B33" s="397" t="s">
        <v>48</v>
      </c>
      <c r="C33" s="23">
        <v>0</v>
      </c>
    </row>
    <row r="34" spans="1:3" s="20" customFormat="1">
      <c r="A34" s="73">
        <v>21</v>
      </c>
      <c r="B34" s="397" t="s">
        <v>54</v>
      </c>
      <c r="C34" s="23"/>
    </row>
    <row r="35" spans="1:3" s="20" customFormat="1">
      <c r="A35" s="75">
        <v>22</v>
      </c>
      <c r="B35" s="397" t="s">
        <v>51</v>
      </c>
      <c r="C35" s="24">
        <v>0</v>
      </c>
    </row>
    <row r="36" spans="1:3" s="20" customFormat="1">
      <c r="A36" s="73">
        <v>23</v>
      </c>
      <c r="B36" s="398" t="s">
        <v>55</v>
      </c>
      <c r="C36" s="23">
        <f t="shared" ref="C36" si="3">SUM(C33:C35)</f>
        <v>0</v>
      </c>
    </row>
    <row r="37" spans="1:3" s="20" customFormat="1">
      <c r="A37" s="75">
        <v>24</v>
      </c>
      <c r="B37" s="79"/>
      <c r="C37" s="23"/>
    </row>
    <row r="38" spans="1:3" s="20" customFormat="1">
      <c r="A38" s="73">
        <v>25</v>
      </c>
      <c r="B38" s="78" t="s">
        <v>56</v>
      </c>
      <c r="C38" s="23">
        <v>0</v>
      </c>
    </row>
    <row r="39" spans="1:3" s="20" customFormat="1">
      <c r="A39" s="75">
        <v>26</v>
      </c>
      <c r="B39" s="78" t="s">
        <v>57</v>
      </c>
      <c r="C39" s="23">
        <v>0</v>
      </c>
    </row>
    <row r="40" spans="1:3" s="20" customFormat="1">
      <c r="A40" s="73">
        <v>27</v>
      </c>
      <c r="B40" s="78" t="s">
        <v>58</v>
      </c>
      <c r="C40" s="23">
        <v>0</v>
      </c>
    </row>
    <row r="41" spans="1:3" s="20" customFormat="1">
      <c r="A41" s="75">
        <v>28</v>
      </c>
      <c r="B41" s="79"/>
      <c r="C41" s="23">
        <v>0</v>
      </c>
    </row>
    <row r="42" spans="1:3" s="20" customFormat="1">
      <c r="A42" s="75">
        <v>29</v>
      </c>
      <c r="B42" s="78" t="s">
        <v>59</v>
      </c>
      <c r="C42" s="23">
        <v>0</v>
      </c>
    </row>
    <row r="43" spans="1:3" s="20" customFormat="1">
      <c r="A43" s="73">
        <v>30</v>
      </c>
      <c r="B43" s="397" t="s">
        <v>48</v>
      </c>
      <c r="C43" s="23">
        <v>0</v>
      </c>
    </row>
    <row r="44" spans="1:3" s="20" customFormat="1">
      <c r="A44" s="75">
        <v>31</v>
      </c>
      <c r="B44" s="397" t="s">
        <v>54</v>
      </c>
      <c r="C44" s="23"/>
    </row>
    <row r="45" spans="1:3" s="20" customFormat="1">
      <c r="A45" s="75">
        <v>32</v>
      </c>
      <c r="B45" s="397" t="s">
        <v>51</v>
      </c>
      <c r="C45" s="24">
        <v>0</v>
      </c>
    </row>
    <row r="46" spans="1:3" s="20" customFormat="1">
      <c r="A46" s="73">
        <v>33</v>
      </c>
      <c r="B46" s="398" t="s">
        <v>60</v>
      </c>
      <c r="C46" s="24">
        <f t="shared" ref="C46" si="4">SUM(C43:C45)</f>
        <v>0</v>
      </c>
    </row>
    <row r="47" spans="1:3" s="20" customFormat="1">
      <c r="A47" s="75">
        <v>34</v>
      </c>
      <c r="B47" s="78" t="s">
        <v>61</v>
      </c>
      <c r="C47" s="24">
        <f t="shared" ref="C47" si="5">C46+C40+C39+C38+C36+C30</f>
        <v>-12788</v>
      </c>
    </row>
    <row r="48" spans="1:3" s="20" customFormat="1">
      <c r="A48" s="75">
        <v>35</v>
      </c>
      <c r="B48" s="79"/>
      <c r="C48" s="23"/>
    </row>
    <row r="49" spans="1:3" s="20" customFormat="1">
      <c r="A49" s="73">
        <v>36</v>
      </c>
      <c r="B49" s="78" t="s">
        <v>62</v>
      </c>
      <c r="C49" s="23">
        <f t="shared" ref="C49" si="6">C21-C47</f>
        <v>12788</v>
      </c>
    </row>
    <row r="50" spans="1:3" s="20" customFormat="1">
      <c r="A50" s="75">
        <v>37</v>
      </c>
      <c r="B50" s="78"/>
      <c r="C50" s="23"/>
    </row>
    <row r="51" spans="1:3" s="20" customFormat="1">
      <c r="A51" s="75">
        <v>38</v>
      </c>
      <c r="B51" s="78" t="s">
        <v>63</v>
      </c>
      <c r="C51" s="23"/>
    </row>
    <row r="52" spans="1:3" s="20" customFormat="1">
      <c r="A52" s="73">
        <v>39</v>
      </c>
      <c r="B52" s="78" t="s">
        <v>64</v>
      </c>
      <c r="C52" s="23">
        <v>0</v>
      </c>
    </row>
    <row r="53" spans="1:3" s="20" customFormat="1">
      <c r="A53" s="75">
        <v>40</v>
      </c>
      <c r="B53" s="78" t="s">
        <v>366</v>
      </c>
      <c r="C53" s="23">
        <f>-C104</f>
        <v>0</v>
      </c>
    </row>
    <row r="54" spans="1:3" s="20" customFormat="1">
      <c r="A54" s="75">
        <v>41</v>
      </c>
      <c r="B54" s="78" t="s">
        <v>65</v>
      </c>
      <c r="C54" s="23">
        <f>ROUND(+C105,0)</f>
        <v>4476</v>
      </c>
    </row>
    <row r="55" spans="1:3" s="20" customFormat="1">
      <c r="A55" s="73">
        <v>42</v>
      </c>
      <c r="B55" s="78" t="s">
        <v>238</v>
      </c>
      <c r="C55" s="24"/>
    </row>
    <row r="56" spans="1:3">
      <c r="A56" s="73">
        <v>45</v>
      </c>
      <c r="B56" s="79"/>
      <c r="C56" s="23"/>
    </row>
    <row r="57" spans="1:3" s="15" customFormat="1" ht="13.5" thickBot="1">
      <c r="A57" s="75">
        <v>46</v>
      </c>
      <c r="B57" s="76" t="s">
        <v>66</v>
      </c>
      <c r="C57" s="567">
        <f t="shared" ref="C57" si="7">C49-SUM(C52:C55)</f>
        <v>8312</v>
      </c>
    </row>
    <row r="58" spans="1:3" ht="13.5" thickTop="1">
      <c r="A58" s="75">
        <v>47</v>
      </c>
      <c r="B58" s="2"/>
      <c r="C58" s="23"/>
    </row>
    <row r="59" spans="1:3">
      <c r="A59" s="73">
        <v>48</v>
      </c>
      <c r="B59" s="416" t="s">
        <v>21</v>
      </c>
      <c r="C59" s="23"/>
    </row>
    <row r="60" spans="1:3">
      <c r="A60" s="75">
        <v>49</v>
      </c>
      <c r="B60" s="63" t="s">
        <v>67</v>
      </c>
      <c r="C60" s="23"/>
    </row>
    <row r="61" spans="1:3" s="15" customFormat="1">
      <c r="A61" s="75">
        <v>50</v>
      </c>
      <c r="B61" s="396" t="s">
        <v>68</v>
      </c>
      <c r="C61" s="23">
        <v>0</v>
      </c>
    </row>
    <row r="62" spans="1:3" s="20" customFormat="1">
      <c r="A62" s="73">
        <v>51</v>
      </c>
      <c r="B62" s="397" t="s">
        <v>69</v>
      </c>
      <c r="C62" s="23"/>
    </row>
    <row r="63" spans="1:3" s="20" customFormat="1">
      <c r="A63" s="75">
        <v>52</v>
      </c>
      <c r="B63" s="397" t="s">
        <v>70</v>
      </c>
      <c r="C63" s="23">
        <v>0</v>
      </c>
    </row>
    <row r="64" spans="1:3" s="20" customFormat="1">
      <c r="A64" s="75">
        <v>53</v>
      </c>
      <c r="B64" s="397" t="s">
        <v>53</v>
      </c>
      <c r="C64" s="23">
        <v>0</v>
      </c>
    </row>
    <row r="65" spans="1:3" s="20" customFormat="1">
      <c r="A65" s="73">
        <v>54</v>
      </c>
      <c r="B65" s="397" t="s">
        <v>71</v>
      </c>
      <c r="C65" s="24">
        <v>0</v>
      </c>
    </row>
    <row r="66" spans="1:3" s="20" customFormat="1">
      <c r="A66" s="75">
        <v>55</v>
      </c>
      <c r="B66" s="398" t="s">
        <v>72</v>
      </c>
      <c r="C66" s="23">
        <f t="shared" ref="C66" si="8">SUM(C61:C65)</f>
        <v>0</v>
      </c>
    </row>
    <row r="67" spans="1:3" s="20" customFormat="1">
      <c r="A67" s="75">
        <v>56</v>
      </c>
      <c r="B67" s="78" t="s">
        <v>244</v>
      </c>
      <c r="C67" s="23">
        <v>0</v>
      </c>
    </row>
    <row r="68" spans="1:3" s="20" customFormat="1">
      <c r="A68" s="73">
        <v>57</v>
      </c>
      <c r="B68" s="78" t="s">
        <v>245</v>
      </c>
      <c r="C68" s="24"/>
    </row>
    <row r="69" spans="1:3" s="20" customFormat="1">
      <c r="A69" s="75">
        <v>58</v>
      </c>
      <c r="B69" s="397" t="s">
        <v>73</v>
      </c>
      <c r="C69" s="23">
        <f t="shared" ref="C69" si="9">SUM(C67:C68)</f>
        <v>0</v>
      </c>
    </row>
    <row r="70" spans="1:3" s="20" customFormat="1">
      <c r="A70" s="75">
        <v>59</v>
      </c>
      <c r="B70" s="78" t="s">
        <v>246</v>
      </c>
      <c r="C70" s="23">
        <v>0</v>
      </c>
    </row>
    <row r="71" spans="1:3" s="20" customFormat="1">
      <c r="A71" s="73">
        <v>60</v>
      </c>
      <c r="B71" s="78" t="s">
        <v>351</v>
      </c>
      <c r="C71" s="23"/>
    </row>
    <row r="72" spans="1:3" s="20" customFormat="1">
      <c r="A72" s="75">
        <v>61</v>
      </c>
      <c r="B72" s="78" t="s">
        <v>236</v>
      </c>
      <c r="C72" s="23"/>
    </row>
    <row r="73" spans="1:3" s="20" customFormat="1">
      <c r="A73" s="75">
        <v>62</v>
      </c>
      <c r="B73" s="78" t="s">
        <v>247</v>
      </c>
      <c r="C73" s="23"/>
    </row>
    <row r="74" spans="1:3" s="20" customFormat="1">
      <c r="A74" s="73">
        <v>63</v>
      </c>
      <c r="B74" s="78" t="s">
        <v>248</v>
      </c>
      <c r="C74" s="24">
        <v>0</v>
      </c>
    </row>
    <row r="75" spans="1:3" s="20" customFormat="1">
      <c r="A75" s="75">
        <v>64</v>
      </c>
      <c r="B75" s="79"/>
      <c r="C75" s="28"/>
    </row>
    <row r="76" spans="1:3" s="20" customFormat="1">
      <c r="A76" s="75">
        <v>65</v>
      </c>
      <c r="B76" s="79"/>
      <c r="C76" s="23"/>
    </row>
    <row r="77" spans="1:3" s="15" customFormat="1" ht="13.5" thickBot="1">
      <c r="A77" s="73">
        <v>66</v>
      </c>
      <c r="B77" s="425" t="s">
        <v>74</v>
      </c>
      <c r="C77" s="568">
        <f t="shared" ref="C77" si="10">C66-C69+C70+C72+C73+C74+C71</f>
        <v>0</v>
      </c>
    </row>
    <row r="78" spans="1:3" ht="13.5" thickTop="1">
      <c r="B78" s="83"/>
    </row>
    <row r="79" spans="1:3">
      <c r="A79" s="84"/>
      <c r="B79" s="38"/>
      <c r="C79" s="57"/>
    </row>
    <row r="80" spans="1:3">
      <c r="A80" s="89"/>
      <c r="B80" s="39"/>
    </row>
    <row r="81" spans="1:3">
      <c r="A81" s="73">
        <v>1</v>
      </c>
      <c r="B81" s="392" t="s">
        <v>116</v>
      </c>
    </row>
    <row r="82" spans="1:3">
      <c r="A82" s="73">
        <v>2</v>
      </c>
      <c r="B82" s="87" t="s">
        <v>18</v>
      </c>
      <c r="C82" s="82">
        <f t="shared" ref="C82" si="11">+C21</f>
        <v>0</v>
      </c>
    </row>
    <row r="83" spans="1:3">
      <c r="A83" s="73">
        <v>3</v>
      </c>
      <c r="B83" s="87" t="s">
        <v>19</v>
      </c>
      <c r="C83" s="23">
        <f t="shared" ref="C83" si="12">+C47</f>
        <v>-12788</v>
      </c>
    </row>
    <row r="84" spans="1:3">
      <c r="A84" s="73">
        <v>4</v>
      </c>
      <c r="B84" s="87" t="s">
        <v>274</v>
      </c>
      <c r="C84" s="23"/>
    </row>
    <row r="85" spans="1:3">
      <c r="A85" s="73">
        <v>5</v>
      </c>
      <c r="B85" s="399" t="s">
        <v>119</v>
      </c>
      <c r="C85" s="27">
        <f>+C82-C83-C84</f>
        <v>12788</v>
      </c>
    </row>
    <row r="86" spans="1:3">
      <c r="A86" s="73">
        <v>6</v>
      </c>
      <c r="B86" s="91"/>
      <c r="C86" s="80"/>
    </row>
    <row r="87" spans="1:3">
      <c r="A87" s="73">
        <v>7</v>
      </c>
      <c r="B87" s="86" t="s">
        <v>120</v>
      </c>
      <c r="C87" s="80"/>
    </row>
    <row r="88" spans="1:3">
      <c r="A88" s="73">
        <v>8</v>
      </c>
      <c r="B88" s="87" t="s">
        <v>121</v>
      </c>
      <c r="C88" s="80"/>
    </row>
    <row r="89" spans="1:3">
      <c r="A89" s="73">
        <v>9</v>
      </c>
      <c r="B89" s="87" t="s">
        <v>130</v>
      </c>
      <c r="C89" s="80"/>
    </row>
    <row r="90" spans="1:3">
      <c r="A90" s="73">
        <v>10</v>
      </c>
      <c r="B90" s="87" t="s">
        <v>122</v>
      </c>
      <c r="C90" s="80"/>
    </row>
    <row r="91" spans="1:3">
      <c r="A91" s="73">
        <v>11</v>
      </c>
      <c r="B91" s="39"/>
      <c r="C91" s="80"/>
    </row>
    <row r="92" spans="1:3">
      <c r="A92" s="73">
        <v>12</v>
      </c>
      <c r="B92" s="86" t="s">
        <v>123</v>
      </c>
      <c r="C92" s="27">
        <f t="shared" ref="C92" si="13">SUM(C88:C90)</f>
        <v>0</v>
      </c>
    </row>
    <row r="93" spans="1:3">
      <c r="A93" s="73">
        <v>13</v>
      </c>
      <c r="B93" s="39"/>
      <c r="C93" s="80"/>
    </row>
    <row r="94" spans="1:3">
      <c r="A94" s="73">
        <v>14</v>
      </c>
      <c r="B94" s="86" t="s">
        <v>365</v>
      </c>
      <c r="C94" s="80"/>
    </row>
    <row r="95" spans="1:3">
      <c r="A95" s="73">
        <v>15</v>
      </c>
      <c r="B95" s="86" t="s">
        <v>178</v>
      </c>
      <c r="C95" s="80">
        <v>0</v>
      </c>
    </row>
    <row r="96" spans="1:3">
      <c r="A96" s="73">
        <v>16</v>
      </c>
      <c r="B96" s="87" t="s">
        <v>177</v>
      </c>
      <c r="C96" s="80"/>
    </row>
    <row r="97" spans="1:3">
      <c r="A97" s="73">
        <v>17</v>
      </c>
      <c r="B97" s="87" t="s">
        <v>275</v>
      </c>
      <c r="C97" s="80"/>
    </row>
    <row r="98" spans="1:3">
      <c r="A98" s="73">
        <v>18</v>
      </c>
      <c r="B98" s="87"/>
      <c r="C98" s="80"/>
    </row>
    <row r="99" spans="1:3">
      <c r="A99" s="73">
        <v>19</v>
      </c>
      <c r="B99" s="86" t="s">
        <v>125</v>
      </c>
      <c r="C99" s="27">
        <f t="shared" ref="C99" si="14">SUM(C95:C97)</f>
        <v>0</v>
      </c>
    </row>
    <row r="100" spans="1:3">
      <c r="A100" s="73">
        <v>20</v>
      </c>
      <c r="B100" s="39"/>
      <c r="C100" s="80"/>
    </row>
    <row r="101" spans="1:3">
      <c r="A101" s="73">
        <v>21</v>
      </c>
      <c r="B101" s="87" t="s">
        <v>255</v>
      </c>
      <c r="C101" s="28">
        <f t="shared" ref="C101" si="15">+C85+C92-C99</f>
        <v>12788</v>
      </c>
    </row>
    <row r="102" spans="1:3">
      <c r="A102" s="73">
        <v>22</v>
      </c>
      <c r="B102" s="87" t="s">
        <v>126</v>
      </c>
      <c r="C102" s="94">
        <v>0.35</v>
      </c>
    </row>
    <row r="103" spans="1:3">
      <c r="A103" s="73">
        <v>23</v>
      </c>
      <c r="B103" s="86" t="s">
        <v>127</v>
      </c>
      <c r="C103" s="93">
        <f t="shared" ref="C103" si="16">C101*C102</f>
        <v>4475.7999999999993</v>
      </c>
    </row>
    <row r="104" spans="1:3">
      <c r="A104" s="73">
        <v>24</v>
      </c>
      <c r="B104" s="87" t="s">
        <v>128</v>
      </c>
      <c r="C104" s="80">
        <f t="shared" ref="C104" si="17">+(C95-C88+C96)*C102</f>
        <v>0</v>
      </c>
    </row>
    <row r="105" spans="1:3" ht="13.5" thickBot="1">
      <c r="A105" s="73">
        <v>25</v>
      </c>
      <c r="B105" s="95" t="s">
        <v>129</v>
      </c>
      <c r="C105" s="96">
        <f t="shared" ref="C105" si="18">+C103+C104</f>
        <v>4475.7999999999993</v>
      </c>
    </row>
    <row r="106" spans="1:3" ht="13.5" thickTop="1">
      <c r="A106" s="89"/>
    </row>
  </sheetData>
  <printOptions horizontalCentered="1"/>
  <pageMargins left="0.5" right="0.5" top="1.5" bottom="0.3" header="0.5" footer="0.5"/>
  <pageSetup scale="60" fitToWidth="0" orientation="portrait" useFirstPageNumber="1" r:id="rId1"/>
  <headerFooter scaleWithDoc="0" alignWithMargins="0">
    <oddHeader>&amp;L&amp;"Arial,Regular"&amp;10Avista Corporation
&amp;"Arial,Bold"Electric - Restating Adjustments (Schedule 1.2)&amp;"Arial,Regular"
Twelve Months Ended December 31, 2011&amp;R&amp;"Arial,Regular"&amp;10Exhibit No. ___ (JH-2)
Docket UE-120436 &amp;&amp; UG-120437
Page &amp;P of  &amp;N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6"/>
  <sheetViews>
    <sheetView topLeftCell="A9" zoomScale="75" zoomScaleNormal="75" workbookViewId="0">
      <pane xSplit="2" ySplit="4" topLeftCell="C40" activePane="bottomRight" state="frozen"/>
      <selection activeCell="G79" sqref="G79"/>
      <selection pane="topRight" activeCell="G79" sqref="G79"/>
      <selection pane="bottomLeft" activeCell="G79" sqref="G79"/>
      <selection pane="bottomRight" activeCell="C53" sqref="C53"/>
    </sheetView>
  </sheetViews>
  <sheetFormatPr defaultColWidth="9" defaultRowHeight="12.75"/>
  <cols>
    <col min="1" max="1" width="4.625" style="64" customWidth="1"/>
    <col min="2" max="2" width="42.5" style="63" bestFit="1" customWidth="1"/>
    <col min="3" max="3" width="13.625" style="74" customWidth="1"/>
    <col min="4" max="16384" width="9" style="14"/>
  </cols>
  <sheetData>
    <row r="1" spans="1:3">
      <c r="A1" s="56"/>
      <c r="B1" s="9" t="s">
        <v>281</v>
      </c>
      <c r="C1" s="58"/>
    </row>
    <row r="2" spans="1:3">
      <c r="A2" s="411"/>
      <c r="B2" s="14"/>
      <c r="C2" s="66" t="s">
        <v>251</v>
      </c>
    </row>
    <row r="3" spans="1:3">
      <c r="A3" s="411"/>
      <c r="B3" s="9"/>
      <c r="C3" s="66"/>
    </row>
    <row r="4" spans="1:3" ht="13.5" thickBot="1">
      <c r="A4" s="411"/>
      <c r="B4" s="9"/>
      <c r="C4" s="413"/>
    </row>
    <row r="5" spans="1:3" ht="13.5" thickTop="1">
      <c r="A5" s="402"/>
      <c r="B5" s="64" t="str">
        <f>+ROO!B2</f>
        <v>(000's of Dollars)</v>
      </c>
      <c r="C5" s="65"/>
    </row>
    <row r="6" spans="1:3">
      <c r="A6" s="62"/>
      <c r="B6" s="64"/>
      <c r="C6" s="65"/>
    </row>
    <row r="7" spans="1:3">
      <c r="A7" s="403"/>
      <c r="B7" s="66" t="s">
        <v>100</v>
      </c>
      <c r="C7" s="66" t="s">
        <v>158</v>
      </c>
    </row>
    <row r="8" spans="1:3">
      <c r="A8" s="403"/>
      <c r="B8" s="66"/>
      <c r="C8" s="66"/>
    </row>
    <row r="9" spans="1:3" s="70" customFormat="1">
      <c r="A9" s="69"/>
      <c r="B9" s="69"/>
      <c r="C9" s="546">
        <v>2.0699999999999998</v>
      </c>
    </row>
    <row r="10" spans="1:3" s="71" customFormat="1">
      <c r="A10" s="414"/>
      <c r="B10" s="420"/>
      <c r="C10" s="68" t="s">
        <v>338</v>
      </c>
    </row>
    <row r="11" spans="1:3" s="71" customFormat="1">
      <c r="A11" s="414" t="s">
        <v>5</v>
      </c>
      <c r="B11" s="420"/>
      <c r="C11" s="68" t="s">
        <v>1</v>
      </c>
    </row>
    <row r="12" spans="1:3" s="424" customFormat="1">
      <c r="A12" s="421" t="s">
        <v>10</v>
      </c>
      <c r="B12" s="422" t="s">
        <v>11</v>
      </c>
      <c r="C12" s="423" t="s">
        <v>13</v>
      </c>
    </row>
    <row r="13" spans="1:3" s="59" customFormat="1">
      <c r="A13" s="418"/>
      <c r="B13" s="419" t="s">
        <v>155</v>
      </c>
      <c r="C13" s="66"/>
    </row>
    <row r="14" spans="1:3">
      <c r="A14" s="73">
        <v>1</v>
      </c>
      <c r="B14" s="416" t="s">
        <v>98</v>
      </c>
      <c r="C14" s="65"/>
    </row>
    <row r="15" spans="1:3">
      <c r="A15" s="75">
        <v>2</v>
      </c>
      <c r="B15" s="63" t="s">
        <v>40</v>
      </c>
      <c r="C15" s="65"/>
    </row>
    <row r="16" spans="1:3" s="15" customFormat="1">
      <c r="A16" s="73">
        <v>3</v>
      </c>
      <c r="B16" s="76" t="s">
        <v>41</v>
      </c>
      <c r="C16" s="566"/>
    </row>
    <row r="17" spans="1:3" s="20" customFormat="1">
      <c r="A17" s="75">
        <v>4</v>
      </c>
      <c r="B17" s="78" t="s">
        <v>42</v>
      </c>
      <c r="C17" s="23">
        <v>0</v>
      </c>
    </row>
    <row r="18" spans="1:3" s="20" customFormat="1">
      <c r="A18" s="73">
        <v>5</v>
      </c>
      <c r="B18" s="78" t="s">
        <v>43</v>
      </c>
      <c r="C18" s="24">
        <v>0</v>
      </c>
    </row>
    <row r="19" spans="1:3" s="20" customFormat="1">
      <c r="A19" s="75">
        <v>6</v>
      </c>
      <c r="B19" s="397" t="s">
        <v>44</v>
      </c>
      <c r="C19" s="23">
        <f t="shared" ref="C19" si="0">SUM(C16:C18)</f>
        <v>0</v>
      </c>
    </row>
    <row r="20" spans="1:3" s="20" customFormat="1">
      <c r="A20" s="73">
        <v>7</v>
      </c>
      <c r="B20" s="78" t="s">
        <v>45</v>
      </c>
      <c r="C20" s="24">
        <v>0</v>
      </c>
    </row>
    <row r="21" spans="1:3" s="20" customFormat="1">
      <c r="A21" s="75">
        <v>8</v>
      </c>
      <c r="B21" s="397" t="s">
        <v>46</v>
      </c>
      <c r="C21" s="23">
        <f t="shared" ref="C21" si="1">SUM(C19:C20)</f>
        <v>0</v>
      </c>
    </row>
    <row r="22" spans="1:3" s="20" customFormat="1">
      <c r="A22" s="73">
        <v>9</v>
      </c>
      <c r="B22" s="79"/>
      <c r="C22" s="23"/>
    </row>
    <row r="23" spans="1:3" s="20" customFormat="1">
      <c r="A23" s="75">
        <v>10</v>
      </c>
      <c r="B23" s="78" t="s">
        <v>20</v>
      </c>
      <c r="C23" s="23"/>
    </row>
    <row r="24" spans="1:3" s="20" customFormat="1">
      <c r="A24" s="73">
        <v>11</v>
      </c>
      <c r="B24" s="78" t="s">
        <v>47</v>
      </c>
      <c r="C24" s="23"/>
    </row>
    <row r="25" spans="1:3" s="20" customFormat="1">
      <c r="A25" s="75">
        <v>12</v>
      </c>
      <c r="B25" s="397" t="s">
        <v>48</v>
      </c>
      <c r="C25" s="23">
        <v>14</v>
      </c>
    </row>
    <row r="26" spans="1:3" s="20" customFormat="1">
      <c r="A26" s="73">
        <v>13</v>
      </c>
      <c r="B26" s="397" t="s">
        <v>49</v>
      </c>
      <c r="C26" s="23">
        <v>0</v>
      </c>
    </row>
    <row r="27" spans="1:3" s="20" customFormat="1">
      <c r="A27" s="75">
        <v>14</v>
      </c>
      <c r="B27" s="397" t="s">
        <v>50</v>
      </c>
      <c r="C27" s="23">
        <v>0</v>
      </c>
    </row>
    <row r="28" spans="1:3" s="20" customFormat="1">
      <c r="A28" s="73">
        <v>15</v>
      </c>
      <c r="B28" s="393" t="s">
        <v>349</v>
      </c>
      <c r="C28" s="23"/>
    </row>
    <row r="29" spans="1:3" s="20" customFormat="1">
      <c r="A29" s="75">
        <v>16</v>
      </c>
      <c r="B29" s="397" t="s">
        <v>51</v>
      </c>
      <c r="C29" s="24">
        <v>0</v>
      </c>
    </row>
    <row r="30" spans="1:3" s="20" customFormat="1">
      <c r="A30" s="73">
        <v>17</v>
      </c>
      <c r="B30" s="398" t="s">
        <v>52</v>
      </c>
      <c r="C30" s="23">
        <f t="shared" ref="C30" si="2">SUM(C25:C29)</f>
        <v>14</v>
      </c>
    </row>
    <row r="31" spans="1:3" s="20" customFormat="1">
      <c r="A31" s="75">
        <v>18</v>
      </c>
      <c r="B31" s="79"/>
      <c r="C31" s="23"/>
    </row>
    <row r="32" spans="1:3" s="20" customFormat="1">
      <c r="A32" s="73">
        <v>19</v>
      </c>
      <c r="B32" s="78" t="s">
        <v>53</v>
      </c>
      <c r="C32" s="23"/>
    </row>
    <row r="33" spans="1:3" s="20" customFormat="1">
      <c r="A33" s="75">
        <v>20</v>
      </c>
      <c r="B33" s="397" t="s">
        <v>48</v>
      </c>
      <c r="C33" s="23">
        <v>0</v>
      </c>
    </row>
    <row r="34" spans="1:3" s="20" customFormat="1">
      <c r="A34" s="73">
        <v>21</v>
      </c>
      <c r="B34" s="397" t="s">
        <v>54</v>
      </c>
      <c r="C34" s="23"/>
    </row>
    <row r="35" spans="1:3" s="20" customFormat="1">
      <c r="A35" s="75">
        <v>22</v>
      </c>
      <c r="B35" s="397" t="s">
        <v>51</v>
      </c>
      <c r="C35" s="24">
        <v>0</v>
      </c>
    </row>
    <row r="36" spans="1:3" s="20" customFormat="1">
      <c r="A36" s="73">
        <v>23</v>
      </c>
      <c r="B36" s="398" t="s">
        <v>55</v>
      </c>
      <c r="C36" s="23">
        <f t="shared" ref="C36" si="3">SUM(C33:C35)</f>
        <v>0</v>
      </c>
    </row>
    <row r="37" spans="1:3" s="20" customFormat="1">
      <c r="A37" s="75">
        <v>24</v>
      </c>
      <c r="B37" s="79"/>
      <c r="C37" s="23"/>
    </row>
    <row r="38" spans="1:3" s="20" customFormat="1">
      <c r="A38" s="73">
        <v>25</v>
      </c>
      <c r="B38" s="78" t="s">
        <v>56</v>
      </c>
      <c r="C38" s="23">
        <v>0</v>
      </c>
    </row>
    <row r="39" spans="1:3" s="20" customFormat="1">
      <c r="A39" s="75">
        <v>26</v>
      </c>
      <c r="B39" s="78" t="s">
        <v>57</v>
      </c>
      <c r="C39" s="23">
        <v>0</v>
      </c>
    </row>
    <row r="40" spans="1:3" s="20" customFormat="1">
      <c r="A40" s="73">
        <v>27</v>
      </c>
      <c r="B40" s="78" t="s">
        <v>58</v>
      </c>
      <c r="C40" s="23">
        <v>0</v>
      </c>
    </row>
    <row r="41" spans="1:3" s="20" customFormat="1">
      <c r="A41" s="75">
        <v>28</v>
      </c>
      <c r="B41" s="79"/>
      <c r="C41" s="23">
        <v>0</v>
      </c>
    </row>
    <row r="42" spans="1:3" s="20" customFormat="1">
      <c r="A42" s="75">
        <v>29</v>
      </c>
      <c r="B42" s="78" t="s">
        <v>59</v>
      </c>
      <c r="C42" s="23">
        <v>0</v>
      </c>
    </row>
    <row r="43" spans="1:3" s="20" customFormat="1">
      <c r="A43" s="73">
        <v>30</v>
      </c>
      <c r="B43" s="397" t="s">
        <v>48</v>
      </c>
      <c r="C43" s="23">
        <v>0</v>
      </c>
    </row>
    <row r="44" spans="1:3" s="20" customFormat="1">
      <c r="A44" s="75">
        <v>31</v>
      </c>
      <c r="B44" s="397" t="s">
        <v>54</v>
      </c>
      <c r="C44" s="23"/>
    </row>
    <row r="45" spans="1:3" s="20" customFormat="1">
      <c r="A45" s="75">
        <v>32</v>
      </c>
      <c r="B45" s="397" t="s">
        <v>51</v>
      </c>
      <c r="C45" s="24">
        <v>0</v>
      </c>
    </row>
    <row r="46" spans="1:3" s="20" customFormat="1">
      <c r="A46" s="73">
        <v>33</v>
      </c>
      <c r="B46" s="398" t="s">
        <v>60</v>
      </c>
      <c r="C46" s="24">
        <f t="shared" ref="C46" si="4">SUM(C43:C45)</f>
        <v>0</v>
      </c>
    </row>
    <row r="47" spans="1:3" s="20" customFormat="1">
      <c r="A47" s="75">
        <v>34</v>
      </c>
      <c r="B47" s="78" t="s">
        <v>61</v>
      </c>
      <c r="C47" s="24">
        <f t="shared" ref="C47" si="5">C46+C40+C39+C38+C36+C30</f>
        <v>14</v>
      </c>
    </row>
    <row r="48" spans="1:3" s="20" customFormat="1">
      <c r="A48" s="75">
        <v>35</v>
      </c>
      <c r="B48" s="79"/>
      <c r="C48" s="23"/>
    </row>
    <row r="49" spans="1:3" s="20" customFormat="1">
      <c r="A49" s="73">
        <v>36</v>
      </c>
      <c r="B49" s="78" t="s">
        <v>62</v>
      </c>
      <c r="C49" s="23">
        <f t="shared" ref="C49" si="6">C21-C47</f>
        <v>-14</v>
      </c>
    </row>
    <row r="50" spans="1:3" s="20" customFormat="1">
      <c r="A50" s="75">
        <v>37</v>
      </c>
      <c r="B50" s="78"/>
      <c r="C50" s="23"/>
    </row>
    <row r="51" spans="1:3" s="20" customFormat="1">
      <c r="A51" s="75">
        <v>38</v>
      </c>
      <c r="B51" s="78" t="s">
        <v>63</v>
      </c>
      <c r="C51" s="23"/>
    </row>
    <row r="52" spans="1:3" s="20" customFormat="1">
      <c r="A52" s="73">
        <v>39</v>
      </c>
      <c r="B52" s="78" t="s">
        <v>64</v>
      </c>
      <c r="C52" s="23">
        <f>ROUND(C105,0)</f>
        <v>-5</v>
      </c>
    </row>
    <row r="53" spans="1:3" s="20" customFormat="1">
      <c r="A53" s="75">
        <v>40</v>
      </c>
      <c r="B53" s="78" t="s">
        <v>366</v>
      </c>
      <c r="C53" s="23"/>
    </row>
    <row r="54" spans="1:3" s="20" customFormat="1">
      <c r="A54" s="75">
        <v>41</v>
      </c>
      <c r="B54" s="78" t="s">
        <v>65</v>
      </c>
      <c r="C54" s="23"/>
    </row>
    <row r="55" spans="1:3" s="20" customFormat="1">
      <c r="A55" s="73">
        <v>42</v>
      </c>
      <c r="B55" s="78" t="s">
        <v>238</v>
      </c>
      <c r="C55" s="24"/>
    </row>
    <row r="56" spans="1:3">
      <c r="A56" s="73">
        <v>45</v>
      </c>
      <c r="B56" s="79"/>
      <c r="C56" s="23"/>
    </row>
    <row r="57" spans="1:3" s="15" customFormat="1" ht="13.5" thickBot="1">
      <c r="A57" s="75">
        <v>46</v>
      </c>
      <c r="B57" s="76" t="s">
        <v>66</v>
      </c>
      <c r="C57" s="567">
        <f t="shared" ref="C57" si="7">C49-SUM(C52:C55)</f>
        <v>-9</v>
      </c>
    </row>
    <row r="58" spans="1:3" ht="13.5" thickTop="1">
      <c r="A58" s="75">
        <v>47</v>
      </c>
      <c r="B58" s="2"/>
      <c r="C58" s="23"/>
    </row>
    <row r="59" spans="1:3">
      <c r="A59" s="73">
        <v>48</v>
      </c>
      <c r="B59" s="416" t="s">
        <v>21</v>
      </c>
      <c r="C59" s="23"/>
    </row>
    <row r="60" spans="1:3">
      <c r="A60" s="75">
        <v>49</v>
      </c>
      <c r="B60" s="63" t="s">
        <v>67</v>
      </c>
      <c r="C60" s="23"/>
    </row>
    <row r="61" spans="1:3" s="15" customFormat="1">
      <c r="A61" s="75">
        <v>50</v>
      </c>
      <c r="B61" s="396" t="s">
        <v>68</v>
      </c>
      <c r="C61" s="23">
        <v>0</v>
      </c>
    </row>
    <row r="62" spans="1:3" s="20" customFormat="1">
      <c r="A62" s="73">
        <v>51</v>
      </c>
      <c r="B62" s="397" t="s">
        <v>69</v>
      </c>
      <c r="C62" s="23"/>
    </row>
    <row r="63" spans="1:3" s="20" customFormat="1">
      <c r="A63" s="75">
        <v>52</v>
      </c>
      <c r="B63" s="397" t="s">
        <v>70</v>
      </c>
      <c r="C63" s="23">
        <v>0</v>
      </c>
    </row>
    <row r="64" spans="1:3" s="20" customFormat="1">
      <c r="A64" s="75">
        <v>53</v>
      </c>
      <c r="B64" s="397" t="s">
        <v>53</v>
      </c>
      <c r="C64" s="23">
        <v>0</v>
      </c>
    </row>
    <row r="65" spans="1:3" s="20" customFormat="1">
      <c r="A65" s="73">
        <v>54</v>
      </c>
      <c r="B65" s="397" t="s">
        <v>71</v>
      </c>
      <c r="C65" s="24">
        <v>0</v>
      </c>
    </row>
    <row r="66" spans="1:3" s="20" customFormat="1">
      <c r="A66" s="75">
        <v>55</v>
      </c>
      <c r="B66" s="398" t="s">
        <v>72</v>
      </c>
      <c r="C66" s="23">
        <f t="shared" ref="C66" si="8">SUM(C61:C65)</f>
        <v>0</v>
      </c>
    </row>
    <row r="67" spans="1:3" s="20" customFormat="1">
      <c r="A67" s="75">
        <v>56</v>
      </c>
      <c r="B67" s="78" t="s">
        <v>244</v>
      </c>
      <c r="C67" s="23">
        <v>0</v>
      </c>
    </row>
    <row r="68" spans="1:3" s="20" customFormat="1">
      <c r="A68" s="73">
        <v>57</v>
      </c>
      <c r="B68" s="78" t="s">
        <v>245</v>
      </c>
      <c r="C68" s="24"/>
    </row>
    <row r="69" spans="1:3" s="20" customFormat="1">
      <c r="A69" s="75">
        <v>58</v>
      </c>
      <c r="B69" s="397" t="s">
        <v>73</v>
      </c>
      <c r="C69" s="23">
        <f t="shared" ref="C69" si="9">SUM(C67:C68)</f>
        <v>0</v>
      </c>
    </row>
    <row r="70" spans="1:3" s="20" customFormat="1">
      <c r="A70" s="75">
        <v>59</v>
      </c>
      <c r="B70" s="78" t="s">
        <v>246</v>
      </c>
      <c r="C70" s="23">
        <v>0</v>
      </c>
    </row>
    <row r="71" spans="1:3" s="20" customFormat="1">
      <c r="A71" s="73">
        <v>60</v>
      </c>
      <c r="B71" s="78" t="s">
        <v>351</v>
      </c>
      <c r="C71" s="23"/>
    </row>
    <row r="72" spans="1:3" s="20" customFormat="1">
      <c r="A72" s="75">
        <v>61</v>
      </c>
      <c r="B72" s="78" t="s">
        <v>236</v>
      </c>
      <c r="C72" s="23"/>
    </row>
    <row r="73" spans="1:3" s="20" customFormat="1">
      <c r="A73" s="75">
        <v>62</v>
      </c>
      <c r="B73" s="78" t="s">
        <v>247</v>
      </c>
      <c r="C73" s="23"/>
    </row>
    <row r="74" spans="1:3" s="20" customFormat="1">
      <c r="A74" s="73">
        <v>63</v>
      </c>
      <c r="B74" s="78" t="s">
        <v>248</v>
      </c>
      <c r="C74" s="24">
        <v>0</v>
      </c>
    </row>
    <row r="75" spans="1:3" s="20" customFormat="1">
      <c r="A75" s="75">
        <v>64</v>
      </c>
      <c r="B75" s="79"/>
      <c r="C75" s="28"/>
    </row>
    <row r="76" spans="1:3" s="20" customFormat="1">
      <c r="A76" s="75">
        <v>65</v>
      </c>
      <c r="B76" s="79"/>
      <c r="C76" s="23"/>
    </row>
    <row r="77" spans="1:3" s="15" customFormat="1" ht="13.5" thickBot="1">
      <c r="A77" s="73">
        <v>66</v>
      </c>
      <c r="B77" s="425" t="s">
        <v>74</v>
      </c>
      <c r="C77" s="568">
        <f t="shared" ref="C77" si="10">C66-C69+C70+C72+C73+C74+C71</f>
        <v>0</v>
      </c>
    </row>
    <row r="78" spans="1:3" ht="13.5" thickTop="1">
      <c r="B78" s="83"/>
    </row>
    <row r="79" spans="1:3">
      <c r="A79" s="84"/>
      <c r="B79" s="38"/>
      <c r="C79" s="57"/>
    </row>
    <row r="80" spans="1:3">
      <c r="A80" s="89"/>
      <c r="B80" s="39"/>
    </row>
    <row r="81" spans="1:3">
      <c r="A81" s="73">
        <v>1</v>
      </c>
      <c r="B81" s="392" t="s">
        <v>116</v>
      </c>
    </row>
    <row r="82" spans="1:3">
      <c r="A82" s="73">
        <v>2</v>
      </c>
      <c r="B82" s="87" t="s">
        <v>18</v>
      </c>
      <c r="C82" s="82">
        <f t="shared" ref="C82" si="11">+C21</f>
        <v>0</v>
      </c>
    </row>
    <row r="83" spans="1:3">
      <c r="A83" s="73">
        <v>3</v>
      </c>
      <c r="B83" s="87" t="s">
        <v>19</v>
      </c>
      <c r="C83" s="23">
        <f t="shared" ref="C83" si="12">+C47</f>
        <v>14</v>
      </c>
    </row>
    <row r="84" spans="1:3">
      <c r="A84" s="73">
        <v>4</v>
      </c>
      <c r="B84" s="87" t="s">
        <v>274</v>
      </c>
      <c r="C84" s="23"/>
    </row>
    <row r="85" spans="1:3">
      <c r="A85" s="73">
        <v>5</v>
      </c>
      <c r="B85" s="399" t="s">
        <v>119</v>
      </c>
      <c r="C85" s="27">
        <f>+C82-C83-C84</f>
        <v>-14</v>
      </c>
    </row>
    <row r="86" spans="1:3">
      <c r="A86" s="73">
        <v>6</v>
      </c>
      <c r="B86" s="91"/>
      <c r="C86" s="80"/>
    </row>
    <row r="87" spans="1:3">
      <c r="A87" s="73">
        <v>7</v>
      </c>
      <c r="B87" s="86" t="s">
        <v>120</v>
      </c>
      <c r="C87" s="80"/>
    </row>
    <row r="88" spans="1:3">
      <c r="A88" s="73">
        <v>8</v>
      </c>
      <c r="B88" s="87" t="s">
        <v>121</v>
      </c>
      <c r="C88" s="80"/>
    </row>
    <row r="89" spans="1:3">
      <c r="A89" s="73">
        <v>9</v>
      </c>
      <c r="B89" s="87" t="s">
        <v>130</v>
      </c>
      <c r="C89" s="80"/>
    </row>
    <row r="90" spans="1:3">
      <c r="A90" s="73">
        <v>10</v>
      </c>
      <c r="B90" s="87" t="s">
        <v>122</v>
      </c>
      <c r="C90" s="80"/>
    </row>
    <row r="91" spans="1:3">
      <c r="A91" s="73">
        <v>11</v>
      </c>
      <c r="B91" s="39"/>
      <c r="C91" s="80"/>
    </row>
    <row r="92" spans="1:3">
      <c r="A92" s="73">
        <v>12</v>
      </c>
      <c r="B92" s="86" t="s">
        <v>123</v>
      </c>
      <c r="C92" s="27">
        <f t="shared" ref="C92" si="13">SUM(C88:C90)</f>
        <v>0</v>
      </c>
    </row>
    <row r="93" spans="1:3">
      <c r="A93" s="73">
        <v>13</v>
      </c>
      <c r="B93" s="39"/>
      <c r="C93" s="80"/>
    </row>
    <row r="94" spans="1:3">
      <c r="A94" s="73">
        <v>14</v>
      </c>
      <c r="B94" s="86" t="s">
        <v>365</v>
      </c>
      <c r="C94" s="80"/>
    </row>
    <row r="95" spans="1:3">
      <c r="A95" s="73">
        <v>15</v>
      </c>
      <c r="B95" s="86" t="s">
        <v>178</v>
      </c>
      <c r="C95" s="80">
        <v>0</v>
      </c>
    </row>
    <row r="96" spans="1:3">
      <c r="A96" s="73">
        <v>16</v>
      </c>
      <c r="B96" s="87" t="s">
        <v>177</v>
      </c>
      <c r="C96" s="80"/>
    </row>
    <row r="97" spans="1:3">
      <c r="A97" s="73">
        <v>17</v>
      </c>
      <c r="B97" s="87" t="s">
        <v>275</v>
      </c>
      <c r="C97" s="80"/>
    </row>
    <row r="98" spans="1:3">
      <c r="A98" s="73">
        <v>18</v>
      </c>
      <c r="B98" s="87"/>
      <c r="C98" s="80"/>
    </row>
    <row r="99" spans="1:3">
      <c r="A99" s="73">
        <v>19</v>
      </c>
      <c r="B99" s="86" t="s">
        <v>125</v>
      </c>
      <c r="C99" s="27">
        <f t="shared" ref="C99" si="14">SUM(C95:C97)</f>
        <v>0</v>
      </c>
    </row>
    <row r="100" spans="1:3">
      <c r="A100" s="73">
        <v>20</v>
      </c>
      <c r="B100" s="39"/>
      <c r="C100" s="80"/>
    </row>
    <row r="101" spans="1:3">
      <c r="A101" s="73">
        <v>21</v>
      </c>
      <c r="B101" s="87" t="s">
        <v>255</v>
      </c>
      <c r="C101" s="28">
        <f>+C85+C92-C99</f>
        <v>-14</v>
      </c>
    </row>
    <row r="102" spans="1:3">
      <c r="A102" s="73">
        <v>22</v>
      </c>
      <c r="B102" s="87" t="s">
        <v>126</v>
      </c>
      <c r="C102" s="94">
        <v>0.35</v>
      </c>
    </row>
    <row r="103" spans="1:3">
      <c r="A103" s="73">
        <v>23</v>
      </c>
      <c r="B103" s="86" t="s">
        <v>127</v>
      </c>
      <c r="C103" s="93">
        <f t="shared" ref="C103" si="15">C101*C102</f>
        <v>-4.8999999999999995</v>
      </c>
    </row>
    <row r="104" spans="1:3">
      <c r="A104" s="73">
        <v>24</v>
      </c>
      <c r="B104" s="87" t="s">
        <v>128</v>
      </c>
      <c r="C104" s="80">
        <f t="shared" ref="C104" si="16">+(C95-C88+C96)*C102</f>
        <v>0</v>
      </c>
    </row>
    <row r="105" spans="1:3" ht="13.5" thickBot="1">
      <c r="A105" s="73">
        <v>25</v>
      </c>
      <c r="B105" s="95" t="s">
        <v>129</v>
      </c>
      <c r="C105" s="96">
        <f t="shared" ref="C105" si="17">+C103+C104</f>
        <v>-4.8999999999999995</v>
      </c>
    </row>
    <row r="106" spans="1:3" ht="13.5" thickTop="1">
      <c r="A106" s="89"/>
    </row>
  </sheetData>
  <printOptions horizontalCentered="1"/>
  <pageMargins left="0.5" right="0.5" top="1.5" bottom="0.3" header="0.5" footer="0.5"/>
  <pageSetup scale="60" fitToWidth="0" orientation="portrait" useFirstPageNumber="1" r:id="rId1"/>
  <headerFooter scaleWithDoc="0" alignWithMargins="0">
    <oddHeader>&amp;L&amp;"Arial,Regular"&amp;10Avista Corporation
&amp;"Arial,Bold"Electric - Restating Adjustments (Schedule 1.2)&amp;"Arial,Regular"
Twelve Months Ended December 31, 2011&amp;R&amp;"Arial,Regular"&amp;10Exhibit No. ___ (JH-2)
Docket UE-120436 &amp;&amp; UG-120437
Page &amp;P of  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6"/>
  <sheetViews>
    <sheetView topLeftCell="A9" zoomScale="75" zoomScaleNormal="75" workbookViewId="0">
      <pane xSplit="2" ySplit="4" topLeftCell="C28" activePane="bottomRight" state="frozen"/>
      <selection activeCell="G79" sqref="G79"/>
      <selection pane="topRight" activeCell="G79" sqref="G79"/>
      <selection pane="bottomLeft" activeCell="G79" sqref="G79"/>
      <selection pane="bottomRight" activeCell="C53" sqref="C53"/>
    </sheetView>
  </sheetViews>
  <sheetFormatPr defaultColWidth="9" defaultRowHeight="12.75"/>
  <cols>
    <col min="1" max="1" width="4.625" style="64" customWidth="1"/>
    <col min="2" max="2" width="42.5" style="63" bestFit="1" customWidth="1"/>
    <col min="3" max="3" width="13.625" style="74" customWidth="1"/>
    <col min="4" max="16384" width="9" style="14"/>
  </cols>
  <sheetData>
    <row r="1" spans="1:3">
      <c r="A1" s="56"/>
      <c r="B1" s="9" t="s">
        <v>281</v>
      </c>
      <c r="C1" s="58"/>
    </row>
    <row r="2" spans="1:3">
      <c r="A2" s="411"/>
      <c r="B2" s="14"/>
      <c r="C2" s="66" t="s">
        <v>251</v>
      </c>
    </row>
    <row r="3" spans="1:3">
      <c r="A3" s="411"/>
      <c r="B3" s="9"/>
      <c r="C3" s="66"/>
    </row>
    <row r="4" spans="1:3" ht="13.5" thickBot="1">
      <c r="A4" s="411"/>
      <c r="B4" s="9"/>
      <c r="C4" s="413"/>
    </row>
    <row r="5" spans="1:3" ht="13.5" thickTop="1">
      <c r="A5" s="402"/>
      <c r="B5" s="64" t="str">
        <f>+ROO!B2</f>
        <v>(000's of Dollars)</v>
      </c>
      <c r="C5" s="65"/>
    </row>
    <row r="6" spans="1:3">
      <c r="A6" s="62"/>
      <c r="B6" s="64"/>
      <c r="C6" s="65"/>
    </row>
    <row r="7" spans="1:3">
      <c r="A7" s="403"/>
      <c r="B7" s="66" t="s">
        <v>100</v>
      </c>
      <c r="C7" s="66" t="s">
        <v>159</v>
      </c>
    </row>
    <row r="8" spans="1:3">
      <c r="A8" s="403"/>
      <c r="B8" s="66"/>
      <c r="C8" s="66"/>
    </row>
    <row r="9" spans="1:3" s="70" customFormat="1">
      <c r="A9" s="69"/>
      <c r="B9" s="69"/>
      <c r="C9" s="546">
        <v>2.08</v>
      </c>
    </row>
    <row r="10" spans="1:3" s="71" customFormat="1">
      <c r="A10" s="414"/>
      <c r="B10" s="420"/>
      <c r="C10" s="68" t="s">
        <v>2</v>
      </c>
    </row>
    <row r="11" spans="1:3" s="71" customFormat="1">
      <c r="A11" s="414" t="s">
        <v>5</v>
      </c>
      <c r="B11" s="420"/>
      <c r="C11" s="68" t="s">
        <v>337</v>
      </c>
    </row>
    <row r="12" spans="1:3" s="424" customFormat="1">
      <c r="A12" s="421" t="s">
        <v>10</v>
      </c>
      <c r="B12" s="422" t="s">
        <v>11</v>
      </c>
      <c r="C12" s="423" t="s">
        <v>239</v>
      </c>
    </row>
    <row r="13" spans="1:3" s="59" customFormat="1">
      <c r="A13" s="418"/>
      <c r="B13" s="419" t="s">
        <v>155</v>
      </c>
      <c r="C13" s="66"/>
    </row>
    <row r="14" spans="1:3">
      <c r="A14" s="73">
        <v>1</v>
      </c>
      <c r="B14" s="416" t="s">
        <v>98</v>
      </c>
      <c r="C14" s="65"/>
    </row>
    <row r="15" spans="1:3">
      <c r="A15" s="75">
        <v>2</v>
      </c>
      <c r="B15" s="63" t="s">
        <v>40</v>
      </c>
      <c r="C15" s="65"/>
    </row>
    <row r="16" spans="1:3" s="15" customFormat="1">
      <c r="A16" s="73">
        <v>3</v>
      </c>
      <c r="B16" s="76" t="s">
        <v>41</v>
      </c>
      <c r="C16" s="566"/>
    </row>
    <row r="17" spans="1:3" s="20" customFormat="1">
      <c r="A17" s="75">
        <v>4</v>
      </c>
      <c r="B17" s="78" t="s">
        <v>42</v>
      </c>
      <c r="C17" s="23">
        <v>0</v>
      </c>
    </row>
    <row r="18" spans="1:3" s="20" customFormat="1">
      <c r="A18" s="73">
        <v>5</v>
      </c>
      <c r="B18" s="78" t="s">
        <v>43</v>
      </c>
      <c r="C18" s="24">
        <v>0</v>
      </c>
    </row>
    <row r="19" spans="1:3" s="20" customFormat="1">
      <c r="A19" s="75">
        <v>6</v>
      </c>
      <c r="B19" s="397" t="s">
        <v>44</v>
      </c>
      <c r="C19" s="23">
        <f t="shared" ref="C19" si="0">SUM(C16:C18)</f>
        <v>0</v>
      </c>
    </row>
    <row r="20" spans="1:3" s="20" customFormat="1">
      <c r="A20" s="73">
        <v>7</v>
      </c>
      <c r="B20" s="78" t="s">
        <v>45</v>
      </c>
      <c r="C20" s="24">
        <v>0</v>
      </c>
    </row>
    <row r="21" spans="1:3" s="20" customFormat="1">
      <c r="A21" s="75">
        <v>8</v>
      </c>
      <c r="B21" s="397" t="s">
        <v>46</v>
      </c>
      <c r="C21" s="23">
        <f t="shared" ref="C21" si="1">SUM(C19:C20)</f>
        <v>0</v>
      </c>
    </row>
    <row r="22" spans="1:3" s="20" customFormat="1">
      <c r="A22" s="73">
        <v>9</v>
      </c>
      <c r="B22" s="79"/>
      <c r="C22" s="23"/>
    </row>
    <row r="23" spans="1:3" s="20" customFormat="1">
      <c r="A23" s="75">
        <v>10</v>
      </c>
      <c r="B23" s="78" t="s">
        <v>20</v>
      </c>
      <c r="C23" s="23"/>
    </row>
    <row r="24" spans="1:3" s="20" customFormat="1">
      <c r="A24" s="73">
        <v>11</v>
      </c>
      <c r="B24" s="78" t="s">
        <v>47</v>
      </c>
      <c r="C24" s="23"/>
    </row>
    <row r="25" spans="1:3" s="20" customFormat="1">
      <c r="A25" s="75">
        <v>12</v>
      </c>
      <c r="B25" s="397" t="s">
        <v>48</v>
      </c>
      <c r="C25" s="23">
        <v>0</v>
      </c>
    </row>
    <row r="26" spans="1:3" s="20" customFormat="1">
      <c r="A26" s="73">
        <v>13</v>
      </c>
      <c r="B26" s="397" t="s">
        <v>49</v>
      </c>
      <c r="C26" s="23">
        <v>0</v>
      </c>
    </row>
    <row r="27" spans="1:3" s="20" customFormat="1">
      <c r="A27" s="75">
        <v>14</v>
      </c>
      <c r="B27" s="397" t="s">
        <v>50</v>
      </c>
      <c r="C27" s="23">
        <v>0</v>
      </c>
    </row>
    <row r="28" spans="1:3" s="20" customFormat="1">
      <c r="A28" s="73">
        <v>15</v>
      </c>
      <c r="B28" s="393" t="s">
        <v>349</v>
      </c>
      <c r="C28" s="23"/>
    </row>
    <row r="29" spans="1:3" s="20" customFormat="1">
      <c r="A29" s="75">
        <v>16</v>
      </c>
      <c r="B29" s="397" t="s">
        <v>51</v>
      </c>
      <c r="C29" s="24">
        <v>0</v>
      </c>
    </row>
    <row r="30" spans="1:3" s="20" customFormat="1">
      <c r="A30" s="73">
        <v>17</v>
      </c>
      <c r="B30" s="398" t="s">
        <v>52</v>
      </c>
      <c r="C30" s="23">
        <f t="shared" ref="C30" si="2">SUM(C25:C29)</f>
        <v>0</v>
      </c>
    </row>
    <row r="31" spans="1:3" s="20" customFormat="1">
      <c r="A31" s="75">
        <v>18</v>
      </c>
      <c r="B31" s="79"/>
      <c r="C31" s="23"/>
    </row>
    <row r="32" spans="1:3" s="20" customFormat="1">
      <c r="A32" s="73">
        <v>19</v>
      </c>
      <c r="B32" s="78" t="s">
        <v>53</v>
      </c>
      <c r="C32" s="23"/>
    </row>
    <row r="33" spans="1:3" s="20" customFormat="1">
      <c r="A33" s="75">
        <v>20</v>
      </c>
      <c r="B33" s="397" t="s">
        <v>48</v>
      </c>
      <c r="C33" s="23">
        <v>0</v>
      </c>
    </row>
    <row r="34" spans="1:3" s="20" customFormat="1">
      <c r="A34" s="73">
        <v>21</v>
      </c>
      <c r="B34" s="397" t="s">
        <v>54</v>
      </c>
      <c r="C34" s="23"/>
    </row>
    <row r="35" spans="1:3" s="20" customFormat="1">
      <c r="A35" s="75">
        <v>22</v>
      </c>
      <c r="B35" s="397" t="s">
        <v>51</v>
      </c>
      <c r="C35" s="24">
        <v>0</v>
      </c>
    </row>
    <row r="36" spans="1:3" s="20" customFormat="1">
      <c r="A36" s="73">
        <v>23</v>
      </c>
      <c r="B36" s="398" t="s">
        <v>55</v>
      </c>
      <c r="C36" s="23">
        <f t="shared" ref="C36" si="3">SUM(C33:C35)</f>
        <v>0</v>
      </c>
    </row>
    <row r="37" spans="1:3" s="20" customFormat="1">
      <c r="A37" s="75">
        <v>24</v>
      </c>
      <c r="B37" s="79"/>
      <c r="C37" s="23"/>
    </row>
    <row r="38" spans="1:3" s="20" customFormat="1">
      <c r="A38" s="73">
        <v>25</v>
      </c>
      <c r="B38" s="78" t="s">
        <v>56</v>
      </c>
      <c r="C38" s="23">
        <v>-2</v>
      </c>
    </row>
    <row r="39" spans="1:3" s="20" customFormat="1">
      <c r="A39" s="75">
        <v>26</v>
      </c>
      <c r="B39" s="78" t="s">
        <v>57</v>
      </c>
      <c r="C39" s="23">
        <v>0</v>
      </c>
    </row>
    <row r="40" spans="1:3" s="20" customFormat="1">
      <c r="A40" s="73">
        <v>27</v>
      </c>
      <c r="B40" s="78" t="s">
        <v>58</v>
      </c>
      <c r="C40" s="23">
        <v>0</v>
      </c>
    </row>
    <row r="41" spans="1:3" s="20" customFormat="1">
      <c r="A41" s="75">
        <v>28</v>
      </c>
      <c r="B41" s="79"/>
      <c r="C41" s="23">
        <v>0</v>
      </c>
    </row>
    <row r="42" spans="1:3" s="20" customFormat="1">
      <c r="A42" s="75">
        <v>29</v>
      </c>
      <c r="B42" s="78" t="s">
        <v>59</v>
      </c>
      <c r="C42" s="23">
        <v>0</v>
      </c>
    </row>
    <row r="43" spans="1:3" s="20" customFormat="1">
      <c r="A43" s="73">
        <v>30</v>
      </c>
      <c r="B43" s="397" t="s">
        <v>48</v>
      </c>
      <c r="C43" s="23">
        <v>0</v>
      </c>
    </row>
    <row r="44" spans="1:3" s="20" customFormat="1">
      <c r="A44" s="75">
        <v>31</v>
      </c>
      <c r="B44" s="397" t="s">
        <v>54</v>
      </c>
      <c r="C44" s="23"/>
    </row>
    <row r="45" spans="1:3" s="20" customFormat="1">
      <c r="A45" s="75">
        <v>32</v>
      </c>
      <c r="B45" s="397" t="s">
        <v>51</v>
      </c>
      <c r="C45" s="24">
        <v>0</v>
      </c>
    </row>
    <row r="46" spans="1:3" s="20" customFormat="1">
      <c r="A46" s="73">
        <v>33</v>
      </c>
      <c r="B46" s="398" t="s">
        <v>60</v>
      </c>
      <c r="C46" s="24">
        <f t="shared" ref="C46" si="4">SUM(C43:C45)</f>
        <v>0</v>
      </c>
    </row>
    <row r="47" spans="1:3" s="20" customFormat="1">
      <c r="A47" s="75">
        <v>34</v>
      </c>
      <c r="B47" s="78" t="s">
        <v>61</v>
      </c>
      <c r="C47" s="24">
        <f t="shared" ref="C47" si="5">C46+C40+C39+C38+C36+C30</f>
        <v>-2</v>
      </c>
    </row>
    <row r="48" spans="1:3" s="20" customFormat="1">
      <c r="A48" s="75">
        <v>35</v>
      </c>
      <c r="B48" s="79"/>
      <c r="C48" s="23"/>
    </row>
    <row r="49" spans="1:3" s="20" customFormat="1">
      <c r="A49" s="73">
        <v>36</v>
      </c>
      <c r="B49" s="78" t="s">
        <v>62</v>
      </c>
      <c r="C49" s="23">
        <f t="shared" ref="C49" si="6">C21-C47</f>
        <v>2</v>
      </c>
    </row>
    <row r="50" spans="1:3" s="20" customFormat="1">
      <c r="A50" s="75">
        <v>37</v>
      </c>
      <c r="B50" s="78"/>
      <c r="C50" s="23"/>
    </row>
    <row r="51" spans="1:3" s="20" customFormat="1">
      <c r="A51" s="75">
        <v>38</v>
      </c>
      <c r="B51" s="78" t="s">
        <v>63</v>
      </c>
      <c r="C51" s="23"/>
    </row>
    <row r="52" spans="1:3" s="20" customFormat="1">
      <c r="A52" s="73">
        <v>39</v>
      </c>
      <c r="B52" s="78" t="s">
        <v>64</v>
      </c>
      <c r="C52" s="23">
        <f>ROUND(C105,0)</f>
        <v>1</v>
      </c>
    </row>
    <row r="53" spans="1:3" s="20" customFormat="1">
      <c r="A53" s="75">
        <v>40</v>
      </c>
      <c r="B53" s="78" t="s">
        <v>366</v>
      </c>
      <c r="C53" s="23"/>
    </row>
    <row r="54" spans="1:3" s="20" customFormat="1">
      <c r="A54" s="75">
        <v>41</v>
      </c>
      <c r="B54" s="78" t="s">
        <v>65</v>
      </c>
      <c r="C54" s="23"/>
    </row>
    <row r="55" spans="1:3" s="20" customFormat="1">
      <c r="A55" s="73">
        <v>42</v>
      </c>
      <c r="B55" s="78" t="s">
        <v>238</v>
      </c>
      <c r="C55" s="24"/>
    </row>
    <row r="56" spans="1:3">
      <c r="A56" s="73">
        <v>45</v>
      </c>
      <c r="B56" s="79"/>
      <c r="C56" s="23"/>
    </row>
    <row r="57" spans="1:3" s="15" customFormat="1" ht="13.5" thickBot="1">
      <c r="A57" s="75">
        <v>46</v>
      </c>
      <c r="B57" s="76" t="s">
        <v>66</v>
      </c>
      <c r="C57" s="567">
        <f t="shared" ref="C57" si="7">C49-SUM(C52:C55)</f>
        <v>1</v>
      </c>
    </row>
    <row r="58" spans="1:3" ht="13.5" thickTop="1">
      <c r="A58" s="75">
        <v>47</v>
      </c>
      <c r="B58" s="2"/>
      <c r="C58" s="23"/>
    </row>
    <row r="59" spans="1:3">
      <c r="A59" s="73">
        <v>48</v>
      </c>
      <c r="B59" s="416" t="s">
        <v>21</v>
      </c>
      <c r="C59" s="23"/>
    </row>
    <row r="60" spans="1:3">
      <c r="A60" s="75">
        <v>49</v>
      </c>
      <c r="B60" s="63" t="s">
        <v>67</v>
      </c>
      <c r="C60" s="23"/>
    </row>
    <row r="61" spans="1:3" s="15" customFormat="1">
      <c r="A61" s="75">
        <v>50</v>
      </c>
      <c r="B61" s="396" t="s">
        <v>68</v>
      </c>
      <c r="C61" s="23">
        <v>0</v>
      </c>
    </row>
    <row r="62" spans="1:3" s="20" customFormat="1">
      <c r="A62" s="73">
        <v>51</v>
      </c>
      <c r="B62" s="397" t="s">
        <v>69</v>
      </c>
      <c r="C62" s="23"/>
    </row>
    <row r="63" spans="1:3" s="20" customFormat="1">
      <c r="A63" s="75">
        <v>52</v>
      </c>
      <c r="B63" s="397" t="s">
        <v>70</v>
      </c>
      <c r="C63" s="23">
        <v>0</v>
      </c>
    </row>
    <row r="64" spans="1:3" s="20" customFormat="1">
      <c r="A64" s="75">
        <v>53</v>
      </c>
      <c r="B64" s="397" t="s">
        <v>53</v>
      </c>
      <c r="C64" s="23">
        <v>0</v>
      </c>
    </row>
    <row r="65" spans="1:3" s="20" customFormat="1">
      <c r="A65" s="73">
        <v>54</v>
      </c>
      <c r="B65" s="397" t="s">
        <v>71</v>
      </c>
      <c r="C65" s="24">
        <v>0</v>
      </c>
    </row>
    <row r="66" spans="1:3" s="20" customFormat="1">
      <c r="A66" s="75">
        <v>55</v>
      </c>
      <c r="B66" s="398" t="s">
        <v>72</v>
      </c>
      <c r="C66" s="23">
        <f t="shared" ref="C66" si="8">SUM(C61:C65)</f>
        <v>0</v>
      </c>
    </row>
    <row r="67" spans="1:3" s="20" customFormat="1">
      <c r="A67" s="75">
        <v>56</v>
      </c>
      <c r="B67" s="78" t="s">
        <v>244</v>
      </c>
      <c r="C67" s="23">
        <v>0</v>
      </c>
    </row>
    <row r="68" spans="1:3" s="20" customFormat="1">
      <c r="A68" s="73">
        <v>57</v>
      </c>
      <c r="B68" s="78" t="s">
        <v>245</v>
      </c>
      <c r="C68" s="24"/>
    </row>
    <row r="69" spans="1:3" s="20" customFormat="1">
      <c r="A69" s="75">
        <v>58</v>
      </c>
      <c r="B69" s="397" t="s">
        <v>73</v>
      </c>
      <c r="C69" s="23">
        <f t="shared" ref="C69" si="9">SUM(C67:C68)</f>
        <v>0</v>
      </c>
    </row>
    <row r="70" spans="1:3" s="20" customFormat="1">
      <c r="A70" s="75">
        <v>59</v>
      </c>
      <c r="B70" s="78" t="s">
        <v>246</v>
      </c>
      <c r="C70" s="23">
        <v>0</v>
      </c>
    </row>
    <row r="71" spans="1:3" s="20" customFormat="1">
      <c r="A71" s="73">
        <v>60</v>
      </c>
      <c r="B71" s="78" t="s">
        <v>351</v>
      </c>
      <c r="C71" s="23"/>
    </row>
    <row r="72" spans="1:3" s="20" customFormat="1">
      <c r="A72" s="75">
        <v>61</v>
      </c>
      <c r="B72" s="78" t="s">
        <v>236</v>
      </c>
      <c r="C72" s="23"/>
    </row>
    <row r="73" spans="1:3" s="20" customFormat="1">
      <c r="A73" s="75">
        <v>62</v>
      </c>
      <c r="B73" s="78" t="s">
        <v>247</v>
      </c>
      <c r="C73" s="23"/>
    </row>
    <row r="74" spans="1:3" s="20" customFormat="1">
      <c r="A74" s="73">
        <v>63</v>
      </c>
      <c r="B74" s="78" t="s">
        <v>248</v>
      </c>
      <c r="C74" s="24">
        <v>0</v>
      </c>
    </row>
    <row r="75" spans="1:3" s="20" customFormat="1">
      <c r="A75" s="75">
        <v>64</v>
      </c>
      <c r="B75" s="79"/>
      <c r="C75" s="28"/>
    </row>
    <row r="76" spans="1:3" s="20" customFormat="1">
      <c r="A76" s="75">
        <v>65</v>
      </c>
      <c r="B76" s="79"/>
      <c r="C76" s="23"/>
    </row>
    <row r="77" spans="1:3" s="15" customFormat="1" ht="13.5" thickBot="1">
      <c r="A77" s="73">
        <v>66</v>
      </c>
      <c r="B77" s="425" t="s">
        <v>74</v>
      </c>
      <c r="C77" s="568">
        <f t="shared" ref="C77" si="10">C66-C69+C70+C72+C73+C74+C71</f>
        <v>0</v>
      </c>
    </row>
    <row r="78" spans="1:3" ht="13.5" thickTop="1">
      <c r="B78" s="83"/>
    </row>
    <row r="79" spans="1:3">
      <c r="A79" s="84"/>
      <c r="B79" s="38"/>
      <c r="C79" s="57"/>
    </row>
    <row r="80" spans="1:3">
      <c r="A80" s="89"/>
      <c r="B80" s="39"/>
    </row>
    <row r="81" spans="1:3">
      <c r="A81" s="73">
        <v>1</v>
      </c>
      <c r="B81" s="392" t="s">
        <v>116</v>
      </c>
    </row>
    <row r="82" spans="1:3">
      <c r="A82" s="73">
        <v>2</v>
      </c>
      <c r="B82" s="87" t="s">
        <v>18</v>
      </c>
      <c r="C82" s="82">
        <f t="shared" ref="C82" si="11">+C21</f>
        <v>0</v>
      </c>
    </row>
    <row r="83" spans="1:3">
      <c r="A83" s="73">
        <v>3</v>
      </c>
      <c r="B83" s="87" t="s">
        <v>19</v>
      </c>
      <c r="C83" s="23">
        <f t="shared" ref="C83" si="12">+C47</f>
        <v>-2</v>
      </c>
    </row>
    <row r="84" spans="1:3">
      <c r="A84" s="73">
        <v>4</v>
      </c>
      <c r="B84" s="87" t="s">
        <v>274</v>
      </c>
      <c r="C84" s="23"/>
    </row>
    <row r="85" spans="1:3">
      <c r="A85" s="73">
        <v>5</v>
      </c>
      <c r="B85" s="399" t="s">
        <v>119</v>
      </c>
      <c r="C85" s="27">
        <f t="shared" ref="C85" si="13">+C82-C83-C84</f>
        <v>2</v>
      </c>
    </row>
    <row r="86" spans="1:3">
      <c r="A86" s="73">
        <v>6</v>
      </c>
      <c r="B86" s="91"/>
      <c r="C86" s="80"/>
    </row>
    <row r="87" spans="1:3">
      <c r="A87" s="73">
        <v>7</v>
      </c>
      <c r="B87" s="86" t="s">
        <v>120</v>
      </c>
      <c r="C87" s="80"/>
    </row>
    <row r="88" spans="1:3">
      <c r="A88" s="73">
        <v>8</v>
      </c>
      <c r="B88" s="87" t="s">
        <v>121</v>
      </c>
      <c r="C88" s="80"/>
    </row>
    <row r="89" spans="1:3">
      <c r="A89" s="73">
        <v>9</v>
      </c>
      <c r="B89" s="87" t="s">
        <v>130</v>
      </c>
      <c r="C89" s="80"/>
    </row>
    <row r="90" spans="1:3">
      <c r="A90" s="73">
        <v>10</v>
      </c>
      <c r="B90" s="87" t="s">
        <v>122</v>
      </c>
      <c r="C90" s="80"/>
    </row>
    <row r="91" spans="1:3">
      <c r="A91" s="73">
        <v>11</v>
      </c>
      <c r="B91" s="39"/>
      <c r="C91" s="80"/>
    </row>
    <row r="92" spans="1:3">
      <c r="A92" s="73">
        <v>12</v>
      </c>
      <c r="B92" s="86" t="s">
        <v>123</v>
      </c>
      <c r="C92" s="27">
        <f t="shared" ref="C92" si="14">SUM(C88:C90)</f>
        <v>0</v>
      </c>
    </row>
    <row r="93" spans="1:3">
      <c r="A93" s="73">
        <v>13</v>
      </c>
      <c r="B93" s="39"/>
      <c r="C93" s="80"/>
    </row>
    <row r="94" spans="1:3">
      <c r="A94" s="73">
        <v>14</v>
      </c>
      <c r="B94" s="86" t="s">
        <v>365</v>
      </c>
      <c r="C94" s="80"/>
    </row>
    <row r="95" spans="1:3">
      <c r="A95" s="73">
        <v>15</v>
      </c>
      <c r="B95" s="86" t="s">
        <v>178</v>
      </c>
      <c r="C95" s="80">
        <v>0</v>
      </c>
    </row>
    <row r="96" spans="1:3">
      <c r="A96" s="73">
        <v>16</v>
      </c>
      <c r="B96" s="87" t="s">
        <v>177</v>
      </c>
      <c r="C96" s="80"/>
    </row>
    <row r="97" spans="1:3">
      <c r="A97" s="73">
        <v>17</v>
      </c>
      <c r="B97" s="87" t="s">
        <v>275</v>
      </c>
      <c r="C97" s="80"/>
    </row>
    <row r="98" spans="1:3">
      <c r="A98" s="73">
        <v>18</v>
      </c>
      <c r="B98" s="87"/>
      <c r="C98" s="80"/>
    </row>
    <row r="99" spans="1:3">
      <c r="A99" s="73">
        <v>19</v>
      </c>
      <c r="B99" s="86" t="s">
        <v>125</v>
      </c>
      <c r="C99" s="27">
        <f t="shared" ref="C99" si="15">SUM(C95:C97)</f>
        <v>0</v>
      </c>
    </row>
    <row r="100" spans="1:3">
      <c r="A100" s="73">
        <v>20</v>
      </c>
      <c r="B100" s="39"/>
      <c r="C100" s="80"/>
    </row>
    <row r="101" spans="1:3">
      <c r="A101" s="73">
        <v>21</v>
      </c>
      <c r="B101" s="87" t="s">
        <v>255</v>
      </c>
      <c r="C101" s="28">
        <f t="shared" ref="C101" si="16">+C85+C92-C99</f>
        <v>2</v>
      </c>
    </row>
    <row r="102" spans="1:3">
      <c r="A102" s="73">
        <v>22</v>
      </c>
      <c r="B102" s="87" t="s">
        <v>126</v>
      </c>
      <c r="C102" s="94">
        <v>0.35</v>
      </c>
    </row>
    <row r="103" spans="1:3">
      <c r="A103" s="73">
        <v>23</v>
      </c>
      <c r="B103" s="86" t="s">
        <v>127</v>
      </c>
      <c r="C103" s="93">
        <f t="shared" ref="C103" si="17">C101*C102</f>
        <v>0.7</v>
      </c>
    </row>
    <row r="104" spans="1:3">
      <c r="A104" s="73">
        <v>24</v>
      </c>
      <c r="B104" s="87" t="s">
        <v>128</v>
      </c>
      <c r="C104" s="80">
        <f t="shared" ref="C104" si="18">+(C95-C88+C96)*C102</f>
        <v>0</v>
      </c>
    </row>
    <row r="105" spans="1:3" ht="13.5" thickBot="1">
      <c r="A105" s="73">
        <v>25</v>
      </c>
      <c r="B105" s="95" t="s">
        <v>129</v>
      </c>
      <c r="C105" s="96">
        <f t="shared" ref="C105" si="19">+C103+C104</f>
        <v>0.7</v>
      </c>
    </row>
    <row r="106" spans="1:3" ht="13.5" thickTop="1">
      <c r="A106" s="89"/>
    </row>
  </sheetData>
  <printOptions horizontalCentered="1"/>
  <pageMargins left="0.5" right="0.5" top="1.5" bottom="0.3" header="0.5" footer="0.5"/>
  <pageSetup scale="60" fitToWidth="0" orientation="portrait" useFirstPageNumber="1" r:id="rId1"/>
  <headerFooter scaleWithDoc="0" alignWithMargins="0">
    <oddHeader>&amp;L&amp;"Arial,Regular"&amp;10Avista Corporation
&amp;"Arial,Bold"Electric - Restating Adjustments (Schedule 1.2)&amp;"Arial,Regular"
Twelve Months Ended December 31, 2011&amp;R&amp;"Arial,Regular"&amp;10Exhibit No. ___ (JH-2)
Docket UE-120436 &amp;&amp; UG-120437
Page &amp;P of  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6"/>
  <sheetViews>
    <sheetView topLeftCell="A9" zoomScale="75" zoomScaleNormal="75" workbookViewId="0">
      <pane xSplit="2" ySplit="4" topLeftCell="C43" activePane="bottomRight" state="frozen"/>
      <selection activeCell="G79" sqref="G79"/>
      <selection pane="topRight" activeCell="G79" sqref="G79"/>
      <selection pane="bottomLeft" activeCell="G79" sqref="G79"/>
      <selection pane="bottomRight" activeCell="C53" sqref="C53"/>
    </sheetView>
  </sheetViews>
  <sheetFormatPr defaultColWidth="9" defaultRowHeight="12.75"/>
  <cols>
    <col min="1" max="1" width="4.625" style="64" customWidth="1"/>
    <col min="2" max="2" width="42.5" style="63" bestFit="1" customWidth="1"/>
    <col min="3" max="3" width="13.625" style="74" customWidth="1"/>
    <col min="4" max="16384" width="9" style="14"/>
  </cols>
  <sheetData>
    <row r="1" spans="1:3">
      <c r="A1" s="56"/>
      <c r="B1" s="9" t="s">
        <v>281</v>
      </c>
      <c r="C1" s="58"/>
    </row>
    <row r="2" spans="1:3">
      <c r="A2" s="411"/>
      <c r="B2" s="14"/>
      <c r="C2" s="66" t="s">
        <v>382</v>
      </c>
    </row>
    <row r="3" spans="1:3">
      <c r="A3" s="411"/>
      <c r="B3" s="9"/>
      <c r="C3" s="66"/>
    </row>
    <row r="4" spans="1:3" ht="13.5" thickBot="1">
      <c r="A4" s="411"/>
      <c r="B4" s="9"/>
      <c r="C4" s="413"/>
    </row>
    <row r="5" spans="1:3" ht="13.5" thickTop="1">
      <c r="A5" s="402"/>
      <c r="B5" s="64" t="str">
        <f>+ROO!B2</f>
        <v>(000's of Dollars)</v>
      </c>
      <c r="C5" s="65"/>
    </row>
    <row r="6" spans="1:3">
      <c r="A6" s="62"/>
      <c r="B6" s="64"/>
      <c r="C6" s="65"/>
    </row>
    <row r="7" spans="1:3">
      <c r="A7" s="403"/>
      <c r="B7" s="66" t="s">
        <v>100</v>
      </c>
      <c r="C7" s="102" t="s">
        <v>160</v>
      </c>
    </row>
    <row r="8" spans="1:3">
      <c r="A8" s="403"/>
      <c r="B8" s="66"/>
    </row>
    <row r="9" spans="1:3" s="70" customFormat="1">
      <c r="A9" s="69"/>
      <c r="B9" s="69"/>
      <c r="C9" s="547">
        <v>2.09</v>
      </c>
    </row>
    <row r="10" spans="1:3" s="71" customFormat="1">
      <c r="A10" s="414"/>
      <c r="B10" s="420"/>
      <c r="C10" s="68" t="s">
        <v>335</v>
      </c>
    </row>
    <row r="11" spans="1:3" s="71" customFormat="1">
      <c r="A11" s="414" t="s">
        <v>5</v>
      </c>
      <c r="B11" s="420"/>
      <c r="C11" s="68" t="s">
        <v>336</v>
      </c>
    </row>
    <row r="12" spans="1:3" s="424" customFormat="1">
      <c r="A12" s="421" t="s">
        <v>10</v>
      </c>
      <c r="B12" s="422" t="s">
        <v>11</v>
      </c>
      <c r="C12" s="423" t="s">
        <v>214</v>
      </c>
    </row>
    <row r="13" spans="1:3" s="59" customFormat="1">
      <c r="A13" s="418"/>
      <c r="B13" s="419" t="s">
        <v>155</v>
      </c>
      <c r="C13" s="66"/>
    </row>
    <row r="14" spans="1:3">
      <c r="A14" s="73">
        <v>1</v>
      </c>
      <c r="B14" s="416" t="s">
        <v>98</v>
      </c>
      <c r="C14" s="65"/>
    </row>
    <row r="15" spans="1:3">
      <c r="A15" s="75">
        <v>2</v>
      </c>
      <c r="B15" s="63" t="s">
        <v>40</v>
      </c>
      <c r="C15" s="65"/>
    </row>
    <row r="16" spans="1:3" s="15" customFormat="1">
      <c r="A16" s="73">
        <v>3</v>
      </c>
      <c r="B16" s="76" t="s">
        <v>41</v>
      </c>
      <c r="C16" s="566"/>
    </row>
    <row r="17" spans="1:3" s="20" customFormat="1">
      <c r="A17" s="75">
        <v>4</v>
      </c>
      <c r="B17" s="78" t="s">
        <v>42</v>
      </c>
      <c r="C17" s="23">
        <v>0</v>
      </c>
    </row>
    <row r="18" spans="1:3" s="20" customFormat="1">
      <c r="A18" s="73">
        <v>5</v>
      </c>
      <c r="B18" s="78" t="s">
        <v>43</v>
      </c>
      <c r="C18" s="24">
        <v>0</v>
      </c>
    </row>
    <row r="19" spans="1:3" s="20" customFormat="1">
      <c r="A19" s="75">
        <v>6</v>
      </c>
      <c r="B19" s="397" t="s">
        <v>44</v>
      </c>
      <c r="C19" s="23">
        <f t="shared" ref="C19" si="0">SUM(C16:C18)</f>
        <v>0</v>
      </c>
    </row>
    <row r="20" spans="1:3" s="20" customFormat="1">
      <c r="A20" s="73">
        <v>7</v>
      </c>
      <c r="B20" s="78" t="s">
        <v>45</v>
      </c>
      <c r="C20" s="24">
        <v>0</v>
      </c>
    </row>
    <row r="21" spans="1:3" s="20" customFormat="1">
      <c r="A21" s="75">
        <v>8</v>
      </c>
      <c r="B21" s="397" t="s">
        <v>46</v>
      </c>
      <c r="C21" s="23">
        <f t="shared" ref="C21" si="1">SUM(C19:C20)</f>
        <v>0</v>
      </c>
    </row>
    <row r="22" spans="1:3" s="20" customFormat="1">
      <c r="A22" s="73">
        <v>9</v>
      </c>
      <c r="B22" s="79"/>
      <c r="C22" s="23"/>
    </row>
    <row r="23" spans="1:3" s="20" customFormat="1">
      <c r="A23" s="75">
        <v>10</v>
      </c>
      <c r="B23" s="78" t="s">
        <v>20</v>
      </c>
      <c r="C23" s="23"/>
    </row>
    <row r="24" spans="1:3" s="20" customFormat="1">
      <c r="A24" s="73">
        <v>11</v>
      </c>
      <c r="B24" s="78" t="s">
        <v>47</v>
      </c>
      <c r="C24" s="23"/>
    </row>
    <row r="25" spans="1:3" s="20" customFormat="1">
      <c r="A25" s="75">
        <v>12</v>
      </c>
      <c r="B25" s="397" t="s">
        <v>48</v>
      </c>
      <c r="C25" s="23">
        <v>0</v>
      </c>
    </row>
    <row r="26" spans="1:3" s="20" customFormat="1">
      <c r="A26" s="73">
        <v>13</v>
      </c>
      <c r="B26" s="397" t="s">
        <v>49</v>
      </c>
      <c r="C26" s="23">
        <v>0</v>
      </c>
    </row>
    <row r="27" spans="1:3" s="20" customFormat="1">
      <c r="A27" s="75">
        <v>14</v>
      </c>
      <c r="B27" s="397" t="s">
        <v>50</v>
      </c>
      <c r="C27" s="23">
        <v>0</v>
      </c>
    </row>
    <row r="28" spans="1:3" s="20" customFormat="1">
      <c r="A28" s="73">
        <v>15</v>
      </c>
      <c r="B28" s="393" t="s">
        <v>349</v>
      </c>
      <c r="C28" s="23"/>
    </row>
    <row r="29" spans="1:3" s="20" customFormat="1">
      <c r="A29" s="75">
        <v>16</v>
      </c>
      <c r="B29" s="397" t="s">
        <v>51</v>
      </c>
      <c r="C29" s="24">
        <v>0</v>
      </c>
    </row>
    <row r="30" spans="1:3" s="20" customFormat="1">
      <c r="A30" s="73">
        <v>17</v>
      </c>
      <c r="B30" s="398" t="s">
        <v>52</v>
      </c>
      <c r="C30" s="23">
        <f t="shared" ref="C30" si="2">SUM(C25:C29)</f>
        <v>0</v>
      </c>
    </row>
    <row r="31" spans="1:3" s="20" customFormat="1">
      <c r="A31" s="75">
        <v>18</v>
      </c>
      <c r="B31" s="79"/>
      <c r="C31" s="23"/>
    </row>
    <row r="32" spans="1:3" s="20" customFormat="1">
      <c r="A32" s="73">
        <v>19</v>
      </c>
      <c r="B32" s="78" t="s">
        <v>53</v>
      </c>
      <c r="C32" s="23"/>
    </row>
    <row r="33" spans="1:3" s="20" customFormat="1">
      <c r="A33" s="75">
        <v>20</v>
      </c>
      <c r="B33" s="397" t="s">
        <v>48</v>
      </c>
      <c r="C33" s="23">
        <v>0</v>
      </c>
    </row>
    <row r="34" spans="1:3" s="20" customFormat="1">
      <c r="A34" s="73">
        <v>21</v>
      </c>
      <c r="B34" s="397" t="s">
        <v>54</v>
      </c>
      <c r="C34" s="23"/>
    </row>
    <row r="35" spans="1:3" s="20" customFormat="1">
      <c r="A35" s="75">
        <v>22</v>
      </c>
      <c r="B35" s="397" t="s">
        <v>51</v>
      </c>
      <c r="C35" s="24">
        <v>0</v>
      </c>
    </row>
    <row r="36" spans="1:3" s="20" customFormat="1">
      <c r="A36" s="73">
        <v>23</v>
      </c>
      <c r="B36" s="398" t="s">
        <v>55</v>
      </c>
      <c r="C36" s="23">
        <f t="shared" ref="C36" si="3">SUM(C33:C35)</f>
        <v>0</v>
      </c>
    </row>
    <row r="37" spans="1:3" s="20" customFormat="1">
      <c r="A37" s="75">
        <v>24</v>
      </c>
      <c r="B37" s="79"/>
      <c r="C37" s="23"/>
    </row>
    <row r="38" spans="1:3" s="20" customFormat="1">
      <c r="A38" s="73">
        <v>25</v>
      </c>
      <c r="B38" s="78" t="s">
        <v>56</v>
      </c>
      <c r="C38" s="23">
        <v>0</v>
      </c>
    </row>
    <row r="39" spans="1:3" s="20" customFormat="1">
      <c r="A39" s="75">
        <v>26</v>
      </c>
      <c r="B39" s="78" t="s">
        <v>57</v>
      </c>
      <c r="C39" s="23">
        <v>0</v>
      </c>
    </row>
    <row r="40" spans="1:3" s="20" customFormat="1">
      <c r="A40" s="73">
        <v>27</v>
      </c>
      <c r="B40" s="78" t="s">
        <v>58</v>
      </c>
      <c r="C40" s="23">
        <v>0</v>
      </c>
    </row>
    <row r="41" spans="1:3" s="20" customFormat="1">
      <c r="A41" s="75">
        <v>28</v>
      </c>
      <c r="B41" s="79"/>
      <c r="C41" s="23">
        <v>0</v>
      </c>
    </row>
    <row r="42" spans="1:3" s="20" customFormat="1">
      <c r="A42" s="75">
        <v>29</v>
      </c>
      <c r="B42" s="78" t="s">
        <v>59</v>
      </c>
      <c r="C42" s="23">
        <v>0</v>
      </c>
    </row>
    <row r="43" spans="1:3" s="20" customFormat="1">
      <c r="A43" s="73">
        <v>30</v>
      </c>
      <c r="B43" s="397" t="s">
        <v>48</v>
      </c>
      <c r="C43" s="23">
        <v>-5</v>
      </c>
    </row>
    <row r="44" spans="1:3" s="20" customFormat="1">
      <c r="A44" s="75">
        <v>31</v>
      </c>
      <c r="B44" s="397" t="s">
        <v>54</v>
      </c>
      <c r="C44" s="23"/>
    </row>
    <row r="45" spans="1:3" s="20" customFormat="1">
      <c r="A45" s="75">
        <v>32</v>
      </c>
      <c r="B45" s="397" t="s">
        <v>51</v>
      </c>
      <c r="C45" s="24">
        <v>0</v>
      </c>
    </row>
    <row r="46" spans="1:3" s="20" customFormat="1">
      <c r="A46" s="73">
        <v>33</v>
      </c>
      <c r="B46" s="398" t="s">
        <v>60</v>
      </c>
      <c r="C46" s="24">
        <f t="shared" ref="C46" si="4">SUM(C43:C45)</f>
        <v>-5</v>
      </c>
    </row>
    <row r="47" spans="1:3" s="20" customFormat="1">
      <c r="A47" s="75">
        <v>34</v>
      </c>
      <c r="B47" s="78" t="s">
        <v>61</v>
      </c>
      <c r="C47" s="24">
        <f t="shared" ref="C47" si="5">C46+C40+C39+C38+C36+C30</f>
        <v>-5</v>
      </c>
    </row>
    <row r="48" spans="1:3" s="20" customFormat="1">
      <c r="A48" s="75">
        <v>35</v>
      </c>
      <c r="B48" s="79"/>
      <c r="C48" s="23"/>
    </row>
    <row r="49" spans="1:3" s="20" customFormat="1">
      <c r="A49" s="73">
        <v>36</v>
      </c>
      <c r="B49" s="78" t="s">
        <v>62</v>
      </c>
      <c r="C49" s="23">
        <f t="shared" ref="C49" si="6">C21-C47</f>
        <v>5</v>
      </c>
    </row>
    <row r="50" spans="1:3" s="20" customFormat="1">
      <c r="A50" s="75">
        <v>37</v>
      </c>
      <c r="B50" s="78"/>
      <c r="C50" s="23"/>
    </row>
    <row r="51" spans="1:3" s="20" customFormat="1">
      <c r="A51" s="75">
        <v>38</v>
      </c>
      <c r="B51" s="78" t="s">
        <v>63</v>
      </c>
      <c r="C51" s="23"/>
    </row>
    <row r="52" spans="1:3" s="20" customFormat="1">
      <c r="A52" s="73">
        <v>39</v>
      </c>
      <c r="B52" s="78" t="s">
        <v>64</v>
      </c>
      <c r="C52" s="23">
        <f>ROUND(C105,0)</f>
        <v>2</v>
      </c>
    </row>
    <row r="53" spans="1:3" s="20" customFormat="1">
      <c r="A53" s="75">
        <v>40</v>
      </c>
      <c r="B53" s="78" t="s">
        <v>366</v>
      </c>
      <c r="C53" s="23"/>
    </row>
    <row r="54" spans="1:3" s="20" customFormat="1">
      <c r="A54" s="75">
        <v>41</v>
      </c>
      <c r="B54" s="78" t="s">
        <v>65</v>
      </c>
      <c r="C54" s="23"/>
    </row>
    <row r="55" spans="1:3" s="20" customFormat="1">
      <c r="A55" s="73">
        <v>42</v>
      </c>
      <c r="B55" s="78" t="s">
        <v>238</v>
      </c>
      <c r="C55" s="24"/>
    </row>
    <row r="56" spans="1:3">
      <c r="A56" s="73">
        <v>45</v>
      </c>
      <c r="B56" s="79"/>
      <c r="C56" s="23"/>
    </row>
    <row r="57" spans="1:3" s="15" customFormat="1" ht="13.5" thickBot="1">
      <c r="A57" s="75">
        <v>46</v>
      </c>
      <c r="B57" s="76" t="s">
        <v>66</v>
      </c>
      <c r="C57" s="567">
        <f t="shared" ref="C57" si="7">C49-SUM(C52:C55)</f>
        <v>3</v>
      </c>
    </row>
    <row r="58" spans="1:3" ht="13.5" thickTop="1">
      <c r="A58" s="75">
        <v>47</v>
      </c>
      <c r="B58" s="2"/>
      <c r="C58" s="23"/>
    </row>
    <row r="59" spans="1:3">
      <c r="A59" s="73">
        <v>48</v>
      </c>
      <c r="B59" s="416" t="s">
        <v>21</v>
      </c>
      <c r="C59" s="23"/>
    </row>
    <row r="60" spans="1:3">
      <c r="A60" s="75">
        <v>49</v>
      </c>
      <c r="B60" s="63" t="s">
        <v>67</v>
      </c>
      <c r="C60" s="23"/>
    </row>
    <row r="61" spans="1:3" s="15" customFormat="1">
      <c r="A61" s="75">
        <v>50</v>
      </c>
      <c r="B61" s="396" t="s">
        <v>68</v>
      </c>
      <c r="C61" s="23">
        <v>0</v>
      </c>
    </row>
    <row r="62" spans="1:3" s="20" customFormat="1">
      <c r="A62" s="73">
        <v>51</v>
      </c>
      <c r="B62" s="397" t="s">
        <v>69</v>
      </c>
      <c r="C62" s="23"/>
    </row>
    <row r="63" spans="1:3" s="20" customFormat="1">
      <c r="A63" s="75">
        <v>52</v>
      </c>
      <c r="B63" s="397" t="s">
        <v>70</v>
      </c>
      <c r="C63" s="23">
        <v>0</v>
      </c>
    </row>
    <row r="64" spans="1:3" s="20" customFormat="1">
      <c r="A64" s="75">
        <v>53</v>
      </c>
      <c r="B64" s="397" t="s">
        <v>53</v>
      </c>
      <c r="C64" s="23">
        <v>0</v>
      </c>
    </row>
    <row r="65" spans="1:3" s="20" customFormat="1">
      <c r="A65" s="73">
        <v>54</v>
      </c>
      <c r="B65" s="397" t="s">
        <v>71</v>
      </c>
      <c r="C65" s="24">
        <v>0</v>
      </c>
    </row>
    <row r="66" spans="1:3" s="20" customFormat="1">
      <c r="A66" s="75">
        <v>55</v>
      </c>
      <c r="B66" s="398" t="s">
        <v>72</v>
      </c>
      <c r="C66" s="23">
        <f t="shared" ref="C66" si="8">SUM(C61:C65)</f>
        <v>0</v>
      </c>
    </row>
    <row r="67" spans="1:3" s="20" customFormat="1">
      <c r="A67" s="75">
        <v>56</v>
      </c>
      <c r="B67" s="78" t="s">
        <v>244</v>
      </c>
      <c r="C67" s="23">
        <v>0</v>
      </c>
    </row>
    <row r="68" spans="1:3" s="20" customFormat="1">
      <c r="A68" s="73">
        <v>57</v>
      </c>
      <c r="B68" s="78" t="s">
        <v>245</v>
      </c>
      <c r="C68" s="24"/>
    </row>
    <row r="69" spans="1:3" s="20" customFormat="1">
      <c r="A69" s="75">
        <v>58</v>
      </c>
      <c r="B69" s="397" t="s">
        <v>73</v>
      </c>
      <c r="C69" s="23">
        <f t="shared" ref="C69" si="9">SUM(C67:C68)</f>
        <v>0</v>
      </c>
    </row>
    <row r="70" spans="1:3" s="20" customFormat="1">
      <c r="A70" s="75">
        <v>59</v>
      </c>
      <c r="B70" s="78" t="s">
        <v>246</v>
      </c>
      <c r="C70" s="23">
        <v>0</v>
      </c>
    </row>
    <row r="71" spans="1:3" s="20" customFormat="1">
      <c r="A71" s="73">
        <v>60</v>
      </c>
      <c r="B71" s="78" t="s">
        <v>351</v>
      </c>
      <c r="C71" s="23"/>
    </row>
    <row r="72" spans="1:3" s="20" customFormat="1">
      <c r="A72" s="75">
        <v>61</v>
      </c>
      <c r="B72" s="78" t="s">
        <v>236</v>
      </c>
      <c r="C72" s="23"/>
    </row>
    <row r="73" spans="1:3" s="20" customFormat="1">
      <c r="A73" s="75">
        <v>62</v>
      </c>
      <c r="B73" s="78" t="s">
        <v>247</v>
      </c>
      <c r="C73" s="23"/>
    </row>
    <row r="74" spans="1:3" s="20" customFormat="1">
      <c r="A74" s="73">
        <v>63</v>
      </c>
      <c r="B74" s="78" t="s">
        <v>248</v>
      </c>
      <c r="C74" s="24">
        <v>0</v>
      </c>
    </row>
    <row r="75" spans="1:3" s="20" customFormat="1">
      <c r="A75" s="75">
        <v>64</v>
      </c>
      <c r="B75" s="79"/>
      <c r="C75" s="28"/>
    </row>
    <row r="76" spans="1:3" s="20" customFormat="1">
      <c r="A76" s="75">
        <v>65</v>
      </c>
      <c r="B76" s="79"/>
      <c r="C76" s="23"/>
    </row>
    <row r="77" spans="1:3" s="15" customFormat="1" ht="13.5" thickBot="1">
      <c r="A77" s="73">
        <v>66</v>
      </c>
      <c r="B77" s="425" t="s">
        <v>74</v>
      </c>
      <c r="C77" s="568">
        <f t="shared" ref="C77" si="10">C66-C69+C70+C72+C73+C74+C71</f>
        <v>0</v>
      </c>
    </row>
    <row r="78" spans="1:3" ht="13.5" thickTop="1">
      <c r="B78" s="83"/>
    </row>
    <row r="79" spans="1:3">
      <c r="A79" s="84"/>
      <c r="B79" s="38"/>
      <c r="C79" s="57"/>
    </row>
    <row r="80" spans="1:3">
      <c r="A80" s="89"/>
      <c r="B80" s="39"/>
    </row>
    <row r="81" spans="1:3">
      <c r="A81" s="73">
        <v>1</v>
      </c>
      <c r="B81" s="392" t="s">
        <v>116</v>
      </c>
    </row>
    <row r="82" spans="1:3">
      <c r="A82" s="73">
        <v>2</v>
      </c>
      <c r="B82" s="87" t="s">
        <v>18</v>
      </c>
      <c r="C82" s="82">
        <f t="shared" ref="C82" si="11">+C21</f>
        <v>0</v>
      </c>
    </row>
    <row r="83" spans="1:3">
      <c r="A83" s="73">
        <v>3</v>
      </c>
      <c r="B83" s="87" t="s">
        <v>19</v>
      </c>
      <c r="C83" s="23">
        <f t="shared" ref="C83" si="12">+C47</f>
        <v>-5</v>
      </c>
    </row>
    <row r="84" spans="1:3">
      <c r="A84" s="73">
        <v>4</v>
      </c>
      <c r="B84" s="87" t="s">
        <v>274</v>
      </c>
      <c r="C84" s="23"/>
    </row>
    <row r="85" spans="1:3">
      <c r="A85" s="73">
        <v>5</v>
      </c>
      <c r="B85" s="399" t="s">
        <v>119</v>
      </c>
      <c r="C85" s="27">
        <f t="shared" ref="C85" si="13">+C82-C83-C84</f>
        <v>5</v>
      </c>
    </row>
    <row r="86" spans="1:3">
      <c r="A86" s="73">
        <v>6</v>
      </c>
      <c r="B86" s="91"/>
      <c r="C86" s="80"/>
    </row>
    <row r="87" spans="1:3">
      <c r="A87" s="73">
        <v>7</v>
      </c>
      <c r="B87" s="86" t="s">
        <v>120</v>
      </c>
      <c r="C87" s="80"/>
    </row>
    <row r="88" spans="1:3">
      <c r="A88" s="73">
        <v>8</v>
      </c>
      <c r="B88" s="87" t="s">
        <v>121</v>
      </c>
      <c r="C88" s="80"/>
    </row>
    <row r="89" spans="1:3">
      <c r="A89" s="73">
        <v>9</v>
      </c>
      <c r="B89" s="87" t="s">
        <v>130</v>
      </c>
      <c r="C89" s="80"/>
    </row>
    <row r="90" spans="1:3">
      <c r="A90" s="73">
        <v>10</v>
      </c>
      <c r="B90" s="87" t="s">
        <v>122</v>
      </c>
      <c r="C90" s="80"/>
    </row>
    <row r="91" spans="1:3">
      <c r="A91" s="73">
        <v>11</v>
      </c>
      <c r="B91" s="39"/>
      <c r="C91" s="80"/>
    </row>
    <row r="92" spans="1:3">
      <c r="A92" s="73">
        <v>12</v>
      </c>
      <c r="B92" s="86" t="s">
        <v>123</v>
      </c>
      <c r="C92" s="27">
        <f t="shared" ref="C92" si="14">SUM(C88:C90)</f>
        <v>0</v>
      </c>
    </row>
    <row r="93" spans="1:3">
      <c r="A93" s="73">
        <v>13</v>
      </c>
      <c r="B93" s="39"/>
      <c r="C93" s="80"/>
    </row>
    <row r="94" spans="1:3">
      <c r="A94" s="73">
        <v>14</v>
      </c>
      <c r="B94" s="86" t="s">
        <v>365</v>
      </c>
      <c r="C94" s="80"/>
    </row>
    <row r="95" spans="1:3">
      <c r="A95" s="73">
        <v>15</v>
      </c>
      <c r="B95" s="86" t="s">
        <v>178</v>
      </c>
      <c r="C95" s="80">
        <v>0</v>
      </c>
    </row>
    <row r="96" spans="1:3">
      <c r="A96" s="73">
        <v>16</v>
      </c>
      <c r="B96" s="87" t="s">
        <v>177</v>
      </c>
      <c r="C96" s="80"/>
    </row>
    <row r="97" spans="1:3">
      <c r="A97" s="73">
        <v>17</v>
      </c>
      <c r="B97" s="87" t="s">
        <v>275</v>
      </c>
      <c r="C97" s="80"/>
    </row>
    <row r="98" spans="1:3">
      <c r="A98" s="73">
        <v>18</v>
      </c>
      <c r="B98" s="87"/>
      <c r="C98" s="80"/>
    </row>
    <row r="99" spans="1:3">
      <c r="A99" s="73">
        <v>19</v>
      </c>
      <c r="B99" s="86" t="s">
        <v>125</v>
      </c>
      <c r="C99" s="27">
        <f t="shared" ref="C99" si="15">SUM(C95:C97)</f>
        <v>0</v>
      </c>
    </row>
    <row r="100" spans="1:3">
      <c r="A100" s="73">
        <v>20</v>
      </c>
      <c r="B100" s="39"/>
      <c r="C100" s="80"/>
    </row>
    <row r="101" spans="1:3">
      <c r="A101" s="73">
        <v>21</v>
      </c>
      <c r="B101" s="87" t="s">
        <v>255</v>
      </c>
      <c r="C101" s="28">
        <f t="shared" ref="C101" si="16">+C85+C92-C99</f>
        <v>5</v>
      </c>
    </row>
    <row r="102" spans="1:3">
      <c r="A102" s="73">
        <v>22</v>
      </c>
      <c r="B102" s="87" t="s">
        <v>126</v>
      </c>
      <c r="C102" s="94">
        <v>0.35</v>
      </c>
    </row>
    <row r="103" spans="1:3">
      <c r="A103" s="73">
        <v>23</v>
      </c>
      <c r="B103" s="86" t="s">
        <v>127</v>
      </c>
      <c r="C103" s="93">
        <f t="shared" ref="C103" si="17">C101*C102</f>
        <v>1.75</v>
      </c>
    </row>
    <row r="104" spans="1:3">
      <c r="A104" s="73">
        <v>24</v>
      </c>
      <c r="B104" s="87" t="s">
        <v>128</v>
      </c>
      <c r="C104" s="80">
        <f t="shared" ref="C104" si="18">+(C95-C88+C96)*C102</f>
        <v>0</v>
      </c>
    </row>
    <row r="105" spans="1:3" ht="13.5" thickBot="1">
      <c r="A105" s="73">
        <v>25</v>
      </c>
      <c r="B105" s="95" t="s">
        <v>129</v>
      </c>
      <c r="C105" s="96">
        <f t="shared" ref="C105" si="19">+C103+C104</f>
        <v>1.75</v>
      </c>
    </row>
    <row r="106" spans="1:3" ht="13.5" thickTop="1">
      <c r="A106" s="89"/>
    </row>
  </sheetData>
  <printOptions horizontalCentered="1"/>
  <pageMargins left="0.5" right="0.5" top="1.5" bottom="0.3" header="0.5" footer="0.5"/>
  <pageSetup scale="60" fitToWidth="0" orientation="portrait" useFirstPageNumber="1" r:id="rId1"/>
  <headerFooter scaleWithDoc="0" alignWithMargins="0">
    <oddHeader>&amp;L&amp;"Arial,Regular"&amp;10Avista Corporation
&amp;"Arial,Bold"Electric - Restating Adjustments (Schedule 1.2)&amp;"Arial,Regular"
Twelve Months Ended December 31, 2011&amp;R&amp;"Arial,Regular"&amp;10Exhibit No. ___ (JH-2)
Docket UE-120436 &amp;&amp; UG-120437
Page &amp;P of  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6"/>
  <sheetViews>
    <sheetView topLeftCell="A9" zoomScale="75" zoomScaleNormal="75" workbookViewId="0">
      <pane xSplit="2" ySplit="4" topLeftCell="C34" activePane="bottomRight" state="frozen"/>
      <selection activeCell="G79" sqref="G79"/>
      <selection pane="topRight" activeCell="G79" sqref="G79"/>
      <selection pane="bottomLeft" activeCell="G79" sqref="G79"/>
      <selection pane="bottomRight" activeCell="C53" sqref="C53"/>
    </sheetView>
  </sheetViews>
  <sheetFormatPr defaultColWidth="9" defaultRowHeight="12.75"/>
  <cols>
    <col min="1" max="1" width="4.625" style="64" customWidth="1"/>
    <col min="2" max="2" width="42.5" style="63" bestFit="1" customWidth="1"/>
    <col min="3" max="3" width="13.625" style="74" customWidth="1"/>
    <col min="4" max="16384" width="9" style="14"/>
  </cols>
  <sheetData>
    <row r="1" spans="1:3">
      <c r="A1" s="56"/>
      <c r="B1" s="9" t="s">
        <v>281</v>
      </c>
      <c r="C1" s="58"/>
    </row>
    <row r="2" spans="1:3">
      <c r="A2" s="411"/>
      <c r="B2" s="14"/>
      <c r="C2" s="66" t="s">
        <v>251</v>
      </c>
    </row>
    <row r="3" spans="1:3">
      <c r="A3" s="411"/>
      <c r="B3" s="9"/>
      <c r="C3" s="66"/>
    </row>
    <row r="4" spans="1:3" ht="13.5" thickBot="1">
      <c r="A4" s="411"/>
      <c r="B4" s="9"/>
      <c r="C4" s="413"/>
    </row>
    <row r="5" spans="1:3" ht="13.5" thickTop="1">
      <c r="A5" s="402"/>
      <c r="B5" s="64" t="str">
        <f>+ROO!B2</f>
        <v>(000's of Dollars)</v>
      </c>
      <c r="C5" s="65"/>
    </row>
    <row r="6" spans="1:3">
      <c r="A6" s="62"/>
      <c r="B6" s="64"/>
      <c r="C6" s="65"/>
    </row>
    <row r="7" spans="1:3">
      <c r="A7" s="403"/>
      <c r="B7" s="66" t="s">
        <v>100</v>
      </c>
      <c r="C7" s="66" t="s">
        <v>170</v>
      </c>
    </row>
    <row r="8" spans="1:3">
      <c r="A8" s="403"/>
      <c r="B8" s="66"/>
      <c r="C8" s="66"/>
    </row>
    <row r="9" spans="1:3" s="70" customFormat="1">
      <c r="A9" s="69"/>
      <c r="B9" s="69"/>
      <c r="C9" s="546">
        <v>2.1</v>
      </c>
    </row>
    <row r="10" spans="1:3" s="71" customFormat="1">
      <c r="A10" s="414"/>
      <c r="B10" s="420"/>
      <c r="C10" s="68" t="s">
        <v>3</v>
      </c>
    </row>
    <row r="11" spans="1:3" s="71" customFormat="1">
      <c r="A11" s="414" t="s">
        <v>5</v>
      </c>
      <c r="B11" s="420"/>
      <c r="C11" s="68" t="s">
        <v>333</v>
      </c>
    </row>
    <row r="12" spans="1:3" s="424" customFormat="1">
      <c r="A12" s="421" t="s">
        <v>10</v>
      </c>
      <c r="B12" s="422" t="s">
        <v>11</v>
      </c>
      <c r="C12" s="423" t="s">
        <v>334</v>
      </c>
    </row>
    <row r="13" spans="1:3" s="59" customFormat="1">
      <c r="A13" s="418"/>
      <c r="B13" s="419" t="s">
        <v>155</v>
      </c>
      <c r="C13" s="66"/>
    </row>
    <row r="14" spans="1:3">
      <c r="A14" s="73">
        <v>1</v>
      </c>
      <c r="B14" s="416" t="s">
        <v>98</v>
      </c>
      <c r="C14" s="65"/>
    </row>
    <row r="15" spans="1:3">
      <c r="A15" s="75">
        <v>2</v>
      </c>
      <c r="B15" s="63" t="s">
        <v>40</v>
      </c>
      <c r="C15" s="65"/>
    </row>
    <row r="16" spans="1:3" s="15" customFormat="1">
      <c r="A16" s="73">
        <v>3</v>
      </c>
      <c r="B16" s="76" t="s">
        <v>41</v>
      </c>
      <c r="C16" s="566"/>
    </row>
    <row r="17" spans="1:3" s="20" customFormat="1">
      <c r="A17" s="75">
        <v>4</v>
      </c>
      <c r="B17" s="78" t="s">
        <v>42</v>
      </c>
      <c r="C17" s="23">
        <v>0</v>
      </c>
    </row>
    <row r="18" spans="1:3" s="20" customFormat="1">
      <c r="A18" s="73">
        <v>5</v>
      </c>
      <c r="B18" s="78" t="s">
        <v>43</v>
      </c>
      <c r="C18" s="24">
        <v>0</v>
      </c>
    </row>
    <row r="19" spans="1:3" s="20" customFormat="1">
      <c r="A19" s="75">
        <v>6</v>
      </c>
      <c r="B19" s="397" t="s">
        <v>44</v>
      </c>
      <c r="C19" s="23">
        <f t="shared" ref="C19" si="0">SUM(C16:C18)</f>
        <v>0</v>
      </c>
    </row>
    <row r="20" spans="1:3" s="20" customFormat="1">
      <c r="A20" s="73">
        <v>7</v>
      </c>
      <c r="B20" s="78" t="s">
        <v>45</v>
      </c>
      <c r="C20" s="24">
        <v>0</v>
      </c>
    </row>
    <row r="21" spans="1:3" s="20" customFormat="1">
      <c r="A21" s="75">
        <v>8</v>
      </c>
      <c r="B21" s="397" t="s">
        <v>46</v>
      </c>
      <c r="C21" s="23">
        <f t="shared" ref="C21" si="1">SUM(C19:C20)</f>
        <v>0</v>
      </c>
    </row>
    <row r="22" spans="1:3" s="20" customFormat="1">
      <c r="A22" s="73">
        <v>9</v>
      </c>
      <c r="B22" s="79"/>
      <c r="C22" s="23"/>
    </row>
    <row r="23" spans="1:3" s="20" customFormat="1">
      <c r="A23" s="75">
        <v>10</v>
      </c>
      <c r="B23" s="78" t="s">
        <v>20</v>
      </c>
      <c r="C23" s="23"/>
    </row>
    <row r="24" spans="1:3" s="20" customFormat="1">
      <c r="A24" s="73">
        <v>11</v>
      </c>
      <c r="B24" s="78" t="s">
        <v>47</v>
      </c>
      <c r="C24" s="23"/>
    </row>
    <row r="25" spans="1:3" s="20" customFormat="1">
      <c r="A25" s="75">
        <v>12</v>
      </c>
      <c r="B25" s="397" t="s">
        <v>48</v>
      </c>
      <c r="C25" s="23">
        <v>0</v>
      </c>
    </row>
    <row r="26" spans="1:3" s="20" customFormat="1">
      <c r="A26" s="73">
        <v>13</v>
      </c>
      <c r="B26" s="397" t="s">
        <v>49</v>
      </c>
      <c r="C26" s="23">
        <v>0</v>
      </c>
    </row>
    <row r="27" spans="1:3" s="20" customFormat="1">
      <c r="A27" s="75">
        <v>14</v>
      </c>
      <c r="B27" s="397" t="s">
        <v>50</v>
      </c>
      <c r="C27" s="23"/>
    </row>
    <row r="28" spans="1:3" s="20" customFormat="1">
      <c r="A28" s="73">
        <v>15</v>
      </c>
      <c r="B28" s="393" t="s">
        <v>349</v>
      </c>
      <c r="C28" s="23"/>
    </row>
    <row r="29" spans="1:3" s="20" customFormat="1">
      <c r="A29" s="75">
        <v>16</v>
      </c>
      <c r="B29" s="397" t="s">
        <v>51</v>
      </c>
      <c r="C29" s="24">
        <v>0</v>
      </c>
    </row>
    <row r="30" spans="1:3" s="20" customFormat="1">
      <c r="A30" s="73">
        <v>17</v>
      </c>
      <c r="B30" s="398" t="s">
        <v>52</v>
      </c>
      <c r="C30" s="23">
        <f t="shared" ref="C30" si="2">SUM(C25:C29)</f>
        <v>0</v>
      </c>
    </row>
    <row r="31" spans="1:3" s="20" customFormat="1">
      <c r="A31" s="75">
        <v>18</v>
      </c>
      <c r="B31" s="79"/>
      <c r="C31" s="23"/>
    </row>
    <row r="32" spans="1:3" s="20" customFormat="1">
      <c r="A32" s="73">
        <v>19</v>
      </c>
      <c r="B32" s="78" t="s">
        <v>53</v>
      </c>
      <c r="C32" s="23"/>
    </row>
    <row r="33" spans="1:3" s="20" customFormat="1">
      <c r="A33" s="75">
        <v>20</v>
      </c>
      <c r="B33" s="397" t="s">
        <v>48</v>
      </c>
      <c r="C33" s="23">
        <v>0</v>
      </c>
    </row>
    <row r="34" spans="1:3" s="20" customFormat="1">
      <c r="A34" s="73">
        <v>21</v>
      </c>
      <c r="B34" s="397" t="s">
        <v>54</v>
      </c>
      <c r="C34" s="23"/>
    </row>
    <row r="35" spans="1:3" s="20" customFormat="1">
      <c r="A35" s="75">
        <v>22</v>
      </c>
      <c r="B35" s="397" t="s">
        <v>51</v>
      </c>
      <c r="C35" s="24">
        <v>-103</v>
      </c>
    </row>
    <row r="36" spans="1:3" s="20" customFormat="1">
      <c r="A36" s="73">
        <v>23</v>
      </c>
      <c r="B36" s="398" t="s">
        <v>55</v>
      </c>
      <c r="C36" s="23">
        <f t="shared" ref="C36" si="3">SUM(C33:C35)</f>
        <v>-103</v>
      </c>
    </row>
    <row r="37" spans="1:3" s="20" customFormat="1">
      <c r="A37" s="75">
        <v>24</v>
      </c>
      <c r="B37" s="79"/>
      <c r="C37" s="23"/>
    </row>
    <row r="38" spans="1:3" s="20" customFormat="1">
      <c r="A38" s="73">
        <v>25</v>
      </c>
      <c r="B38" s="78" t="s">
        <v>56</v>
      </c>
      <c r="C38" s="23">
        <v>0</v>
      </c>
    </row>
    <row r="39" spans="1:3" s="20" customFormat="1">
      <c r="A39" s="75">
        <v>26</v>
      </c>
      <c r="B39" s="78" t="s">
        <v>57</v>
      </c>
      <c r="C39" s="23">
        <v>0</v>
      </c>
    </row>
    <row r="40" spans="1:3" s="20" customFormat="1">
      <c r="A40" s="73">
        <v>27</v>
      </c>
      <c r="B40" s="78" t="s">
        <v>58</v>
      </c>
      <c r="C40" s="23">
        <v>0</v>
      </c>
    </row>
    <row r="41" spans="1:3" s="20" customFormat="1">
      <c r="A41" s="75">
        <v>28</v>
      </c>
      <c r="B41" s="79"/>
      <c r="C41" s="23">
        <v>0</v>
      </c>
    </row>
    <row r="42" spans="1:3" s="20" customFormat="1">
      <c r="A42" s="75">
        <v>29</v>
      </c>
      <c r="B42" s="78" t="s">
        <v>59</v>
      </c>
      <c r="C42" s="23">
        <v>0</v>
      </c>
    </row>
    <row r="43" spans="1:3" s="20" customFormat="1">
      <c r="A43" s="73">
        <v>30</v>
      </c>
      <c r="B43" s="397" t="s">
        <v>48</v>
      </c>
      <c r="C43" s="23">
        <v>0</v>
      </c>
    </row>
    <row r="44" spans="1:3" s="20" customFormat="1">
      <c r="A44" s="75">
        <v>31</v>
      </c>
      <c r="B44" s="397" t="s">
        <v>54</v>
      </c>
      <c r="C44" s="23"/>
    </row>
    <row r="45" spans="1:3" s="20" customFormat="1">
      <c r="A45" s="75">
        <v>32</v>
      </c>
      <c r="B45" s="397" t="s">
        <v>51</v>
      </c>
      <c r="C45" s="24">
        <v>0</v>
      </c>
    </row>
    <row r="46" spans="1:3" s="20" customFormat="1">
      <c r="A46" s="73">
        <v>33</v>
      </c>
      <c r="B46" s="398" t="s">
        <v>60</v>
      </c>
      <c r="C46" s="24">
        <f t="shared" ref="C46" si="4">SUM(C43:C45)</f>
        <v>0</v>
      </c>
    </row>
    <row r="47" spans="1:3" s="20" customFormat="1">
      <c r="A47" s="75">
        <v>34</v>
      </c>
      <c r="B47" s="78" t="s">
        <v>61</v>
      </c>
      <c r="C47" s="24">
        <f t="shared" ref="C47" si="5">C46+C40+C39+C38+C36+C30</f>
        <v>-103</v>
      </c>
    </row>
    <row r="48" spans="1:3" s="20" customFormat="1">
      <c r="A48" s="75">
        <v>35</v>
      </c>
      <c r="B48" s="79"/>
      <c r="C48" s="23"/>
    </row>
    <row r="49" spans="1:3" s="20" customFormat="1">
      <c r="A49" s="73">
        <v>36</v>
      </c>
      <c r="B49" s="78" t="s">
        <v>62</v>
      </c>
      <c r="C49" s="23">
        <f t="shared" ref="C49" si="6">C21-C47</f>
        <v>103</v>
      </c>
    </row>
    <row r="50" spans="1:3" s="20" customFormat="1">
      <c r="A50" s="75">
        <v>37</v>
      </c>
      <c r="B50" s="78"/>
      <c r="C50" s="23"/>
    </row>
    <row r="51" spans="1:3" s="20" customFormat="1">
      <c r="A51" s="75">
        <v>38</v>
      </c>
      <c r="B51" s="78" t="s">
        <v>63</v>
      </c>
      <c r="C51" s="23"/>
    </row>
    <row r="52" spans="1:3" s="20" customFormat="1">
      <c r="A52" s="73">
        <v>39</v>
      </c>
      <c r="B52" s="78" t="s">
        <v>64</v>
      </c>
      <c r="C52" s="23">
        <f>ROUND(C105,0)</f>
        <v>36</v>
      </c>
    </row>
    <row r="53" spans="1:3" s="20" customFormat="1">
      <c r="A53" s="75">
        <v>40</v>
      </c>
      <c r="B53" s="78" t="s">
        <v>366</v>
      </c>
      <c r="C53" s="23"/>
    </row>
    <row r="54" spans="1:3" s="20" customFormat="1">
      <c r="A54" s="75">
        <v>41</v>
      </c>
      <c r="B54" s="78" t="s">
        <v>65</v>
      </c>
      <c r="C54" s="23"/>
    </row>
    <row r="55" spans="1:3" s="20" customFormat="1">
      <c r="A55" s="73">
        <v>42</v>
      </c>
      <c r="B55" s="78" t="s">
        <v>238</v>
      </c>
      <c r="C55" s="24"/>
    </row>
    <row r="56" spans="1:3">
      <c r="A56" s="73">
        <v>45</v>
      </c>
      <c r="B56" s="79"/>
      <c r="C56" s="23"/>
    </row>
    <row r="57" spans="1:3" s="15" customFormat="1" ht="13.5" thickBot="1">
      <c r="A57" s="75">
        <v>46</v>
      </c>
      <c r="B57" s="76" t="s">
        <v>66</v>
      </c>
      <c r="C57" s="567">
        <f t="shared" ref="C57" si="7">C49-SUM(C52:C55)</f>
        <v>67</v>
      </c>
    </row>
    <row r="58" spans="1:3" ht="13.5" thickTop="1">
      <c r="A58" s="75">
        <v>47</v>
      </c>
      <c r="B58" s="2"/>
      <c r="C58" s="23"/>
    </row>
    <row r="59" spans="1:3">
      <c r="A59" s="73">
        <v>48</v>
      </c>
      <c r="B59" s="416" t="s">
        <v>21</v>
      </c>
      <c r="C59" s="23"/>
    </row>
    <row r="60" spans="1:3">
      <c r="A60" s="75">
        <v>49</v>
      </c>
      <c r="B60" s="63" t="s">
        <v>67</v>
      </c>
      <c r="C60" s="23"/>
    </row>
    <row r="61" spans="1:3" s="15" customFormat="1">
      <c r="A61" s="75">
        <v>50</v>
      </c>
      <c r="B61" s="396" t="s">
        <v>68</v>
      </c>
      <c r="C61" s="23">
        <v>0</v>
      </c>
    </row>
    <row r="62" spans="1:3" s="20" customFormat="1">
      <c r="A62" s="73">
        <v>51</v>
      </c>
      <c r="B62" s="397" t="s">
        <v>69</v>
      </c>
      <c r="C62" s="23"/>
    </row>
    <row r="63" spans="1:3" s="20" customFormat="1">
      <c r="A63" s="75">
        <v>52</v>
      </c>
      <c r="B63" s="397" t="s">
        <v>70</v>
      </c>
      <c r="C63" s="23">
        <v>0</v>
      </c>
    </row>
    <row r="64" spans="1:3" s="20" customFormat="1">
      <c r="A64" s="75">
        <v>53</v>
      </c>
      <c r="B64" s="397" t="s">
        <v>53</v>
      </c>
      <c r="C64" s="23">
        <v>0</v>
      </c>
    </row>
    <row r="65" spans="1:3" s="20" customFormat="1">
      <c r="A65" s="73">
        <v>54</v>
      </c>
      <c r="B65" s="397" t="s">
        <v>71</v>
      </c>
      <c r="C65" s="24">
        <v>0</v>
      </c>
    </row>
    <row r="66" spans="1:3" s="20" customFormat="1">
      <c r="A66" s="75">
        <v>55</v>
      </c>
      <c r="B66" s="398" t="s">
        <v>72</v>
      </c>
      <c r="C66" s="23">
        <f t="shared" ref="C66" si="8">SUM(C61:C65)</f>
        <v>0</v>
      </c>
    </row>
    <row r="67" spans="1:3" s="20" customFormat="1">
      <c r="A67" s="75">
        <v>56</v>
      </c>
      <c r="B67" s="78" t="s">
        <v>244</v>
      </c>
      <c r="C67" s="23">
        <v>0</v>
      </c>
    </row>
    <row r="68" spans="1:3" s="20" customFormat="1">
      <c r="A68" s="73">
        <v>57</v>
      </c>
      <c r="B68" s="78" t="s">
        <v>245</v>
      </c>
      <c r="C68" s="24"/>
    </row>
    <row r="69" spans="1:3" s="20" customFormat="1">
      <c r="A69" s="75">
        <v>58</v>
      </c>
      <c r="B69" s="397" t="s">
        <v>73</v>
      </c>
      <c r="C69" s="23">
        <f t="shared" ref="C69" si="9">SUM(C67:C68)</f>
        <v>0</v>
      </c>
    </row>
    <row r="70" spans="1:3" s="20" customFormat="1">
      <c r="A70" s="75">
        <v>59</v>
      </c>
      <c r="B70" s="78" t="s">
        <v>246</v>
      </c>
      <c r="C70" s="23">
        <v>0</v>
      </c>
    </row>
    <row r="71" spans="1:3" s="20" customFormat="1">
      <c r="A71" s="73">
        <v>60</v>
      </c>
      <c r="B71" s="78" t="s">
        <v>351</v>
      </c>
      <c r="C71" s="23"/>
    </row>
    <row r="72" spans="1:3" s="20" customFormat="1">
      <c r="A72" s="75">
        <v>61</v>
      </c>
      <c r="B72" s="78" t="s">
        <v>236</v>
      </c>
      <c r="C72" s="23"/>
    </row>
    <row r="73" spans="1:3" s="20" customFormat="1">
      <c r="A73" s="75">
        <v>62</v>
      </c>
      <c r="B73" s="78" t="s">
        <v>247</v>
      </c>
      <c r="C73" s="23"/>
    </row>
    <row r="74" spans="1:3" s="20" customFormat="1">
      <c r="A74" s="73">
        <v>63</v>
      </c>
      <c r="B74" s="78" t="s">
        <v>248</v>
      </c>
      <c r="C74" s="24">
        <v>0</v>
      </c>
    </row>
    <row r="75" spans="1:3" s="20" customFormat="1">
      <c r="A75" s="75">
        <v>64</v>
      </c>
      <c r="B75" s="79"/>
      <c r="C75" s="28"/>
    </row>
    <row r="76" spans="1:3" s="20" customFormat="1">
      <c r="A76" s="75">
        <v>65</v>
      </c>
      <c r="B76" s="79"/>
      <c r="C76" s="23"/>
    </row>
    <row r="77" spans="1:3" s="15" customFormat="1" ht="13.5" thickBot="1">
      <c r="A77" s="73">
        <v>66</v>
      </c>
      <c r="B77" s="425" t="s">
        <v>74</v>
      </c>
      <c r="C77" s="568">
        <f t="shared" ref="C77" si="10">C66-C69+C70+C72+C73+C74+C71</f>
        <v>0</v>
      </c>
    </row>
    <row r="78" spans="1:3" ht="13.5" thickTop="1">
      <c r="B78" s="83"/>
    </row>
    <row r="79" spans="1:3">
      <c r="A79" s="84"/>
      <c r="B79" s="38"/>
      <c r="C79" s="57"/>
    </row>
    <row r="80" spans="1:3">
      <c r="A80" s="89"/>
      <c r="B80" s="39"/>
    </row>
    <row r="81" spans="1:3">
      <c r="A81" s="73">
        <v>1</v>
      </c>
      <c r="B81" s="392" t="s">
        <v>116</v>
      </c>
    </row>
    <row r="82" spans="1:3">
      <c r="A82" s="73">
        <v>2</v>
      </c>
      <c r="B82" s="87" t="s">
        <v>18</v>
      </c>
      <c r="C82" s="82">
        <f t="shared" ref="C82" si="11">+C21</f>
        <v>0</v>
      </c>
    </row>
    <row r="83" spans="1:3">
      <c r="A83" s="73">
        <v>3</v>
      </c>
      <c r="B83" s="87" t="s">
        <v>19</v>
      </c>
      <c r="C83" s="23">
        <f t="shared" ref="C83" si="12">+C47</f>
        <v>-103</v>
      </c>
    </row>
    <row r="84" spans="1:3">
      <c r="A84" s="73">
        <v>4</v>
      </c>
      <c r="B84" s="87" t="s">
        <v>274</v>
      </c>
      <c r="C84" s="23"/>
    </row>
    <row r="85" spans="1:3">
      <c r="A85" s="73">
        <v>5</v>
      </c>
      <c r="B85" s="399" t="s">
        <v>119</v>
      </c>
      <c r="C85" s="27">
        <f t="shared" ref="C85" si="13">+C82-C83-C84</f>
        <v>103</v>
      </c>
    </row>
    <row r="86" spans="1:3">
      <c r="A86" s="73">
        <v>6</v>
      </c>
      <c r="B86" s="91"/>
      <c r="C86" s="80"/>
    </row>
    <row r="87" spans="1:3">
      <c r="A87" s="73">
        <v>7</v>
      </c>
      <c r="B87" s="86" t="s">
        <v>120</v>
      </c>
      <c r="C87" s="80"/>
    </row>
    <row r="88" spans="1:3">
      <c r="A88" s="73">
        <v>8</v>
      </c>
      <c r="B88" s="87" t="s">
        <v>121</v>
      </c>
      <c r="C88" s="80"/>
    </row>
    <row r="89" spans="1:3">
      <c r="A89" s="73">
        <v>9</v>
      </c>
      <c r="B89" s="87" t="s">
        <v>130</v>
      </c>
      <c r="C89" s="80"/>
    </row>
    <row r="90" spans="1:3">
      <c r="A90" s="73">
        <v>10</v>
      </c>
      <c r="B90" s="87" t="s">
        <v>122</v>
      </c>
      <c r="C90" s="80"/>
    </row>
    <row r="91" spans="1:3">
      <c r="A91" s="73">
        <v>11</v>
      </c>
      <c r="B91" s="39"/>
      <c r="C91" s="80"/>
    </row>
    <row r="92" spans="1:3">
      <c r="A92" s="73">
        <v>12</v>
      </c>
      <c r="B92" s="86" t="s">
        <v>123</v>
      </c>
      <c r="C92" s="27">
        <f t="shared" ref="C92" si="14">SUM(C88:C90)</f>
        <v>0</v>
      </c>
    </row>
    <row r="93" spans="1:3">
      <c r="A93" s="73">
        <v>13</v>
      </c>
      <c r="B93" s="39"/>
      <c r="C93" s="80"/>
    </row>
    <row r="94" spans="1:3">
      <c r="A94" s="73">
        <v>14</v>
      </c>
      <c r="B94" s="86" t="s">
        <v>365</v>
      </c>
      <c r="C94" s="80"/>
    </row>
    <row r="95" spans="1:3">
      <c r="A95" s="73">
        <v>15</v>
      </c>
      <c r="B95" s="86" t="s">
        <v>178</v>
      </c>
      <c r="C95" s="80">
        <v>0</v>
      </c>
    </row>
    <row r="96" spans="1:3">
      <c r="A96" s="73">
        <v>16</v>
      </c>
      <c r="B96" s="87" t="s">
        <v>177</v>
      </c>
      <c r="C96" s="80"/>
    </row>
    <row r="97" spans="1:3">
      <c r="A97" s="73">
        <v>17</v>
      </c>
      <c r="B97" s="87" t="s">
        <v>275</v>
      </c>
      <c r="C97" s="80"/>
    </row>
    <row r="98" spans="1:3">
      <c r="A98" s="73">
        <v>18</v>
      </c>
      <c r="B98" s="87"/>
      <c r="C98" s="80"/>
    </row>
    <row r="99" spans="1:3">
      <c r="A99" s="73">
        <v>19</v>
      </c>
      <c r="B99" s="86" t="s">
        <v>125</v>
      </c>
      <c r="C99" s="27">
        <f t="shared" ref="C99" si="15">SUM(C95:C97)</f>
        <v>0</v>
      </c>
    </row>
    <row r="100" spans="1:3">
      <c r="A100" s="73">
        <v>20</v>
      </c>
      <c r="B100" s="39"/>
      <c r="C100" s="80"/>
    </row>
    <row r="101" spans="1:3">
      <c r="A101" s="73">
        <v>21</v>
      </c>
      <c r="B101" s="87" t="s">
        <v>255</v>
      </c>
      <c r="C101" s="28">
        <f t="shared" ref="C101" si="16">+C85+C92-C99</f>
        <v>103</v>
      </c>
    </row>
    <row r="102" spans="1:3">
      <c r="A102" s="73">
        <v>22</v>
      </c>
      <c r="B102" s="87" t="s">
        <v>126</v>
      </c>
      <c r="C102" s="94">
        <v>0.35</v>
      </c>
    </row>
    <row r="103" spans="1:3">
      <c r="A103" s="73">
        <v>23</v>
      </c>
      <c r="B103" s="86" t="s">
        <v>127</v>
      </c>
      <c r="C103" s="93">
        <f t="shared" ref="C103" si="17">C101*C102</f>
        <v>36.049999999999997</v>
      </c>
    </row>
    <row r="104" spans="1:3">
      <c r="A104" s="73">
        <v>24</v>
      </c>
      <c r="B104" s="87" t="s">
        <v>128</v>
      </c>
      <c r="C104" s="80">
        <f t="shared" ref="C104" si="18">+(C95-C88+C96)*C102</f>
        <v>0</v>
      </c>
    </row>
    <row r="105" spans="1:3" ht="13.5" thickBot="1">
      <c r="A105" s="73">
        <v>25</v>
      </c>
      <c r="B105" s="95" t="s">
        <v>129</v>
      </c>
      <c r="C105" s="96">
        <f t="shared" ref="C105" si="19">+C103+C104</f>
        <v>36.049999999999997</v>
      </c>
    </row>
    <row r="106" spans="1:3" ht="13.5" thickTop="1">
      <c r="A106" s="89"/>
    </row>
  </sheetData>
  <printOptions horizontalCentered="1"/>
  <pageMargins left="0.5" right="0.5" top="1.5" bottom="0.3" header="0.5" footer="0.5"/>
  <pageSetup scale="60" fitToWidth="0" orientation="portrait" useFirstPageNumber="1" r:id="rId1"/>
  <headerFooter scaleWithDoc="0" alignWithMargins="0">
    <oddHeader>&amp;L&amp;"Arial,Regular"&amp;10Avista Corporation
&amp;"Arial,Bold"Electric - Restating Adjustments (Schedule 1.2)&amp;"Arial,Regular"
Twelve Months Ended December 31, 2011&amp;R&amp;"Arial,Regular"&amp;10Exhibit No. ___ (JH-2)
Docket UE-120436 &amp;&amp; UG-120437
Page &amp;P of  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6"/>
  <sheetViews>
    <sheetView topLeftCell="A9" zoomScale="75" zoomScaleNormal="75" workbookViewId="0">
      <pane xSplit="2" ySplit="4" topLeftCell="C40" activePane="bottomRight" state="frozen"/>
      <selection activeCell="G79" sqref="G79"/>
      <selection pane="topRight" activeCell="G79" sqref="G79"/>
      <selection pane="bottomLeft" activeCell="G79" sqref="G79"/>
      <selection pane="bottomRight" activeCell="C53" sqref="C53"/>
    </sheetView>
  </sheetViews>
  <sheetFormatPr defaultColWidth="9" defaultRowHeight="12.75"/>
  <cols>
    <col min="1" max="1" width="4.625" style="64" customWidth="1"/>
    <col min="2" max="2" width="42.5" style="63" bestFit="1" customWidth="1"/>
    <col min="3" max="3" width="13.625" style="74" customWidth="1"/>
    <col min="4" max="16384" width="9" style="14"/>
  </cols>
  <sheetData>
    <row r="1" spans="1:3">
      <c r="A1" s="56"/>
      <c r="B1" s="9" t="s">
        <v>281</v>
      </c>
      <c r="C1" s="58"/>
    </row>
    <row r="2" spans="1:3">
      <c r="A2" s="411"/>
      <c r="B2" s="14"/>
      <c r="C2" s="66" t="s">
        <v>250</v>
      </c>
    </row>
    <row r="3" spans="1:3">
      <c r="A3" s="411"/>
      <c r="B3" s="9"/>
      <c r="C3" s="66"/>
    </row>
    <row r="4" spans="1:3" ht="13.5" thickBot="1">
      <c r="A4" s="411"/>
      <c r="B4" s="9"/>
      <c r="C4" s="413"/>
    </row>
    <row r="5" spans="1:3" ht="13.5" thickTop="1">
      <c r="A5" s="402"/>
      <c r="B5" s="64" t="str">
        <f>+ROO!B2</f>
        <v>(000's of Dollars)</v>
      </c>
      <c r="C5" s="65"/>
    </row>
    <row r="6" spans="1:3">
      <c r="A6" s="62"/>
      <c r="B6" s="64"/>
      <c r="C6" s="65"/>
    </row>
    <row r="7" spans="1:3">
      <c r="A7" s="403"/>
      <c r="B7" s="66" t="s">
        <v>100</v>
      </c>
      <c r="C7" s="66" t="s">
        <v>171</v>
      </c>
    </row>
    <row r="8" spans="1:3">
      <c r="A8" s="403"/>
      <c r="B8" s="66"/>
      <c r="C8" s="66"/>
    </row>
    <row r="9" spans="1:3" s="70" customFormat="1">
      <c r="A9" s="69"/>
      <c r="B9" s="69"/>
      <c r="C9" s="546">
        <v>2.11</v>
      </c>
    </row>
    <row r="10" spans="1:3" s="71" customFormat="1">
      <c r="A10" s="414"/>
      <c r="B10" s="420"/>
      <c r="C10" s="68" t="s">
        <v>330</v>
      </c>
    </row>
    <row r="11" spans="1:3" s="71" customFormat="1">
      <c r="A11" s="414" t="s">
        <v>5</v>
      </c>
      <c r="B11" s="420"/>
      <c r="C11" s="68" t="s">
        <v>331</v>
      </c>
    </row>
    <row r="12" spans="1:3" s="424" customFormat="1">
      <c r="A12" s="421" t="s">
        <v>10</v>
      </c>
      <c r="B12" s="422" t="s">
        <v>11</v>
      </c>
      <c r="C12" s="423" t="s">
        <v>314</v>
      </c>
    </row>
    <row r="13" spans="1:3" s="59" customFormat="1">
      <c r="A13" s="418"/>
      <c r="B13" s="419" t="s">
        <v>155</v>
      </c>
      <c r="C13" s="66"/>
    </row>
    <row r="14" spans="1:3">
      <c r="A14" s="73">
        <v>1</v>
      </c>
      <c r="B14" s="416" t="s">
        <v>98</v>
      </c>
      <c r="C14" s="65"/>
    </row>
    <row r="15" spans="1:3">
      <c r="A15" s="75">
        <v>2</v>
      </c>
      <c r="B15" s="63" t="s">
        <v>40</v>
      </c>
      <c r="C15" s="65"/>
    </row>
    <row r="16" spans="1:3" s="15" customFormat="1">
      <c r="A16" s="73">
        <v>3</v>
      </c>
      <c r="B16" s="76" t="s">
        <v>41</v>
      </c>
      <c r="C16" s="566"/>
    </row>
    <row r="17" spans="1:3" s="20" customFormat="1">
      <c r="A17" s="75">
        <v>4</v>
      </c>
      <c r="B17" s="78" t="s">
        <v>42</v>
      </c>
      <c r="C17" s="23">
        <v>0</v>
      </c>
    </row>
    <row r="18" spans="1:3" s="20" customFormat="1">
      <c r="A18" s="73">
        <v>5</v>
      </c>
      <c r="B18" s="78" t="s">
        <v>43</v>
      </c>
      <c r="C18" s="24">
        <v>0</v>
      </c>
    </row>
    <row r="19" spans="1:3" s="20" customFormat="1">
      <c r="A19" s="75">
        <v>6</v>
      </c>
      <c r="B19" s="397" t="s">
        <v>44</v>
      </c>
      <c r="C19" s="23">
        <f t="shared" ref="C19" si="0">SUM(C16:C18)</f>
        <v>0</v>
      </c>
    </row>
    <row r="20" spans="1:3" s="20" customFormat="1">
      <c r="A20" s="73">
        <v>7</v>
      </c>
      <c r="B20" s="78" t="s">
        <v>45</v>
      </c>
      <c r="C20" s="24">
        <v>0</v>
      </c>
    </row>
    <row r="21" spans="1:3" s="20" customFormat="1">
      <c r="A21" s="75">
        <v>8</v>
      </c>
      <c r="B21" s="397" t="s">
        <v>46</v>
      </c>
      <c r="C21" s="23">
        <f t="shared" ref="C21" si="1">SUM(C19:C20)</f>
        <v>0</v>
      </c>
    </row>
    <row r="22" spans="1:3" s="20" customFormat="1">
      <c r="A22" s="73">
        <v>9</v>
      </c>
      <c r="B22" s="79"/>
      <c r="C22" s="23"/>
    </row>
    <row r="23" spans="1:3" s="20" customFormat="1">
      <c r="A23" s="75">
        <v>10</v>
      </c>
      <c r="B23" s="78" t="s">
        <v>20</v>
      </c>
      <c r="C23" s="23"/>
    </row>
    <row r="24" spans="1:3" s="20" customFormat="1">
      <c r="A24" s="73">
        <v>11</v>
      </c>
      <c r="B24" s="78" t="s">
        <v>47</v>
      </c>
      <c r="C24" s="23"/>
    </row>
    <row r="25" spans="1:3" s="20" customFormat="1">
      <c r="A25" s="75">
        <v>12</v>
      </c>
      <c r="B25" s="397" t="s">
        <v>48</v>
      </c>
      <c r="C25" s="23">
        <v>0</v>
      </c>
    </row>
    <row r="26" spans="1:3" s="20" customFormat="1">
      <c r="A26" s="73">
        <v>13</v>
      </c>
      <c r="B26" s="397" t="s">
        <v>49</v>
      </c>
      <c r="C26" s="23">
        <v>0</v>
      </c>
    </row>
    <row r="27" spans="1:3" s="20" customFormat="1">
      <c r="A27" s="75">
        <v>14</v>
      </c>
      <c r="B27" s="397" t="s">
        <v>50</v>
      </c>
      <c r="C27" s="23"/>
    </row>
    <row r="28" spans="1:3" s="20" customFormat="1">
      <c r="A28" s="73">
        <v>15</v>
      </c>
      <c r="B28" s="393" t="s">
        <v>349</v>
      </c>
      <c r="C28" s="23"/>
    </row>
    <row r="29" spans="1:3" s="20" customFormat="1">
      <c r="A29" s="75">
        <v>16</v>
      </c>
      <c r="B29" s="397" t="s">
        <v>51</v>
      </c>
      <c r="C29" s="24">
        <v>0</v>
      </c>
    </row>
    <row r="30" spans="1:3" s="20" customFormat="1">
      <c r="A30" s="73">
        <v>17</v>
      </c>
      <c r="B30" s="398" t="s">
        <v>52</v>
      </c>
      <c r="C30" s="23">
        <f t="shared" ref="C30" si="2">SUM(C25:C29)</f>
        <v>0</v>
      </c>
    </row>
    <row r="31" spans="1:3" s="20" customFormat="1">
      <c r="A31" s="75">
        <v>18</v>
      </c>
      <c r="B31" s="79"/>
      <c r="C31" s="23"/>
    </row>
    <row r="32" spans="1:3" s="20" customFormat="1">
      <c r="A32" s="73">
        <v>19</v>
      </c>
      <c r="B32" s="78" t="s">
        <v>53</v>
      </c>
      <c r="C32" s="23"/>
    </row>
    <row r="33" spans="1:3" s="20" customFormat="1">
      <c r="A33" s="75">
        <v>20</v>
      </c>
      <c r="B33" s="397" t="s">
        <v>48</v>
      </c>
      <c r="C33" s="23">
        <v>0</v>
      </c>
    </row>
    <row r="34" spans="1:3" s="20" customFormat="1">
      <c r="A34" s="73">
        <v>21</v>
      </c>
      <c r="B34" s="397" t="s">
        <v>54</v>
      </c>
      <c r="C34" s="23">
        <v>-80</v>
      </c>
    </row>
    <row r="35" spans="1:3" s="20" customFormat="1">
      <c r="A35" s="75">
        <v>22</v>
      </c>
      <c r="B35" s="397" t="s">
        <v>51</v>
      </c>
      <c r="C35" s="24">
        <v>0</v>
      </c>
    </row>
    <row r="36" spans="1:3" s="20" customFormat="1">
      <c r="A36" s="73">
        <v>23</v>
      </c>
      <c r="B36" s="398" t="s">
        <v>55</v>
      </c>
      <c r="C36" s="23">
        <f t="shared" ref="C36" si="3">SUM(C33:C35)</f>
        <v>-80</v>
      </c>
    </row>
    <row r="37" spans="1:3" s="20" customFormat="1">
      <c r="A37" s="75">
        <v>24</v>
      </c>
      <c r="B37" s="79"/>
      <c r="C37" s="23"/>
    </row>
    <row r="38" spans="1:3" s="20" customFormat="1">
      <c r="A38" s="73">
        <v>25</v>
      </c>
      <c r="B38" s="78" t="s">
        <v>56</v>
      </c>
      <c r="C38" s="23">
        <v>0</v>
      </c>
    </row>
    <row r="39" spans="1:3" s="20" customFormat="1">
      <c r="A39" s="75">
        <v>26</v>
      </c>
      <c r="B39" s="78" t="s">
        <v>57</v>
      </c>
      <c r="C39" s="23">
        <v>0</v>
      </c>
    </row>
    <row r="40" spans="1:3" s="20" customFormat="1">
      <c r="A40" s="73">
        <v>27</v>
      </c>
      <c r="B40" s="78" t="s">
        <v>58</v>
      </c>
      <c r="C40" s="23">
        <v>0</v>
      </c>
    </row>
    <row r="41" spans="1:3" s="20" customFormat="1">
      <c r="A41" s="75">
        <v>28</v>
      </c>
      <c r="B41" s="79"/>
      <c r="C41" s="23">
        <v>0</v>
      </c>
    </row>
    <row r="42" spans="1:3" s="20" customFormat="1">
      <c r="A42" s="75">
        <v>29</v>
      </c>
      <c r="B42" s="78" t="s">
        <v>59</v>
      </c>
      <c r="C42" s="23">
        <v>0</v>
      </c>
    </row>
    <row r="43" spans="1:3" s="20" customFormat="1">
      <c r="A43" s="73">
        <v>30</v>
      </c>
      <c r="B43" s="397" t="s">
        <v>48</v>
      </c>
      <c r="C43" s="23">
        <v>0</v>
      </c>
    </row>
    <row r="44" spans="1:3" s="20" customFormat="1">
      <c r="A44" s="75">
        <v>31</v>
      </c>
      <c r="B44" s="397" t="s">
        <v>54</v>
      </c>
      <c r="C44" s="23"/>
    </row>
    <row r="45" spans="1:3" s="20" customFormat="1">
      <c r="A45" s="75">
        <v>32</v>
      </c>
      <c r="B45" s="397" t="s">
        <v>51</v>
      </c>
      <c r="C45" s="24">
        <v>0</v>
      </c>
    </row>
    <row r="46" spans="1:3" s="20" customFormat="1">
      <c r="A46" s="73">
        <v>33</v>
      </c>
      <c r="B46" s="398" t="s">
        <v>60</v>
      </c>
      <c r="C46" s="24">
        <f t="shared" ref="C46" si="4">SUM(C43:C45)</f>
        <v>0</v>
      </c>
    </row>
    <row r="47" spans="1:3" s="20" customFormat="1">
      <c r="A47" s="75">
        <v>34</v>
      </c>
      <c r="B47" s="78" t="s">
        <v>61</v>
      </c>
      <c r="C47" s="24">
        <f t="shared" ref="C47" si="5">C46+C40+C39+C38+C36+C30</f>
        <v>-80</v>
      </c>
    </row>
    <row r="48" spans="1:3" s="20" customFormat="1">
      <c r="A48" s="75">
        <v>35</v>
      </c>
      <c r="B48" s="79"/>
      <c r="C48" s="23"/>
    </row>
    <row r="49" spans="1:3" s="20" customFormat="1">
      <c r="A49" s="73">
        <v>36</v>
      </c>
      <c r="B49" s="78" t="s">
        <v>62</v>
      </c>
      <c r="C49" s="23">
        <f t="shared" ref="C49" si="6">C21-C47</f>
        <v>80</v>
      </c>
    </row>
    <row r="50" spans="1:3" s="20" customFormat="1">
      <c r="A50" s="75">
        <v>37</v>
      </c>
      <c r="B50" s="78"/>
      <c r="C50" s="23"/>
    </row>
    <row r="51" spans="1:3" s="20" customFormat="1">
      <c r="A51" s="75">
        <v>38</v>
      </c>
      <c r="B51" s="78" t="s">
        <v>63</v>
      </c>
      <c r="C51" s="23"/>
    </row>
    <row r="52" spans="1:3" s="20" customFormat="1">
      <c r="A52" s="73">
        <v>39</v>
      </c>
      <c r="B52" s="78" t="s">
        <v>64</v>
      </c>
      <c r="C52" s="23">
        <f>ROUND(C105,0)</f>
        <v>28</v>
      </c>
    </row>
    <row r="53" spans="1:3" s="20" customFormat="1">
      <c r="A53" s="75">
        <v>40</v>
      </c>
      <c r="B53" s="78" t="s">
        <v>366</v>
      </c>
      <c r="C53" s="23">
        <f>-C104</f>
        <v>0</v>
      </c>
    </row>
    <row r="54" spans="1:3" s="20" customFormat="1">
      <c r="A54" s="75">
        <v>41</v>
      </c>
      <c r="B54" s="78" t="s">
        <v>65</v>
      </c>
      <c r="C54" s="23"/>
    </row>
    <row r="55" spans="1:3" s="20" customFormat="1">
      <c r="A55" s="73">
        <v>42</v>
      </c>
      <c r="B55" s="78" t="s">
        <v>238</v>
      </c>
      <c r="C55" s="24"/>
    </row>
    <row r="56" spans="1:3">
      <c r="A56" s="73">
        <v>45</v>
      </c>
      <c r="B56" s="79"/>
      <c r="C56" s="23"/>
    </row>
    <row r="57" spans="1:3" s="15" customFormat="1" ht="13.5" thickBot="1">
      <c r="A57" s="75">
        <v>46</v>
      </c>
      <c r="B57" s="76" t="s">
        <v>66</v>
      </c>
      <c r="C57" s="567">
        <f t="shared" ref="C57" si="7">C49-SUM(C52:C55)</f>
        <v>52</v>
      </c>
    </row>
    <row r="58" spans="1:3" ht="13.5" thickTop="1">
      <c r="A58" s="75">
        <v>47</v>
      </c>
      <c r="B58" s="2"/>
      <c r="C58" s="23"/>
    </row>
    <row r="59" spans="1:3">
      <c r="A59" s="73">
        <v>48</v>
      </c>
      <c r="B59" s="416" t="s">
        <v>21</v>
      </c>
      <c r="C59" s="23"/>
    </row>
    <row r="60" spans="1:3">
      <c r="A60" s="75">
        <v>49</v>
      </c>
      <c r="B60" s="63" t="s">
        <v>67</v>
      </c>
      <c r="C60" s="23"/>
    </row>
    <row r="61" spans="1:3" s="15" customFormat="1">
      <c r="A61" s="75">
        <v>50</v>
      </c>
      <c r="B61" s="396" t="s">
        <v>68</v>
      </c>
      <c r="C61" s="23">
        <v>0</v>
      </c>
    </row>
    <row r="62" spans="1:3" s="20" customFormat="1">
      <c r="A62" s="73">
        <v>51</v>
      </c>
      <c r="B62" s="397" t="s">
        <v>69</v>
      </c>
      <c r="C62" s="23"/>
    </row>
    <row r="63" spans="1:3" s="20" customFormat="1">
      <c r="A63" s="75">
        <v>52</v>
      </c>
      <c r="B63" s="397" t="s">
        <v>70</v>
      </c>
      <c r="C63" s="23">
        <v>0</v>
      </c>
    </row>
    <row r="64" spans="1:3" s="20" customFormat="1">
      <c r="A64" s="75">
        <v>53</v>
      </c>
      <c r="B64" s="397" t="s">
        <v>53</v>
      </c>
      <c r="C64" s="23">
        <v>0</v>
      </c>
    </row>
    <row r="65" spans="1:3" s="20" customFormat="1">
      <c r="A65" s="73">
        <v>54</v>
      </c>
      <c r="B65" s="397" t="s">
        <v>71</v>
      </c>
      <c r="C65" s="24">
        <v>0</v>
      </c>
    </row>
    <row r="66" spans="1:3" s="20" customFormat="1">
      <c r="A66" s="75">
        <v>55</v>
      </c>
      <c r="B66" s="398" t="s">
        <v>72</v>
      </c>
      <c r="C66" s="23">
        <f t="shared" ref="C66" si="8">SUM(C61:C65)</f>
        <v>0</v>
      </c>
    </row>
    <row r="67" spans="1:3" s="20" customFormat="1">
      <c r="A67" s="75">
        <v>56</v>
      </c>
      <c r="B67" s="78" t="s">
        <v>244</v>
      </c>
      <c r="C67" s="23">
        <v>0</v>
      </c>
    </row>
    <row r="68" spans="1:3" s="20" customFormat="1">
      <c r="A68" s="73">
        <v>57</v>
      </c>
      <c r="B68" s="78" t="s">
        <v>245</v>
      </c>
      <c r="C68" s="24"/>
    </row>
    <row r="69" spans="1:3" s="20" customFormat="1">
      <c r="A69" s="75">
        <v>58</v>
      </c>
      <c r="B69" s="397" t="s">
        <v>73</v>
      </c>
      <c r="C69" s="23">
        <f t="shared" ref="C69" si="9">SUM(C67:C68)</f>
        <v>0</v>
      </c>
    </row>
    <row r="70" spans="1:3" s="20" customFormat="1">
      <c r="A70" s="75">
        <v>59</v>
      </c>
      <c r="B70" s="78" t="s">
        <v>246</v>
      </c>
      <c r="C70" s="23">
        <v>0</v>
      </c>
    </row>
    <row r="71" spans="1:3" s="20" customFormat="1">
      <c r="A71" s="73">
        <v>60</v>
      </c>
      <c r="B71" s="78" t="s">
        <v>351</v>
      </c>
      <c r="C71" s="23"/>
    </row>
    <row r="72" spans="1:3" s="20" customFormat="1">
      <c r="A72" s="75">
        <v>61</v>
      </c>
      <c r="B72" s="78" t="s">
        <v>236</v>
      </c>
      <c r="C72" s="23"/>
    </row>
    <row r="73" spans="1:3" s="20" customFormat="1">
      <c r="A73" s="75">
        <v>62</v>
      </c>
      <c r="B73" s="78" t="s">
        <v>247</v>
      </c>
      <c r="C73" s="23"/>
    </row>
    <row r="74" spans="1:3" s="20" customFormat="1">
      <c r="A74" s="73">
        <v>63</v>
      </c>
      <c r="B74" s="78" t="s">
        <v>248</v>
      </c>
      <c r="C74" s="24">
        <v>0</v>
      </c>
    </row>
    <row r="75" spans="1:3" s="20" customFormat="1">
      <c r="A75" s="75">
        <v>64</v>
      </c>
      <c r="B75" s="79"/>
      <c r="C75" s="28"/>
    </row>
    <row r="76" spans="1:3" s="20" customFormat="1">
      <c r="A76" s="75">
        <v>65</v>
      </c>
      <c r="B76" s="79"/>
      <c r="C76" s="23"/>
    </row>
    <row r="77" spans="1:3" s="15" customFormat="1" ht="13.5" thickBot="1">
      <c r="A77" s="73">
        <v>66</v>
      </c>
      <c r="B77" s="425" t="s">
        <v>74</v>
      </c>
      <c r="C77" s="568">
        <f t="shared" ref="C77" si="10">C66-C69+C70+C72+C73+C74+C71</f>
        <v>0</v>
      </c>
    </row>
    <row r="78" spans="1:3" ht="13.5" thickTop="1">
      <c r="B78" s="83"/>
    </row>
    <row r="79" spans="1:3">
      <c r="A79" s="84"/>
      <c r="B79" s="38"/>
      <c r="C79" s="57"/>
    </row>
    <row r="80" spans="1:3">
      <c r="A80" s="89"/>
      <c r="B80" s="39"/>
    </row>
    <row r="81" spans="1:3">
      <c r="A81" s="73">
        <v>1</v>
      </c>
      <c r="B81" s="392" t="s">
        <v>116</v>
      </c>
    </row>
    <row r="82" spans="1:3">
      <c r="A82" s="73">
        <v>2</v>
      </c>
      <c r="B82" s="87" t="s">
        <v>18</v>
      </c>
      <c r="C82" s="82">
        <f t="shared" ref="C82" si="11">+C21</f>
        <v>0</v>
      </c>
    </row>
    <row r="83" spans="1:3">
      <c r="A83" s="73">
        <v>3</v>
      </c>
      <c r="B83" s="87" t="s">
        <v>19</v>
      </c>
      <c r="C83" s="23">
        <f t="shared" ref="C83" si="12">+C47</f>
        <v>-80</v>
      </c>
    </row>
    <row r="84" spans="1:3">
      <c r="A84" s="73">
        <v>4</v>
      </c>
      <c r="B84" s="87" t="s">
        <v>274</v>
      </c>
      <c r="C84" s="23"/>
    </row>
    <row r="85" spans="1:3">
      <c r="A85" s="73">
        <v>5</v>
      </c>
      <c r="B85" s="399" t="s">
        <v>119</v>
      </c>
      <c r="C85" s="27">
        <f t="shared" ref="C85" si="13">+C82-C83-C84</f>
        <v>80</v>
      </c>
    </row>
    <row r="86" spans="1:3">
      <c r="A86" s="73">
        <v>6</v>
      </c>
      <c r="B86" s="91"/>
      <c r="C86" s="80"/>
    </row>
    <row r="87" spans="1:3">
      <c r="A87" s="73">
        <v>7</v>
      </c>
      <c r="B87" s="86" t="s">
        <v>120</v>
      </c>
      <c r="C87" s="80"/>
    </row>
    <row r="88" spans="1:3">
      <c r="A88" s="73">
        <v>8</v>
      </c>
      <c r="B88" s="87" t="s">
        <v>121</v>
      </c>
      <c r="C88" s="80"/>
    </row>
    <row r="89" spans="1:3">
      <c r="A89" s="73">
        <v>9</v>
      </c>
      <c r="B89" s="87" t="s">
        <v>130</v>
      </c>
      <c r="C89" s="80"/>
    </row>
    <row r="90" spans="1:3">
      <c r="A90" s="73">
        <v>10</v>
      </c>
      <c r="B90" s="87" t="s">
        <v>122</v>
      </c>
      <c r="C90" s="80"/>
    </row>
    <row r="91" spans="1:3">
      <c r="A91" s="73">
        <v>11</v>
      </c>
      <c r="B91" s="39"/>
      <c r="C91" s="80"/>
    </row>
    <row r="92" spans="1:3">
      <c r="A92" s="73">
        <v>12</v>
      </c>
      <c r="B92" s="86" t="s">
        <v>123</v>
      </c>
      <c r="C92" s="27">
        <f t="shared" ref="C92" si="14">SUM(C88:C90)</f>
        <v>0</v>
      </c>
    </row>
    <row r="93" spans="1:3">
      <c r="A93" s="73">
        <v>13</v>
      </c>
      <c r="B93" s="39"/>
      <c r="C93" s="80"/>
    </row>
    <row r="94" spans="1:3">
      <c r="A94" s="73">
        <v>14</v>
      </c>
      <c r="B94" s="86" t="s">
        <v>365</v>
      </c>
      <c r="C94" s="80"/>
    </row>
    <row r="95" spans="1:3">
      <c r="A95" s="73">
        <v>15</v>
      </c>
      <c r="B95" s="86" t="s">
        <v>178</v>
      </c>
      <c r="C95" s="80">
        <v>0</v>
      </c>
    </row>
    <row r="96" spans="1:3">
      <c r="A96" s="73">
        <v>16</v>
      </c>
      <c r="B96" s="87" t="s">
        <v>177</v>
      </c>
      <c r="C96" s="80"/>
    </row>
    <row r="97" spans="1:3">
      <c r="A97" s="73">
        <v>17</v>
      </c>
      <c r="B97" s="87" t="s">
        <v>275</v>
      </c>
      <c r="C97" s="80"/>
    </row>
    <row r="98" spans="1:3">
      <c r="A98" s="73">
        <v>18</v>
      </c>
      <c r="B98" s="87"/>
      <c r="C98" s="80"/>
    </row>
    <row r="99" spans="1:3">
      <c r="A99" s="73">
        <v>19</v>
      </c>
      <c r="B99" s="86" t="s">
        <v>125</v>
      </c>
      <c r="C99" s="27">
        <f t="shared" ref="C99" si="15">SUM(C95:C97)</f>
        <v>0</v>
      </c>
    </row>
    <row r="100" spans="1:3">
      <c r="A100" s="73">
        <v>20</v>
      </c>
      <c r="B100" s="39"/>
      <c r="C100" s="80"/>
    </row>
    <row r="101" spans="1:3">
      <c r="A101" s="73">
        <v>21</v>
      </c>
      <c r="B101" s="87" t="s">
        <v>255</v>
      </c>
      <c r="C101" s="28">
        <f t="shared" ref="C101" si="16">+C85+C92-C99</f>
        <v>80</v>
      </c>
    </row>
    <row r="102" spans="1:3">
      <c r="A102" s="73">
        <v>22</v>
      </c>
      <c r="B102" s="87" t="s">
        <v>126</v>
      </c>
      <c r="C102" s="94">
        <v>0.35</v>
      </c>
    </row>
    <row r="103" spans="1:3">
      <c r="A103" s="73">
        <v>23</v>
      </c>
      <c r="B103" s="86" t="s">
        <v>127</v>
      </c>
      <c r="C103" s="93">
        <f t="shared" ref="C103" si="17">C101*C102</f>
        <v>28</v>
      </c>
    </row>
    <row r="104" spans="1:3">
      <c r="A104" s="73">
        <v>24</v>
      </c>
      <c r="B104" s="87" t="s">
        <v>128</v>
      </c>
      <c r="C104" s="80">
        <f t="shared" ref="C104" si="18">+(C95-C88+C96)*C102</f>
        <v>0</v>
      </c>
    </row>
    <row r="105" spans="1:3" ht="13.5" thickBot="1">
      <c r="A105" s="73">
        <v>25</v>
      </c>
      <c r="B105" s="95" t="s">
        <v>129</v>
      </c>
      <c r="C105" s="96">
        <f t="shared" ref="C105" si="19">+C103+C104</f>
        <v>28</v>
      </c>
    </row>
    <row r="106" spans="1:3" ht="13.5" thickTop="1">
      <c r="A106" s="89"/>
    </row>
  </sheetData>
  <printOptions horizontalCentered="1"/>
  <pageMargins left="0.5" right="0.5" top="1.5" bottom="0.3" header="0.5" footer="0.5"/>
  <pageSetup scale="60" fitToWidth="0" orientation="portrait" useFirstPageNumber="1" r:id="rId1"/>
  <headerFooter scaleWithDoc="0" alignWithMargins="0">
    <oddHeader>&amp;L&amp;"Arial,Regular"&amp;10Avista Corporation
&amp;"Arial,Bold"Electric - Restating Adjustments (Schedule 1.2)&amp;"Arial,Regular"
Twelve Months Ended December 31, 2011&amp;R&amp;"Arial,Regular"&amp;10Exhibit No. ___ (JH-2)
Docket UE-120436 &amp;&amp; UG-120437
Page &amp;P of  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6"/>
  <sheetViews>
    <sheetView topLeftCell="A9" zoomScale="75" zoomScaleNormal="75" workbookViewId="0">
      <pane xSplit="2" ySplit="4" topLeftCell="C37" activePane="bottomRight" state="frozen"/>
      <selection activeCell="G79" sqref="G79"/>
      <selection pane="topRight" activeCell="G79" sqref="G79"/>
      <selection pane="bottomLeft" activeCell="G79" sqref="G79"/>
      <selection pane="bottomRight" activeCell="C53" sqref="C53"/>
    </sheetView>
  </sheetViews>
  <sheetFormatPr defaultColWidth="9" defaultRowHeight="12.75"/>
  <cols>
    <col min="1" max="1" width="4.625" style="64" customWidth="1"/>
    <col min="2" max="2" width="42.5" style="63" bestFit="1" customWidth="1"/>
    <col min="3" max="3" width="13.625" style="74" customWidth="1"/>
    <col min="4" max="16384" width="9" style="14"/>
  </cols>
  <sheetData>
    <row r="1" spans="1:3">
      <c r="A1" s="56"/>
      <c r="B1" s="9" t="s">
        <v>281</v>
      </c>
      <c r="C1" s="58"/>
    </row>
    <row r="2" spans="1:3">
      <c r="A2" s="411"/>
      <c r="B2" s="14"/>
      <c r="C2" s="66" t="s">
        <v>250</v>
      </c>
    </row>
    <row r="3" spans="1:3">
      <c r="A3" s="411"/>
      <c r="B3" s="9"/>
      <c r="C3" s="66"/>
    </row>
    <row r="4" spans="1:3" ht="13.5" thickBot="1">
      <c r="A4" s="411"/>
      <c r="B4" s="9"/>
      <c r="C4" s="413"/>
    </row>
    <row r="5" spans="1:3" ht="13.5" thickTop="1">
      <c r="A5" s="402"/>
      <c r="B5" s="64" t="str">
        <f>+ROO!B2</f>
        <v>(000's of Dollars)</v>
      </c>
      <c r="C5" s="65"/>
    </row>
    <row r="6" spans="1:3">
      <c r="A6" s="62"/>
      <c r="B6" s="64"/>
      <c r="C6" s="65"/>
    </row>
    <row r="7" spans="1:3">
      <c r="A7" s="403"/>
      <c r="B7" s="66" t="s">
        <v>100</v>
      </c>
      <c r="C7" s="66" t="s">
        <v>172</v>
      </c>
    </row>
    <row r="8" spans="1:3">
      <c r="A8" s="403"/>
      <c r="B8" s="66"/>
      <c r="C8" s="66"/>
    </row>
    <row r="9" spans="1:3" s="70" customFormat="1">
      <c r="A9" s="69"/>
      <c r="B9" s="69"/>
      <c r="C9" s="546">
        <v>2.12</v>
      </c>
    </row>
    <row r="10" spans="1:3" s="71" customFormat="1">
      <c r="A10" s="414"/>
      <c r="B10" s="420"/>
      <c r="C10" s="68"/>
    </row>
    <row r="11" spans="1:3" s="71" customFormat="1">
      <c r="A11" s="414" t="s">
        <v>5</v>
      </c>
      <c r="B11" s="420"/>
      <c r="C11" s="68" t="s">
        <v>329</v>
      </c>
    </row>
    <row r="12" spans="1:3" s="424" customFormat="1">
      <c r="A12" s="421" t="s">
        <v>10</v>
      </c>
      <c r="B12" s="422" t="s">
        <v>11</v>
      </c>
      <c r="C12" s="423" t="s">
        <v>38</v>
      </c>
    </row>
    <row r="13" spans="1:3" s="59" customFormat="1">
      <c r="A13" s="418"/>
      <c r="B13" s="419" t="s">
        <v>155</v>
      </c>
      <c r="C13" s="66"/>
    </row>
    <row r="14" spans="1:3">
      <c r="A14" s="73">
        <v>1</v>
      </c>
      <c r="B14" s="416" t="s">
        <v>98</v>
      </c>
      <c r="C14" s="65"/>
    </row>
    <row r="15" spans="1:3">
      <c r="A15" s="75">
        <v>2</v>
      </c>
      <c r="B15" s="63" t="s">
        <v>40</v>
      </c>
      <c r="C15" s="65"/>
    </row>
    <row r="16" spans="1:3" s="15" customFormat="1">
      <c r="A16" s="73">
        <v>3</v>
      </c>
      <c r="B16" s="76" t="s">
        <v>41</v>
      </c>
      <c r="C16" s="566">
        <v>74</v>
      </c>
    </row>
    <row r="17" spans="1:3" s="20" customFormat="1">
      <c r="A17" s="75">
        <v>4</v>
      </c>
      <c r="B17" s="78" t="s">
        <v>42</v>
      </c>
      <c r="C17" s="23">
        <v>0</v>
      </c>
    </row>
    <row r="18" spans="1:3" s="20" customFormat="1">
      <c r="A18" s="73">
        <v>5</v>
      </c>
      <c r="B18" s="78" t="s">
        <v>43</v>
      </c>
      <c r="C18" s="24">
        <v>0</v>
      </c>
    </row>
    <row r="19" spans="1:3" s="20" customFormat="1">
      <c r="A19" s="75">
        <v>6</v>
      </c>
      <c r="B19" s="397" t="s">
        <v>44</v>
      </c>
      <c r="C19" s="23">
        <f t="shared" ref="C19" si="0">SUM(C16:C18)</f>
        <v>74</v>
      </c>
    </row>
    <row r="20" spans="1:3" s="20" customFormat="1">
      <c r="A20" s="73">
        <v>7</v>
      </c>
      <c r="B20" s="78" t="s">
        <v>45</v>
      </c>
      <c r="C20" s="24"/>
    </row>
    <row r="21" spans="1:3" s="20" customFormat="1">
      <c r="A21" s="75">
        <v>8</v>
      </c>
      <c r="B21" s="397" t="s">
        <v>46</v>
      </c>
      <c r="C21" s="23">
        <f t="shared" ref="C21" si="1">SUM(C19:C20)</f>
        <v>74</v>
      </c>
    </row>
    <row r="22" spans="1:3" s="20" customFormat="1">
      <c r="A22" s="73">
        <v>9</v>
      </c>
      <c r="B22" s="79"/>
      <c r="C22" s="23"/>
    </row>
    <row r="23" spans="1:3" s="20" customFormat="1">
      <c r="A23" s="75">
        <v>10</v>
      </c>
      <c r="B23" s="78" t="s">
        <v>20</v>
      </c>
      <c r="C23" s="23"/>
    </row>
    <row r="24" spans="1:3" s="20" customFormat="1">
      <c r="A24" s="73">
        <v>11</v>
      </c>
      <c r="B24" s="78" t="s">
        <v>47</v>
      </c>
      <c r="C24" s="23"/>
    </row>
    <row r="25" spans="1:3" s="20" customFormat="1">
      <c r="A25" s="75">
        <v>12</v>
      </c>
      <c r="B25" s="397" t="s">
        <v>48</v>
      </c>
      <c r="C25" s="23">
        <v>0</v>
      </c>
    </row>
    <row r="26" spans="1:3" s="20" customFormat="1">
      <c r="A26" s="73">
        <v>13</v>
      </c>
      <c r="B26" s="397" t="s">
        <v>49</v>
      </c>
      <c r="C26" s="23">
        <v>0</v>
      </c>
    </row>
    <row r="27" spans="1:3" s="20" customFormat="1">
      <c r="A27" s="75">
        <v>14</v>
      </c>
      <c r="B27" s="397" t="s">
        <v>50</v>
      </c>
      <c r="C27" s="23">
        <v>0</v>
      </c>
    </row>
    <row r="28" spans="1:3" s="20" customFormat="1">
      <c r="A28" s="73">
        <v>15</v>
      </c>
      <c r="B28" s="393" t="s">
        <v>349</v>
      </c>
      <c r="C28" s="23">
        <v>4610</v>
      </c>
    </row>
    <row r="29" spans="1:3" s="20" customFormat="1">
      <c r="A29" s="75">
        <v>16</v>
      </c>
      <c r="B29" s="397" t="s">
        <v>51</v>
      </c>
      <c r="C29" s="24">
        <v>0</v>
      </c>
    </row>
    <row r="30" spans="1:3" s="20" customFormat="1">
      <c r="A30" s="73">
        <v>17</v>
      </c>
      <c r="B30" s="398" t="s">
        <v>52</v>
      </c>
      <c r="C30" s="23">
        <f t="shared" ref="C30" si="2">SUM(C25:C29)</f>
        <v>4610</v>
      </c>
    </row>
    <row r="31" spans="1:3" s="20" customFormat="1">
      <c r="A31" s="75">
        <v>18</v>
      </c>
      <c r="B31" s="79"/>
      <c r="C31" s="23"/>
    </row>
    <row r="32" spans="1:3" s="20" customFormat="1">
      <c r="A32" s="73">
        <v>19</v>
      </c>
      <c r="B32" s="78" t="s">
        <v>53</v>
      </c>
      <c r="C32" s="23"/>
    </row>
    <row r="33" spans="1:3" s="20" customFormat="1">
      <c r="A33" s="75">
        <v>20</v>
      </c>
      <c r="B33" s="397" t="s">
        <v>48</v>
      </c>
      <c r="C33" s="23">
        <v>0</v>
      </c>
    </row>
    <row r="34" spans="1:3" s="20" customFormat="1">
      <c r="A34" s="73">
        <v>21</v>
      </c>
      <c r="B34" s="397" t="s">
        <v>54</v>
      </c>
      <c r="C34" s="23">
        <v>0</v>
      </c>
    </row>
    <row r="35" spans="1:3" s="20" customFormat="1">
      <c r="A35" s="75">
        <v>22</v>
      </c>
      <c r="B35" s="397" t="s">
        <v>51</v>
      </c>
      <c r="C35" s="24">
        <v>3</v>
      </c>
    </row>
    <row r="36" spans="1:3" s="20" customFormat="1">
      <c r="A36" s="73">
        <v>23</v>
      </c>
      <c r="B36" s="398" t="s">
        <v>55</v>
      </c>
      <c r="C36" s="23">
        <f t="shared" ref="C36" si="3">SUM(C33:C35)</f>
        <v>3</v>
      </c>
    </row>
    <row r="37" spans="1:3" s="20" customFormat="1">
      <c r="A37" s="75">
        <v>24</v>
      </c>
      <c r="B37" s="79"/>
      <c r="C37" s="23"/>
    </row>
    <row r="38" spans="1:3" s="20" customFormat="1">
      <c r="A38" s="73">
        <v>25</v>
      </c>
      <c r="B38" s="78" t="s">
        <v>56</v>
      </c>
      <c r="C38" s="23">
        <v>0</v>
      </c>
    </row>
    <row r="39" spans="1:3" s="20" customFormat="1">
      <c r="A39" s="75">
        <v>26</v>
      </c>
      <c r="B39" s="78" t="s">
        <v>57</v>
      </c>
      <c r="C39" s="23">
        <v>-20102</v>
      </c>
    </row>
    <row r="40" spans="1:3" s="20" customFormat="1">
      <c r="A40" s="73">
        <v>27</v>
      </c>
      <c r="B40" s="78" t="s">
        <v>58</v>
      </c>
      <c r="C40" s="23">
        <v>0</v>
      </c>
    </row>
    <row r="41" spans="1:3" s="20" customFormat="1">
      <c r="A41" s="75">
        <v>28</v>
      </c>
      <c r="B41" s="79"/>
      <c r="C41" s="23">
        <v>0</v>
      </c>
    </row>
    <row r="42" spans="1:3" s="20" customFormat="1">
      <c r="A42" s="75">
        <v>29</v>
      </c>
      <c r="B42" s="78" t="s">
        <v>59</v>
      </c>
      <c r="C42" s="23">
        <v>0</v>
      </c>
    </row>
    <row r="43" spans="1:3" s="20" customFormat="1">
      <c r="A43" s="73">
        <v>30</v>
      </c>
      <c r="B43" s="397" t="s">
        <v>48</v>
      </c>
      <c r="C43" s="23">
        <v>0</v>
      </c>
    </row>
    <row r="44" spans="1:3" s="20" customFormat="1">
      <c r="A44" s="75">
        <v>31</v>
      </c>
      <c r="B44" s="397" t="s">
        <v>54</v>
      </c>
      <c r="C44" s="23">
        <v>0</v>
      </c>
    </row>
    <row r="45" spans="1:3" s="20" customFormat="1">
      <c r="A45" s="75">
        <v>32</v>
      </c>
      <c r="B45" s="397" t="s">
        <v>51</v>
      </c>
      <c r="C45" s="24">
        <v>0</v>
      </c>
    </row>
    <row r="46" spans="1:3" s="20" customFormat="1">
      <c r="A46" s="73">
        <v>33</v>
      </c>
      <c r="B46" s="398" t="s">
        <v>60</v>
      </c>
      <c r="C46" s="24">
        <f t="shared" ref="C46" si="4">SUM(C43:C45)</f>
        <v>0</v>
      </c>
    </row>
    <row r="47" spans="1:3" s="20" customFormat="1">
      <c r="A47" s="75">
        <v>34</v>
      </c>
      <c r="B47" s="78" t="s">
        <v>61</v>
      </c>
      <c r="C47" s="24">
        <f t="shared" ref="C47" si="5">C46+C40+C39+C38+C36+C30</f>
        <v>-15489</v>
      </c>
    </row>
    <row r="48" spans="1:3" s="20" customFormat="1">
      <c r="A48" s="75">
        <v>35</v>
      </c>
      <c r="B48" s="79"/>
      <c r="C48" s="23"/>
    </row>
    <row r="49" spans="1:3" s="20" customFormat="1">
      <c r="A49" s="73">
        <v>36</v>
      </c>
      <c r="B49" s="78" t="s">
        <v>62</v>
      </c>
      <c r="C49" s="23">
        <f t="shared" ref="C49" si="6">C21-C47</f>
        <v>15563</v>
      </c>
    </row>
    <row r="50" spans="1:3" s="20" customFormat="1">
      <c r="A50" s="75">
        <v>37</v>
      </c>
      <c r="B50" s="78"/>
      <c r="C50" s="23"/>
    </row>
    <row r="51" spans="1:3" s="20" customFormat="1">
      <c r="A51" s="75">
        <v>38</v>
      </c>
      <c r="B51" s="78" t="s">
        <v>63</v>
      </c>
      <c r="C51" s="23"/>
    </row>
    <row r="52" spans="1:3" s="20" customFormat="1">
      <c r="A52" s="73">
        <v>39</v>
      </c>
      <c r="B52" s="78" t="s">
        <v>64</v>
      </c>
      <c r="C52" s="23">
        <f>ROUND(C105,0)</f>
        <v>5447</v>
      </c>
    </row>
    <row r="53" spans="1:3" s="20" customFormat="1">
      <c r="A53" s="75">
        <v>40</v>
      </c>
      <c r="B53" s="78" t="s">
        <v>366</v>
      </c>
      <c r="C53" s="23">
        <v>0</v>
      </c>
    </row>
    <row r="54" spans="1:3" s="20" customFormat="1">
      <c r="A54" s="75">
        <v>41</v>
      </c>
      <c r="B54" s="78" t="s">
        <v>65</v>
      </c>
      <c r="C54" s="23"/>
    </row>
    <row r="55" spans="1:3" s="20" customFormat="1">
      <c r="A55" s="73">
        <v>42</v>
      </c>
      <c r="B55" s="78" t="s">
        <v>238</v>
      </c>
      <c r="C55" s="24"/>
    </row>
    <row r="56" spans="1:3">
      <c r="A56" s="73">
        <v>45</v>
      </c>
      <c r="B56" s="79"/>
      <c r="C56" s="23"/>
    </row>
    <row r="57" spans="1:3" s="15" customFormat="1" ht="13.5" thickBot="1">
      <c r="A57" s="75">
        <v>46</v>
      </c>
      <c r="B57" s="76" t="s">
        <v>66</v>
      </c>
      <c r="C57" s="567">
        <f t="shared" ref="C57" si="7">C49-SUM(C52:C55)</f>
        <v>10116</v>
      </c>
    </row>
    <row r="58" spans="1:3" ht="13.5" thickTop="1">
      <c r="A58" s="75">
        <v>47</v>
      </c>
      <c r="B58" s="2"/>
      <c r="C58" s="23"/>
    </row>
    <row r="59" spans="1:3">
      <c r="A59" s="73">
        <v>48</v>
      </c>
      <c r="B59" s="416" t="s">
        <v>21</v>
      </c>
      <c r="C59" s="23"/>
    </row>
    <row r="60" spans="1:3">
      <c r="A60" s="75">
        <v>49</v>
      </c>
      <c r="B60" s="63" t="s">
        <v>67</v>
      </c>
      <c r="C60" s="23"/>
    </row>
    <row r="61" spans="1:3" s="15" customFormat="1">
      <c r="A61" s="75">
        <v>50</v>
      </c>
      <c r="B61" s="396" t="s">
        <v>68</v>
      </c>
      <c r="C61" s="23">
        <v>0</v>
      </c>
    </row>
    <row r="62" spans="1:3" s="20" customFormat="1">
      <c r="A62" s="73">
        <v>51</v>
      </c>
      <c r="B62" s="397" t="s">
        <v>69</v>
      </c>
      <c r="C62" s="23"/>
    </row>
    <row r="63" spans="1:3" s="20" customFormat="1">
      <c r="A63" s="75">
        <v>52</v>
      </c>
      <c r="B63" s="397" t="s">
        <v>70</v>
      </c>
      <c r="C63" s="23">
        <v>0</v>
      </c>
    </row>
    <row r="64" spans="1:3" s="20" customFormat="1">
      <c r="A64" s="75">
        <v>53</v>
      </c>
      <c r="B64" s="397" t="s">
        <v>53</v>
      </c>
      <c r="C64" s="23">
        <v>0</v>
      </c>
    </row>
    <row r="65" spans="1:3" s="20" customFormat="1">
      <c r="A65" s="73">
        <v>54</v>
      </c>
      <c r="B65" s="397" t="s">
        <v>71</v>
      </c>
      <c r="C65" s="24">
        <v>0</v>
      </c>
    </row>
    <row r="66" spans="1:3" s="20" customFormat="1">
      <c r="A66" s="75">
        <v>55</v>
      </c>
      <c r="B66" s="398" t="s">
        <v>72</v>
      </c>
      <c r="C66" s="23">
        <f t="shared" ref="C66" si="8">SUM(C61:C65)</f>
        <v>0</v>
      </c>
    </row>
    <row r="67" spans="1:3" s="20" customFormat="1">
      <c r="A67" s="75">
        <v>56</v>
      </c>
      <c r="B67" s="78" t="s">
        <v>244</v>
      </c>
      <c r="C67" s="23">
        <v>0</v>
      </c>
    </row>
    <row r="68" spans="1:3" s="20" customFormat="1">
      <c r="A68" s="73">
        <v>57</v>
      </c>
      <c r="B68" s="78" t="s">
        <v>245</v>
      </c>
      <c r="C68" s="24"/>
    </row>
    <row r="69" spans="1:3" s="20" customFormat="1">
      <c r="A69" s="75">
        <v>58</v>
      </c>
      <c r="B69" s="397" t="s">
        <v>73</v>
      </c>
      <c r="C69" s="23">
        <f t="shared" ref="C69" si="9">SUM(C67:C68)</f>
        <v>0</v>
      </c>
    </row>
    <row r="70" spans="1:3" s="20" customFormat="1">
      <c r="A70" s="75">
        <v>59</v>
      </c>
      <c r="B70" s="78" t="s">
        <v>246</v>
      </c>
      <c r="C70" s="23">
        <v>0</v>
      </c>
    </row>
    <row r="71" spans="1:3" s="20" customFormat="1">
      <c r="A71" s="73">
        <v>60</v>
      </c>
      <c r="B71" s="78" t="s">
        <v>351</v>
      </c>
      <c r="C71" s="23"/>
    </row>
    <row r="72" spans="1:3" s="20" customFormat="1">
      <c r="A72" s="75">
        <v>61</v>
      </c>
      <c r="B72" s="78" t="s">
        <v>236</v>
      </c>
      <c r="C72" s="23"/>
    </row>
    <row r="73" spans="1:3" s="20" customFormat="1">
      <c r="A73" s="75">
        <v>62</v>
      </c>
      <c r="B73" s="78" t="s">
        <v>247</v>
      </c>
      <c r="C73" s="23"/>
    </row>
    <row r="74" spans="1:3" s="20" customFormat="1">
      <c r="A74" s="73">
        <v>63</v>
      </c>
      <c r="B74" s="78" t="s">
        <v>248</v>
      </c>
      <c r="C74" s="24">
        <v>0</v>
      </c>
    </row>
    <row r="75" spans="1:3" s="20" customFormat="1">
      <c r="A75" s="75">
        <v>64</v>
      </c>
      <c r="B75" s="79"/>
      <c r="C75" s="28"/>
    </row>
    <row r="76" spans="1:3" s="20" customFormat="1">
      <c r="A76" s="75">
        <v>65</v>
      </c>
      <c r="B76" s="79"/>
      <c r="C76" s="23"/>
    </row>
    <row r="77" spans="1:3" s="15" customFormat="1" ht="13.5" thickBot="1">
      <c r="A77" s="73">
        <v>66</v>
      </c>
      <c r="B77" s="425" t="s">
        <v>74</v>
      </c>
      <c r="C77" s="568">
        <f t="shared" ref="C77" si="10">C66-C69+C70+C72+C73+C74+C71</f>
        <v>0</v>
      </c>
    </row>
    <row r="78" spans="1:3" ht="13.5" thickTop="1">
      <c r="B78" s="83"/>
    </row>
    <row r="79" spans="1:3">
      <c r="A79" s="84"/>
      <c r="B79" s="38"/>
      <c r="C79" s="57"/>
    </row>
    <row r="80" spans="1:3">
      <c r="A80" s="89"/>
      <c r="B80" s="39"/>
    </row>
    <row r="81" spans="1:3">
      <c r="A81" s="73">
        <v>1</v>
      </c>
      <c r="B81" s="392" t="s">
        <v>116</v>
      </c>
    </row>
    <row r="82" spans="1:3">
      <c r="A82" s="73">
        <v>2</v>
      </c>
      <c r="B82" s="87" t="s">
        <v>18</v>
      </c>
      <c r="C82" s="82">
        <f t="shared" ref="C82" si="11">+C21</f>
        <v>74</v>
      </c>
    </row>
    <row r="83" spans="1:3">
      <c r="A83" s="73">
        <v>3</v>
      </c>
      <c r="B83" s="87" t="s">
        <v>19</v>
      </c>
      <c r="C83" s="23">
        <f t="shared" ref="C83" si="12">+C47</f>
        <v>-15489</v>
      </c>
    </row>
    <row r="84" spans="1:3">
      <c r="A84" s="73">
        <v>4</v>
      </c>
      <c r="B84" s="87" t="s">
        <v>274</v>
      </c>
      <c r="C84" s="23"/>
    </row>
    <row r="85" spans="1:3">
      <c r="A85" s="73">
        <v>5</v>
      </c>
      <c r="B85" s="399" t="s">
        <v>119</v>
      </c>
      <c r="C85" s="27">
        <f t="shared" ref="C85" si="13">+C82-C83-C84</f>
        <v>15563</v>
      </c>
    </row>
    <row r="86" spans="1:3">
      <c r="A86" s="73">
        <v>6</v>
      </c>
      <c r="B86" s="91"/>
      <c r="C86" s="80"/>
    </row>
    <row r="87" spans="1:3">
      <c r="A87" s="73">
        <v>7</v>
      </c>
      <c r="B87" s="86" t="s">
        <v>120</v>
      </c>
      <c r="C87" s="80"/>
    </row>
    <row r="88" spans="1:3">
      <c r="A88" s="73">
        <v>8</v>
      </c>
      <c r="B88" s="87" t="s">
        <v>121</v>
      </c>
      <c r="C88" s="80"/>
    </row>
    <row r="89" spans="1:3">
      <c r="A89" s="73">
        <v>9</v>
      </c>
      <c r="B89" s="87" t="s">
        <v>130</v>
      </c>
      <c r="C89" s="80"/>
    </row>
    <row r="90" spans="1:3">
      <c r="A90" s="73">
        <v>10</v>
      </c>
      <c r="B90" s="87" t="s">
        <v>122</v>
      </c>
      <c r="C90" s="80"/>
    </row>
    <row r="91" spans="1:3">
      <c r="A91" s="73">
        <v>11</v>
      </c>
      <c r="B91" s="39"/>
      <c r="C91" s="80"/>
    </row>
    <row r="92" spans="1:3">
      <c r="A92" s="73">
        <v>12</v>
      </c>
      <c r="B92" s="86" t="s">
        <v>123</v>
      </c>
      <c r="C92" s="27">
        <f t="shared" ref="C92" si="14">SUM(C88:C90)</f>
        <v>0</v>
      </c>
    </row>
    <row r="93" spans="1:3">
      <c r="A93" s="73">
        <v>13</v>
      </c>
      <c r="B93" s="39"/>
      <c r="C93" s="80"/>
    </row>
    <row r="94" spans="1:3">
      <c r="A94" s="73">
        <v>14</v>
      </c>
      <c r="B94" s="86" t="s">
        <v>365</v>
      </c>
      <c r="C94" s="80"/>
    </row>
    <row r="95" spans="1:3">
      <c r="A95" s="73">
        <v>15</v>
      </c>
      <c r="B95" s="86" t="s">
        <v>178</v>
      </c>
      <c r="C95" s="80"/>
    </row>
    <row r="96" spans="1:3">
      <c r="A96" s="73">
        <v>16</v>
      </c>
      <c r="B96" s="87" t="s">
        <v>177</v>
      </c>
      <c r="C96" s="80"/>
    </row>
    <row r="97" spans="1:3">
      <c r="A97" s="73">
        <v>17</v>
      </c>
      <c r="B97" s="87" t="s">
        <v>275</v>
      </c>
      <c r="C97" s="80"/>
    </row>
    <row r="98" spans="1:3">
      <c r="A98" s="73">
        <v>18</v>
      </c>
      <c r="B98" s="87"/>
      <c r="C98" s="80"/>
    </row>
    <row r="99" spans="1:3">
      <c r="A99" s="73">
        <v>19</v>
      </c>
      <c r="B99" s="86" t="s">
        <v>125</v>
      </c>
      <c r="C99" s="27">
        <f t="shared" ref="C99" si="15">SUM(C95:C97)</f>
        <v>0</v>
      </c>
    </row>
    <row r="100" spans="1:3">
      <c r="A100" s="73">
        <v>20</v>
      </c>
      <c r="B100" s="39"/>
      <c r="C100" s="80"/>
    </row>
    <row r="101" spans="1:3">
      <c r="A101" s="73">
        <v>21</v>
      </c>
      <c r="B101" s="87" t="s">
        <v>255</v>
      </c>
      <c r="C101" s="28">
        <f t="shared" ref="C101" si="16">+C85+C92-C99</f>
        <v>15563</v>
      </c>
    </row>
    <row r="102" spans="1:3">
      <c r="A102" s="73">
        <v>22</v>
      </c>
      <c r="B102" s="87" t="s">
        <v>126</v>
      </c>
      <c r="C102" s="94">
        <v>0.35</v>
      </c>
    </row>
    <row r="103" spans="1:3">
      <c r="A103" s="73">
        <v>23</v>
      </c>
      <c r="B103" s="86" t="s">
        <v>127</v>
      </c>
      <c r="C103" s="93">
        <f t="shared" ref="C103" si="17">C101*C102</f>
        <v>5447.0499999999993</v>
      </c>
    </row>
    <row r="104" spans="1:3">
      <c r="A104" s="73">
        <v>24</v>
      </c>
      <c r="B104" s="87" t="s">
        <v>128</v>
      </c>
      <c r="C104" s="80">
        <f t="shared" ref="C104" si="18">+(C95-C88+C96)*C102</f>
        <v>0</v>
      </c>
    </row>
    <row r="105" spans="1:3" ht="13.5" thickBot="1">
      <c r="A105" s="73">
        <v>25</v>
      </c>
      <c r="B105" s="95" t="s">
        <v>129</v>
      </c>
      <c r="C105" s="96">
        <f t="shared" ref="C105" si="19">+C103+C104</f>
        <v>5447.0499999999993</v>
      </c>
    </row>
    <row r="106" spans="1:3" ht="13.5" thickTop="1">
      <c r="A106" s="89"/>
    </row>
  </sheetData>
  <printOptions horizontalCentered="1"/>
  <pageMargins left="0.5" right="0.5" top="1.5" bottom="0.3" header="0.5" footer="0.5"/>
  <pageSetup scale="60" fitToWidth="0" orientation="portrait" useFirstPageNumber="1" r:id="rId1"/>
  <headerFooter scaleWithDoc="0" alignWithMargins="0">
    <oddHeader>&amp;L&amp;"Arial,Regular"&amp;10Avista Corporation
&amp;"Arial,Bold"Electric - Restating Adjustments (Schedule 1.2)&amp;"Arial,Regular"
Twelve Months Ended December 31, 2011&amp;R&amp;"Arial,Regular"&amp;10Exhibit No. ___ (JH-2)
Docket UE-120436 &amp;&amp; UG-120437
Page &amp;P of  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6"/>
  <sheetViews>
    <sheetView topLeftCell="A9" zoomScale="75" zoomScaleNormal="75" workbookViewId="0">
      <pane xSplit="2" ySplit="4" topLeftCell="C37" activePane="bottomRight" state="frozen"/>
      <selection activeCell="G79" sqref="G79"/>
      <selection pane="topRight" activeCell="G79" sqref="G79"/>
      <selection pane="bottomLeft" activeCell="G79" sqref="G79"/>
      <selection pane="bottomRight" activeCell="C53" sqref="C53"/>
    </sheetView>
  </sheetViews>
  <sheetFormatPr defaultColWidth="9" defaultRowHeight="12.75"/>
  <cols>
    <col min="1" max="1" width="4.625" style="64" customWidth="1"/>
    <col min="2" max="2" width="42.5" style="63" bestFit="1" customWidth="1"/>
    <col min="3" max="3" width="13.625" style="586" customWidth="1"/>
    <col min="4" max="16384" width="9" style="14"/>
  </cols>
  <sheetData>
    <row r="1" spans="1:3">
      <c r="A1" s="56"/>
      <c r="B1" s="9" t="s">
        <v>281</v>
      </c>
      <c r="C1" s="572"/>
    </row>
    <row r="2" spans="1:3">
      <c r="A2" s="411"/>
      <c r="B2" s="14"/>
      <c r="C2" s="573" t="s">
        <v>250</v>
      </c>
    </row>
    <row r="3" spans="1:3">
      <c r="A3" s="411"/>
      <c r="B3" s="9"/>
      <c r="C3" s="573"/>
    </row>
    <row r="4" spans="1:3" ht="13.5" thickBot="1">
      <c r="A4" s="411"/>
      <c r="B4" s="9"/>
      <c r="C4" s="574"/>
    </row>
    <row r="5" spans="1:3" ht="13.5" thickTop="1">
      <c r="A5" s="402"/>
      <c r="B5" s="64" t="str">
        <f>+ROO!B2</f>
        <v>(000's of Dollars)</v>
      </c>
      <c r="C5" s="575"/>
    </row>
    <row r="6" spans="1:3">
      <c r="A6" s="62"/>
      <c r="B6" s="64"/>
      <c r="C6" s="575"/>
    </row>
    <row r="7" spans="1:3">
      <c r="A7" s="403"/>
      <c r="B7" s="66" t="s">
        <v>100</v>
      </c>
      <c r="C7" s="573" t="s">
        <v>242</v>
      </c>
    </row>
    <row r="8" spans="1:3">
      <c r="A8" s="403"/>
      <c r="B8" s="66"/>
      <c r="C8" s="573"/>
    </row>
    <row r="9" spans="1:3" s="70" customFormat="1">
      <c r="A9" s="69"/>
      <c r="B9" s="69"/>
      <c r="C9" s="576">
        <v>2.13</v>
      </c>
    </row>
    <row r="10" spans="1:3" s="71" customFormat="1">
      <c r="A10" s="414"/>
      <c r="B10" s="420"/>
      <c r="C10" s="578"/>
    </row>
    <row r="11" spans="1:3" s="71" customFormat="1">
      <c r="A11" s="414" t="s">
        <v>5</v>
      </c>
      <c r="B11" s="420"/>
      <c r="C11" s="577" t="s">
        <v>328</v>
      </c>
    </row>
    <row r="12" spans="1:3" s="424" customFormat="1">
      <c r="A12" s="421" t="s">
        <v>10</v>
      </c>
      <c r="B12" s="422" t="s">
        <v>11</v>
      </c>
      <c r="C12" s="579" t="s">
        <v>154</v>
      </c>
    </row>
    <row r="13" spans="1:3" s="59" customFormat="1">
      <c r="A13" s="418"/>
      <c r="B13" s="419" t="s">
        <v>155</v>
      </c>
      <c r="C13" s="573"/>
    </row>
    <row r="14" spans="1:3">
      <c r="A14" s="73">
        <v>1</v>
      </c>
      <c r="B14" s="416" t="s">
        <v>98</v>
      </c>
      <c r="C14" s="575"/>
    </row>
    <row r="15" spans="1:3">
      <c r="A15" s="75">
        <v>2</v>
      </c>
      <c r="B15" s="63" t="s">
        <v>40</v>
      </c>
      <c r="C15" s="575"/>
    </row>
    <row r="16" spans="1:3" s="15" customFormat="1">
      <c r="A16" s="73">
        <v>3</v>
      </c>
      <c r="B16" s="76" t="s">
        <v>41</v>
      </c>
      <c r="C16" s="580"/>
    </row>
    <row r="17" spans="1:3" s="20" customFormat="1">
      <c r="A17" s="75">
        <v>4</v>
      </c>
      <c r="B17" s="78" t="s">
        <v>42</v>
      </c>
      <c r="C17" s="581">
        <v>0</v>
      </c>
    </row>
    <row r="18" spans="1:3" s="20" customFormat="1">
      <c r="A18" s="73">
        <v>5</v>
      </c>
      <c r="B18" s="78" t="s">
        <v>43</v>
      </c>
      <c r="C18" s="582">
        <v>0</v>
      </c>
    </row>
    <row r="19" spans="1:3" s="20" customFormat="1">
      <c r="A19" s="75">
        <v>6</v>
      </c>
      <c r="B19" s="397" t="s">
        <v>44</v>
      </c>
      <c r="C19" s="581">
        <f t="shared" ref="C19" si="0">SUM(C16:C18)</f>
        <v>0</v>
      </c>
    </row>
    <row r="20" spans="1:3" s="20" customFormat="1">
      <c r="A20" s="73">
        <v>7</v>
      </c>
      <c r="B20" s="78" t="s">
        <v>45</v>
      </c>
      <c r="C20" s="582">
        <v>0</v>
      </c>
    </row>
    <row r="21" spans="1:3" s="20" customFormat="1">
      <c r="A21" s="75">
        <v>8</v>
      </c>
      <c r="B21" s="397" t="s">
        <v>46</v>
      </c>
      <c r="C21" s="581">
        <f t="shared" ref="C21" si="1">SUM(C19:C20)</f>
        <v>0</v>
      </c>
    </row>
    <row r="22" spans="1:3" s="20" customFormat="1">
      <c r="A22" s="73">
        <v>9</v>
      </c>
      <c r="B22" s="79"/>
      <c r="C22" s="581"/>
    </row>
    <row r="23" spans="1:3" s="20" customFormat="1">
      <c r="A23" s="75">
        <v>10</v>
      </c>
      <c r="B23" s="78" t="s">
        <v>20</v>
      </c>
      <c r="C23" s="581"/>
    </row>
    <row r="24" spans="1:3" s="20" customFormat="1">
      <c r="A24" s="73">
        <v>11</v>
      </c>
      <c r="B24" s="78" t="s">
        <v>47</v>
      </c>
      <c r="C24" s="581"/>
    </row>
    <row r="25" spans="1:3" s="20" customFormat="1">
      <c r="A25" s="75">
        <v>12</v>
      </c>
      <c r="B25" s="397" t="s">
        <v>48</v>
      </c>
      <c r="C25" s="581">
        <v>-6</v>
      </c>
    </row>
    <row r="26" spans="1:3" s="20" customFormat="1">
      <c r="A26" s="73">
        <v>13</v>
      </c>
      <c r="B26" s="397" t="s">
        <v>49</v>
      </c>
      <c r="C26" s="581">
        <v>0</v>
      </c>
    </row>
    <row r="27" spans="1:3" s="20" customFormat="1">
      <c r="A27" s="75">
        <v>14</v>
      </c>
      <c r="B27" s="397" t="s">
        <v>50</v>
      </c>
      <c r="C27" s="581">
        <v>0</v>
      </c>
    </row>
    <row r="28" spans="1:3" s="20" customFormat="1">
      <c r="A28" s="73">
        <v>15</v>
      </c>
      <c r="B28" s="393" t="s">
        <v>349</v>
      </c>
      <c r="C28" s="581"/>
    </row>
    <row r="29" spans="1:3" s="20" customFormat="1">
      <c r="A29" s="75">
        <v>16</v>
      </c>
      <c r="B29" s="397" t="s">
        <v>51</v>
      </c>
      <c r="C29" s="582"/>
    </row>
    <row r="30" spans="1:3" s="20" customFormat="1">
      <c r="A30" s="73">
        <v>17</v>
      </c>
      <c r="B30" s="398" t="s">
        <v>52</v>
      </c>
      <c r="C30" s="581">
        <f t="shared" ref="C30" si="2">SUM(C25:C29)</f>
        <v>-6</v>
      </c>
    </row>
    <row r="31" spans="1:3" s="20" customFormat="1">
      <c r="A31" s="75">
        <v>18</v>
      </c>
      <c r="B31" s="79"/>
      <c r="C31" s="581"/>
    </row>
    <row r="32" spans="1:3" s="20" customFormat="1">
      <c r="A32" s="73">
        <v>19</v>
      </c>
      <c r="B32" s="78" t="s">
        <v>53</v>
      </c>
      <c r="C32" s="581"/>
    </row>
    <row r="33" spans="1:3" s="20" customFormat="1">
      <c r="A33" s="75">
        <v>20</v>
      </c>
      <c r="B33" s="397" t="s">
        <v>48</v>
      </c>
      <c r="C33" s="581">
        <v>-1</v>
      </c>
    </row>
    <row r="34" spans="1:3" s="20" customFormat="1">
      <c r="A34" s="73">
        <v>21</v>
      </c>
      <c r="B34" s="397" t="s">
        <v>54</v>
      </c>
      <c r="C34" s="581">
        <v>0</v>
      </c>
    </row>
    <row r="35" spans="1:3" s="20" customFormat="1">
      <c r="A35" s="75">
        <v>22</v>
      </c>
      <c r="B35" s="397" t="s">
        <v>51</v>
      </c>
      <c r="C35" s="582"/>
    </row>
    <row r="36" spans="1:3" s="20" customFormat="1">
      <c r="A36" s="73">
        <v>23</v>
      </c>
      <c r="B36" s="398" t="s">
        <v>55</v>
      </c>
      <c r="C36" s="581">
        <f t="shared" ref="C36" si="3">SUM(C33:C35)</f>
        <v>-1</v>
      </c>
    </row>
    <row r="37" spans="1:3" s="20" customFormat="1">
      <c r="A37" s="75">
        <v>24</v>
      </c>
      <c r="B37" s="79"/>
      <c r="C37" s="581"/>
    </row>
    <row r="38" spans="1:3" s="20" customFormat="1">
      <c r="A38" s="73">
        <v>25</v>
      </c>
      <c r="B38" s="78" t="s">
        <v>56</v>
      </c>
      <c r="C38" s="581">
        <v>0</v>
      </c>
    </row>
    <row r="39" spans="1:3" s="20" customFormat="1">
      <c r="A39" s="75">
        <v>26</v>
      </c>
      <c r="B39" s="78" t="s">
        <v>57</v>
      </c>
      <c r="C39" s="581">
        <v>-9</v>
      </c>
    </row>
    <row r="40" spans="1:3" s="20" customFormat="1">
      <c r="A40" s="73">
        <v>27</v>
      </c>
      <c r="B40" s="78" t="s">
        <v>58</v>
      </c>
      <c r="C40" s="581">
        <v>0</v>
      </c>
    </row>
    <row r="41" spans="1:3" s="20" customFormat="1">
      <c r="A41" s="75">
        <v>28</v>
      </c>
      <c r="B41" s="79"/>
      <c r="C41" s="581">
        <v>0</v>
      </c>
    </row>
    <row r="42" spans="1:3" s="20" customFormat="1">
      <c r="A42" s="75">
        <v>29</v>
      </c>
      <c r="B42" s="78" t="s">
        <v>59</v>
      </c>
      <c r="C42" s="581">
        <v>0</v>
      </c>
    </row>
    <row r="43" spans="1:3" s="20" customFormat="1">
      <c r="A43" s="73">
        <v>30</v>
      </c>
      <c r="B43" s="397" t="s">
        <v>48</v>
      </c>
      <c r="C43" s="581">
        <v>-280</v>
      </c>
    </row>
    <row r="44" spans="1:3" s="20" customFormat="1">
      <c r="A44" s="75">
        <v>31</v>
      </c>
      <c r="B44" s="397" t="s">
        <v>54</v>
      </c>
      <c r="C44" s="581">
        <v>0</v>
      </c>
    </row>
    <row r="45" spans="1:3" s="20" customFormat="1">
      <c r="A45" s="75">
        <v>32</v>
      </c>
      <c r="B45" s="397" t="s">
        <v>51</v>
      </c>
      <c r="C45" s="582"/>
    </row>
    <row r="46" spans="1:3" s="20" customFormat="1">
      <c r="A46" s="73">
        <v>33</v>
      </c>
      <c r="B46" s="398" t="s">
        <v>60</v>
      </c>
      <c r="C46" s="582">
        <f t="shared" ref="C46" si="4">SUM(C43:C45)</f>
        <v>-280</v>
      </c>
    </row>
    <row r="47" spans="1:3" s="20" customFormat="1">
      <c r="A47" s="75">
        <v>34</v>
      </c>
      <c r="B47" s="78" t="s">
        <v>61</v>
      </c>
      <c r="C47" s="582">
        <f t="shared" ref="C47" si="5">C46+C40+C39+C38+C36+C30</f>
        <v>-296</v>
      </c>
    </row>
    <row r="48" spans="1:3" s="20" customFormat="1">
      <c r="A48" s="75">
        <v>35</v>
      </c>
      <c r="B48" s="79"/>
      <c r="C48" s="581"/>
    </row>
    <row r="49" spans="1:3" s="20" customFormat="1">
      <c r="A49" s="73">
        <v>36</v>
      </c>
      <c r="B49" s="78" t="s">
        <v>62</v>
      </c>
      <c r="C49" s="581">
        <f t="shared" ref="C49" si="6">C21-C47</f>
        <v>296</v>
      </c>
    </row>
    <row r="50" spans="1:3" s="20" customFormat="1">
      <c r="A50" s="75">
        <v>37</v>
      </c>
      <c r="B50" s="78"/>
      <c r="C50" s="581"/>
    </row>
    <row r="51" spans="1:3" s="20" customFormat="1">
      <c r="A51" s="75">
        <v>38</v>
      </c>
      <c r="B51" s="78" t="s">
        <v>63</v>
      </c>
      <c r="C51" s="581"/>
    </row>
    <row r="52" spans="1:3" s="20" customFormat="1">
      <c r="A52" s="73">
        <v>39</v>
      </c>
      <c r="B52" s="78" t="s">
        <v>64</v>
      </c>
      <c r="C52" s="581">
        <f>ROUND(C105,0)</f>
        <v>104</v>
      </c>
    </row>
    <row r="53" spans="1:3" s="20" customFormat="1">
      <c r="A53" s="75">
        <v>40</v>
      </c>
      <c r="B53" s="78" t="s">
        <v>366</v>
      </c>
      <c r="C53" s="581">
        <v>0</v>
      </c>
    </row>
    <row r="54" spans="1:3" s="20" customFormat="1">
      <c r="A54" s="75">
        <v>41</v>
      </c>
      <c r="B54" s="78" t="s">
        <v>65</v>
      </c>
      <c r="C54" s="581"/>
    </row>
    <row r="55" spans="1:3" s="20" customFormat="1">
      <c r="A55" s="73">
        <v>42</v>
      </c>
      <c r="B55" s="78" t="s">
        <v>238</v>
      </c>
      <c r="C55" s="582"/>
    </row>
    <row r="56" spans="1:3">
      <c r="A56" s="73">
        <v>45</v>
      </c>
      <c r="B56" s="79"/>
      <c r="C56" s="581"/>
    </row>
    <row r="57" spans="1:3" s="15" customFormat="1" ht="13.5" thickBot="1">
      <c r="A57" s="75">
        <v>46</v>
      </c>
      <c r="B57" s="76" t="s">
        <v>66</v>
      </c>
      <c r="C57" s="583">
        <f t="shared" ref="C57" si="7">C49-SUM(C52:C55)</f>
        <v>192</v>
      </c>
    </row>
    <row r="58" spans="1:3" ht="13.5" thickTop="1">
      <c r="A58" s="75">
        <v>47</v>
      </c>
      <c r="B58" s="2"/>
      <c r="C58" s="581"/>
    </row>
    <row r="59" spans="1:3">
      <c r="A59" s="73">
        <v>48</v>
      </c>
      <c r="B59" s="416" t="s">
        <v>21</v>
      </c>
      <c r="C59" s="581"/>
    </row>
    <row r="60" spans="1:3">
      <c r="A60" s="75">
        <v>49</v>
      </c>
      <c r="B60" s="63" t="s">
        <v>67</v>
      </c>
      <c r="C60" s="581"/>
    </row>
    <row r="61" spans="1:3" s="15" customFormat="1">
      <c r="A61" s="75">
        <v>50</v>
      </c>
      <c r="B61" s="396" t="s">
        <v>68</v>
      </c>
      <c r="C61" s="581">
        <v>0</v>
      </c>
    </row>
    <row r="62" spans="1:3" s="20" customFormat="1">
      <c r="A62" s="73">
        <v>51</v>
      </c>
      <c r="B62" s="397" t="s">
        <v>69</v>
      </c>
      <c r="C62" s="581"/>
    </row>
    <row r="63" spans="1:3" s="20" customFormat="1">
      <c r="A63" s="75">
        <v>52</v>
      </c>
      <c r="B63" s="397" t="s">
        <v>70</v>
      </c>
      <c r="C63" s="581">
        <v>0</v>
      </c>
    </row>
    <row r="64" spans="1:3" s="20" customFormat="1">
      <c r="A64" s="75">
        <v>53</v>
      </c>
      <c r="B64" s="397" t="s">
        <v>53</v>
      </c>
      <c r="C64" s="581">
        <v>0</v>
      </c>
    </row>
    <row r="65" spans="1:3" s="20" customFormat="1">
      <c r="A65" s="73">
        <v>54</v>
      </c>
      <c r="B65" s="397" t="s">
        <v>71</v>
      </c>
      <c r="C65" s="582">
        <v>0</v>
      </c>
    </row>
    <row r="66" spans="1:3" s="20" customFormat="1">
      <c r="A66" s="75">
        <v>55</v>
      </c>
      <c r="B66" s="398" t="s">
        <v>72</v>
      </c>
      <c r="C66" s="581">
        <f t="shared" ref="C66" si="8">SUM(C61:C65)</f>
        <v>0</v>
      </c>
    </row>
    <row r="67" spans="1:3" s="20" customFormat="1">
      <c r="A67" s="75">
        <v>56</v>
      </c>
      <c r="B67" s="78" t="s">
        <v>244</v>
      </c>
      <c r="C67" s="581">
        <v>0</v>
      </c>
    </row>
    <row r="68" spans="1:3" s="20" customFormat="1">
      <c r="A68" s="73">
        <v>57</v>
      </c>
      <c r="B68" s="78" t="s">
        <v>245</v>
      </c>
      <c r="C68" s="582"/>
    </row>
    <row r="69" spans="1:3" s="20" customFormat="1">
      <c r="A69" s="75">
        <v>58</v>
      </c>
      <c r="B69" s="397" t="s">
        <v>73</v>
      </c>
      <c r="C69" s="581">
        <f t="shared" ref="C69" si="9">SUM(C67:C68)</f>
        <v>0</v>
      </c>
    </row>
    <row r="70" spans="1:3" s="20" customFormat="1">
      <c r="A70" s="75">
        <v>59</v>
      </c>
      <c r="B70" s="78" t="s">
        <v>246</v>
      </c>
      <c r="C70" s="581">
        <v>0</v>
      </c>
    </row>
    <row r="71" spans="1:3" s="20" customFormat="1">
      <c r="A71" s="73">
        <v>60</v>
      </c>
      <c r="B71" s="78" t="s">
        <v>351</v>
      </c>
      <c r="C71" s="581"/>
    </row>
    <row r="72" spans="1:3" s="20" customFormat="1">
      <c r="A72" s="75">
        <v>61</v>
      </c>
      <c r="B72" s="78" t="s">
        <v>236</v>
      </c>
      <c r="C72" s="581"/>
    </row>
    <row r="73" spans="1:3" s="20" customFormat="1">
      <c r="A73" s="75">
        <v>62</v>
      </c>
      <c r="B73" s="78" t="s">
        <v>247</v>
      </c>
      <c r="C73" s="581"/>
    </row>
    <row r="74" spans="1:3" s="20" customFormat="1">
      <c r="A74" s="73">
        <v>63</v>
      </c>
      <c r="B74" s="78" t="s">
        <v>248</v>
      </c>
      <c r="C74" s="582">
        <v>0</v>
      </c>
    </row>
    <row r="75" spans="1:3" s="20" customFormat="1">
      <c r="A75" s="75">
        <v>64</v>
      </c>
      <c r="B75" s="79"/>
      <c r="C75" s="584"/>
    </row>
    <row r="76" spans="1:3" s="20" customFormat="1">
      <c r="A76" s="75">
        <v>65</v>
      </c>
      <c r="B76" s="79"/>
      <c r="C76" s="581"/>
    </row>
    <row r="77" spans="1:3" s="15" customFormat="1" ht="13.5" thickBot="1">
      <c r="A77" s="73">
        <v>66</v>
      </c>
      <c r="B77" s="425" t="s">
        <v>74</v>
      </c>
      <c r="C77" s="585">
        <f t="shared" ref="C77" si="10">C66-C69+C70+C72+C73+C74+C71</f>
        <v>0</v>
      </c>
    </row>
    <row r="78" spans="1:3" ht="13.5" thickTop="1">
      <c r="B78" s="83"/>
    </row>
    <row r="79" spans="1:3">
      <c r="A79" s="84"/>
      <c r="B79" s="38"/>
      <c r="C79" s="587"/>
    </row>
    <row r="80" spans="1:3">
      <c r="A80" s="89"/>
      <c r="B80" s="39"/>
    </row>
    <row r="81" spans="1:3">
      <c r="A81" s="73">
        <v>1</v>
      </c>
      <c r="B81" s="392" t="s">
        <v>116</v>
      </c>
    </row>
    <row r="82" spans="1:3">
      <c r="A82" s="73">
        <v>2</v>
      </c>
      <c r="B82" s="87" t="s">
        <v>18</v>
      </c>
      <c r="C82" s="588">
        <f t="shared" ref="C82" si="11">+C21</f>
        <v>0</v>
      </c>
    </row>
    <row r="83" spans="1:3">
      <c r="A83" s="73">
        <v>3</v>
      </c>
      <c r="B83" s="87" t="s">
        <v>19</v>
      </c>
      <c r="C83" s="581">
        <f t="shared" ref="C83" si="12">+C47</f>
        <v>-296</v>
      </c>
    </row>
    <row r="84" spans="1:3">
      <c r="A84" s="73">
        <v>4</v>
      </c>
      <c r="B84" s="87" t="s">
        <v>274</v>
      </c>
      <c r="C84" s="581"/>
    </row>
    <row r="85" spans="1:3">
      <c r="A85" s="73">
        <v>5</v>
      </c>
      <c r="B85" s="399" t="s">
        <v>119</v>
      </c>
      <c r="C85" s="589">
        <f t="shared" ref="C85" si="13">+C82-C83-C84</f>
        <v>296</v>
      </c>
    </row>
    <row r="86" spans="1:3">
      <c r="A86" s="73">
        <v>6</v>
      </c>
      <c r="B86" s="91"/>
      <c r="C86" s="590"/>
    </row>
    <row r="87" spans="1:3">
      <c r="A87" s="73">
        <v>7</v>
      </c>
      <c r="B87" s="86" t="s">
        <v>120</v>
      </c>
      <c r="C87" s="590"/>
    </row>
    <row r="88" spans="1:3">
      <c r="A88" s="73">
        <v>8</v>
      </c>
      <c r="B88" s="87" t="s">
        <v>121</v>
      </c>
      <c r="C88" s="590"/>
    </row>
    <row r="89" spans="1:3">
      <c r="A89" s="73">
        <v>9</v>
      </c>
      <c r="B89" s="87" t="s">
        <v>130</v>
      </c>
      <c r="C89" s="590"/>
    </row>
    <row r="90" spans="1:3">
      <c r="A90" s="73">
        <v>10</v>
      </c>
      <c r="B90" s="87" t="s">
        <v>122</v>
      </c>
      <c r="C90" s="590"/>
    </row>
    <row r="91" spans="1:3">
      <c r="A91" s="73">
        <v>11</v>
      </c>
      <c r="B91" s="39"/>
      <c r="C91" s="590"/>
    </row>
    <row r="92" spans="1:3">
      <c r="A92" s="73">
        <v>12</v>
      </c>
      <c r="B92" s="86" t="s">
        <v>123</v>
      </c>
      <c r="C92" s="589">
        <f t="shared" ref="C92" si="14">SUM(C88:C90)</f>
        <v>0</v>
      </c>
    </row>
    <row r="93" spans="1:3">
      <c r="A93" s="73">
        <v>13</v>
      </c>
      <c r="B93" s="39"/>
      <c r="C93" s="590"/>
    </row>
    <row r="94" spans="1:3">
      <c r="A94" s="73">
        <v>14</v>
      </c>
      <c r="B94" s="86" t="s">
        <v>365</v>
      </c>
      <c r="C94" s="590"/>
    </row>
    <row r="95" spans="1:3">
      <c r="A95" s="73">
        <v>15</v>
      </c>
      <c r="B95" s="86" t="s">
        <v>178</v>
      </c>
      <c r="C95" s="590"/>
    </row>
    <row r="96" spans="1:3">
      <c r="A96" s="73">
        <v>16</v>
      </c>
      <c r="B96" s="87" t="s">
        <v>177</v>
      </c>
      <c r="C96" s="590"/>
    </row>
    <row r="97" spans="1:3">
      <c r="A97" s="73">
        <v>17</v>
      </c>
      <c r="B97" s="87" t="s">
        <v>275</v>
      </c>
      <c r="C97" s="590"/>
    </row>
    <row r="98" spans="1:3">
      <c r="A98" s="73">
        <v>18</v>
      </c>
      <c r="B98" s="87"/>
      <c r="C98" s="590"/>
    </row>
    <row r="99" spans="1:3">
      <c r="A99" s="73">
        <v>19</v>
      </c>
      <c r="B99" s="86" t="s">
        <v>125</v>
      </c>
      <c r="C99" s="589">
        <f t="shared" ref="C99" si="15">SUM(C95:C97)</f>
        <v>0</v>
      </c>
    </row>
    <row r="100" spans="1:3">
      <c r="A100" s="73">
        <v>20</v>
      </c>
      <c r="B100" s="39"/>
      <c r="C100" s="590"/>
    </row>
    <row r="101" spans="1:3">
      <c r="A101" s="73">
        <v>21</v>
      </c>
      <c r="B101" s="87" t="s">
        <v>255</v>
      </c>
      <c r="C101" s="584">
        <f t="shared" ref="C101" si="16">+C85+C92-C99</f>
        <v>296</v>
      </c>
    </row>
    <row r="102" spans="1:3">
      <c r="A102" s="73">
        <v>22</v>
      </c>
      <c r="B102" s="87" t="s">
        <v>126</v>
      </c>
      <c r="C102" s="591">
        <v>0.35</v>
      </c>
    </row>
    <row r="103" spans="1:3">
      <c r="A103" s="73">
        <v>23</v>
      </c>
      <c r="B103" s="86" t="s">
        <v>127</v>
      </c>
      <c r="C103" s="592">
        <f t="shared" ref="C103" si="17">C101*C102</f>
        <v>103.6</v>
      </c>
    </row>
    <row r="104" spans="1:3">
      <c r="A104" s="73">
        <v>24</v>
      </c>
      <c r="B104" s="87" t="s">
        <v>128</v>
      </c>
      <c r="C104" s="590">
        <f t="shared" ref="C104" si="18">+(C95-C88+C96)*C102</f>
        <v>0</v>
      </c>
    </row>
    <row r="105" spans="1:3" ht="13.5" thickBot="1">
      <c r="A105" s="73">
        <v>25</v>
      </c>
      <c r="B105" s="95" t="s">
        <v>129</v>
      </c>
      <c r="C105" s="593">
        <f t="shared" ref="C105" si="19">+C103+C104</f>
        <v>103.6</v>
      </c>
    </row>
    <row r="106" spans="1:3" ht="13.5" thickTop="1">
      <c r="A106" s="89"/>
    </row>
  </sheetData>
  <printOptions horizontalCentered="1"/>
  <pageMargins left="0.5" right="0.5" top="1.5" bottom="0.3" header="0.5" footer="0.5"/>
  <pageSetup scale="60" fitToWidth="0" orientation="portrait" useFirstPageNumber="1" r:id="rId1"/>
  <headerFooter scaleWithDoc="0" alignWithMargins="0">
    <oddHeader>&amp;L&amp;"Arial,Regular"&amp;10Avista Corporation
&amp;"Arial,Bold"Electric - Restating Adjustments (Schedule 1.2)&amp;"Arial,Regular"
Twelve Months Ended December 31, 2011&amp;R&amp;"Arial,Regular"&amp;10Exhibit No. ___ (JH-2)
Docket UE-120436 &amp;&amp; UG-120437
Page &amp;P of  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6"/>
  <sheetViews>
    <sheetView topLeftCell="A9" zoomScale="75" zoomScaleNormal="75" workbookViewId="0">
      <pane xSplit="2" ySplit="4" topLeftCell="C40" activePane="bottomRight" state="frozen"/>
      <selection activeCell="G79" sqref="G79"/>
      <selection pane="topRight" activeCell="G79" sqref="G79"/>
      <selection pane="bottomLeft" activeCell="G79" sqref="G79"/>
      <selection pane="bottomRight" activeCell="C53" sqref="C53"/>
    </sheetView>
  </sheetViews>
  <sheetFormatPr defaultColWidth="9" defaultRowHeight="12.75"/>
  <cols>
    <col min="1" max="1" width="4.625" style="64" customWidth="1"/>
    <col min="2" max="2" width="42.5" style="63" bestFit="1" customWidth="1"/>
    <col min="3" max="3" width="14" style="586" customWidth="1"/>
    <col min="4" max="16" width="14" style="14" customWidth="1"/>
    <col min="17" max="16384" width="9" style="14"/>
  </cols>
  <sheetData>
    <row r="1" spans="1:3">
      <c r="A1" s="56"/>
      <c r="B1" s="9" t="s">
        <v>281</v>
      </c>
      <c r="C1" s="572"/>
    </row>
    <row r="2" spans="1:3">
      <c r="A2" s="411"/>
      <c r="B2" s="14"/>
      <c r="C2" s="573" t="s">
        <v>382</v>
      </c>
    </row>
    <row r="3" spans="1:3">
      <c r="A3" s="411"/>
      <c r="B3" s="9"/>
      <c r="C3" s="573"/>
    </row>
    <row r="4" spans="1:3" ht="13.5" thickBot="1">
      <c r="A4" s="411"/>
      <c r="B4" s="9"/>
      <c r="C4" s="574" t="s">
        <v>387</v>
      </c>
    </row>
    <row r="5" spans="1:3" ht="13.5" thickTop="1">
      <c r="A5" s="402"/>
      <c r="B5" s="64" t="str">
        <f>+ROO!B2</f>
        <v>(000's of Dollars)</v>
      </c>
      <c r="C5" s="575"/>
    </row>
    <row r="6" spans="1:3">
      <c r="A6" s="62"/>
      <c r="B6" s="64"/>
      <c r="C6" s="575"/>
    </row>
    <row r="7" spans="1:3">
      <c r="A7" s="403"/>
      <c r="B7" s="66" t="s">
        <v>100</v>
      </c>
      <c r="C7" s="573" t="s">
        <v>173</v>
      </c>
    </row>
    <row r="8" spans="1:3">
      <c r="A8" s="403"/>
      <c r="B8" s="66"/>
      <c r="C8" s="573"/>
    </row>
    <row r="9" spans="1:3" s="70" customFormat="1">
      <c r="A9" s="69"/>
      <c r="B9" s="69"/>
      <c r="C9" s="576">
        <v>2.14</v>
      </c>
    </row>
    <row r="10" spans="1:3" s="71" customFormat="1">
      <c r="A10" s="414"/>
      <c r="B10" s="420"/>
      <c r="C10" s="577" t="s">
        <v>326</v>
      </c>
    </row>
    <row r="11" spans="1:3" s="71" customFormat="1">
      <c r="A11" s="414" t="s">
        <v>5</v>
      </c>
      <c r="B11" s="420"/>
      <c r="C11" s="577" t="s">
        <v>327</v>
      </c>
    </row>
    <row r="12" spans="1:3" s="424" customFormat="1">
      <c r="A12" s="421" t="s">
        <v>10</v>
      </c>
      <c r="B12" s="422" t="s">
        <v>11</v>
      </c>
      <c r="C12" s="579" t="s">
        <v>154</v>
      </c>
    </row>
    <row r="13" spans="1:3" s="59" customFormat="1">
      <c r="A13" s="418"/>
      <c r="B13" s="419" t="s">
        <v>155</v>
      </c>
      <c r="C13" s="573"/>
    </row>
    <row r="14" spans="1:3">
      <c r="A14" s="73">
        <v>1</v>
      </c>
      <c r="B14" s="416" t="s">
        <v>98</v>
      </c>
      <c r="C14" s="575"/>
    </row>
    <row r="15" spans="1:3">
      <c r="A15" s="75">
        <v>2</v>
      </c>
      <c r="B15" s="63" t="s">
        <v>40</v>
      </c>
      <c r="C15" s="575"/>
    </row>
    <row r="16" spans="1:3" s="15" customFormat="1">
      <c r="A16" s="73">
        <v>3</v>
      </c>
      <c r="B16" s="76" t="s">
        <v>41</v>
      </c>
      <c r="C16" s="580"/>
    </row>
    <row r="17" spans="1:3" s="20" customFormat="1">
      <c r="A17" s="75">
        <v>4</v>
      </c>
      <c r="B17" s="78" t="s">
        <v>42</v>
      </c>
      <c r="C17" s="581">
        <v>0</v>
      </c>
    </row>
    <row r="18" spans="1:3" s="20" customFormat="1">
      <c r="A18" s="73">
        <v>5</v>
      </c>
      <c r="B18" s="78" t="s">
        <v>43</v>
      </c>
      <c r="C18" s="582">
        <v>0</v>
      </c>
    </row>
    <row r="19" spans="1:3" s="20" customFormat="1">
      <c r="A19" s="75">
        <v>6</v>
      </c>
      <c r="B19" s="397" t="s">
        <v>44</v>
      </c>
      <c r="C19" s="581">
        <f t="shared" ref="C19" si="0">SUM(C16:C18)</f>
        <v>0</v>
      </c>
    </row>
    <row r="20" spans="1:3" s="20" customFormat="1">
      <c r="A20" s="73">
        <v>7</v>
      </c>
      <c r="B20" s="78" t="s">
        <v>45</v>
      </c>
      <c r="C20" s="582">
        <v>0</v>
      </c>
    </row>
    <row r="21" spans="1:3" s="20" customFormat="1">
      <c r="A21" s="75">
        <v>8</v>
      </c>
      <c r="B21" s="397" t="s">
        <v>46</v>
      </c>
      <c r="C21" s="581">
        <f t="shared" ref="C21" si="1">SUM(C19:C20)</f>
        <v>0</v>
      </c>
    </row>
    <row r="22" spans="1:3" s="20" customFormat="1">
      <c r="A22" s="73">
        <v>9</v>
      </c>
      <c r="B22" s="79"/>
      <c r="C22" s="581"/>
    </row>
    <row r="23" spans="1:3" s="20" customFormat="1">
      <c r="A23" s="75">
        <v>10</v>
      </c>
      <c r="B23" s="78" t="s">
        <v>20</v>
      </c>
      <c r="C23" s="581"/>
    </row>
    <row r="24" spans="1:3" s="20" customFormat="1">
      <c r="A24" s="73">
        <v>11</v>
      </c>
      <c r="B24" s="78" t="s">
        <v>47</v>
      </c>
      <c r="C24" s="581"/>
    </row>
    <row r="25" spans="1:3" s="20" customFormat="1">
      <c r="A25" s="75">
        <v>12</v>
      </c>
      <c r="B25" s="397" t="s">
        <v>48</v>
      </c>
      <c r="C25" s="581">
        <v>0</v>
      </c>
    </row>
    <row r="26" spans="1:3" s="20" customFormat="1">
      <c r="A26" s="73">
        <v>13</v>
      </c>
      <c r="B26" s="397" t="s">
        <v>49</v>
      </c>
      <c r="C26" s="581">
        <v>0</v>
      </c>
    </row>
    <row r="27" spans="1:3" s="20" customFormat="1">
      <c r="A27" s="75">
        <v>14</v>
      </c>
      <c r="B27" s="397" t="s">
        <v>50</v>
      </c>
      <c r="C27" s="581">
        <v>0</v>
      </c>
    </row>
    <row r="28" spans="1:3" s="20" customFormat="1">
      <c r="A28" s="73">
        <v>15</v>
      </c>
      <c r="B28" s="393" t="s">
        <v>349</v>
      </c>
      <c r="C28" s="581"/>
    </row>
    <row r="29" spans="1:3" s="20" customFormat="1">
      <c r="A29" s="75">
        <v>16</v>
      </c>
      <c r="B29" s="397" t="s">
        <v>51</v>
      </c>
      <c r="C29" s="582">
        <v>0</v>
      </c>
    </row>
    <row r="30" spans="1:3" s="20" customFormat="1">
      <c r="A30" s="73">
        <v>17</v>
      </c>
      <c r="B30" s="398" t="s">
        <v>52</v>
      </c>
      <c r="C30" s="581">
        <f t="shared" ref="C30" si="2">SUM(C25:C29)</f>
        <v>0</v>
      </c>
    </row>
    <row r="31" spans="1:3" s="20" customFormat="1">
      <c r="A31" s="75">
        <v>18</v>
      </c>
      <c r="B31" s="79"/>
      <c r="C31" s="581"/>
    </row>
    <row r="32" spans="1:3" s="20" customFormat="1">
      <c r="A32" s="73">
        <v>19</v>
      </c>
      <c r="B32" s="78" t="s">
        <v>53</v>
      </c>
      <c r="C32" s="581"/>
    </row>
    <row r="33" spans="1:3" s="20" customFormat="1">
      <c r="A33" s="75">
        <v>20</v>
      </c>
      <c r="B33" s="397" t="s">
        <v>48</v>
      </c>
      <c r="C33" s="581">
        <v>-1278</v>
      </c>
    </row>
    <row r="34" spans="1:3" s="20" customFormat="1">
      <c r="A34" s="73">
        <v>21</v>
      </c>
      <c r="B34" s="397" t="s">
        <v>54</v>
      </c>
      <c r="C34" s="581">
        <v>0</v>
      </c>
    </row>
    <row r="35" spans="1:3" s="20" customFormat="1">
      <c r="A35" s="75">
        <v>22</v>
      </c>
      <c r="B35" s="397" t="s">
        <v>51</v>
      </c>
      <c r="C35" s="582">
        <v>0</v>
      </c>
    </row>
    <row r="36" spans="1:3" s="20" customFormat="1">
      <c r="A36" s="73">
        <v>23</v>
      </c>
      <c r="B36" s="398" t="s">
        <v>55</v>
      </c>
      <c r="C36" s="581">
        <f t="shared" ref="C36" si="3">SUM(C33:C35)</f>
        <v>-1278</v>
      </c>
    </row>
    <row r="37" spans="1:3" s="20" customFormat="1">
      <c r="A37" s="75">
        <v>24</v>
      </c>
      <c r="B37" s="79"/>
      <c r="C37" s="581"/>
    </row>
    <row r="38" spans="1:3" s="20" customFormat="1">
      <c r="A38" s="73">
        <v>25</v>
      </c>
      <c r="B38" s="78" t="s">
        <v>56</v>
      </c>
      <c r="C38" s="581"/>
    </row>
    <row r="39" spans="1:3" s="20" customFormat="1">
      <c r="A39" s="75">
        <v>26</v>
      </c>
      <c r="B39" s="78" t="s">
        <v>57</v>
      </c>
      <c r="C39" s="581">
        <v>0</v>
      </c>
    </row>
    <row r="40" spans="1:3" s="20" customFormat="1">
      <c r="A40" s="73">
        <v>27</v>
      </c>
      <c r="B40" s="78" t="s">
        <v>58</v>
      </c>
      <c r="C40" s="581">
        <v>0</v>
      </c>
    </row>
    <row r="41" spans="1:3" s="20" customFormat="1">
      <c r="A41" s="75">
        <v>28</v>
      </c>
      <c r="B41" s="79"/>
      <c r="C41" s="581">
        <v>0</v>
      </c>
    </row>
    <row r="42" spans="1:3" s="20" customFormat="1">
      <c r="A42" s="75">
        <v>29</v>
      </c>
      <c r="B42" s="78" t="s">
        <v>59</v>
      </c>
      <c r="C42" s="581">
        <v>0</v>
      </c>
    </row>
    <row r="43" spans="1:3" s="20" customFormat="1">
      <c r="A43" s="73">
        <v>30</v>
      </c>
      <c r="B43" s="397" t="s">
        <v>48</v>
      </c>
      <c r="C43" s="581">
        <v>0</v>
      </c>
    </row>
    <row r="44" spans="1:3" s="20" customFormat="1">
      <c r="A44" s="75">
        <v>31</v>
      </c>
      <c r="B44" s="397" t="s">
        <v>54</v>
      </c>
      <c r="C44" s="581">
        <v>0</v>
      </c>
    </row>
    <row r="45" spans="1:3" s="20" customFormat="1">
      <c r="A45" s="75">
        <v>32</v>
      </c>
      <c r="B45" s="397" t="s">
        <v>51</v>
      </c>
      <c r="C45" s="582">
        <v>0</v>
      </c>
    </row>
    <row r="46" spans="1:3" s="20" customFormat="1">
      <c r="A46" s="73">
        <v>33</v>
      </c>
      <c r="B46" s="398" t="s">
        <v>60</v>
      </c>
      <c r="C46" s="582">
        <f t="shared" ref="C46" si="4">SUM(C43:C45)</f>
        <v>0</v>
      </c>
    </row>
    <row r="47" spans="1:3" s="20" customFormat="1">
      <c r="A47" s="75">
        <v>34</v>
      </c>
      <c r="B47" s="78" t="s">
        <v>61</v>
      </c>
      <c r="C47" s="582">
        <f t="shared" ref="C47" si="5">C46+C40+C39+C38+C36+C30</f>
        <v>-1278</v>
      </c>
    </row>
    <row r="48" spans="1:3" s="20" customFormat="1">
      <c r="A48" s="75">
        <v>35</v>
      </c>
      <c r="B48" s="79"/>
      <c r="C48" s="581"/>
    </row>
    <row r="49" spans="1:3" s="20" customFormat="1">
      <c r="A49" s="73">
        <v>36</v>
      </c>
      <c r="B49" s="78" t="s">
        <v>62</v>
      </c>
      <c r="C49" s="581">
        <f t="shared" ref="C49" si="6">C21-C47</f>
        <v>1278</v>
      </c>
    </row>
    <row r="50" spans="1:3" s="20" customFormat="1">
      <c r="A50" s="75">
        <v>37</v>
      </c>
      <c r="B50" s="78"/>
      <c r="C50" s="581"/>
    </row>
    <row r="51" spans="1:3" s="20" customFormat="1">
      <c r="A51" s="75">
        <v>38</v>
      </c>
      <c r="B51" s="78" t="s">
        <v>63</v>
      </c>
      <c r="C51" s="581"/>
    </row>
    <row r="52" spans="1:3" s="20" customFormat="1">
      <c r="A52" s="73">
        <v>39</v>
      </c>
      <c r="B52" s="78" t="s">
        <v>64</v>
      </c>
      <c r="C52" s="581">
        <f>ROUND(C105,0)</f>
        <v>447</v>
      </c>
    </row>
    <row r="53" spans="1:3" s="20" customFormat="1">
      <c r="A53" s="75">
        <v>40</v>
      </c>
      <c r="B53" s="78" t="s">
        <v>366</v>
      </c>
      <c r="C53" s="581">
        <v>0</v>
      </c>
    </row>
    <row r="54" spans="1:3" s="20" customFormat="1">
      <c r="A54" s="75">
        <v>41</v>
      </c>
      <c r="B54" s="78" t="s">
        <v>65</v>
      </c>
      <c r="C54" s="581"/>
    </row>
    <row r="55" spans="1:3" s="20" customFormat="1">
      <c r="A55" s="73">
        <v>42</v>
      </c>
      <c r="B55" s="78" t="s">
        <v>238</v>
      </c>
      <c r="C55" s="582"/>
    </row>
    <row r="56" spans="1:3">
      <c r="A56" s="73">
        <v>45</v>
      </c>
      <c r="B56" s="79"/>
      <c r="C56" s="581"/>
    </row>
    <row r="57" spans="1:3" s="15" customFormat="1" ht="13.5" thickBot="1">
      <c r="A57" s="75">
        <v>46</v>
      </c>
      <c r="B57" s="76" t="s">
        <v>66</v>
      </c>
      <c r="C57" s="583">
        <f t="shared" ref="C57" si="7">C49-SUM(C52:C55)</f>
        <v>831</v>
      </c>
    </row>
    <row r="58" spans="1:3" ht="13.5" thickTop="1">
      <c r="A58" s="75">
        <v>47</v>
      </c>
      <c r="B58" s="2"/>
      <c r="C58" s="581"/>
    </row>
    <row r="59" spans="1:3">
      <c r="A59" s="73">
        <v>48</v>
      </c>
      <c r="B59" s="416" t="s">
        <v>21</v>
      </c>
      <c r="C59" s="581"/>
    </row>
    <row r="60" spans="1:3">
      <c r="A60" s="75">
        <v>49</v>
      </c>
      <c r="B60" s="63" t="s">
        <v>67</v>
      </c>
      <c r="C60" s="581"/>
    </row>
    <row r="61" spans="1:3" s="15" customFormat="1">
      <c r="A61" s="75">
        <v>50</v>
      </c>
      <c r="B61" s="396" t="s">
        <v>68</v>
      </c>
      <c r="C61" s="581">
        <v>0</v>
      </c>
    </row>
    <row r="62" spans="1:3" s="20" customFormat="1">
      <c r="A62" s="73">
        <v>51</v>
      </c>
      <c r="B62" s="397" t="s">
        <v>69</v>
      </c>
      <c r="C62" s="581"/>
    </row>
    <row r="63" spans="1:3" s="20" customFormat="1">
      <c r="A63" s="75">
        <v>52</v>
      </c>
      <c r="B63" s="397" t="s">
        <v>70</v>
      </c>
      <c r="C63" s="581">
        <v>0</v>
      </c>
    </row>
    <row r="64" spans="1:3" s="20" customFormat="1">
      <c r="A64" s="75">
        <v>53</v>
      </c>
      <c r="B64" s="397" t="s">
        <v>53</v>
      </c>
      <c r="C64" s="581">
        <v>0</v>
      </c>
    </row>
    <row r="65" spans="1:3" s="20" customFormat="1">
      <c r="A65" s="73">
        <v>54</v>
      </c>
      <c r="B65" s="397" t="s">
        <v>71</v>
      </c>
      <c r="C65" s="582">
        <v>0</v>
      </c>
    </row>
    <row r="66" spans="1:3" s="20" customFormat="1">
      <c r="A66" s="75">
        <v>55</v>
      </c>
      <c r="B66" s="398" t="s">
        <v>72</v>
      </c>
      <c r="C66" s="581">
        <f t="shared" ref="C66" si="8">SUM(C61:C65)</f>
        <v>0</v>
      </c>
    </row>
    <row r="67" spans="1:3" s="20" customFormat="1">
      <c r="A67" s="75">
        <v>56</v>
      </c>
      <c r="B67" s="78" t="s">
        <v>244</v>
      </c>
      <c r="C67" s="581">
        <v>0</v>
      </c>
    </row>
    <row r="68" spans="1:3" s="20" customFormat="1">
      <c r="A68" s="73">
        <v>57</v>
      </c>
      <c r="B68" s="78" t="s">
        <v>245</v>
      </c>
      <c r="C68" s="582"/>
    </row>
    <row r="69" spans="1:3" s="20" customFormat="1">
      <c r="A69" s="75">
        <v>58</v>
      </c>
      <c r="B69" s="397" t="s">
        <v>73</v>
      </c>
      <c r="C69" s="581">
        <f t="shared" ref="C69" si="9">SUM(C67:C68)</f>
        <v>0</v>
      </c>
    </row>
    <row r="70" spans="1:3" s="20" customFormat="1">
      <c r="A70" s="75">
        <v>59</v>
      </c>
      <c r="B70" s="78" t="s">
        <v>246</v>
      </c>
      <c r="C70" s="581">
        <v>0</v>
      </c>
    </row>
    <row r="71" spans="1:3" s="20" customFormat="1">
      <c r="A71" s="73">
        <v>60</v>
      </c>
      <c r="B71" s="78" t="s">
        <v>351</v>
      </c>
      <c r="C71" s="581"/>
    </row>
    <row r="72" spans="1:3" s="20" customFormat="1">
      <c r="A72" s="75">
        <v>61</v>
      </c>
      <c r="B72" s="78" t="s">
        <v>236</v>
      </c>
      <c r="C72" s="581"/>
    </row>
    <row r="73" spans="1:3" s="20" customFormat="1">
      <c r="A73" s="75">
        <v>62</v>
      </c>
      <c r="B73" s="78" t="s">
        <v>247</v>
      </c>
      <c r="C73" s="581"/>
    </row>
    <row r="74" spans="1:3" s="20" customFormat="1">
      <c r="A74" s="73">
        <v>63</v>
      </c>
      <c r="B74" s="78" t="s">
        <v>248</v>
      </c>
      <c r="C74" s="582">
        <v>0</v>
      </c>
    </row>
    <row r="75" spans="1:3" s="20" customFormat="1">
      <c r="A75" s="75">
        <v>64</v>
      </c>
      <c r="B75" s="79"/>
      <c r="C75" s="584"/>
    </row>
    <row r="76" spans="1:3" s="20" customFormat="1">
      <c r="A76" s="75">
        <v>65</v>
      </c>
      <c r="B76" s="79"/>
      <c r="C76" s="581"/>
    </row>
    <row r="77" spans="1:3" s="15" customFormat="1" ht="13.5" thickBot="1">
      <c r="A77" s="73">
        <v>66</v>
      </c>
      <c r="B77" s="425" t="s">
        <v>74</v>
      </c>
      <c r="C77" s="585">
        <f t="shared" ref="C77" si="10">C66-C69+C70+C72+C73+C74+C71</f>
        <v>0</v>
      </c>
    </row>
    <row r="78" spans="1:3" ht="13.5" thickTop="1">
      <c r="B78" s="83"/>
    </row>
    <row r="79" spans="1:3">
      <c r="A79" s="84"/>
      <c r="B79" s="38"/>
      <c r="C79" s="587"/>
    </row>
    <row r="80" spans="1:3">
      <c r="A80" s="89"/>
      <c r="B80" s="39"/>
    </row>
    <row r="81" spans="1:3">
      <c r="A81" s="73">
        <v>1</v>
      </c>
      <c r="B81" s="392" t="s">
        <v>116</v>
      </c>
    </row>
    <row r="82" spans="1:3">
      <c r="A82" s="73">
        <v>2</v>
      </c>
      <c r="B82" s="87" t="s">
        <v>18</v>
      </c>
      <c r="C82" s="588">
        <f t="shared" ref="C82" si="11">+C21</f>
        <v>0</v>
      </c>
    </row>
    <row r="83" spans="1:3">
      <c r="A83" s="73">
        <v>3</v>
      </c>
      <c r="B83" s="87" t="s">
        <v>19</v>
      </c>
      <c r="C83" s="581">
        <f t="shared" ref="C83" si="12">+C47</f>
        <v>-1278</v>
      </c>
    </row>
    <row r="84" spans="1:3">
      <c r="A84" s="73">
        <v>4</v>
      </c>
      <c r="B84" s="87" t="s">
        <v>274</v>
      </c>
      <c r="C84" s="581"/>
    </row>
    <row r="85" spans="1:3">
      <c r="A85" s="73">
        <v>5</v>
      </c>
      <c r="B85" s="399" t="s">
        <v>119</v>
      </c>
      <c r="C85" s="589">
        <f t="shared" ref="C85" si="13">+C82-C83-C84</f>
        <v>1278</v>
      </c>
    </row>
    <row r="86" spans="1:3">
      <c r="A86" s="73">
        <v>6</v>
      </c>
      <c r="B86" s="91"/>
      <c r="C86" s="590"/>
    </row>
    <row r="87" spans="1:3">
      <c r="A87" s="73">
        <v>7</v>
      </c>
      <c r="B87" s="86" t="s">
        <v>120</v>
      </c>
      <c r="C87" s="590"/>
    </row>
    <row r="88" spans="1:3">
      <c r="A88" s="73">
        <v>8</v>
      </c>
      <c r="B88" s="87" t="s">
        <v>121</v>
      </c>
      <c r="C88" s="590"/>
    </row>
    <row r="89" spans="1:3">
      <c r="A89" s="73">
        <v>9</v>
      </c>
      <c r="B89" s="87" t="s">
        <v>130</v>
      </c>
      <c r="C89" s="590"/>
    </row>
    <row r="90" spans="1:3">
      <c r="A90" s="73">
        <v>10</v>
      </c>
      <c r="B90" s="87" t="s">
        <v>122</v>
      </c>
      <c r="C90" s="590"/>
    </row>
    <row r="91" spans="1:3">
      <c r="A91" s="73">
        <v>11</v>
      </c>
      <c r="B91" s="39"/>
      <c r="C91" s="590"/>
    </row>
    <row r="92" spans="1:3">
      <c r="A92" s="73">
        <v>12</v>
      </c>
      <c r="B92" s="86" t="s">
        <v>123</v>
      </c>
      <c r="C92" s="589">
        <f t="shared" ref="C92" si="14">SUM(C88:C90)</f>
        <v>0</v>
      </c>
    </row>
    <row r="93" spans="1:3">
      <c r="A93" s="73">
        <v>13</v>
      </c>
      <c r="B93" s="39"/>
      <c r="C93" s="590"/>
    </row>
    <row r="94" spans="1:3">
      <c r="A94" s="73">
        <v>14</v>
      </c>
      <c r="B94" s="86" t="s">
        <v>365</v>
      </c>
      <c r="C94" s="590"/>
    </row>
    <row r="95" spans="1:3">
      <c r="A95" s="73">
        <v>15</v>
      </c>
      <c r="B95" s="86" t="s">
        <v>178</v>
      </c>
      <c r="C95" s="590"/>
    </row>
    <row r="96" spans="1:3">
      <c r="A96" s="73">
        <v>16</v>
      </c>
      <c r="B96" s="87" t="s">
        <v>177</v>
      </c>
      <c r="C96" s="590"/>
    </row>
    <row r="97" spans="1:3">
      <c r="A97" s="73">
        <v>17</v>
      </c>
      <c r="B97" s="87" t="s">
        <v>275</v>
      </c>
      <c r="C97" s="590"/>
    </row>
    <row r="98" spans="1:3">
      <c r="A98" s="73">
        <v>18</v>
      </c>
      <c r="B98" s="87"/>
      <c r="C98" s="590"/>
    </row>
    <row r="99" spans="1:3">
      <c r="A99" s="73">
        <v>19</v>
      </c>
      <c r="B99" s="86" t="s">
        <v>125</v>
      </c>
      <c r="C99" s="589">
        <f t="shared" ref="C99" si="15">SUM(C95:C97)</f>
        <v>0</v>
      </c>
    </row>
    <row r="100" spans="1:3">
      <c r="A100" s="73">
        <v>20</v>
      </c>
      <c r="B100" s="39"/>
      <c r="C100" s="590"/>
    </row>
    <row r="101" spans="1:3">
      <c r="A101" s="73">
        <v>21</v>
      </c>
      <c r="B101" s="87" t="s">
        <v>255</v>
      </c>
      <c r="C101" s="584">
        <f t="shared" ref="C101" si="16">+C85+C92-C99</f>
        <v>1278</v>
      </c>
    </row>
    <row r="102" spans="1:3">
      <c r="A102" s="73">
        <v>22</v>
      </c>
      <c r="B102" s="87" t="s">
        <v>126</v>
      </c>
      <c r="C102" s="591">
        <v>0.35</v>
      </c>
    </row>
    <row r="103" spans="1:3">
      <c r="A103" s="73">
        <v>23</v>
      </c>
      <c r="B103" s="86" t="s">
        <v>127</v>
      </c>
      <c r="C103" s="592">
        <f t="shared" ref="C103" si="17">C101*C102</f>
        <v>447.29999999999995</v>
      </c>
    </row>
    <row r="104" spans="1:3">
      <c r="A104" s="73">
        <v>24</v>
      </c>
      <c r="B104" s="87" t="s">
        <v>128</v>
      </c>
      <c r="C104" s="590">
        <f t="shared" ref="C104" si="18">+(C95-C88+C96)*C102</f>
        <v>0</v>
      </c>
    </row>
    <row r="105" spans="1:3" ht="13.5" thickBot="1">
      <c r="A105" s="73">
        <v>25</v>
      </c>
      <c r="B105" s="95" t="s">
        <v>129</v>
      </c>
      <c r="C105" s="593">
        <f t="shared" ref="C105" si="19">+C103+C104</f>
        <v>447.29999999999995</v>
      </c>
    </row>
    <row r="106" spans="1:3" ht="13.5" thickTop="1">
      <c r="A106" s="89"/>
    </row>
  </sheetData>
  <printOptions horizontalCentered="1"/>
  <pageMargins left="0.5" right="0.5" top="1.5" bottom="0.3" header="0.5" footer="0.5"/>
  <pageSetup scale="60" fitToWidth="0" orientation="portrait" useFirstPageNumber="1" r:id="rId1"/>
  <headerFooter scaleWithDoc="0" alignWithMargins="0">
    <oddHeader>&amp;L&amp;"Arial,Regular"&amp;10Avista Corporation
&amp;"Arial,Bold"Electric - Restating Adjustments (Schedule 1.2)&amp;"Arial,Regular"
Twelve Months Ended December 31, 2011&amp;R&amp;"Arial,Regular"&amp;10Exhibit No. ___ (JH-2)
Docket UE-120436 &amp;&amp; UG-120437
Page &amp;P of  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6"/>
  <sheetViews>
    <sheetView topLeftCell="A9" zoomScale="75" zoomScaleNormal="75" workbookViewId="0">
      <pane xSplit="2" ySplit="4" topLeftCell="C40" activePane="bottomRight" state="frozen"/>
      <selection activeCell="G79" sqref="G79"/>
      <selection pane="topRight" activeCell="G79" sqref="G79"/>
      <selection pane="bottomLeft" activeCell="G79" sqref="G79"/>
      <selection pane="bottomRight" activeCell="C52" sqref="C52"/>
    </sheetView>
  </sheetViews>
  <sheetFormatPr defaultColWidth="9" defaultRowHeight="12.75"/>
  <cols>
    <col min="1" max="1" width="4.625" style="64" customWidth="1"/>
    <col min="2" max="2" width="42.5" style="63" bestFit="1" customWidth="1"/>
    <col min="3" max="3" width="13.625" style="586" customWidth="1"/>
    <col min="4" max="16384" width="9" style="14"/>
  </cols>
  <sheetData>
    <row r="1" spans="1:3">
      <c r="A1" s="56"/>
      <c r="B1" s="9" t="s">
        <v>281</v>
      </c>
      <c r="C1" s="572"/>
    </row>
    <row r="2" spans="1:3">
      <c r="A2" s="411"/>
      <c r="B2" s="14"/>
      <c r="C2" s="573" t="s">
        <v>382</v>
      </c>
    </row>
    <row r="3" spans="1:3">
      <c r="A3" s="411"/>
      <c r="B3" s="9"/>
      <c r="C3" s="573"/>
    </row>
    <row r="4" spans="1:3" ht="13.5" thickBot="1">
      <c r="A4" s="411"/>
      <c r="B4" s="9"/>
      <c r="C4" s="574" t="s">
        <v>387</v>
      </c>
    </row>
    <row r="5" spans="1:3" ht="13.5" thickTop="1">
      <c r="A5" s="402"/>
      <c r="B5" s="64" t="str">
        <f>+ROO!B2</f>
        <v>(000's of Dollars)</v>
      </c>
      <c r="C5" s="575"/>
    </row>
    <row r="6" spans="1:3">
      <c r="A6" s="62"/>
      <c r="B6" s="64"/>
      <c r="C6" s="575"/>
    </row>
    <row r="7" spans="1:3">
      <c r="A7" s="403"/>
      <c r="B7" s="66" t="s">
        <v>100</v>
      </c>
      <c r="C7" s="573" t="s">
        <v>174</v>
      </c>
    </row>
    <row r="8" spans="1:3">
      <c r="A8" s="403"/>
      <c r="B8" s="66"/>
      <c r="C8" s="573"/>
    </row>
    <row r="9" spans="1:3" s="70" customFormat="1">
      <c r="A9" s="69"/>
      <c r="B9" s="69"/>
      <c r="C9" s="576">
        <v>2.15</v>
      </c>
    </row>
    <row r="10" spans="1:3" s="71" customFormat="1">
      <c r="A10" s="414"/>
      <c r="B10" s="420"/>
      <c r="C10" s="578"/>
    </row>
    <row r="11" spans="1:3" s="71" customFormat="1">
      <c r="A11" s="414" t="s">
        <v>5</v>
      </c>
      <c r="B11" s="420"/>
      <c r="C11" s="577" t="s">
        <v>3</v>
      </c>
    </row>
    <row r="12" spans="1:3" s="424" customFormat="1">
      <c r="A12" s="421" t="s">
        <v>10</v>
      </c>
      <c r="B12" s="422" t="s">
        <v>11</v>
      </c>
      <c r="C12" s="579" t="s">
        <v>325</v>
      </c>
    </row>
    <row r="13" spans="1:3" s="59" customFormat="1">
      <c r="A13" s="418"/>
      <c r="B13" s="419" t="s">
        <v>155</v>
      </c>
      <c r="C13" s="573"/>
    </row>
    <row r="14" spans="1:3">
      <c r="A14" s="73">
        <v>1</v>
      </c>
      <c r="B14" s="416" t="s">
        <v>98</v>
      </c>
      <c r="C14" s="575"/>
    </row>
    <row r="15" spans="1:3">
      <c r="A15" s="75">
        <v>2</v>
      </c>
      <c r="B15" s="63" t="s">
        <v>40</v>
      </c>
      <c r="C15" s="575"/>
    </row>
    <row r="16" spans="1:3" s="15" customFormat="1">
      <c r="A16" s="73">
        <v>3</v>
      </c>
      <c r="B16" s="76" t="s">
        <v>41</v>
      </c>
      <c r="C16" s="581">
        <v>0</v>
      </c>
    </row>
    <row r="17" spans="1:3" s="20" customFormat="1">
      <c r="A17" s="75">
        <v>4</v>
      </c>
      <c r="B17" s="78" t="s">
        <v>42</v>
      </c>
      <c r="C17" s="581">
        <v>0</v>
      </c>
    </row>
    <row r="18" spans="1:3" s="20" customFormat="1">
      <c r="A18" s="73">
        <v>5</v>
      </c>
      <c r="B18" s="78" t="s">
        <v>43</v>
      </c>
      <c r="C18" s="582">
        <v>0</v>
      </c>
    </row>
    <row r="19" spans="1:3" s="20" customFormat="1">
      <c r="A19" s="75">
        <v>6</v>
      </c>
      <c r="B19" s="397" t="s">
        <v>44</v>
      </c>
      <c r="C19" s="581">
        <f>SUM(C16:C18)</f>
        <v>0</v>
      </c>
    </row>
    <row r="20" spans="1:3" s="20" customFormat="1">
      <c r="A20" s="73">
        <v>7</v>
      </c>
      <c r="B20" s="78" t="s">
        <v>45</v>
      </c>
      <c r="C20" s="582">
        <v>0</v>
      </c>
    </row>
    <row r="21" spans="1:3" s="20" customFormat="1">
      <c r="A21" s="75">
        <v>8</v>
      </c>
      <c r="B21" s="397" t="s">
        <v>46</v>
      </c>
      <c r="C21" s="581">
        <f t="shared" ref="C21" si="0">SUM(C19:C20)</f>
        <v>0</v>
      </c>
    </row>
    <row r="22" spans="1:3" s="20" customFormat="1">
      <c r="A22" s="73">
        <v>9</v>
      </c>
      <c r="B22" s="79"/>
      <c r="C22" s="581"/>
    </row>
    <row r="23" spans="1:3" s="20" customFormat="1">
      <c r="A23" s="75">
        <v>10</v>
      </c>
      <c r="B23" s="78" t="s">
        <v>20</v>
      </c>
      <c r="C23" s="581"/>
    </row>
    <row r="24" spans="1:3" s="20" customFormat="1">
      <c r="A24" s="73">
        <v>11</v>
      </c>
      <c r="B24" s="78" t="s">
        <v>47</v>
      </c>
      <c r="C24" s="581"/>
    </row>
    <row r="25" spans="1:3" s="20" customFormat="1">
      <c r="A25" s="75">
        <v>12</v>
      </c>
      <c r="B25" s="397" t="s">
        <v>48</v>
      </c>
      <c r="C25" s="581">
        <v>0</v>
      </c>
    </row>
    <row r="26" spans="1:3" s="20" customFormat="1">
      <c r="A26" s="73">
        <v>13</v>
      </c>
      <c r="B26" s="397" t="s">
        <v>49</v>
      </c>
      <c r="C26" s="581">
        <v>0</v>
      </c>
    </row>
    <row r="27" spans="1:3" s="20" customFormat="1">
      <c r="A27" s="75">
        <v>14</v>
      </c>
      <c r="B27" s="397" t="s">
        <v>50</v>
      </c>
      <c r="C27" s="581">
        <v>0</v>
      </c>
    </row>
    <row r="28" spans="1:3" s="20" customFormat="1">
      <c r="A28" s="73">
        <v>15</v>
      </c>
      <c r="B28" s="393" t="s">
        <v>349</v>
      </c>
      <c r="C28" s="581"/>
    </row>
    <row r="29" spans="1:3" s="20" customFormat="1">
      <c r="A29" s="75">
        <v>16</v>
      </c>
      <c r="B29" s="397" t="s">
        <v>51</v>
      </c>
      <c r="C29" s="582">
        <v>0</v>
      </c>
    </row>
    <row r="30" spans="1:3" s="20" customFormat="1">
      <c r="A30" s="73">
        <v>17</v>
      </c>
      <c r="B30" s="398" t="s">
        <v>52</v>
      </c>
      <c r="C30" s="581">
        <f t="shared" ref="C30" si="1">SUM(C25:C29)</f>
        <v>0</v>
      </c>
    </row>
    <row r="31" spans="1:3" s="20" customFormat="1">
      <c r="A31" s="75">
        <v>18</v>
      </c>
      <c r="B31" s="79"/>
      <c r="C31" s="581"/>
    </row>
    <row r="32" spans="1:3" s="20" customFormat="1">
      <c r="A32" s="73">
        <v>19</v>
      </c>
      <c r="B32" s="78" t="s">
        <v>53</v>
      </c>
      <c r="C32" s="581"/>
    </row>
    <row r="33" spans="1:3" s="20" customFormat="1">
      <c r="A33" s="75">
        <v>20</v>
      </c>
      <c r="B33" s="397" t="s">
        <v>48</v>
      </c>
      <c r="C33" s="581">
        <v>0</v>
      </c>
    </row>
    <row r="34" spans="1:3" s="20" customFormat="1">
      <c r="A34" s="73">
        <v>21</v>
      </c>
      <c r="B34" s="397" t="s">
        <v>54</v>
      </c>
      <c r="C34" s="581">
        <v>0</v>
      </c>
    </row>
    <row r="35" spans="1:3" s="20" customFormat="1">
      <c r="A35" s="75">
        <v>22</v>
      </c>
      <c r="B35" s="397" t="s">
        <v>51</v>
      </c>
      <c r="C35" s="582">
        <v>0</v>
      </c>
    </row>
    <row r="36" spans="1:3" s="20" customFormat="1">
      <c r="A36" s="73">
        <v>23</v>
      </c>
      <c r="B36" s="398" t="s">
        <v>55</v>
      </c>
      <c r="C36" s="581">
        <f t="shared" ref="C36" si="2">SUM(C33:C35)</f>
        <v>0</v>
      </c>
    </row>
    <row r="37" spans="1:3" s="20" customFormat="1">
      <c r="A37" s="75">
        <v>24</v>
      </c>
      <c r="B37" s="79"/>
      <c r="C37" s="581"/>
    </row>
    <row r="38" spans="1:3" s="20" customFormat="1">
      <c r="A38" s="73">
        <v>25</v>
      </c>
      <c r="B38" s="78" t="s">
        <v>56</v>
      </c>
      <c r="C38" s="581">
        <v>0</v>
      </c>
    </row>
    <row r="39" spans="1:3" s="20" customFormat="1">
      <c r="A39" s="75">
        <v>26</v>
      </c>
      <c r="B39" s="78" t="s">
        <v>57</v>
      </c>
      <c r="C39" s="581">
        <v>0</v>
      </c>
    </row>
    <row r="40" spans="1:3" s="20" customFormat="1">
      <c r="A40" s="73">
        <v>27</v>
      </c>
      <c r="B40" s="78" t="s">
        <v>58</v>
      </c>
      <c r="C40" s="581">
        <v>0</v>
      </c>
    </row>
    <row r="41" spans="1:3" s="20" customFormat="1">
      <c r="A41" s="75">
        <v>28</v>
      </c>
      <c r="B41" s="79"/>
      <c r="C41" s="581">
        <v>0</v>
      </c>
    </row>
    <row r="42" spans="1:3" s="20" customFormat="1">
      <c r="A42" s="75">
        <v>29</v>
      </c>
      <c r="B42" s="78" t="s">
        <v>59</v>
      </c>
      <c r="C42" s="581">
        <v>0</v>
      </c>
    </row>
    <row r="43" spans="1:3" s="20" customFormat="1">
      <c r="A43" s="73">
        <v>30</v>
      </c>
      <c r="B43" s="397" t="s">
        <v>48</v>
      </c>
      <c r="C43" s="581">
        <f>243</f>
        <v>243</v>
      </c>
    </row>
    <row r="44" spans="1:3" s="20" customFormat="1">
      <c r="A44" s="75">
        <v>31</v>
      </c>
      <c r="B44" s="397" t="s">
        <v>54</v>
      </c>
      <c r="C44" s="581">
        <v>0</v>
      </c>
    </row>
    <row r="45" spans="1:3" s="20" customFormat="1">
      <c r="A45" s="75">
        <v>32</v>
      </c>
      <c r="B45" s="397" t="s">
        <v>51</v>
      </c>
      <c r="C45" s="582">
        <v>0</v>
      </c>
    </row>
    <row r="46" spans="1:3" s="20" customFormat="1">
      <c r="A46" s="73">
        <v>33</v>
      </c>
      <c r="B46" s="398" t="s">
        <v>60</v>
      </c>
      <c r="C46" s="582">
        <f t="shared" ref="C46" si="3">SUM(C43:C45)</f>
        <v>243</v>
      </c>
    </row>
    <row r="47" spans="1:3" s="20" customFormat="1">
      <c r="A47" s="75">
        <v>34</v>
      </c>
      <c r="B47" s="78" t="s">
        <v>61</v>
      </c>
      <c r="C47" s="582">
        <f t="shared" ref="C47" si="4">C46+C40+C39+C38+C36+C30</f>
        <v>243</v>
      </c>
    </row>
    <row r="48" spans="1:3" s="20" customFormat="1">
      <c r="A48" s="75">
        <v>35</v>
      </c>
      <c r="B48" s="79"/>
      <c r="C48" s="581"/>
    </row>
    <row r="49" spans="1:3" s="20" customFormat="1">
      <c r="A49" s="73">
        <v>36</v>
      </c>
      <c r="B49" s="78" t="s">
        <v>62</v>
      </c>
      <c r="C49" s="581">
        <f t="shared" ref="C49" si="5">C21-C47</f>
        <v>-243</v>
      </c>
    </row>
    <row r="50" spans="1:3" s="20" customFormat="1">
      <c r="A50" s="75">
        <v>37</v>
      </c>
      <c r="B50" s="78"/>
      <c r="C50" s="581"/>
    </row>
    <row r="51" spans="1:3" s="20" customFormat="1">
      <c r="A51" s="75">
        <v>38</v>
      </c>
      <c r="B51" s="78" t="s">
        <v>63</v>
      </c>
      <c r="C51" s="581"/>
    </row>
    <row r="52" spans="1:3" s="20" customFormat="1">
      <c r="A52" s="73">
        <v>39</v>
      </c>
      <c r="B52" s="78" t="s">
        <v>64</v>
      </c>
      <c r="C52" s="581">
        <f>+ROUND(C105,0)</f>
        <v>-85</v>
      </c>
    </row>
    <row r="53" spans="1:3" s="20" customFormat="1">
      <c r="A53" s="75">
        <v>40</v>
      </c>
      <c r="B53" s="78" t="s">
        <v>366</v>
      </c>
      <c r="C53" s="581">
        <v>0</v>
      </c>
    </row>
    <row r="54" spans="1:3" s="20" customFormat="1">
      <c r="A54" s="75">
        <v>41</v>
      </c>
      <c r="B54" s="78" t="s">
        <v>65</v>
      </c>
      <c r="C54" s="581"/>
    </row>
    <row r="55" spans="1:3" s="20" customFormat="1">
      <c r="A55" s="73">
        <v>42</v>
      </c>
      <c r="B55" s="78" t="s">
        <v>238</v>
      </c>
      <c r="C55" s="582"/>
    </row>
    <row r="56" spans="1:3">
      <c r="A56" s="73">
        <v>45</v>
      </c>
      <c r="B56" s="79"/>
      <c r="C56" s="581"/>
    </row>
    <row r="57" spans="1:3" s="15" customFormat="1" ht="13.5" thickBot="1">
      <c r="A57" s="75">
        <v>46</v>
      </c>
      <c r="B57" s="76" t="s">
        <v>66</v>
      </c>
      <c r="C57" s="583">
        <f>C49-SUM(C52:C55)</f>
        <v>-158</v>
      </c>
    </row>
    <row r="58" spans="1:3" ht="13.5" thickTop="1">
      <c r="A58" s="75">
        <v>47</v>
      </c>
      <c r="B58" s="2"/>
      <c r="C58" s="581"/>
    </row>
    <row r="59" spans="1:3">
      <c r="A59" s="73">
        <v>48</v>
      </c>
      <c r="B59" s="416" t="s">
        <v>21</v>
      </c>
      <c r="C59" s="581"/>
    </row>
    <row r="60" spans="1:3">
      <c r="A60" s="75">
        <v>49</v>
      </c>
      <c r="B60" s="63" t="s">
        <v>67</v>
      </c>
      <c r="C60" s="581"/>
    </row>
    <row r="61" spans="1:3" s="15" customFormat="1">
      <c r="A61" s="75">
        <v>50</v>
      </c>
      <c r="B61" s="396" t="s">
        <v>68</v>
      </c>
      <c r="C61" s="581">
        <v>0</v>
      </c>
    </row>
    <row r="62" spans="1:3" s="20" customFormat="1">
      <c r="A62" s="73">
        <v>51</v>
      </c>
      <c r="B62" s="397" t="s">
        <v>69</v>
      </c>
      <c r="C62" s="581">
        <v>0</v>
      </c>
    </row>
    <row r="63" spans="1:3" s="20" customFormat="1">
      <c r="A63" s="75">
        <v>52</v>
      </c>
      <c r="B63" s="397" t="s">
        <v>70</v>
      </c>
      <c r="C63" s="581">
        <v>0</v>
      </c>
    </row>
    <row r="64" spans="1:3" s="20" customFormat="1">
      <c r="A64" s="75">
        <v>53</v>
      </c>
      <c r="B64" s="397" t="s">
        <v>53</v>
      </c>
      <c r="C64" s="581">
        <v>0</v>
      </c>
    </row>
    <row r="65" spans="1:3" s="20" customFormat="1">
      <c r="A65" s="73">
        <v>54</v>
      </c>
      <c r="B65" s="397" t="s">
        <v>71</v>
      </c>
      <c r="C65" s="582">
        <v>0</v>
      </c>
    </row>
    <row r="66" spans="1:3" s="20" customFormat="1">
      <c r="A66" s="75">
        <v>55</v>
      </c>
      <c r="B66" s="398" t="s">
        <v>72</v>
      </c>
      <c r="C66" s="581">
        <f t="shared" ref="C66" si="6">SUM(C61:C65)</f>
        <v>0</v>
      </c>
    </row>
    <row r="67" spans="1:3" s="20" customFormat="1">
      <c r="A67" s="75">
        <v>56</v>
      </c>
      <c r="B67" s="78" t="s">
        <v>244</v>
      </c>
      <c r="C67" s="581">
        <v>0</v>
      </c>
    </row>
    <row r="68" spans="1:3" s="20" customFormat="1">
      <c r="A68" s="73">
        <v>57</v>
      </c>
      <c r="B68" s="78" t="s">
        <v>245</v>
      </c>
      <c r="C68" s="582">
        <v>0</v>
      </c>
    </row>
    <row r="69" spans="1:3" s="20" customFormat="1">
      <c r="A69" s="75">
        <v>58</v>
      </c>
      <c r="B69" s="397" t="s">
        <v>73</v>
      </c>
      <c r="C69" s="581">
        <f t="shared" ref="C69" si="7">SUM(C67:C68)</f>
        <v>0</v>
      </c>
    </row>
    <row r="70" spans="1:3" s="20" customFormat="1">
      <c r="A70" s="75">
        <v>59</v>
      </c>
      <c r="B70" s="78" t="s">
        <v>246</v>
      </c>
      <c r="C70" s="581">
        <v>0</v>
      </c>
    </row>
    <row r="71" spans="1:3" s="20" customFormat="1">
      <c r="A71" s="73">
        <v>60</v>
      </c>
      <c r="B71" s="78" t="s">
        <v>351</v>
      </c>
      <c r="C71" s="581"/>
    </row>
    <row r="72" spans="1:3" s="20" customFormat="1">
      <c r="A72" s="75">
        <v>61</v>
      </c>
      <c r="B72" s="78" t="s">
        <v>236</v>
      </c>
      <c r="C72" s="581"/>
    </row>
    <row r="73" spans="1:3" s="20" customFormat="1">
      <c r="A73" s="75">
        <v>62</v>
      </c>
      <c r="B73" s="78" t="s">
        <v>247</v>
      </c>
      <c r="C73" s="581"/>
    </row>
    <row r="74" spans="1:3" s="20" customFormat="1">
      <c r="A74" s="73">
        <v>63</v>
      </c>
      <c r="B74" s="78" t="s">
        <v>248</v>
      </c>
      <c r="C74" s="582">
        <v>0</v>
      </c>
    </row>
    <row r="75" spans="1:3" s="20" customFormat="1">
      <c r="A75" s="75">
        <v>64</v>
      </c>
      <c r="B75" s="79"/>
      <c r="C75" s="584"/>
    </row>
    <row r="76" spans="1:3" s="20" customFormat="1">
      <c r="A76" s="75">
        <v>65</v>
      </c>
      <c r="B76" s="79"/>
      <c r="C76" s="581"/>
    </row>
    <row r="77" spans="1:3" s="15" customFormat="1" ht="13.5" thickBot="1">
      <c r="A77" s="73">
        <v>66</v>
      </c>
      <c r="B77" s="425" t="s">
        <v>74</v>
      </c>
      <c r="C77" s="585">
        <f t="shared" ref="C77" si="8">C66-C69+C70+C72+C73+C74+C71</f>
        <v>0</v>
      </c>
    </row>
    <row r="78" spans="1:3" ht="13.5" thickTop="1">
      <c r="B78" s="83"/>
    </row>
    <row r="79" spans="1:3">
      <c r="A79" s="84"/>
      <c r="B79" s="38"/>
      <c r="C79" s="587"/>
    </row>
    <row r="80" spans="1:3">
      <c r="A80" s="89"/>
      <c r="B80" s="39"/>
    </row>
    <row r="81" spans="1:3">
      <c r="A81" s="73">
        <v>1</v>
      </c>
      <c r="B81" s="392" t="s">
        <v>116</v>
      </c>
    </row>
    <row r="82" spans="1:3">
      <c r="A82" s="73">
        <v>2</v>
      </c>
      <c r="B82" s="87" t="s">
        <v>18</v>
      </c>
      <c r="C82" s="588">
        <f t="shared" ref="C82" si="9">+C21</f>
        <v>0</v>
      </c>
    </row>
    <row r="83" spans="1:3">
      <c r="A83" s="73">
        <v>3</v>
      </c>
      <c r="B83" s="87" t="s">
        <v>19</v>
      </c>
      <c r="C83" s="581">
        <f t="shared" ref="C83" si="10">+C47</f>
        <v>243</v>
      </c>
    </row>
    <row r="84" spans="1:3">
      <c r="A84" s="73">
        <v>4</v>
      </c>
      <c r="B84" s="87" t="s">
        <v>274</v>
      </c>
      <c r="C84" s="581"/>
    </row>
    <row r="85" spans="1:3">
      <c r="A85" s="73">
        <v>5</v>
      </c>
      <c r="B85" s="399" t="s">
        <v>119</v>
      </c>
      <c r="C85" s="589">
        <f t="shared" ref="C85" si="11">+C82-C83-C84</f>
        <v>-243</v>
      </c>
    </row>
    <row r="86" spans="1:3">
      <c r="A86" s="73">
        <v>6</v>
      </c>
      <c r="B86" s="91"/>
      <c r="C86" s="590"/>
    </row>
    <row r="87" spans="1:3">
      <c r="A87" s="73">
        <v>7</v>
      </c>
      <c r="B87" s="86" t="s">
        <v>120</v>
      </c>
      <c r="C87" s="590"/>
    </row>
    <row r="88" spans="1:3">
      <c r="A88" s="73">
        <v>8</v>
      </c>
      <c r="B88" s="87" t="s">
        <v>121</v>
      </c>
      <c r="C88" s="590"/>
    </row>
    <row r="89" spans="1:3">
      <c r="A89" s="73">
        <v>9</v>
      </c>
      <c r="B89" s="87" t="s">
        <v>130</v>
      </c>
      <c r="C89" s="590"/>
    </row>
    <row r="90" spans="1:3">
      <c r="A90" s="73">
        <v>10</v>
      </c>
      <c r="B90" s="87" t="s">
        <v>122</v>
      </c>
      <c r="C90" s="590"/>
    </row>
    <row r="91" spans="1:3">
      <c r="A91" s="73">
        <v>11</v>
      </c>
      <c r="B91" s="39"/>
      <c r="C91" s="590"/>
    </row>
    <row r="92" spans="1:3">
      <c r="A92" s="73">
        <v>12</v>
      </c>
      <c r="B92" s="86" t="s">
        <v>123</v>
      </c>
      <c r="C92" s="589">
        <f t="shared" ref="C92" si="12">SUM(C88:C90)</f>
        <v>0</v>
      </c>
    </row>
    <row r="93" spans="1:3">
      <c r="A93" s="73">
        <v>13</v>
      </c>
      <c r="B93" s="39"/>
      <c r="C93" s="590"/>
    </row>
    <row r="94" spans="1:3">
      <c r="A94" s="73">
        <v>14</v>
      </c>
      <c r="B94" s="86" t="s">
        <v>365</v>
      </c>
      <c r="C94" s="590"/>
    </row>
    <row r="95" spans="1:3">
      <c r="A95" s="73">
        <v>15</v>
      </c>
      <c r="B95" s="86" t="s">
        <v>178</v>
      </c>
      <c r="C95" s="590"/>
    </row>
    <row r="96" spans="1:3">
      <c r="A96" s="73">
        <v>16</v>
      </c>
      <c r="B96" s="87" t="s">
        <v>177</v>
      </c>
      <c r="C96" s="590"/>
    </row>
    <row r="97" spans="1:3">
      <c r="A97" s="73">
        <v>17</v>
      </c>
      <c r="B97" s="87" t="s">
        <v>275</v>
      </c>
      <c r="C97" s="590"/>
    </row>
    <row r="98" spans="1:3">
      <c r="A98" s="73">
        <v>18</v>
      </c>
      <c r="B98" s="87"/>
      <c r="C98" s="590"/>
    </row>
    <row r="99" spans="1:3">
      <c r="A99" s="73">
        <v>19</v>
      </c>
      <c r="B99" s="86" t="s">
        <v>125</v>
      </c>
      <c r="C99" s="589">
        <f t="shared" ref="C99" si="13">SUM(C95:C97)</f>
        <v>0</v>
      </c>
    </row>
    <row r="100" spans="1:3">
      <c r="A100" s="73">
        <v>20</v>
      </c>
      <c r="B100" s="39"/>
      <c r="C100" s="590"/>
    </row>
    <row r="101" spans="1:3">
      <c r="A101" s="73">
        <v>21</v>
      </c>
      <c r="B101" s="87" t="s">
        <v>255</v>
      </c>
      <c r="C101" s="584">
        <f t="shared" ref="C101" si="14">+C85+C92-C99</f>
        <v>-243</v>
      </c>
    </row>
    <row r="102" spans="1:3">
      <c r="A102" s="73">
        <v>22</v>
      </c>
      <c r="B102" s="87" t="s">
        <v>126</v>
      </c>
      <c r="C102" s="591">
        <v>0.35</v>
      </c>
    </row>
    <row r="103" spans="1:3">
      <c r="A103" s="73">
        <v>23</v>
      </c>
      <c r="B103" s="86" t="s">
        <v>127</v>
      </c>
      <c r="C103" s="592">
        <f t="shared" ref="C103" si="15">C101*C102</f>
        <v>-85.05</v>
      </c>
    </row>
    <row r="104" spans="1:3">
      <c r="A104" s="73">
        <v>24</v>
      </c>
      <c r="B104" s="87" t="s">
        <v>128</v>
      </c>
      <c r="C104" s="590">
        <f t="shared" ref="C104" si="16">+(C95-C88+C96)*C102</f>
        <v>0</v>
      </c>
    </row>
    <row r="105" spans="1:3" ht="13.5" thickBot="1">
      <c r="A105" s="73">
        <v>25</v>
      </c>
      <c r="B105" s="95" t="s">
        <v>129</v>
      </c>
      <c r="C105" s="593">
        <f t="shared" ref="C105" si="17">+C103+C104</f>
        <v>-85.05</v>
      </c>
    </row>
    <row r="106" spans="1:3" ht="13.5" thickTop="1">
      <c r="A106" s="89"/>
    </row>
  </sheetData>
  <printOptions horizontalCentered="1"/>
  <pageMargins left="0.5" right="0.5" top="1.5" bottom="0.3" header="0.5" footer="0.5"/>
  <pageSetup scale="60" fitToWidth="0" orientation="portrait" useFirstPageNumber="1" r:id="rId1"/>
  <headerFooter scaleWithDoc="0" alignWithMargins="0">
    <oddHeader>&amp;L&amp;"Arial,Regular"&amp;10Avista Corporation
&amp;"Arial,Bold"Electric - Restating Adjustments (Schedule 1.2)&amp;"Arial,Regular"
Twelve Months Ended December 31, 2011&amp;R&amp;"Arial,Regular"&amp;10Exhibit No. ___ (JH-2)
Docket UE-120436 &amp;&amp; UG-120437
Page &amp;P of 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/>
  <dimension ref="A1:AI105"/>
  <sheetViews>
    <sheetView tabSelected="1" zoomScale="75" zoomScaleNormal="75" workbookViewId="0">
      <pane xSplit="3" ySplit="12" topLeftCell="D37" activePane="bottomRight" state="frozen"/>
      <selection activeCell="B95" sqref="B95"/>
      <selection pane="topRight" activeCell="B95" sqref="B95"/>
      <selection pane="bottomLeft" activeCell="B95" sqref="B95"/>
      <selection pane="bottomRight" activeCell="F48" sqref="F48"/>
    </sheetView>
  </sheetViews>
  <sheetFormatPr defaultColWidth="10.625" defaultRowHeight="12.75"/>
  <cols>
    <col min="1" max="1" width="4.375" style="64" bestFit="1" customWidth="1"/>
    <col min="2" max="2" width="33.75" style="63" customWidth="1"/>
    <col min="3" max="3" width="13.625" style="65" customWidth="1"/>
    <col min="4" max="4" width="13.625" style="586" customWidth="1"/>
    <col min="5" max="5" width="13.625" style="74" customWidth="1"/>
    <col min="6" max="8" width="13.625" style="586" customWidth="1"/>
    <col min="9" max="9" width="13.625" style="74" customWidth="1"/>
    <col min="10" max="13" width="13.625" style="586" customWidth="1"/>
    <col min="14" max="17" width="13.625" style="74" customWidth="1"/>
    <col min="18" max="18" width="13.625" style="101" customWidth="1"/>
    <col min="19" max="19" width="13.625" style="595" customWidth="1"/>
    <col min="20" max="26" width="9" style="101" customWidth="1"/>
    <col min="27" max="27" width="11.625" style="65" hidden="1" customWidth="1"/>
    <col min="28" max="28" width="5" style="14" customWidth="1"/>
    <col min="29" max="29" width="2.75" style="14" customWidth="1"/>
    <col min="30" max="30" width="11.75" style="14" customWidth="1"/>
    <col min="31" max="31" width="2.625" style="14" customWidth="1"/>
    <col min="32" max="32" width="10.875" style="14" customWidth="1"/>
    <col min="33" max="33" width="6.75" style="14" customWidth="1"/>
    <col min="34" max="35" width="9.625" style="14" customWidth="1"/>
    <col min="36" max="36" width="10.625" style="14" customWidth="1"/>
    <col min="37" max="37" width="6.75" style="14" customWidth="1"/>
    <col min="38" max="16384" width="10.625" style="14"/>
  </cols>
  <sheetData>
    <row r="1" spans="1:30">
      <c r="A1" s="56"/>
      <c r="B1" s="9" t="s">
        <v>281</v>
      </c>
      <c r="C1" s="57" t="s">
        <v>253</v>
      </c>
      <c r="D1" s="572"/>
      <c r="E1" s="58"/>
      <c r="F1" s="572"/>
      <c r="G1" s="572"/>
      <c r="H1" s="572"/>
      <c r="I1" s="58"/>
      <c r="J1" s="572"/>
      <c r="K1" s="572"/>
      <c r="L1" s="575"/>
      <c r="M1" s="575"/>
      <c r="N1" s="58"/>
      <c r="O1" s="58"/>
      <c r="P1" s="58"/>
      <c r="Q1" s="58"/>
      <c r="R1" s="14"/>
      <c r="S1" s="594"/>
      <c r="T1" s="14"/>
      <c r="U1" s="14"/>
      <c r="V1" s="14"/>
      <c r="W1" s="14"/>
      <c r="X1" s="14"/>
      <c r="Y1" s="14"/>
      <c r="Z1" s="14"/>
    </row>
    <row r="2" spans="1:30">
      <c r="A2" s="411"/>
      <c r="B2" s="14"/>
      <c r="D2" s="573"/>
      <c r="E2" s="66"/>
      <c r="F2" s="573"/>
      <c r="G2" s="573"/>
      <c r="H2" s="573"/>
      <c r="I2" s="66"/>
      <c r="J2" s="573"/>
      <c r="K2" s="573"/>
      <c r="L2" s="573"/>
      <c r="M2" s="573"/>
      <c r="N2" s="66"/>
      <c r="O2" s="66"/>
      <c r="P2" s="66"/>
      <c r="Q2" s="66"/>
      <c r="R2" s="66"/>
      <c r="S2" s="573"/>
      <c r="T2" s="66"/>
      <c r="U2" s="14"/>
      <c r="V2" s="14"/>
      <c r="W2" s="14"/>
      <c r="X2" s="14"/>
      <c r="Y2" s="14"/>
      <c r="Z2" s="14"/>
    </row>
    <row r="3" spans="1:30">
      <c r="A3" s="411"/>
      <c r="B3" s="14"/>
      <c r="C3" s="65" t="s">
        <v>277</v>
      </c>
      <c r="E3" s="66"/>
      <c r="F3" s="573"/>
      <c r="G3" s="573"/>
      <c r="H3" s="573"/>
      <c r="I3" s="66"/>
      <c r="J3" s="573"/>
      <c r="K3" s="573"/>
      <c r="L3" s="575"/>
      <c r="M3" s="575"/>
      <c r="N3" s="66"/>
      <c r="O3" s="66"/>
      <c r="P3" s="66"/>
      <c r="Q3" s="66"/>
      <c r="R3" s="14"/>
      <c r="S3" s="594"/>
      <c r="T3" s="14"/>
      <c r="U3" s="14"/>
      <c r="V3" s="14"/>
      <c r="W3" s="14"/>
      <c r="X3" s="14"/>
      <c r="Y3" s="14"/>
      <c r="Z3" s="14"/>
    </row>
    <row r="4" spans="1:30" ht="13.5" thickBot="1">
      <c r="A4" s="411"/>
      <c r="B4" s="14"/>
      <c r="C4" s="412" t="s">
        <v>254</v>
      </c>
      <c r="D4" s="574"/>
      <c r="E4" s="413"/>
      <c r="F4" s="574"/>
      <c r="G4" s="574"/>
      <c r="H4" s="574"/>
      <c r="I4" s="413"/>
      <c r="J4" s="574"/>
      <c r="K4" s="574"/>
      <c r="L4" s="614"/>
      <c r="M4" s="614"/>
      <c r="N4" s="413"/>
      <c r="O4" s="413"/>
      <c r="P4" s="413"/>
      <c r="Q4" s="60"/>
      <c r="R4" s="14"/>
      <c r="S4" s="594"/>
      <c r="T4" s="14"/>
      <c r="U4" s="14"/>
      <c r="V4" s="14"/>
      <c r="W4" s="14"/>
      <c r="X4" s="14"/>
      <c r="Y4" s="14"/>
      <c r="Z4" s="14"/>
    </row>
    <row r="5" spans="1:30" ht="13.5" thickTop="1">
      <c r="A5" s="641"/>
      <c r="B5" s="642" t="str">
        <f>+Restating!B5</f>
        <v>(000's of Dollars)</v>
      </c>
      <c r="C5" s="643"/>
      <c r="D5" s="663"/>
      <c r="E5" s="663"/>
      <c r="F5" s="663"/>
      <c r="G5" s="663"/>
      <c r="H5" s="663"/>
      <c r="I5" s="663"/>
      <c r="J5" s="663"/>
      <c r="K5" s="663"/>
      <c r="L5" s="663"/>
      <c r="M5" s="663"/>
      <c r="N5" s="663"/>
      <c r="O5" s="663"/>
      <c r="P5" s="663"/>
      <c r="Q5" s="663"/>
      <c r="R5" s="682"/>
      <c r="S5" s="682"/>
      <c r="T5" s="682"/>
    </row>
    <row r="6" spans="1:30">
      <c r="A6" s="646"/>
      <c r="B6" s="666"/>
      <c r="C6" s="643"/>
      <c r="D6" s="663"/>
      <c r="E6" s="663"/>
      <c r="F6" s="663"/>
      <c r="G6" s="663"/>
      <c r="H6" s="663"/>
      <c r="I6" s="663"/>
      <c r="J6" s="663"/>
      <c r="K6" s="663"/>
      <c r="L6" s="663"/>
      <c r="M6" s="663"/>
      <c r="N6" s="663"/>
      <c r="O6" s="663"/>
      <c r="P6" s="663"/>
      <c r="Q6" s="663"/>
      <c r="R6" s="682"/>
      <c r="S6" s="682"/>
      <c r="T6" s="682"/>
    </row>
    <row r="7" spans="1:30" ht="13.5" thickBot="1">
      <c r="A7" s="647"/>
      <c r="B7" s="642" t="s">
        <v>100</v>
      </c>
      <c r="C7" s="644" t="s">
        <v>101</v>
      </c>
      <c r="D7" s="683" t="s">
        <v>102</v>
      </c>
      <c r="E7" s="649" t="s">
        <v>198</v>
      </c>
      <c r="F7" s="649" t="s">
        <v>103</v>
      </c>
      <c r="G7" s="649" t="s">
        <v>104</v>
      </c>
      <c r="H7" s="649" t="s">
        <v>105</v>
      </c>
      <c r="I7" s="649" t="s">
        <v>106</v>
      </c>
      <c r="J7" s="649" t="s">
        <v>107</v>
      </c>
      <c r="K7" s="649" t="s">
        <v>156</v>
      </c>
      <c r="L7" s="649"/>
      <c r="M7" s="649"/>
      <c r="N7" s="649" t="s">
        <v>157</v>
      </c>
      <c r="O7" s="684" t="s">
        <v>159</v>
      </c>
      <c r="P7" s="684" t="s">
        <v>160</v>
      </c>
      <c r="Q7" s="684"/>
      <c r="R7" s="682"/>
      <c r="S7" s="682"/>
      <c r="T7" s="682"/>
    </row>
    <row r="8" spans="1:30" ht="16.149999999999999" customHeight="1" thickBot="1">
      <c r="A8" s="647"/>
      <c r="B8" s="642"/>
      <c r="C8" s="644"/>
      <c r="D8" s="683"/>
      <c r="E8" s="649"/>
      <c r="F8" s="649"/>
      <c r="G8" s="649"/>
      <c r="H8" s="649"/>
      <c r="I8" s="649"/>
      <c r="J8" s="649"/>
      <c r="K8" s="649"/>
      <c r="L8" s="685"/>
      <c r="M8" s="685"/>
      <c r="N8" s="712" t="s">
        <v>364</v>
      </c>
      <c r="O8" s="712"/>
      <c r="P8" s="712" t="s">
        <v>364</v>
      </c>
      <c r="Q8" s="712"/>
      <c r="R8" s="682"/>
      <c r="S8" s="682"/>
      <c r="T8" s="682"/>
    </row>
    <row r="9" spans="1:30">
      <c r="A9" s="646"/>
      <c r="B9" s="666"/>
      <c r="C9" s="643"/>
      <c r="D9" s="686">
        <v>3</v>
      </c>
      <c r="E9" s="686">
        <v>3.01</v>
      </c>
      <c r="F9" s="686">
        <v>3.02</v>
      </c>
      <c r="G9" s="686">
        <v>3.03</v>
      </c>
      <c r="H9" s="686">
        <v>3.04</v>
      </c>
      <c r="I9" s="686">
        <v>3.05</v>
      </c>
      <c r="J9" s="686">
        <v>3.06</v>
      </c>
      <c r="K9" s="686">
        <v>3.07</v>
      </c>
      <c r="L9" s="686">
        <v>3.08</v>
      </c>
      <c r="M9" s="686">
        <v>3.09</v>
      </c>
      <c r="N9" s="687">
        <v>4</v>
      </c>
      <c r="O9" s="686">
        <v>4.01</v>
      </c>
      <c r="P9" s="686">
        <v>4.0199999999999996</v>
      </c>
      <c r="Q9" s="686">
        <v>4.03</v>
      </c>
      <c r="R9" s="686">
        <v>4.04</v>
      </c>
      <c r="S9" s="686">
        <v>4.05</v>
      </c>
      <c r="T9" s="686">
        <v>4.0599999999999996</v>
      </c>
    </row>
    <row r="10" spans="1:30" s="71" customFormat="1">
      <c r="A10" s="654"/>
      <c r="B10" s="655"/>
      <c r="C10" s="557" t="s">
        <v>31</v>
      </c>
      <c r="D10" s="688" t="s">
        <v>96</v>
      </c>
      <c r="E10" s="688" t="s">
        <v>96</v>
      </c>
      <c r="F10" s="688" t="s">
        <v>96</v>
      </c>
      <c r="G10" s="688" t="s">
        <v>96</v>
      </c>
      <c r="H10" s="688" t="s">
        <v>4</v>
      </c>
      <c r="I10" s="688" t="s">
        <v>4</v>
      </c>
      <c r="J10" s="688" t="s">
        <v>96</v>
      </c>
      <c r="K10" s="688" t="s">
        <v>3</v>
      </c>
      <c r="L10" s="688"/>
      <c r="M10" s="688"/>
      <c r="N10" s="688" t="s">
        <v>359</v>
      </c>
      <c r="O10" s="688" t="s">
        <v>359</v>
      </c>
      <c r="P10" s="688"/>
      <c r="Q10" s="688"/>
      <c r="R10" s="656"/>
      <c r="S10" s="689"/>
      <c r="T10" s="656"/>
      <c r="AA10" s="68"/>
    </row>
    <row r="11" spans="1:30" s="71" customFormat="1">
      <c r="A11" s="654" t="s">
        <v>5</v>
      </c>
      <c r="B11" s="655"/>
      <c r="C11" s="557" t="s">
        <v>4</v>
      </c>
      <c r="D11" s="688" t="s">
        <v>8</v>
      </c>
      <c r="E11" s="690" t="s">
        <v>22</v>
      </c>
      <c r="F11" s="690" t="s">
        <v>76</v>
      </c>
      <c r="G11" s="690" t="s">
        <v>76</v>
      </c>
      <c r="H11" s="690" t="s">
        <v>221</v>
      </c>
      <c r="I11" s="557" t="s">
        <v>223</v>
      </c>
      <c r="J11" s="688" t="s">
        <v>400</v>
      </c>
      <c r="K11" s="691" t="s">
        <v>352</v>
      </c>
      <c r="L11" s="656" t="s">
        <v>4</v>
      </c>
      <c r="M11" s="656" t="s">
        <v>402</v>
      </c>
      <c r="N11" s="690" t="s">
        <v>360</v>
      </c>
      <c r="O11" s="690" t="s">
        <v>360</v>
      </c>
      <c r="P11" s="557" t="s">
        <v>363</v>
      </c>
      <c r="Q11" s="557" t="s">
        <v>122</v>
      </c>
      <c r="R11" s="688" t="s">
        <v>357</v>
      </c>
      <c r="S11" s="656" t="s">
        <v>355</v>
      </c>
      <c r="T11" s="692" t="s">
        <v>353</v>
      </c>
      <c r="AA11" s="68"/>
    </row>
    <row r="12" spans="1:30" s="71" customFormat="1">
      <c r="A12" s="657" t="s">
        <v>10</v>
      </c>
      <c r="B12" s="658" t="s">
        <v>11</v>
      </c>
      <c r="C12" s="558" t="s">
        <v>34</v>
      </c>
      <c r="D12" s="558" t="s">
        <v>14</v>
      </c>
      <c r="E12" s="693" t="s">
        <v>79</v>
      </c>
      <c r="F12" s="693" t="s">
        <v>77</v>
      </c>
      <c r="G12" s="693" t="s">
        <v>78</v>
      </c>
      <c r="H12" s="693" t="s">
        <v>222</v>
      </c>
      <c r="I12" s="558"/>
      <c r="J12" s="558" t="s">
        <v>80</v>
      </c>
      <c r="K12" s="694" t="s">
        <v>241</v>
      </c>
      <c r="L12" s="695" t="s">
        <v>360</v>
      </c>
      <c r="M12" s="695" t="s">
        <v>403</v>
      </c>
      <c r="N12" s="694" t="s">
        <v>361</v>
      </c>
      <c r="O12" s="693" t="s">
        <v>362</v>
      </c>
      <c r="P12" s="558"/>
      <c r="Q12" s="557"/>
      <c r="R12" s="690" t="s">
        <v>358</v>
      </c>
      <c r="S12" s="656" t="s">
        <v>356</v>
      </c>
      <c r="T12" s="692" t="s">
        <v>354</v>
      </c>
      <c r="AA12" s="68"/>
    </row>
    <row r="13" spans="1:30" s="72" customFormat="1">
      <c r="A13" s="659"/>
      <c r="B13" s="696" t="s">
        <v>155</v>
      </c>
      <c r="C13" s="697" t="s">
        <v>256</v>
      </c>
      <c r="D13" s="557"/>
      <c r="E13" s="648"/>
      <c r="F13" s="698"/>
      <c r="G13" s="698"/>
      <c r="H13" s="698"/>
      <c r="I13" s="698"/>
      <c r="J13" s="698"/>
      <c r="K13" s="648"/>
      <c r="L13" s="698"/>
      <c r="M13" s="698"/>
      <c r="N13" s="698"/>
      <c r="O13" s="698"/>
      <c r="P13" s="648"/>
      <c r="Q13" s="648"/>
      <c r="R13" s="656"/>
      <c r="S13" s="689"/>
      <c r="T13" s="699"/>
      <c r="AA13" s="60"/>
    </row>
    <row r="14" spans="1:30">
      <c r="A14" s="661">
        <v>1</v>
      </c>
      <c r="B14" s="662" t="s">
        <v>98</v>
      </c>
      <c r="C14" s="663"/>
      <c r="D14" s="664"/>
      <c r="E14" s="664"/>
      <c r="F14" s="663"/>
      <c r="G14" s="663"/>
      <c r="H14" s="663"/>
      <c r="I14" s="663"/>
      <c r="J14" s="663"/>
      <c r="K14" s="663"/>
      <c r="L14" s="663"/>
      <c r="M14" s="663"/>
      <c r="N14" s="663"/>
      <c r="O14" s="663"/>
      <c r="P14" s="663"/>
      <c r="Q14" s="663"/>
      <c r="R14" s="700"/>
      <c r="S14" s="682"/>
      <c r="T14" s="682"/>
      <c r="AA14" s="61"/>
    </row>
    <row r="15" spans="1:30">
      <c r="A15" s="665">
        <v>2</v>
      </c>
      <c r="B15" s="666" t="s">
        <v>40</v>
      </c>
      <c r="C15" s="643"/>
      <c r="D15" s="664"/>
      <c r="E15" s="664"/>
      <c r="F15" s="643"/>
      <c r="G15" s="643"/>
      <c r="H15" s="643"/>
      <c r="I15" s="643"/>
      <c r="J15" s="643"/>
      <c r="K15" s="643"/>
      <c r="L15" s="643"/>
      <c r="M15" s="643"/>
      <c r="N15" s="643"/>
      <c r="O15" s="643"/>
      <c r="P15" s="643"/>
      <c r="Q15" s="643"/>
      <c r="R15" s="643"/>
      <c r="S15" s="643"/>
      <c r="T15" s="643"/>
      <c r="AA15" s="61"/>
    </row>
    <row r="16" spans="1:30" s="15" customFormat="1">
      <c r="A16" s="665">
        <v>3</v>
      </c>
      <c r="B16" s="667" t="s">
        <v>41</v>
      </c>
      <c r="C16" s="668">
        <f t="shared" ref="C16:C21" si="0">SUM(D16:T16)</f>
        <v>0</v>
      </c>
      <c r="D16" s="669"/>
      <c r="E16" s="669"/>
      <c r="F16" s="669"/>
      <c r="G16" s="669"/>
      <c r="H16" s="669"/>
      <c r="I16" s="669"/>
      <c r="J16" s="669"/>
      <c r="K16" s="669"/>
      <c r="L16" s="669"/>
      <c r="M16" s="669"/>
      <c r="N16" s="669"/>
      <c r="O16" s="669"/>
      <c r="P16" s="669"/>
      <c r="Q16" s="669"/>
      <c r="R16" s="669"/>
      <c r="S16" s="669"/>
      <c r="T16" s="669"/>
      <c r="AA16" s="77"/>
      <c r="AB16" s="104"/>
      <c r="AC16" s="104"/>
      <c r="AD16" s="104"/>
    </row>
    <row r="17" spans="1:27" s="20" customFormat="1">
      <c r="A17" s="661">
        <v>4</v>
      </c>
      <c r="B17" s="670" t="s">
        <v>42</v>
      </c>
      <c r="C17" s="668">
        <f t="shared" si="0"/>
        <v>0</v>
      </c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AA17" s="105"/>
    </row>
    <row r="18" spans="1:27" s="20" customFormat="1">
      <c r="A18" s="665">
        <v>5</v>
      </c>
      <c r="B18" s="670" t="s">
        <v>43</v>
      </c>
      <c r="C18" s="553">
        <f t="shared" si="0"/>
        <v>-21549</v>
      </c>
      <c r="D18" s="553">
        <f>+'Adj 3.00'!C18</f>
        <v>-21549</v>
      </c>
      <c r="E18" s="553">
        <v>0</v>
      </c>
      <c r="F18" s="553">
        <v>0</v>
      </c>
      <c r="G18" s="553"/>
      <c r="H18" s="553"/>
      <c r="I18" s="553"/>
      <c r="J18" s="553"/>
      <c r="K18" s="553"/>
      <c r="L18" s="553"/>
      <c r="M18" s="553"/>
      <c r="N18" s="553"/>
      <c r="O18" s="553"/>
      <c r="P18" s="553"/>
      <c r="Q18" s="553"/>
      <c r="R18" s="553"/>
      <c r="S18" s="553"/>
      <c r="T18" s="553"/>
      <c r="AA18" s="107"/>
    </row>
    <row r="19" spans="1:27" s="20" customFormat="1">
      <c r="A19" s="665">
        <v>6</v>
      </c>
      <c r="B19" s="671" t="s">
        <v>44</v>
      </c>
      <c r="C19" s="629">
        <f t="shared" si="0"/>
        <v>-21549</v>
      </c>
      <c r="D19" s="629">
        <f t="shared" ref="D19:N19" si="1">SUM(D16:D18)</f>
        <v>-21549</v>
      </c>
      <c r="E19" s="629">
        <f t="shared" si="1"/>
        <v>0</v>
      </c>
      <c r="F19" s="629">
        <f t="shared" ref="F19" si="2">SUM(F16:F18)</f>
        <v>0</v>
      </c>
      <c r="G19" s="629">
        <f t="shared" si="1"/>
        <v>0</v>
      </c>
      <c r="H19" s="629">
        <f t="shared" si="1"/>
        <v>0</v>
      </c>
      <c r="I19" s="629">
        <f t="shared" si="1"/>
        <v>0</v>
      </c>
      <c r="J19" s="629">
        <f t="shared" si="1"/>
        <v>0</v>
      </c>
      <c r="K19" s="629">
        <f>SUM(K18:K18)</f>
        <v>0</v>
      </c>
      <c r="L19" s="629"/>
      <c r="M19" s="629"/>
      <c r="N19" s="629">
        <f t="shared" si="1"/>
        <v>0</v>
      </c>
      <c r="O19" s="629"/>
      <c r="P19" s="629"/>
      <c r="Q19" s="629"/>
      <c r="R19" s="629"/>
      <c r="S19" s="629"/>
      <c r="T19" s="629"/>
    </row>
    <row r="20" spans="1:27" s="20" customFormat="1">
      <c r="A20" s="661">
        <v>7</v>
      </c>
      <c r="B20" s="670" t="s">
        <v>45</v>
      </c>
      <c r="C20" s="553">
        <f t="shared" si="0"/>
        <v>-118187</v>
      </c>
      <c r="D20" s="553">
        <f>+'Adj 3.00'!C20</f>
        <v>-118125</v>
      </c>
      <c r="E20" s="553">
        <f>+'Adj 3.01'!C20</f>
        <v>-62</v>
      </c>
      <c r="F20" s="553"/>
      <c r="G20" s="553"/>
      <c r="H20" s="553"/>
      <c r="I20" s="553">
        <v>0</v>
      </c>
      <c r="J20" s="553"/>
      <c r="K20" s="553"/>
      <c r="L20" s="553"/>
      <c r="M20" s="553"/>
      <c r="N20" s="553"/>
      <c r="O20" s="553"/>
      <c r="P20" s="553"/>
      <c r="Q20" s="553"/>
      <c r="R20" s="553"/>
      <c r="S20" s="553"/>
      <c r="T20" s="553"/>
      <c r="AA20" s="107"/>
    </row>
    <row r="21" spans="1:27" s="20" customFormat="1">
      <c r="A21" s="665">
        <v>8</v>
      </c>
      <c r="B21" s="671" t="s">
        <v>46</v>
      </c>
      <c r="C21" s="629">
        <f t="shared" si="0"/>
        <v>-139736</v>
      </c>
      <c r="D21" s="629">
        <f t="shared" ref="D21:N21" si="3">SUM(D19:D20)</f>
        <v>-139674</v>
      </c>
      <c r="E21" s="629">
        <f t="shared" si="3"/>
        <v>-62</v>
      </c>
      <c r="F21" s="629">
        <f t="shared" ref="F21" si="4">SUM(F19:F20)</f>
        <v>0</v>
      </c>
      <c r="G21" s="629">
        <f t="shared" si="3"/>
        <v>0</v>
      </c>
      <c r="H21" s="629">
        <f t="shared" si="3"/>
        <v>0</v>
      </c>
      <c r="I21" s="629">
        <f t="shared" si="3"/>
        <v>0</v>
      </c>
      <c r="J21" s="629">
        <f t="shared" si="3"/>
        <v>0</v>
      </c>
      <c r="K21" s="629">
        <f t="shared" ref="K21" si="5">SUM(K19:K20)</f>
        <v>0</v>
      </c>
      <c r="L21" s="629"/>
      <c r="M21" s="629"/>
      <c r="N21" s="629">
        <f t="shared" si="3"/>
        <v>0</v>
      </c>
      <c r="O21" s="629"/>
      <c r="P21" s="629"/>
      <c r="Q21" s="629"/>
      <c r="R21" s="629"/>
      <c r="S21" s="629"/>
      <c r="T21" s="629"/>
    </row>
    <row r="22" spans="1:27" s="20" customFormat="1">
      <c r="A22" s="665">
        <v>9</v>
      </c>
      <c r="B22" s="670"/>
      <c r="C22" s="629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AA22" s="105"/>
    </row>
    <row r="23" spans="1:27" s="20" customFormat="1">
      <c r="A23" s="661">
        <v>10</v>
      </c>
      <c r="B23" s="670" t="s">
        <v>20</v>
      </c>
      <c r="C23" s="629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AA23" s="105"/>
    </row>
    <row r="24" spans="1:27" s="20" customFormat="1">
      <c r="A24" s="665">
        <v>11</v>
      </c>
      <c r="B24" s="670" t="s">
        <v>47</v>
      </c>
      <c r="C24" s="629"/>
      <c r="D24" s="629"/>
      <c r="E24" s="629"/>
      <c r="F24" s="629"/>
      <c r="G24" s="629"/>
      <c r="H24" s="629"/>
      <c r="I24" s="629"/>
      <c r="J24" s="629"/>
      <c r="K24" s="629"/>
      <c r="L24" s="629"/>
      <c r="M24" s="629"/>
      <c r="N24" s="629"/>
      <c r="O24" s="629"/>
      <c r="P24" s="629"/>
      <c r="Q24" s="629"/>
      <c r="R24" s="629"/>
      <c r="S24" s="629"/>
      <c r="T24" s="629"/>
      <c r="AA24" s="105"/>
    </row>
    <row r="25" spans="1:27" s="20" customFormat="1">
      <c r="A25" s="665">
        <v>12</v>
      </c>
      <c r="B25" s="671" t="s">
        <v>48</v>
      </c>
      <c r="C25" s="629">
        <f t="shared" ref="C25:C30" si="6">SUM(D25:T25)</f>
        <v>-95152</v>
      </c>
      <c r="D25" s="559">
        <f>+'Adj 3.00'!C25</f>
        <v>-97488</v>
      </c>
      <c r="E25" s="559">
        <f>+'Adj 3.01'!C25</f>
        <v>747</v>
      </c>
      <c r="F25" s="629">
        <f>+'Adj 3.02'!C25</f>
        <v>527</v>
      </c>
      <c r="G25" s="629">
        <f>+'Adj 3.03'!C25</f>
        <v>-48</v>
      </c>
      <c r="H25" s="629">
        <f>+'Adj 3.04'!C25</f>
        <v>1110</v>
      </c>
      <c r="I25" s="629">
        <v>0</v>
      </c>
      <c r="J25" s="629">
        <v>0</v>
      </c>
      <c r="K25" s="629"/>
      <c r="L25" s="629"/>
      <c r="M25" s="629"/>
      <c r="N25" s="629"/>
      <c r="O25" s="629">
        <v>0</v>
      </c>
      <c r="P25" s="629"/>
      <c r="Q25" s="629"/>
      <c r="R25" s="629">
        <v>0</v>
      </c>
      <c r="S25" s="629"/>
      <c r="T25" s="629">
        <v>0</v>
      </c>
      <c r="AA25" s="105"/>
    </row>
    <row r="26" spans="1:27" s="20" customFormat="1">
      <c r="A26" s="661">
        <v>13</v>
      </c>
      <c r="B26" s="671" t="s">
        <v>49</v>
      </c>
      <c r="C26" s="629">
        <f t="shared" si="6"/>
        <v>-39243</v>
      </c>
      <c r="D26" s="559">
        <f>+'Adj 3.00'!C26</f>
        <v>-39243</v>
      </c>
      <c r="E26" s="629"/>
      <c r="F26" s="629"/>
      <c r="G26" s="629"/>
      <c r="H26" s="629"/>
      <c r="I26" s="629">
        <v>0</v>
      </c>
      <c r="J26" s="629"/>
      <c r="K26" s="629"/>
      <c r="L26" s="629"/>
      <c r="M26" s="629"/>
      <c r="N26" s="629"/>
      <c r="O26" s="629"/>
      <c r="P26" s="629"/>
      <c r="Q26" s="629"/>
      <c r="R26" s="629">
        <v>0</v>
      </c>
      <c r="S26" s="629"/>
      <c r="T26" s="629"/>
      <c r="AA26" s="105"/>
    </row>
    <row r="27" spans="1:27" s="20" customFormat="1">
      <c r="A27" s="665">
        <v>14</v>
      </c>
      <c r="B27" s="671" t="s">
        <v>50</v>
      </c>
      <c r="C27" s="629">
        <f t="shared" si="6"/>
        <v>-3133</v>
      </c>
      <c r="D27" s="629"/>
      <c r="E27" s="629"/>
      <c r="F27" s="629"/>
      <c r="G27" s="629"/>
      <c r="H27" s="629"/>
      <c r="I27" s="629">
        <v>0</v>
      </c>
      <c r="J27" s="629">
        <v>0</v>
      </c>
      <c r="K27" s="629">
        <v>0</v>
      </c>
      <c r="L27" s="629">
        <f>+'Adj 3.08'!C27</f>
        <v>109</v>
      </c>
      <c r="M27" s="629">
        <v>0</v>
      </c>
      <c r="N27" s="629">
        <v>0</v>
      </c>
      <c r="O27" s="629">
        <v>0</v>
      </c>
      <c r="P27" s="629"/>
      <c r="Q27" s="629"/>
      <c r="R27" s="629"/>
      <c r="S27" s="629">
        <f>+'Adj 4.05'!C27</f>
        <v>-3242</v>
      </c>
      <c r="T27" s="629"/>
      <c r="AA27" s="105"/>
    </row>
    <row r="28" spans="1:27" s="20" customFormat="1">
      <c r="A28" s="661">
        <v>15</v>
      </c>
      <c r="B28" s="674" t="s">
        <v>349</v>
      </c>
      <c r="C28" s="629">
        <f t="shared" si="6"/>
        <v>0</v>
      </c>
      <c r="D28" s="629"/>
      <c r="E28" s="629"/>
      <c r="F28" s="629"/>
      <c r="G28" s="629"/>
      <c r="H28" s="629"/>
      <c r="I28" s="629"/>
      <c r="J28" s="629"/>
      <c r="K28" s="629"/>
      <c r="L28" s="629"/>
      <c r="M28" s="629"/>
      <c r="N28" s="629"/>
      <c r="O28" s="629"/>
      <c r="P28" s="629"/>
      <c r="Q28" s="629"/>
      <c r="R28" s="629"/>
      <c r="S28" s="629"/>
      <c r="T28" s="629"/>
      <c r="AA28" s="105"/>
    </row>
    <row r="29" spans="1:27" s="20" customFormat="1">
      <c r="A29" s="665">
        <v>16</v>
      </c>
      <c r="B29" s="671" t="s">
        <v>51</v>
      </c>
      <c r="C29" s="553">
        <f t="shared" si="6"/>
        <v>15</v>
      </c>
      <c r="D29" s="553"/>
      <c r="E29" s="553"/>
      <c r="F29" s="553"/>
      <c r="G29" s="553"/>
      <c r="H29" s="553"/>
      <c r="I29" s="553"/>
      <c r="J29" s="553">
        <f>+'Adj 3.06'!C29</f>
        <v>15</v>
      </c>
      <c r="K29" s="553">
        <v>0</v>
      </c>
      <c r="L29" s="553"/>
      <c r="M29" s="553"/>
      <c r="N29" s="553"/>
      <c r="O29" s="553"/>
      <c r="P29" s="553"/>
      <c r="Q29" s="553"/>
      <c r="R29" s="553"/>
      <c r="S29" s="553"/>
      <c r="T29" s="553"/>
      <c r="AA29" s="107"/>
    </row>
    <row r="30" spans="1:27" s="20" customFormat="1">
      <c r="A30" s="665">
        <v>17</v>
      </c>
      <c r="B30" s="675" t="s">
        <v>52</v>
      </c>
      <c r="C30" s="629">
        <f t="shared" si="6"/>
        <v>-137513</v>
      </c>
      <c r="D30" s="629">
        <f t="shared" ref="D30:N30" si="7">SUM(D25:D29)</f>
        <v>-136731</v>
      </c>
      <c r="E30" s="629">
        <f t="shared" si="7"/>
        <v>747</v>
      </c>
      <c r="F30" s="629">
        <f t="shared" ref="F30" si="8">SUM(F25:F29)</f>
        <v>527</v>
      </c>
      <c r="G30" s="629">
        <f t="shared" si="7"/>
        <v>-48</v>
      </c>
      <c r="H30" s="629">
        <f t="shared" si="7"/>
        <v>1110</v>
      </c>
      <c r="I30" s="629">
        <f t="shared" si="7"/>
        <v>0</v>
      </c>
      <c r="J30" s="629">
        <f t="shared" si="7"/>
        <v>15</v>
      </c>
      <c r="K30" s="629">
        <f t="shared" ref="K30" si="9">SUM(K25:K29)</f>
        <v>0</v>
      </c>
      <c r="L30" s="629">
        <f>SUM(L25:L29)</f>
        <v>109</v>
      </c>
      <c r="M30" s="629">
        <f>SUM(M25:M29)</f>
        <v>0</v>
      </c>
      <c r="N30" s="629">
        <f t="shared" si="7"/>
        <v>0</v>
      </c>
      <c r="O30" s="629">
        <f>SUM(O25:O29)</f>
        <v>0</v>
      </c>
      <c r="P30" s="629">
        <f>SUM(P25:P29)</f>
        <v>0</v>
      </c>
      <c r="Q30" s="629">
        <f>SUM(Q25:Q29)</f>
        <v>0</v>
      </c>
      <c r="R30" s="629">
        <f t="shared" ref="R30:T30" si="10">SUM(R25:R29)</f>
        <v>0</v>
      </c>
      <c r="S30" s="629">
        <f t="shared" si="10"/>
        <v>-3242</v>
      </c>
      <c r="T30" s="629">
        <f t="shared" si="10"/>
        <v>0</v>
      </c>
    </row>
    <row r="31" spans="1:27" s="20" customFormat="1">
      <c r="A31" s="661">
        <v>18</v>
      </c>
      <c r="B31" s="670"/>
      <c r="C31" s="629"/>
      <c r="D31" s="629"/>
      <c r="E31" s="629"/>
      <c r="F31" s="629"/>
      <c r="G31" s="629"/>
      <c r="H31" s="629"/>
      <c r="I31" s="629"/>
      <c r="J31" s="629"/>
      <c r="K31" s="629"/>
      <c r="L31" s="629"/>
      <c r="M31" s="629"/>
      <c r="N31" s="629"/>
      <c r="O31" s="629"/>
      <c r="P31" s="629"/>
      <c r="Q31" s="629"/>
      <c r="R31" s="629"/>
      <c r="S31" s="629"/>
      <c r="T31" s="629"/>
      <c r="AA31" s="105"/>
    </row>
    <row r="32" spans="1:27" s="20" customFormat="1">
      <c r="A32" s="665">
        <v>19</v>
      </c>
      <c r="B32" s="670" t="s">
        <v>53</v>
      </c>
      <c r="C32" s="629"/>
      <c r="D32" s="629"/>
      <c r="E32" s="629"/>
      <c r="F32" s="629"/>
      <c r="G32" s="629"/>
      <c r="H32" s="629"/>
      <c r="I32" s="629"/>
      <c r="J32" s="629"/>
      <c r="K32" s="629"/>
      <c r="L32" s="629"/>
      <c r="M32" s="629"/>
      <c r="N32" s="629"/>
      <c r="O32" s="629"/>
      <c r="P32" s="629"/>
      <c r="Q32" s="629"/>
      <c r="R32" s="629"/>
      <c r="S32" s="629"/>
      <c r="T32" s="629"/>
      <c r="AA32" s="105"/>
    </row>
    <row r="33" spans="1:35" s="20" customFormat="1">
      <c r="A33" s="661">
        <v>20</v>
      </c>
      <c r="B33" s="671" t="s">
        <v>48</v>
      </c>
      <c r="C33" s="629">
        <f>SUM(D33:T33)</f>
        <v>1177</v>
      </c>
      <c r="D33" s="629"/>
      <c r="E33" s="629"/>
      <c r="F33" s="629">
        <f>+'Adj 3.02'!C33</f>
        <v>392</v>
      </c>
      <c r="G33" s="629">
        <v>0</v>
      </c>
      <c r="H33" s="629">
        <f>+'Adj 3.04'!C33</f>
        <v>785</v>
      </c>
      <c r="I33" s="629"/>
      <c r="J33" s="629">
        <v>0</v>
      </c>
      <c r="K33" s="629">
        <v>0</v>
      </c>
      <c r="L33" s="629"/>
      <c r="M33" s="629">
        <f>+'Adj 3.09'!C33</f>
        <v>0</v>
      </c>
      <c r="N33" s="629">
        <v>0</v>
      </c>
      <c r="O33" s="629">
        <v>0</v>
      </c>
      <c r="P33" s="629"/>
      <c r="Q33" s="629"/>
      <c r="R33" s="629"/>
      <c r="S33" s="629"/>
      <c r="T33" s="629">
        <v>0</v>
      </c>
      <c r="AA33" s="105"/>
    </row>
    <row r="34" spans="1:35" s="20" customFormat="1">
      <c r="A34" s="665">
        <v>21</v>
      </c>
      <c r="B34" s="671" t="s">
        <v>54</v>
      </c>
      <c r="C34" s="629">
        <f>SUM(D34:T34)</f>
        <v>468</v>
      </c>
      <c r="D34" s="629"/>
      <c r="E34" s="629"/>
      <c r="F34" s="629"/>
      <c r="G34" s="629"/>
      <c r="H34" s="629"/>
      <c r="I34" s="629"/>
      <c r="J34" s="629">
        <v>0</v>
      </c>
      <c r="K34" s="629">
        <v>0</v>
      </c>
      <c r="L34" s="629"/>
      <c r="M34" s="629">
        <f>+'Adj 3.09'!C34</f>
        <v>0</v>
      </c>
      <c r="N34" s="629">
        <v>0</v>
      </c>
      <c r="O34" s="629">
        <v>0</v>
      </c>
      <c r="P34" s="629"/>
      <c r="Q34" s="629"/>
      <c r="R34" s="629"/>
      <c r="S34" s="629">
        <f>+'Adj 4.05'!C34</f>
        <v>468</v>
      </c>
      <c r="T34" s="629"/>
      <c r="AA34" s="105"/>
    </row>
    <row r="35" spans="1:35" s="20" customFormat="1">
      <c r="A35" s="665">
        <v>22</v>
      </c>
      <c r="B35" s="671" t="s">
        <v>51</v>
      </c>
      <c r="C35" s="553">
        <f>SUM(D35:T35)</f>
        <v>28</v>
      </c>
      <c r="D35" s="553"/>
      <c r="E35" s="553"/>
      <c r="F35" s="553">
        <v>0</v>
      </c>
      <c r="G35" s="553"/>
      <c r="H35" s="553"/>
      <c r="I35" s="553"/>
      <c r="J35" s="553">
        <f>+'Adj 3.06'!C35</f>
        <v>28</v>
      </c>
      <c r="K35" s="553"/>
      <c r="L35" s="553"/>
      <c r="M35" s="553"/>
      <c r="N35" s="553"/>
      <c r="O35" s="553"/>
      <c r="P35" s="553"/>
      <c r="Q35" s="553"/>
      <c r="R35" s="553"/>
      <c r="S35" s="553"/>
      <c r="T35" s="553"/>
      <c r="AA35" s="107"/>
    </row>
    <row r="36" spans="1:35" s="20" customFormat="1">
      <c r="A36" s="661">
        <v>23</v>
      </c>
      <c r="B36" s="675" t="s">
        <v>55</v>
      </c>
      <c r="C36" s="629">
        <f>SUM(D36:T36)</f>
        <v>1673</v>
      </c>
      <c r="D36" s="629">
        <f t="shared" ref="D36:N36" si="11">SUM(D33:D35)</f>
        <v>0</v>
      </c>
      <c r="E36" s="629">
        <f t="shared" si="11"/>
        <v>0</v>
      </c>
      <c r="F36" s="629">
        <f t="shared" ref="F36" si="12">SUM(F33:F35)</f>
        <v>392</v>
      </c>
      <c r="G36" s="629">
        <f t="shared" si="11"/>
        <v>0</v>
      </c>
      <c r="H36" s="629">
        <f t="shared" si="11"/>
        <v>785</v>
      </c>
      <c r="I36" s="629">
        <f t="shared" si="11"/>
        <v>0</v>
      </c>
      <c r="J36" s="629">
        <f t="shared" si="11"/>
        <v>28</v>
      </c>
      <c r="K36" s="629">
        <f t="shared" ref="K36" si="13">SUM(K33:K35)</f>
        <v>0</v>
      </c>
      <c r="L36" s="629">
        <f>SUM(L33:L35)</f>
        <v>0</v>
      </c>
      <c r="M36" s="629">
        <f>SUM(M33:M35)</f>
        <v>0</v>
      </c>
      <c r="N36" s="629">
        <f t="shared" si="11"/>
        <v>0</v>
      </c>
      <c r="O36" s="629">
        <f>SUM(O33:O35)</f>
        <v>0</v>
      </c>
      <c r="P36" s="629">
        <f>SUM(P33:P35)</f>
        <v>0</v>
      </c>
      <c r="Q36" s="629">
        <f>SUM(Q33:Q35)</f>
        <v>0</v>
      </c>
      <c r="R36" s="629">
        <f t="shared" ref="R36:T36" si="14">SUM(R33:R35)</f>
        <v>0</v>
      </c>
      <c r="S36" s="629">
        <f t="shared" si="14"/>
        <v>468</v>
      </c>
      <c r="T36" s="629">
        <f t="shared" si="14"/>
        <v>0</v>
      </c>
    </row>
    <row r="37" spans="1:35" s="20" customFormat="1">
      <c r="A37" s="665">
        <v>24</v>
      </c>
      <c r="B37" s="670"/>
      <c r="C37" s="629"/>
      <c r="D37" s="629"/>
      <c r="E37" s="629"/>
      <c r="F37" s="629"/>
      <c r="G37" s="629"/>
      <c r="H37" s="629"/>
      <c r="I37" s="629"/>
      <c r="J37" s="629"/>
      <c r="K37" s="629"/>
      <c r="L37" s="629"/>
      <c r="M37" s="629"/>
      <c r="N37" s="629"/>
      <c r="O37" s="629"/>
      <c r="P37" s="629"/>
      <c r="Q37" s="629"/>
      <c r="R37" s="629"/>
      <c r="S37" s="629"/>
      <c r="T37" s="629"/>
      <c r="AA37" s="105"/>
    </row>
    <row r="38" spans="1:35" s="20" customFormat="1">
      <c r="A38" s="661">
        <v>25</v>
      </c>
      <c r="B38" s="670" t="s">
        <v>56</v>
      </c>
      <c r="C38" s="629">
        <f>SUM(D38:T38)</f>
        <v>546</v>
      </c>
      <c r="D38" s="629"/>
      <c r="E38" s="629"/>
      <c r="F38" s="629">
        <f>+'Adj 3.02'!C38</f>
        <v>173</v>
      </c>
      <c r="G38" s="629">
        <v>0</v>
      </c>
      <c r="H38" s="629">
        <f>+'Adj 3.04'!C38</f>
        <v>373</v>
      </c>
      <c r="I38" s="629"/>
      <c r="J38" s="629"/>
      <c r="K38" s="629"/>
      <c r="L38" s="629">
        <v>0</v>
      </c>
      <c r="M38" s="629">
        <v>0</v>
      </c>
      <c r="N38" s="629"/>
      <c r="O38" s="629">
        <v>0</v>
      </c>
      <c r="P38" s="629">
        <v>0</v>
      </c>
      <c r="Q38" s="629">
        <v>0</v>
      </c>
      <c r="R38" s="629">
        <v>0</v>
      </c>
      <c r="S38" s="629">
        <v>0</v>
      </c>
      <c r="T38" s="629">
        <v>0</v>
      </c>
      <c r="AA38" s="105"/>
      <c r="AB38" s="108"/>
      <c r="AC38" s="101"/>
      <c r="AF38" s="106"/>
      <c r="AG38" s="109"/>
      <c r="AH38" s="109"/>
      <c r="AI38" s="109"/>
    </row>
    <row r="39" spans="1:35" s="20" customFormat="1">
      <c r="A39" s="665">
        <v>26</v>
      </c>
      <c r="B39" s="670" t="s">
        <v>57</v>
      </c>
      <c r="C39" s="629">
        <f>SUM(D39:T39)</f>
        <v>46</v>
      </c>
      <c r="D39" s="629"/>
      <c r="E39" s="629"/>
      <c r="F39" s="629">
        <f>+'Adj 3.02'!C39</f>
        <v>14</v>
      </c>
      <c r="G39" s="629">
        <v>0</v>
      </c>
      <c r="H39" s="629">
        <f>+'Adj 3.04'!C39</f>
        <v>32</v>
      </c>
      <c r="I39" s="629"/>
      <c r="J39" s="629"/>
      <c r="K39" s="629"/>
      <c r="L39" s="629"/>
      <c r="M39" s="629"/>
      <c r="N39" s="629"/>
      <c r="O39" s="629">
        <v>0</v>
      </c>
      <c r="P39" s="629">
        <v>0</v>
      </c>
      <c r="Q39" s="629">
        <v>0</v>
      </c>
      <c r="R39" s="629"/>
      <c r="S39" s="629"/>
      <c r="T39" s="629"/>
      <c r="AA39" s="105"/>
      <c r="AD39" s="110"/>
      <c r="AF39" s="81"/>
      <c r="AG39" s="81"/>
      <c r="AH39" s="81"/>
      <c r="AI39" s="109"/>
    </row>
    <row r="40" spans="1:35" s="20" customFormat="1">
      <c r="A40" s="665">
        <v>27</v>
      </c>
      <c r="B40" s="670" t="s">
        <v>58</v>
      </c>
      <c r="C40" s="629">
        <f>SUM(D40:T40)</f>
        <v>0</v>
      </c>
      <c r="D40" s="629"/>
      <c r="E40" s="629"/>
      <c r="F40" s="629"/>
      <c r="G40" s="629">
        <v>0</v>
      </c>
      <c r="H40" s="629"/>
      <c r="I40" s="629"/>
      <c r="J40" s="629"/>
      <c r="K40" s="629"/>
      <c r="L40" s="629"/>
      <c r="M40" s="629"/>
      <c r="N40" s="629"/>
      <c r="O40" s="629">
        <v>0</v>
      </c>
      <c r="P40" s="629"/>
      <c r="Q40" s="629"/>
      <c r="R40" s="629"/>
      <c r="S40" s="629"/>
      <c r="T40" s="629"/>
      <c r="AA40" s="105"/>
      <c r="AD40" s="110"/>
    </row>
    <row r="41" spans="1:35" s="20" customFormat="1">
      <c r="A41" s="661">
        <v>28</v>
      </c>
      <c r="B41" s="670"/>
      <c r="C41" s="629"/>
      <c r="D41" s="629"/>
      <c r="E41" s="629"/>
      <c r="F41" s="629"/>
      <c r="G41" s="629"/>
      <c r="H41" s="629"/>
      <c r="I41" s="629"/>
      <c r="J41" s="629"/>
      <c r="K41" s="629"/>
      <c r="L41" s="629"/>
      <c r="M41" s="629"/>
      <c r="N41" s="629"/>
      <c r="O41" s="629"/>
      <c r="P41" s="629"/>
      <c r="Q41" s="629"/>
      <c r="R41" s="629"/>
      <c r="S41" s="629"/>
      <c r="T41" s="629"/>
      <c r="AA41" s="105"/>
    </row>
    <row r="42" spans="1:35" s="20" customFormat="1">
      <c r="A42" s="665">
        <v>29</v>
      </c>
      <c r="B42" s="670" t="s">
        <v>59</v>
      </c>
      <c r="C42" s="629"/>
      <c r="D42" s="629"/>
      <c r="E42" s="629"/>
      <c r="F42" s="629"/>
      <c r="G42" s="629"/>
      <c r="H42" s="629"/>
      <c r="I42" s="629"/>
      <c r="J42" s="629"/>
      <c r="K42" s="629"/>
      <c r="L42" s="629"/>
      <c r="M42" s="629"/>
      <c r="N42" s="629"/>
      <c r="O42" s="629"/>
      <c r="P42" s="629"/>
      <c r="Q42" s="629"/>
      <c r="R42" s="629"/>
      <c r="S42" s="629"/>
      <c r="T42" s="629"/>
      <c r="AA42" s="105"/>
    </row>
    <row r="43" spans="1:35" s="20" customFormat="1">
      <c r="A43" s="661">
        <v>30</v>
      </c>
      <c r="B43" s="671" t="s">
        <v>48</v>
      </c>
      <c r="C43" s="629">
        <f>SUM(D43:T43)</f>
        <v>657</v>
      </c>
      <c r="D43" s="629"/>
      <c r="E43" s="629"/>
      <c r="F43" s="629">
        <f>+'Adj 3.02'!C43</f>
        <v>392</v>
      </c>
      <c r="G43" s="629">
        <f>+'Adj 3.03'!C43</f>
        <v>-632</v>
      </c>
      <c r="H43" s="629">
        <f>+'Adj 3.04'!C43</f>
        <v>999</v>
      </c>
      <c r="I43" s="629">
        <f>+'Adj 3.05'!C43</f>
        <v>-102</v>
      </c>
      <c r="J43" s="629">
        <v>0</v>
      </c>
      <c r="K43" s="629"/>
      <c r="L43" s="629">
        <v>0</v>
      </c>
      <c r="M43" s="629">
        <v>0</v>
      </c>
      <c r="N43" s="629"/>
      <c r="O43" s="629">
        <v>0</v>
      </c>
      <c r="P43" s="629">
        <v>0</v>
      </c>
      <c r="Q43" s="629">
        <v>0</v>
      </c>
      <c r="R43" s="629">
        <v>0</v>
      </c>
      <c r="S43" s="629">
        <v>0</v>
      </c>
      <c r="T43" s="629">
        <v>0</v>
      </c>
      <c r="AA43" s="105"/>
    </row>
    <row r="44" spans="1:35" s="20" customFormat="1">
      <c r="A44" s="665">
        <v>31</v>
      </c>
      <c r="B44" s="671" t="s">
        <v>54</v>
      </c>
      <c r="C44" s="629">
        <f>SUM(D44:T44)</f>
        <v>714</v>
      </c>
      <c r="D44" s="629"/>
      <c r="E44" s="629"/>
      <c r="F44" s="629"/>
      <c r="G44" s="629"/>
      <c r="H44" s="629"/>
      <c r="I44" s="629"/>
      <c r="J44" s="629">
        <v>0</v>
      </c>
      <c r="K44" s="629">
        <v>0</v>
      </c>
      <c r="L44" s="629"/>
      <c r="M44" s="629"/>
      <c r="N44" s="629">
        <v>0</v>
      </c>
      <c r="O44" s="629">
        <v>0</v>
      </c>
      <c r="P44" s="629"/>
      <c r="Q44" s="629"/>
      <c r="R44" s="629"/>
      <c r="S44" s="629">
        <f>+'Adj 4.05'!C44</f>
        <v>714</v>
      </c>
      <c r="T44" s="629"/>
      <c r="AA44" s="105"/>
    </row>
    <row r="45" spans="1:35" s="20" customFormat="1">
      <c r="A45" s="665">
        <v>32</v>
      </c>
      <c r="B45" s="671" t="s">
        <v>51</v>
      </c>
      <c r="C45" s="629">
        <f>SUM(D45:T45)</f>
        <v>1</v>
      </c>
      <c r="D45" s="553"/>
      <c r="E45" s="553"/>
      <c r="F45" s="553"/>
      <c r="G45" s="553"/>
      <c r="H45" s="553"/>
      <c r="I45" s="553"/>
      <c r="J45" s="553">
        <f>+'Adj 3.06'!C45</f>
        <v>1</v>
      </c>
      <c r="K45" s="553"/>
      <c r="L45" s="553"/>
      <c r="M45" s="553"/>
      <c r="N45" s="553"/>
      <c r="O45" s="553"/>
      <c r="P45" s="553"/>
      <c r="Q45" s="553"/>
      <c r="R45" s="553"/>
      <c r="S45" s="553"/>
      <c r="T45" s="553"/>
      <c r="AA45" s="107"/>
    </row>
    <row r="46" spans="1:35" s="20" customFormat="1">
      <c r="A46" s="661">
        <v>33</v>
      </c>
      <c r="B46" s="675" t="s">
        <v>60</v>
      </c>
      <c r="C46" s="676">
        <f>SUM(D46:T46)</f>
        <v>1372</v>
      </c>
      <c r="D46" s="553">
        <f t="shared" ref="D46:N46" si="15">SUM(D43:D45)</f>
        <v>0</v>
      </c>
      <c r="E46" s="553">
        <f t="shared" si="15"/>
        <v>0</v>
      </c>
      <c r="F46" s="553">
        <f t="shared" ref="F46" si="16">SUM(F43:F45)</f>
        <v>392</v>
      </c>
      <c r="G46" s="553">
        <f t="shared" si="15"/>
        <v>-632</v>
      </c>
      <c r="H46" s="553">
        <f t="shared" si="15"/>
        <v>999</v>
      </c>
      <c r="I46" s="553">
        <f t="shared" si="15"/>
        <v>-102</v>
      </c>
      <c r="J46" s="553">
        <f t="shared" si="15"/>
        <v>1</v>
      </c>
      <c r="K46" s="553">
        <f t="shared" ref="K46" si="17">SUM(K43:K45)</f>
        <v>0</v>
      </c>
      <c r="L46" s="553">
        <f>SUM(L43:L45)</f>
        <v>0</v>
      </c>
      <c r="M46" s="553">
        <f>SUM(M43:M45)</f>
        <v>0</v>
      </c>
      <c r="N46" s="553">
        <f t="shared" si="15"/>
        <v>0</v>
      </c>
      <c r="O46" s="553">
        <f>SUM(O43:O45)</f>
        <v>0</v>
      </c>
      <c r="P46" s="553">
        <f>SUM(P43:P45)</f>
        <v>0</v>
      </c>
      <c r="Q46" s="553">
        <f>SUM(Q43:Q45)</f>
        <v>0</v>
      </c>
      <c r="R46" s="553">
        <f t="shared" ref="R46:T46" si="18">SUM(R43:R45)</f>
        <v>0</v>
      </c>
      <c r="S46" s="553">
        <f t="shared" si="18"/>
        <v>714</v>
      </c>
      <c r="T46" s="553">
        <f t="shared" si="18"/>
        <v>0</v>
      </c>
      <c r="AA46" s="111"/>
    </row>
    <row r="47" spans="1:35" s="20" customFormat="1">
      <c r="A47" s="665">
        <v>34</v>
      </c>
      <c r="B47" s="670" t="s">
        <v>61</v>
      </c>
      <c r="C47" s="553">
        <f>SUM(D47:T47)</f>
        <v>-133876</v>
      </c>
      <c r="D47" s="553">
        <f t="shared" ref="D47:N47" si="19">D46+D40+D39+D38+D36+D30</f>
        <v>-136731</v>
      </c>
      <c r="E47" s="553">
        <f t="shared" si="19"/>
        <v>747</v>
      </c>
      <c r="F47" s="553">
        <f>F46+F40+F39+F38+F36+F30</f>
        <v>1498</v>
      </c>
      <c r="G47" s="553">
        <f t="shared" si="19"/>
        <v>-680</v>
      </c>
      <c r="H47" s="553">
        <f t="shared" si="19"/>
        <v>3299</v>
      </c>
      <c r="I47" s="553">
        <f t="shared" si="19"/>
        <v>-102</v>
      </c>
      <c r="J47" s="553">
        <f t="shared" si="19"/>
        <v>44</v>
      </c>
      <c r="K47" s="553">
        <f t="shared" ref="K47" si="20">K46+K40+K39+K38+K36+K30</f>
        <v>0</v>
      </c>
      <c r="L47" s="553">
        <f>L46+L40+L39+L38+L36+L30</f>
        <v>109</v>
      </c>
      <c r="M47" s="553">
        <f>M46+M40+M39+M38+M36+M30</f>
        <v>0</v>
      </c>
      <c r="N47" s="553">
        <f t="shared" si="19"/>
        <v>0</v>
      </c>
      <c r="O47" s="553">
        <f>O46+O40+O39+O38+O36+O30</f>
        <v>0</v>
      </c>
      <c r="P47" s="553">
        <f>P46+P40+P39+P38+P36+P30</f>
        <v>0</v>
      </c>
      <c r="Q47" s="553">
        <f>Q46+Q40+Q39+Q38+Q36+Q30</f>
        <v>0</v>
      </c>
      <c r="R47" s="553">
        <f t="shared" ref="R47:T47" si="21">R46+R40+R39+R38+R36+R30</f>
        <v>0</v>
      </c>
      <c r="S47" s="553">
        <f t="shared" si="21"/>
        <v>-2060</v>
      </c>
      <c r="T47" s="553">
        <f t="shared" si="21"/>
        <v>0</v>
      </c>
      <c r="AA47" s="111"/>
    </row>
    <row r="48" spans="1:35" s="20" customFormat="1">
      <c r="A48" s="661">
        <v>35</v>
      </c>
      <c r="B48" s="670"/>
      <c r="C48" s="629"/>
      <c r="D48" s="629"/>
      <c r="E48" s="629"/>
      <c r="F48" s="629"/>
      <c r="G48" s="629"/>
      <c r="H48" s="629"/>
      <c r="I48" s="629"/>
      <c r="J48" s="629"/>
      <c r="K48" s="629"/>
      <c r="L48" s="629"/>
      <c r="M48" s="629"/>
      <c r="N48" s="629"/>
      <c r="O48" s="629"/>
      <c r="P48" s="629"/>
      <c r="Q48" s="629"/>
      <c r="R48" s="629"/>
      <c r="S48" s="629"/>
      <c r="T48" s="629"/>
    </row>
    <row r="49" spans="1:35" s="20" customFormat="1">
      <c r="A49" s="665">
        <v>36</v>
      </c>
      <c r="B49" s="670" t="s">
        <v>62</v>
      </c>
      <c r="C49" s="629">
        <f>SUM(D49:T49)</f>
        <v>-5860</v>
      </c>
      <c r="D49" s="629">
        <v>-2943</v>
      </c>
      <c r="E49" s="629">
        <f t="shared" ref="E49:N49" si="22">E21-E47</f>
        <v>-809</v>
      </c>
      <c r="F49" s="629">
        <f t="shared" ref="F49" si="23">F21-F47</f>
        <v>-1498</v>
      </c>
      <c r="G49" s="629">
        <f t="shared" si="22"/>
        <v>680</v>
      </c>
      <c r="H49" s="629">
        <f t="shared" si="22"/>
        <v>-3299</v>
      </c>
      <c r="I49" s="629">
        <f t="shared" si="22"/>
        <v>102</v>
      </c>
      <c r="J49" s="629">
        <f t="shared" si="22"/>
        <v>-44</v>
      </c>
      <c r="K49" s="629">
        <f t="shared" ref="K49" si="24">K21-K47</f>
        <v>0</v>
      </c>
      <c r="L49" s="629">
        <f>L21-L47</f>
        <v>-109</v>
      </c>
      <c r="M49" s="629">
        <f>M21-M47</f>
        <v>0</v>
      </c>
      <c r="N49" s="629">
        <f t="shared" si="22"/>
        <v>0</v>
      </c>
      <c r="O49" s="629">
        <f>O21-O47</f>
        <v>0</v>
      </c>
      <c r="P49" s="629">
        <f>P21-P47</f>
        <v>0</v>
      </c>
      <c r="Q49" s="629">
        <f>Q21-Q47</f>
        <v>0</v>
      </c>
      <c r="R49" s="629">
        <f t="shared" ref="R49:T49" si="25">R21-R47</f>
        <v>0</v>
      </c>
      <c r="S49" s="629">
        <f t="shared" si="25"/>
        <v>2060</v>
      </c>
      <c r="T49" s="629">
        <f t="shared" si="25"/>
        <v>0</v>
      </c>
    </row>
    <row r="50" spans="1:35" s="20" customFormat="1">
      <c r="A50" s="665">
        <v>37</v>
      </c>
      <c r="B50" s="670"/>
      <c r="C50" s="629"/>
      <c r="D50" s="629"/>
      <c r="E50" s="629"/>
      <c r="F50" s="629"/>
      <c r="G50" s="629"/>
      <c r="H50" s="629"/>
      <c r="I50" s="629"/>
      <c r="J50" s="629"/>
      <c r="K50" s="629"/>
      <c r="L50" s="629"/>
      <c r="M50" s="629"/>
      <c r="N50" s="629"/>
      <c r="O50" s="629"/>
      <c r="P50" s="629"/>
      <c r="Q50" s="629"/>
      <c r="R50" s="629"/>
      <c r="S50" s="629"/>
      <c r="T50" s="629"/>
      <c r="AA50" s="105"/>
    </row>
    <row r="51" spans="1:35" s="20" customFormat="1">
      <c r="A51" s="661">
        <v>38</v>
      </c>
      <c r="B51" s="670" t="s">
        <v>63</v>
      </c>
      <c r="C51" s="629"/>
      <c r="D51" s="629"/>
      <c r="E51" s="629"/>
      <c r="F51" s="629"/>
      <c r="G51" s="629"/>
      <c r="H51" s="629"/>
      <c r="I51" s="629"/>
      <c r="J51" s="629"/>
      <c r="K51" s="629"/>
      <c r="L51" s="629"/>
      <c r="M51" s="629"/>
      <c r="N51" s="629"/>
      <c r="O51" s="629"/>
      <c r="P51" s="629"/>
      <c r="Q51" s="629"/>
      <c r="R51" s="629"/>
      <c r="S51" s="629"/>
      <c r="T51" s="629"/>
      <c r="AA51" s="105"/>
    </row>
    <row r="52" spans="1:35" s="20" customFormat="1">
      <c r="A52" s="665">
        <v>39</v>
      </c>
      <c r="B52" s="670" t="s">
        <v>64</v>
      </c>
      <c r="C52" s="629">
        <f>ROUND(SUM(D52:T52),0)</f>
        <v>-2050</v>
      </c>
      <c r="D52" s="559">
        <f>+'Adj 3.00'!C52</f>
        <v>-1030</v>
      </c>
      <c r="E52" s="559">
        <f>+'Adj 3.01'!C52</f>
        <v>-283</v>
      </c>
      <c r="F52" s="629">
        <f>+'Adj 3.02'!C52</f>
        <v>-524</v>
      </c>
      <c r="G52" s="629">
        <f>+'Adj 3.03'!C52</f>
        <v>238</v>
      </c>
      <c r="H52" s="629">
        <f>+'Adj 3.04'!C52</f>
        <v>-1155</v>
      </c>
      <c r="I52" s="629">
        <f>+'Adj 3.05'!C52</f>
        <v>36</v>
      </c>
      <c r="J52" s="559">
        <f>+'Adj 3.06'!C52</f>
        <v>-15</v>
      </c>
      <c r="K52" s="629">
        <f>+K104</f>
        <v>0</v>
      </c>
      <c r="L52" s="629">
        <f>+'Adj 3.08'!C52</f>
        <v>-38</v>
      </c>
      <c r="M52" s="629">
        <f>+'Adj 3.09'!C52</f>
        <v>0</v>
      </c>
      <c r="N52" s="629">
        <f>+N104</f>
        <v>0</v>
      </c>
      <c r="O52" s="629">
        <f t="shared" ref="O52" si="26">+O104</f>
        <v>0</v>
      </c>
      <c r="P52" s="629">
        <f t="shared" ref="P52:T52" si="27">+P104</f>
        <v>0</v>
      </c>
      <c r="Q52" s="629">
        <f t="shared" ref="Q52" si="28">+Q104</f>
        <v>0</v>
      </c>
      <c r="R52" s="629">
        <f t="shared" si="27"/>
        <v>0</v>
      </c>
      <c r="S52" s="629">
        <f>ROUND(+'Adj 4.05'!C52,0)</f>
        <v>721</v>
      </c>
      <c r="T52" s="629">
        <f t="shared" si="27"/>
        <v>0</v>
      </c>
      <c r="AA52" s="105"/>
      <c r="AE52" s="15"/>
    </row>
    <row r="53" spans="1:35" s="20" customFormat="1">
      <c r="A53" s="665">
        <v>40</v>
      </c>
      <c r="B53" s="670" t="s">
        <v>366</v>
      </c>
      <c r="C53" s="629">
        <f>SUM(D53:T53)</f>
        <v>-47</v>
      </c>
      <c r="D53" s="629">
        <f>+(D77*' Capital '!$J$13)*-35%</f>
        <v>0</v>
      </c>
      <c r="E53" s="629">
        <f>+(E77*' Capital '!$J$13)*-35%</f>
        <v>0</v>
      </c>
      <c r="F53" s="629">
        <f>+(F77*' Capital '!$J$13)*-35%</f>
        <v>0</v>
      </c>
      <c r="G53" s="629">
        <f>+(G77*' Capital '!$J$13)*-35%</f>
        <v>0</v>
      </c>
      <c r="H53" s="629">
        <f>+(H77*' Capital '!$J$13)*-35%</f>
        <v>0</v>
      </c>
      <c r="I53" s="629">
        <f>+(I77*' Capital '!$J$13)*-35%</f>
        <v>0</v>
      </c>
      <c r="J53" s="629">
        <f>+(J77*' Capital '!$J$13)*-35%</f>
        <v>0</v>
      </c>
      <c r="K53" s="629">
        <f>+(K77*' Capital '!$J$13)*-35%</f>
        <v>0</v>
      </c>
      <c r="L53" s="629">
        <f>+'Adj 3.08'!C53</f>
        <v>-56</v>
      </c>
      <c r="M53" s="629">
        <f>+'Adj 3.09'!C53</f>
        <v>9</v>
      </c>
      <c r="N53" s="629">
        <f>+(N77*' Capital '!$J$13)*-35%</f>
        <v>0</v>
      </c>
      <c r="O53" s="629">
        <f>+(O77*' Capital '!$J$13)*-35%</f>
        <v>0</v>
      </c>
      <c r="P53" s="629">
        <f>+(P77*' Capital '!$J$13)*-35%</f>
        <v>0</v>
      </c>
      <c r="Q53" s="629">
        <f>+(Q77*' Capital '!$J$13)*-35%</f>
        <v>0</v>
      </c>
      <c r="R53" s="629">
        <f>+(R77*' Capital '!$J$13)*-35%</f>
        <v>0</v>
      </c>
      <c r="S53" s="629">
        <f>+(S77*' Capital '!$J$13)*-35%</f>
        <v>0</v>
      </c>
      <c r="T53" s="629">
        <f>+(T77*' Capital '!$J$13)*-35%</f>
        <v>0</v>
      </c>
      <c r="AA53" s="105"/>
      <c r="AE53" s="15"/>
    </row>
    <row r="54" spans="1:35" s="20" customFormat="1">
      <c r="A54" s="661">
        <v>41</v>
      </c>
      <c r="B54" s="670" t="s">
        <v>65</v>
      </c>
      <c r="C54" s="629">
        <f>SUM(D54:T54)</f>
        <v>0</v>
      </c>
      <c r="D54" s="629"/>
      <c r="E54" s="629"/>
      <c r="F54" s="629"/>
      <c r="G54" s="629"/>
      <c r="H54" s="629"/>
      <c r="I54" s="629"/>
      <c r="J54" s="629"/>
      <c r="K54" s="629"/>
      <c r="L54" s="629"/>
      <c r="M54" s="629"/>
      <c r="N54" s="629"/>
      <c r="O54" s="629"/>
      <c r="P54" s="629"/>
      <c r="Q54" s="629"/>
      <c r="R54" s="629"/>
      <c r="S54" s="629"/>
      <c r="T54" s="629"/>
      <c r="AA54" s="105"/>
      <c r="AD54" s="15"/>
      <c r="AE54" s="14"/>
    </row>
    <row r="55" spans="1:35" s="20" customFormat="1">
      <c r="A55" s="665">
        <v>42</v>
      </c>
      <c r="B55" s="670" t="s">
        <v>238</v>
      </c>
      <c r="C55" s="629">
        <f>SUM(D55:T55)</f>
        <v>0</v>
      </c>
      <c r="D55" s="629"/>
      <c r="E55" s="629"/>
      <c r="F55" s="629"/>
      <c r="G55" s="629"/>
      <c r="H55" s="629"/>
      <c r="I55" s="629"/>
      <c r="J55" s="629"/>
      <c r="K55" s="629">
        <v>0</v>
      </c>
      <c r="L55" s="629"/>
      <c r="M55" s="629"/>
      <c r="N55" s="629">
        <v>0</v>
      </c>
      <c r="O55" s="629"/>
      <c r="P55" s="629"/>
      <c r="Q55" s="629"/>
      <c r="R55" s="629"/>
      <c r="S55" s="629"/>
      <c r="T55" s="629"/>
      <c r="AA55" s="105"/>
      <c r="AD55" s="15"/>
      <c r="AE55" s="14"/>
    </row>
    <row r="56" spans="1:35" s="20" customFormat="1">
      <c r="A56" s="665">
        <v>43</v>
      </c>
      <c r="B56" s="670"/>
      <c r="C56" s="629">
        <f>SUM(D56:T56)</f>
        <v>0</v>
      </c>
      <c r="D56" s="629"/>
      <c r="E56" s="629"/>
      <c r="F56" s="629"/>
      <c r="G56" s="629"/>
      <c r="H56" s="629"/>
      <c r="I56" s="629"/>
      <c r="J56" s="629"/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AA56" s="105"/>
      <c r="AD56" s="15"/>
      <c r="AE56" s="14"/>
    </row>
    <row r="57" spans="1:35">
      <c r="A57" s="661">
        <v>44</v>
      </c>
      <c r="B57" s="666"/>
      <c r="C57" s="629"/>
      <c r="D57" s="629"/>
      <c r="E57" s="629"/>
      <c r="F57" s="629"/>
      <c r="G57" s="629"/>
      <c r="H57" s="629"/>
      <c r="I57" s="629"/>
      <c r="J57" s="629"/>
      <c r="K57" s="629"/>
      <c r="L57" s="629"/>
      <c r="M57" s="629"/>
      <c r="N57" s="629"/>
      <c r="O57" s="629"/>
      <c r="P57" s="629"/>
      <c r="Q57" s="629"/>
      <c r="R57" s="629"/>
      <c r="S57" s="629"/>
      <c r="T57" s="629"/>
      <c r="AF57" s="15"/>
      <c r="AG57" s="15"/>
      <c r="AH57" s="15"/>
      <c r="AI57" s="15"/>
    </row>
    <row r="58" spans="1:35" s="15" customFormat="1" ht="13.5" thickBot="1">
      <c r="A58" s="665">
        <v>45</v>
      </c>
      <c r="B58" s="667" t="s">
        <v>66</v>
      </c>
      <c r="C58" s="701">
        <f>SUM(D58:T58)</f>
        <v>-3763</v>
      </c>
      <c r="D58" s="701">
        <f t="shared" ref="D58:T58" si="29">D49-SUM(D52:D56)</f>
        <v>-1913</v>
      </c>
      <c r="E58" s="701">
        <f t="shared" si="29"/>
        <v>-526</v>
      </c>
      <c r="F58" s="701">
        <f t="shared" si="29"/>
        <v>-974</v>
      </c>
      <c r="G58" s="701">
        <f t="shared" si="29"/>
        <v>442</v>
      </c>
      <c r="H58" s="701">
        <f t="shared" si="29"/>
        <v>-2144</v>
      </c>
      <c r="I58" s="701">
        <f t="shared" si="29"/>
        <v>66</v>
      </c>
      <c r="J58" s="701">
        <f t="shared" si="29"/>
        <v>-29</v>
      </c>
      <c r="K58" s="701">
        <f t="shared" si="29"/>
        <v>0</v>
      </c>
      <c r="L58" s="701">
        <f>L49-SUM(L52:L56)</f>
        <v>-15</v>
      </c>
      <c r="M58" s="701">
        <f>M49-SUM(M52:M56)</f>
        <v>-9</v>
      </c>
      <c r="N58" s="701">
        <f t="shared" si="29"/>
        <v>0</v>
      </c>
      <c r="O58" s="701">
        <v>0</v>
      </c>
      <c r="P58" s="701">
        <f t="shared" si="29"/>
        <v>0</v>
      </c>
      <c r="Q58" s="701">
        <f t="shared" ref="Q58" si="30">Q49-SUM(Q52:Q56)</f>
        <v>0</v>
      </c>
      <c r="R58" s="701">
        <f t="shared" si="29"/>
        <v>0</v>
      </c>
      <c r="S58" s="681">
        <f>S49-SUM(S52:S56)</f>
        <v>1339</v>
      </c>
      <c r="T58" s="701">
        <f t="shared" si="29"/>
        <v>0</v>
      </c>
      <c r="AA58" s="112"/>
      <c r="AD58" s="14"/>
      <c r="AE58" s="14"/>
      <c r="AF58" s="14"/>
      <c r="AG58" s="14"/>
      <c r="AH58" s="14"/>
      <c r="AI58" s="14"/>
    </row>
    <row r="59" spans="1:35" ht="13.5" thickTop="1">
      <c r="A59" s="665">
        <v>46</v>
      </c>
      <c r="B59" s="678"/>
      <c r="C59" s="643"/>
      <c r="D59" s="643"/>
      <c r="E59" s="643"/>
      <c r="F59" s="643"/>
      <c r="G59" s="643"/>
      <c r="H59" s="643"/>
      <c r="I59" s="643"/>
      <c r="J59" s="643"/>
      <c r="K59" s="643"/>
      <c r="L59" s="643"/>
      <c r="M59" s="643"/>
      <c r="N59" s="643"/>
      <c r="O59" s="643"/>
      <c r="P59" s="643"/>
      <c r="Q59" s="643"/>
      <c r="R59" s="643"/>
      <c r="S59" s="643"/>
      <c r="T59" s="643"/>
    </row>
    <row r="60" spans="1:35">
      <c r="A60" s="661">
        <v>47</v>
      </c>
      <c r="B60" s="662" t="s">
        <v>21</v>
      </c>
      <c r="C60" s="643"/>
      <c r="D60" s="643"/>
      <c r="E60" s="643"/>
      <c r="F60" s="643"/>
      <c r="G60" s="643"/>
      <c r="H60" s="643"/>
      <c r="I60" s="643"/>
      <c r="J60" s="643"/>
      <c r="K60" s="643"/>
      <c r="L60" s="643"/>
      <c r="M60" s="643"/>
      <c r="N60" s="643"/>
      <c r="O60" s="643"/>
      <c r="P60" s="643"/>
      <c r="Q60" s="643"/>
      <c r="R60" s="643"/>
      <c r="S60" s="643"/>
      <c r="T60" s="643"/>
    </row>
    <row r="61" spans="1:35">
      <c r="A61" s="665">
        <v>48</v>
      </c>
      <c r="B61" s="666" t="s">
        <v>67</v>
      </c>
      <c r="C61" s="629"/>
      <c r="D61" s="629"/>
      <c r="E61" s="629"/>
      <c r="F61" s="629"/>
      <c r="G61" s="629"/>
      <c r="H61" s="629"/>
      <c r="I61" s="629"/>
      <c r="J61" s="629"/>
      <c r="K61" s="629"/>
      <c r="L61" s="629"/>
      <c r="M61" s="629"/>
      <c r="N61" s="629"/>
      <c r="O61" s="629"/>
      <c r="P61" s="629"/>
      <c r="Q61" s="629"/>
      <c r="R61" s="629"/>
      <c r="S61" s="629"/>
      <c r="T61" s="629"/>
      <c r="AF61" s="15"/>
      <c r="AG61" s="15"/>
      <c r="AH61" s="15"/>
      <c r="AI61" s="15"/>
    </row>
    <row r="62" spans="1:35" s="15" customFormat="1">
      <c r="A62" s="665">
        <v>49</v>
      </c>
      <c r="B62" s="679" t="s">
        <v>68</v>
      </c>
      <c r="C62" s="668">
        <f t="shared" ref="C62:C68" si="31">SUM(D62:T62)</f>
        <v>0</v>
      </c>
      <c r="D62" s="668"/>
      <c r="E62" s="668"/>
      <c r="F62" s="668"/>
      <c r="G62" s="668"/>
      <c r="H62" s="668"/>
      <c r="I62" s="668"/>
      <c r="J62" s="668"/>
      <c r="K62" s="668">
        <v>0</v>
      </c>
      <c r="L62" s="668"/>
      <c r="M62" s="668"/>
      <c r="N62" s="668">
        <v>0</v>
      </c>
      <c r="O62" s="668">
        <v>0</v>
      </c>
      <c r="P62" s="668"/>
      <c r="Q62" s="668"/>
      <c r="R62" s="668"/>
      <c r="S62" s="668"/>
      <c r="T62" s="668"/>
      <c r="AA62" s="113"/>
      <c r="AD62" s="14"/>
      <c r="AE62" s="14"/>
      <c r="AF62" s="20"/>
      <c r="AG62" s="20"/>
      <c r="AH62" s="20"/>
      <c r="AI62" s="20"/>
    </row>
    <row r="63" spans="1:35" s="20" customFormat="1">
      <c r="A63" s="661">
        <v>50</v>
      </c>
      <c r="B63" s="671" t="s">
        <v>69</v>
      </c>
      <c r="C63" s="668">
        <f t="shared" si="31"/>
        <v>0</v>
      </c>
      <c r="D63" s="629"/>
      <c r="E63" s="629">
        <v>0</v>
      </c>
      <c r="F63" s="629"/>
      <c r="G63" s="629"/>
      <c r="H63" s="629"/>
      <c r="I63" s="629"/>
      <c r="J63" s="629">
        <v>0</v>
      </c>
      <c r="K63" s="629">
        <v>0</v>
      </c>
      <c r="L63" s="629"/>
      <c r="M63" s="629"/>
      <c r="N63" s="629">
        <v>0</v>
      </c>
      <c r="O63" s="629">
        <v>0</v>
      </c>
      <c r="P63" s="629"/>
      <c r="Q63" s="629"/>
      <c r="R63" s="629"/>
      <c r="S63" s="629"/>
      <c r="T63" s="629"/>
      <c r="AA63" s="105"/>
      <c r="AD63" s="14"/>
      <c r="AE63" s="14"/>
    </row>
    <row r="64" spans="1:35" s="20" customFormat="1">
      <c r="A64" s="665">
        <v>51</v>
      </c>
      <c r="B64" s="671" t="s">
        <v>70</v>
      </c>
      <c r="C64" s="668">
        <f t="shared" si="31"/>
        <v>5415</v>
      </c>
      <c r="D64" s="629"/>
      <c r="E64" s="629"/>
      <c r="F64" s="629"/>
      <c r="G64" s="629"/>
      <c r="H64" s="629"/>
      <c r="I64" s="629"/>
      <c r="J64" s="629">
        <v>0</v>
      </c>
      <c r="K64" s="629">
        <v>0</v>
      </c>
      <c r="L64" s="629">
        <f>+'Adj 3.08'!C64</f>
        <v>5415</v>
      </c>
      <c r="M64" s="629"/>
      <c r="N64" s="629">
        <v>0</v>
      </c>
      <c r="O64" s="629">
        <v>0</v>
      </c>
      <c r="P64" s="629"/>
      <c r="Q64" s="629"/>
      <c r="R64" s="629"/>
      <c r="S64" s="629"/>
      <c r="T64" s="629"/>
      <c r="AA64" s="105"/>
      <c r="AD64" s="14"/>
      <c r="AE64" s="14"/>
    </row>
    <row r="65" spans="1:35" s="20" customFormat="1">
      <c r="A65" s="665">
        <v>52</v>
      </c>
      <c r="B65" s="671" t="s">
        <v>53</v>
      </c>
      <c r="C65" s="668">
        <f t="shared" si="31"/>
        <v>-896</v>
      </c>
      <c r="D65" s="629"/>
      <c r="E65" s="629"/>
      <c r="F65" s="629"/>
      <c r="G65" s="629"/>
      <c r="H65" s="629"/>
      <c r="I65" s="629"/>
      <c r="J65" s="629">
        <v>0</v>
      </c>
      <c r="K65" s="629">
        <v>0</v>
      </c>
      <c r="L65" s="629"/>
      <c r="M65" s="629">
        <f>+'Adj 3.09'!C65</f>
        <v>-896</v>
      </c>
      <c r="N65" s="629">
        <v>0</v>
      </c>
      <c r="O65" s="629">
        <v>0</v>
      </c>
      <c r="P65" s="629"/>
      <c r="Q65" s="629"/>
      <c r="R65" s="629"/>
      <c r="S65" s="629"/>
      <c r="T65" s="629"/>
      <c r="AA65" s="105"/>
      <c r="AD65" s="14"/>
      <c r="AE65" s="14"/>
    </row>
    <row r="66" spans="1:35" s="20" customFormat="1">
      <c r="A66" s="661">
        <v>53</v>
      </c>
      <c r="B66" s="671" t="s">
        <v>71</v>
      </c>
      <c r="C66" s="672">
        <f t="shared" si="31"/>
        <v>0</v>
      </c>
      <c r="D66" s="553"/>
      <c r="E66" s="553"/>
      <c r="F66" s="553"/>
      <c r="G66" s="553"/>
      <c r="H66" s="553"/>
      <c r="I66" s="553"/>
      <c r="J66" s="553">
        <v>0</v>
      </c>
      <c r="K66" s="553">
        <v>0</v>
      </c>
      <c r="L66" s="553"/>
      <c r="M66" s="553"/>
      <c r="N66" s="553">
        <v>0</v>
      </c>
      <c r="O66" s="553">
        <v>0</v>
      </c>
      <c r="P66" s="553"/>
      <c r="Q66" s="553"/>
      <c r="R66" s="553"/>
      <c r="S66" s="553"/>
      <c r="T66" s="553"/>
      <c r="AA66" s="107"/>
      <c r="AD66" s="14"/>
      <c r="AE66" s="14"/>
    </row>
    <row r="67" spans="1:35" s="20" customFormat="1">
      <c r="A67" s="665">
        <v>54</v>
      </c>
      <c r="B67" s="675" t="s">
        <v>72</v>
      </c>
      <c r="C67" s="668">
        <f t="shared" si="31"/>
        <v>4519</v>
      </c>
      <c r="D67" s="629">
        <f t="shared" ref="D67:N67" si="32">SUM(D62:D66)</f>
        <v>0</v>
      </c>
      <c r="E67" s="629">
        <f t="shared" si="32"/>
        <v>0</v>
      </c>
      <c r="F67" s="629">
        <f t="shared" ref="F67" si="33">SUM(F62:F66)</f>
        <v>0</v>
      </c>
      <c r="G67" s="629">
        <f t="shared" si="32"/>
        <v>0</v>
      </c>
      <c r="H67" s="629">
        <f t="shared" si="32"/>
        <v>0</v>
      </c>
      <c r="I67" s="629">
        <f t="shared" si="32"/>
        <v>0</v>
      </c>
      <c r="J67" s="629">
        <f t="shared" si="32"/>
        <v>0</v>
      </c>
      <c r="K67" s="629">
        <f t="shared" ref="K67" si="34">SUM(K62:K66)</f>
        <v>0</v>
      </c>
      <c r="L67" s="629">
        <f>SUM(L62:L66)</f>
        <v>5415</v>
      </c>
      <c r="M67" s="629">
        <f>SUM(M62:M66)</f>
        <v>-896</v>
      </c>
      <c r="N67" s="629">
        <f t="shared" si="32"/>
        <v>0</v>
      </c>
      <c r="O67" s="629">
        <f>SUM(O62:O66)</f>
        <v>0</v>
      </c>
      <c r="P67" s="629">
        <f>SUM(P62:P66)</f>
        <v>0</v>
      </c>
      <c r="Q67" s="629">
        <f>SUM(Q62:Q66)</f>
        <v>0</v>
      </c>
      <c r="R67" s="629">
        <f t="shared" ref="R67:T67" si="35">SUM(R62:R66)</f>
        <v>0</v>
      </c>
      <c r="S67" s="629">
        <f t="shared" si="35"/>
        <v>0</v>
      </c>
      <c r="T67" s="629">
        <f t="shared" si="35"/>
        <v>0</v>
      </c>
      <c r="AD67" s="14"/>
      <c r="AE67" s="14"/>
    </row>
    <row r="68" spans="1:35" s="20" customFormat="1">
      <c r="A68" s="665">
        <v>55</v>
      </c>
      <c r="B68" s="670" t="s">
        <v>244</v>
      </c>
      <c r="C68" s="668">
        <f t="shared" si="31"/>
        <v>52</v>
      </c>
      <c r="D68" s="629"/>
      <c r="E68" s="629">
        <v>0</v>
      </c>
      <c r="F68" s="629"/>
      <c r="G68" s="629"/>
      <c r="H68" s="629"/>
      <c r="I68" s="629"/>
      <c r="J68" s="629">
        <v>0</v>
      </c>
      <c r="K68" s="629">
        <v>0</v>
      </c>
      <c r="L68" s="629">
        <f>+'Adj 3.08'!C68</f>
        <v>140</v>
      </c>
      <c r="M68" s="629">
        <f>+'Adj 3.09'!C68</f>
        <v>-88</v>
      </c>
      <c r="N68" s="629">
        <v>0</v>
      </c>
      <c r="O68" s="629">
        <v>0</v>
      </c>
      <c r="P68" s="629"/>
      <c r="Q68" s="629"/>
      <c r="R68" s="629"/>
      <c r="S68" s="629"/>
      <c r="T68" s="629"/>
      <c r="AA68" s="105"/>
      <c r="AD68" s="14"/>
      <c r="AE68" s="14"/>
    </row>
    <row r="69" spans="1:35" s="20" customFormat="1">
      <c r="A69" s="661">
        <v>56</v>
      </c>
      <c r="B69" s="670" t="s">
        <v>245</v>
      </c>
      <c r="C69" s="672"/>
      <c r="D69" s="553"/>
      <c r="E69" s="553"/>
      <c r="F69" s="553"/>
      <c r="G69" s="553"/>
      <c r="H69" s="553"/>
      <c r="I69" s="553"/>
      <c r="J69" s="553"/>
      <c r="K69" s="553"/>
      <c r="L69" s="553"/>
      <c r="M69" s="553"/>
      <c r="N69" s="553"/>
      <c r="O69" s="553"/>
      <c r="P69" s="553"/>
      <c r="Q69" s="553"/>
      <c r="R69" s="553"/>
      <c r="S69" s="553"/>
      <c r="T69" s="553"/>
      <c r="AA69" s="107"/>
      <c r="AD69" s="14"/>
      <c r="AE69" s="14"/>
    </row>
    <row r="70" spans="1:35" s="20" customFormat="1">
      <c r="A70" s="665">
        <v>57</v>
      </c>
      <c r="B70" s="671" t="s">
        <v>73</v>
      </c>
      <c r="C70" s="668">
        <f>SUM(D70:T70)</f>
        <v>52</v>
      </c>
      <c r="D70" s="629">
        <f t="shared" ref="D70:N70" si="36">SUM(D68:D69)</f>
        <v>0</v>
      </c>
      <c r="E70" s="629">
        <f t="shared" si="36"/>
        <v>0</v>
      </c>
      <c r="F70" s="629">
        <f t="shared" ref="F70" si="37">SUM(F68:F69)</f>
        <v>0</v>
      </c>
      <c r="G70" s="629">
        <f t="shared" si="36"/>
        <v>0</v>
      </c>
      <c r="H70" s="629">
        <f t="shared" si="36"/>
        <v>0</v>
      </c>
      <c r="I70" s="629">
        <f t="shared" si="36"/>
        <v>0</v>
      </c>
      <c r="J70" s="629">
        <f t="shared" si="36"/>
        <v>0</v>
      </c>
      <c r="K70" s="629">
        <f t="shared" ref="K70" si="38">SUM(K68:K69)</f>
        <v>0</v>
      </c>
      <c r="L70" s="629">
        <f>SUM(L68:L69)</f>
        <v>140</v>
      </c>
      <c r="M70" s="629">
        <f>SUM(M68:M69)</f>
        <v>-88</v>
      </c>
      <c r="N70" s="629">
        <f t="shared" si="36"/>
        <v>0</v>
      </c>
      <c r="O70" s="629">
        <f>SUM(O68:O69)</f>
        <v>0</v>
      </c>
      <c r="P70" s="629">
        <f>SUM(P68:P69)</f>
        <v>0</v>
      </c>
      <c r="Q70" s="629">
        <f>SUM(Q68:Q69)</f>
        <v>0</v>
      </c>
      <c r="R70" s="629">
        <f t="shared" ref="R70:T70" si="39">SUM(R68:R69)</f>
        <v>0</v>
      </c>
      <c r="S70" s="629">
        <f t="shared" si="39"/>
        <v>0</v>
      </c>
      <c r="T70" s="629">
        <f t="shared" si="39"/>
        <v>0</v>
      </c>
      <c r="AD70" s="14"/>
      <c r="AE70" s="14"/>
    </row>
    <row r="71" spans="1:35" s="20" customFormat="1">
      <c r="A71" s="665">
        <v>58</v>
      </c>
      <c r="B71" s="670" t="s">
        <v>249</v>
      </c>
      <c r="C71" s="668"/>
      <c r="D71" s="629"/>
      <c r="E71" s="629"/>
      <c r="F71" s="629"/>
      <c r="G71" s="629"/>
      <c r="H71" s="629"/>
      <c r="I71" s="629"/>
      <c r="J71" s="629"/>
      <c r="K71" s="629"/>
      <c r="L71" s="629"/>
      <c r="M71" s="629"/>
      <c r="N71" s="629"/>
      <c r="O71" s="629"/>
      <c r="P71" s="629"/>
      <c r="Q71" s="629"/>
      <c r="R71" s="629"/>
      <c r="S71" s="629"/>
      <c r="T71" s="629"/>
      <c r="AA71" s="105"/>
      <c r="AD71" s="14"/>
      <c r="AE71" s="14"/>
    </row>
    <row r="72" spans="1:35" s="20" customFormat="1">
      <c r="A72" s="661">
        <v>59</v>
      </c>
      <c r="B72" s="670" t="s">
        <v>351</v>
      </c>
      <c r="C72" s="668"/>
      <c r="D72" s="629"/>
      <c r="E72" s="629"/>
      <c r="F72" s="629"/>
      <c r="G72" s="629"/>
      <c r="H72" s="629"/>
      <c r="I72" s="629"/>
      <c r="J72" s="629"/>
      <c r="K72" s="629"/>
      <c r="L72" s="629"/>
      <c r="M72" s="629"/>
      <c r="N72" s="629"/>
      <c r="O72" s="629"/>
      <c r="P72" s="629"/>
      <c r="Q72" s="629"/>
      <c r="R72" s="629"/>
      <c r="S72" s="629"/>
      <c r="T72" s="629"/>
      <c r="AA72" s="105"/>
      <c r="AD72" s="14"/>
      <c r="AE72" s="14"/>
    </row>
    <row r="73" spans="1:35" s="20" customFormat="1">
      <c r="A73" s="665">
        <v>60</v>
      </c>
      <c r="B73" s="670" t="s">
        <v>236</v>
      </c>
      <c r="C73" s="668"/>
      <c r="D73" s="629"/>
      <c r="E73" s="629"/>
      <c r="F73" s="629"/>
      <c r="G73" s="629"/>
      <c r="H73" s="629"/>
      <c r="I73" s="629"/>
      <c r="J73" s="629"/>
      <c r="K73" s="629"/>
      <c r="L73" s="629"/>
      <c r="M73" s="629"/>
      <c r="N73" s="629"/>
      <c r="O73" s="629"/>
      <c r="P73" s="629"/>
      <c r="Q73" s="629"/>
      <c r="R73" s="629"/>
      <c r="S73" s="629"/>
      <c r="T73" s="629"/>
      <c r="AA73" s="105"/>
      <c r="AD73" s="14"/>
      <c r="AE73" s="14"/>
    </row>
    <row r="74" spans="1:35" s="20" customFormat="1">
      <c r="A74" s="665">
        <v>61</v>
      </c>
      <c r="B74" s="670" t="s">
        <v>247</v>
      </c>
      <c r="C74" s="668"/>
      <c r="D74" s="629"/>
      <c r="E74" s="629"/>
      <c r="F74" s="629"/>
      <c r="G74" s="629"/>
      <c r="H74" s="629"/>
      <c r="I74" s="629"/>
      <c r="J74" s="629"/>
      <c r="K74" s="629"/>
      <c r="L74" s="629"/>
      <c r="M74" s="629">
        <f>+'Adj 3.09'!C74</f>
        <v>-88</v>
      </c>
      <c r="N74" s="629"/>
      <c r="O74" s="629"/>
      <c r="P74" s="629"/>
      <c r="Q74" s="629"/>
      <c r="R74" s="629"/>
      <c r="S74" s="629"/>
      <c r="T74" s="629"/>
      <c r="AA74" s="105"/>
      <c r="AD74" s="14"/>
      <c r="AE74" s="14"/>
    </row>
    <row r="75" spans="1:35" s="20" customFormat="1">
      <c r="A75" s="661">
        <v>62</v>
      </c>
      <c r="B75" s="670" t="s">
        <v>248</v>
      </c>
      <c r="C75" s="672">
        <f>SUM(D75:T75)</f>
        <v>-121</v>
      </c>
      <c r="D75" s="553"/>
      <c r="E75" s="553">
        <v>0</v>
      </c>
      <c r="F75" s="553"/>
      <c r="G75" s="553"/>
      <c r="H75" s="553"/>
      <c r="I75" s="553"/>
      <c r="J75" s="553">
        <v>0</v>
      </c>
      <c r="K75" s="553">
        <v>0</v>
      </c>
      <c r="L75" s="553">
        <f>+'Adj 3.08'!C75</f>
        <v>-102</v>
      </c>
      <c r="M75" s="553">
        <f>+'Adj 3.09'!C75</f>
        <v>-19</v>
      </c>
      <c r="N75" s="553">
        <v>0</v>
      </c>
      <c r="O75" s="553">
        <v>0</v>
      </c>
      <c r="P75" s="553"/>
      <c r="Q75" s="553"/>
      <c r="R75" s="553"/>
      <c r="S75" s="553"/>
      <c r="T75" s="553"/>
      <c r="AA75" s="107"/>
      <c r="AD75" s="14"/>
      <c r="AE75" s="14"/>
    </row>
    <row r="76" spans="1:35" s="20" customFormat="1">
      <c r="A76" s="665">
        <v>63</v>
      </c>
      <c r="B76" s="670"/>
      <c r="C76" s="668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/>
      <c r="P76" s="629"/>
      <c r="Q76" s="629"/>
      <c r="R76" s="629"/>
      <c r="S76" s="629"/>
      <c r="T76" s="629"/>
      <c r="AD76" s="14"/>
      <c r="AE76" s="14"/>
      <c r="AF76" s="15"/>
      <c r="AG76" s="15"/>
      <c r="AH76" s="15"/>
      <c r="AI76" s="15"/>
    </row>
    <row r="77" spans="1:35" s="15" customFormat="1" ht="13.5" thickBot="1">
      <c r="A77" s="665">
        <v>64</v>
      </c>
      <c r="B77" s="680" t="s">
        <v>74</v>
      </c>
      <c r="C77" s="702">
        <f>SUM(D77:T77)</f>
        <v>4346</v>
      </c>
      <c r="D77" s="701">
        <f>D67+D70+D71+D75</f>
        <v>0</v>
      </c>
      <c r="E77" s="701">
        <f t="shared" ref="E77:T77" si="40">E67-E70+E71+E75</f>
        <v>0</v>
      </c>
      <c r="F77" s="701">
        <f t="shared" si="40"/>
        <v>0</v>
      </c>
      <c r="G77" s="701">
        <f t="shared" si="40"/>
        <v>0</v>
      </c>
      <c r="H77" s="701">
        <f t="shared" si="40"/>
        <v>0</v>
      </c>
      <c r="I77" s="701">
        <f t="shared" si="40"/>
        <v>0</v>
      </c>
      <c r="J77" s="701">
        <f t="shared" si="40"/>
        <v>0</v>
      </c>
      <c r="K77" s="701">
        <f t="shared" si="40"/>
        <v>0</v>
      </c>
      <c r="L77" s="701">
        <f t="shared" si="40"/>
        <v>5173</v>
      </c>
      <c r="M77" s="701">
        <f t="shared" si="40"/>
        <v>-827</v>
      </c>
      <c r="N77" s="701">
        <f t="shared" si="40"/>
        <v>0</v>
      </c>
      <c r="O77" s="701">
        <f t="shared" si="40"/>
        <v>0</v>
      </c>
      <c r="P77" s="701">
        <f t="shared" si="40"/>
        <v>0</v>
      </c>
      <c r="Q77" s="701">
        <f t="shared" si="40"/>
        <v>0</v>
      </c>
      <c r="R77" s="701">
        <f t="shared" si="40"/>
        <v>0</v>
      </c>
      <c r="S77" s="701">
        <f t="shared" si="40"/>
        <v>0</v>
      </c>
      <c r="T77" s="701">
        <f t="shared" si="40"/>
        <v>0</v>
      </c>
      <c r="AA77" s="112"/>
      <c r="AD77" s="14"/>
      <c r="AE77" s="14"/>
      <c r="AF77" s="14"/>
      <c r="AG77" s="14"/>
      <c r="AH77" s="14"/>
      <c r="AI77" s="14"/>
    </row>
    <row r="78" spans="1:35" ht="13.5" thickTop="1">
      <c r="B78" s="83"/>
      <c r="C78" s="41"/>
    </row>
    <row r="79" spans="1:35">
      <c r="A79" s="84"/>
      <c r="B79" s="38"/>
      <c r="C79" s="85"/>
      <c r="D79" s="587"/>
      <c r="E79" s="57"/>
      <c r="F79" s="587"/>
      <c r="G79" s="587"/>
      <c r="H79" s="587"/>
      <c r="I79" s="57"/>
      <c r="J79" s="587"/>
      <c r="K79" s="587"/>
      <c r="L79" s="587"/>
      <c r="M79" s="587"/>
      <c r="N79" s="57"/>
      <c r="O79" s="57"/>
      <c r="P79" s="57"/>
      <c r="Q79" s="57"/>
    </row>
    <row r="80" spans="1:35">
      <c r="A80" s="89"/>
      <c r="B80" s="86"/>
      <c r="C80" s="88"/>
    </row>
    <row r="81" spans="1:20">
      <c r="A81" s="89">
        <v>1</v>
      </c>
      <c r="B81" s="392" t="s">
        <v>116</v>
      </c>
      <c r="C81" s="90"/>
      <c r="R81" s="74"/>
      <c r="S81" s="586"/>
      <c r="T81" s="74"/>
    </row>
    <row r="82" spans="1:20">
      <c r="A82" s="89">
        <v>2</v>
      </c>
      <c r="B82" s="87" t="s">
        <v>117</v>
      </c>
      <c r="C82" s="114">
        <f>SUM(D82:T82)</f>
        <v>-139736</v>
      </c>
      <c r="D82" s="600">
        <f t="shared" ref="D82:T82" si="41">+D21</f>
        <v>-139674</v>
      </c>
      <c r="E82" s="114">
        <f t="shared" si="41"/>
        <v>-62</v>
      </c>
      <c r="F82" s="600">
        <f t="shared" si="41"/>
        <v>0</v>
      </c>
      <c r="G82" s="600">
        <f t="shared" si="41"/>
        <v>0</v>
      </c>
      <c r="H82" s="600">
        <f t="shared" si="41"/>
        <v>0</v>
      </c>
      <c r="I82" s="114">
        <f t="shared" si="41"/>
        <v>0</v>
      </c>
      <c r="J82" s="600">
        <f t="shared" si="41"/>
        <v>0</v>
      </c>
      <c r="K82" s="600">
        <f t="shared" si="41"/>
        <v>0</v>
      </c>
      <c r="L82" s="600">
        <f t="shared" si="41"/>
        <v>0</v>
      </c>
      <c r="M82" s="600">
        <f t="shared" si="41"/>
        <v>0</v>
      </c>
      <c r="N82" s="114">
        <f t="shared" si="41"/>
        <v>0</v>
      </c>
      <c r="O82" s="114">
        <f t="shared" si="41"/>
        <v>0</v>
      </c>
      <c r="P82" s="114">
        <f t="shared" si="41"/>
        <v>0</v>
      </c>
      <c r="Q82" s="114">
        <f t="shared" si="41"/>
        <v>0</v>
      </c>
      <c r="R82" s="114">
        <f t="shared" si="41"/>
        <v>0</v>
      </c>
      <c r="S82" s="600">
        <f t="shared" si="41"/>
        <v>0</v>
      </c>
      <c r="T82" s="114">
        <f t="shared" si="41"/>
        <v>0</v>
      </c>
    </row>
    <row r="83" spans="1:20">
      <c r="A83" s="89">
        <v>3</v>
      </c>
      <c r="B83" s="87" t="s">
        <v>118</v>
      </c>
      <c r="C83" s="82">
        <f>SUM(D83:T83)</f>
        <v>133876</v>
      </c>
      <c r="D83" s="588">
        <f t="shared" ref="D83:T83" si="42">-D47</f>
        <v>136731</v>
      </c>
      <c r="E83" s="82">
        <f t="shared" si="42"/>
        <v>-747</v>
      </c>
      <c r="F83" s="588">
        <f t="shared" si="42"/>
        <v>-1498</v>
      </c>
      <c r="G83" s="588">
        <f t="shared" si="42"/>
        <v>680</v>
      </c>
      <c r="H83" s="588">
        <f t="shared" si="42"/>
        <v>-3299</v>
      </c>
      <c r="I83" s="82">
        <f t="shared" si="42"/>
        <v>102</v>
      </c>
      <c r="J83" s="588">
        <f t="shared" si="42"/>
        <v>-44</v>
      </c>
      <c r="K83" s="588">
        <f t="shared" si="42"/>
        <v>0</v>
      </c>
      <c r="L83" s="588">
        <f t="shared" si="42"/>
        <v>-109</v>
      </c>
      <c r="M83" s="588">
        <f t="shared" si="42"/>
        <v>0</v>
      </c>
      <c r="N83" s="82">
        <f t="shared" si="42"/>
        <v>0</v>
      </c>
      <c r="O83" s="82">
        <f t="shared" si="42"/>
        <v>0</v>
      </c>
      <c r="P83" s="82">
        <f t="shared" si="42"/>
        <v>0</v>
      </c>
      <c r="Q83" s="82">
        <f t="shared" si="42"/>
        <v>0</v>
      </c>
      <c r="R83" s="82">
        <f t="shared" si="42"/>
        <v>0</v>
      </c>
      <c r="S83" s="588">
        <f t="shared" si="42"/>
        <v>2060</v>
      </c>
      <c r="T83" s="82">
        <f t="shared" si="42"/>
        <v>0</v>
      </c>
    </row>
    <row r="84" spans="1:20">
      <c r="A84" s="89">
        <v>4</v>
      </c>
      <c r="B84" s="87" t="s">
        <v>134</v>
      </c>
      <c r="C84" s="82">
        <f>SUM(D84:O84)</f>
        <v>0</v>
      </c>
      <c r="D84" s="581"/>
      <c r="E84" s="23"/>
      <c r="F84" s="581"/>
      <c r="G84" s="581"/>
      <c r="H84" s="581"/>
      <c r="I84" s="23"/>
      <c r="J84" s="581"/>
      <c r="K84" s="581"/>
      <c r="L84" s="581"/>
      <c r="M84" s="581"/>
      <c r="N84" s="23"/>
      <c r="O84" s="23"/>
      <c r="P84" s="23"/>
      <c r="Q84" s="23"/>
      <c r="R84" s="23"/>
      <c r="S84" s="581"/>
      <c r="T84" s="23"/>
    </row>
    <row r="85" spans="1:20">
      <c r="A85" s="89">
        <v>5</v>
      </c>
      <c r="B85" s="405" t="s">
        <v>119</v>
      </c>
      <c r="C85" s="27">
        <f>SUM(D85:T85)</f>
        <v>-5860</v>
      </c>
      <c r="D85" s="589">
        <f t="shared" ref="D85:N85" si="43">SUM(D82:D84)</f>
        <v>-2943</v>
      </c>
      <c r="E85" s="27">
        <f t="shared" si="43"/>
        <v>-809</v>
      </c>
      <c r="F85" s="589">
        <f t="shared" ref="F85" si="44">SUM(F82:F84)</f>
        <v>-1498</v>
      </c>
      <c r="G85" s="589">
        <f t="shared" si="43"/>
        <v>680</v>
      </c>
      <c r="H85" s="589">
        <f t="shared" si="43"/>
        <v>-3299</v>
      </c>
      <c r="I85" s="27">
        <f t="shared" si="43"/>
        <v>102</v>
      </c>
      <c r="J85" s="589">
        <f t="shared" si="43"/>
        <v>-44</v>
      </c>
      <c r="K85" s="589">
        <f t="shared" si="43"/>
        <v>0</v>
      </c>
      <c r="L85" s="589">
        <f>SUM(L82:L84)</f>
        <v>-109</v>
      </c>
      <c r="M85" s="589">
        <f>SUM(M82:M84)</f>
        <v>0</v>
      </c>
      <c r="N85" s="27">
        <f t="shared" si="43"/>
        <v>0</v>
      </c>
      <c r="O85" s="27">
        <f t="shared" ref="O85" si="45">SUM(O82:O84)</f>
        <v>0</v>
      </c>
      <c r="P85" s="27">
        <f t="shared" ref="P85" si="46">SUM(P82:P84)</f>
        <v>0</v>
      </c>
      <c r="Q85" s="27">
        <f t="shared" ref="Q85" si="47">SUM(Q82:Q84)</f>
        <v>0</v>
      </c>
      <c r="R85" s="27">
        <f t="shared" ref="R85:T85" si="48">SUM(R82:R84)</f>
        <v>0</v>
      </c>
      <c r="S85" s="589">
        <f t="shared" si="48"/>
        <v>2060</v>
      </c>
      <c r="T85" s="27">
        <f t="shared" si="48"/>
        <v>0</v>
      </c>
    </row>
    <row r="86" spans="1:20">
      <c r="A86" s="89">
        <v>6</v>
      </c>
      <c r="B86" s="86"/>
      <c r="C86" s="28"/>
      <c r="D86" s="590"/>
      <c r="E86" s="80"/>
      <c r="F86" s="590"/>
      <c r="G86" s="590"/>
      <c r="H86" s="590"/>
      <c r="I86" s="80"/>
      <c r="J86" s="590"/>
      <c r="K86" s="590"/>
      <c r="L86" s="590"/>
      <c r="M86" s="590"/>
      <c r="N86" s="80"/>
      <c r="O86" s="80"/>
      <c r="P86" s="80"/>
      <c r="Q86" s="80"/>
      <c r="R86" s="80"/>
      <c r="S86" s="590"/>
      <c r="T86" s="80"/>
    </row>
    <row r="87" spans="1:20">
      <c r="A87" s="89">
        <v>7</v>
      </c>
      <c r="B87" s="86" t="s">
        <v>120</v>
      </c>
      <c r="C87" s="92"/>
      <c r="D87" s="590"/>
      <c r="E87" s="80"/>
      <c r="F87" s="590"/>
      <c r="G87" s="590"/>
      <c r="H87" s="590"/>
      <c r="I87" s="80"/>
      <c r="J87" s="590"/>
      <c r="K87" s="590"/>
      <c r="L87" s="590"/>
      <c r="M87" s="590"/>
      <c r="N87" s="80"/>
      <c r="O87" s="80"/>
      <c r="P87" s="80"/>
      <c r="Q87" s="80"/>
      <c r="R87" s="80"/>
      <c r="S87" s="590"/>
      <c r="T87" s="80"/>
    </row>
    <row r="88" spans="1:20">
      <c r="A88" s="89">
        <v>8</v>
      </c>
      <c r="B88" s="404" t="s">
        <v>121</v>
      </c>
      <c r="C88" s="92">
        <f>SUM(D88:P88)</f>
        <v>0</v>
      </c>
      <c r="D88" s="590"/>
      <c r="E88" s="80"/>
      <c r="F88" s="590"/>
      <c r="G88" s="590"/>
      <c r="H88" s="590"/>
      <c r="I88" s="80"/>
      <c r="J88" s="590"/>
      <c r="K88" s="590"/>
      <c r="L88" s="590"/>
      <c r="M88" s="590"/>
      <c r="N88" s="80"/>
      <c r="O88" s="80"/>
      <c r="P88" s="80"/>
      <c r="Q88" s="80"/>
      <c r="R88" s="80"/>
      <c r="S88" s="590"/>
      <c r="T88" s="80"/>
    </row>
    <row r="89" spans="1:20">
      <c r="A89" s="89">
        <v>9</v>
      </c>
      <c r="B89" s="404" t="s">
        <v>130</v>
      </c>
      <c r="C89" s="92">
        <f>SUM(D89:P89)</f>
        <v>0</v>
      </c>
      <c r="D89" s="590"/>
      <c r="E89" s="80"/>
      <c r="F89" s="590"/>
      <c r="G89" s="590"/>
      <c r="H89" s="590"/>
      <c r="I89" s="80"/>
      <c r="J89" s="590"/>
      <c r="K89" s="590"/>
      <c r="L89" s="590"/>
      <c r="M89" s="590"/>
      <c r="N89" s="80"/>
      <c r="O89" s="80"/>
      <c r="P89" s="80"/>
      <c r="Q89" s="80"/>
      <c r="R89" s="80"/>
      <c r="S89" s="590"/>
      <c r="T89" s="80"/>
    </row>
    <row r="90" spans="1:20">
      <c r="A90" s="89">
        <v>10</v>
      </c>
      <c r="B90" s="404" t="s">
        <v>122</v>
      </c>
      <c r="C90" s="92">
        <f>SUM(D90:P90)</f>
        <v>0</v>
      </c>
      <c r="D90" s="590"/>
      <c r="E90" s="80"/>
      <c r="F90" s="590"/>
      <c r="G90" s="590"/>
      <c r="H90" s="590"/>
      <c r="I90" s="80"/>
      <c r="J90" s="590"/>
      <c r="K90" s="590"/>
      <c r="L90" s="590"/>
      <c r="M90" s="590"/>
      <c r="N90" s="80"/>
      <c r="O90" s="80"/>
      <c r="P90" s="80"/>
      <c r="Q90" s="80"/>
      <c r="R90" s="80"/>
      <c r="S90" s="590"/>
      <c r="T90" s="80"/>
    </row>
    <row r="91" spans="1:20">
      <c r="A91" s="89">
        <v>11</v>
      </c>
      <c r="B91" s="86"/>
      <c r="C91" s="82"/>
      <c r="D91" s="590"/>
      <c r="E91" s="80"/>
      <c r="F91" s="590"/>
      <c r="G91" s="590"/>
      <c r="H91" s="590"/>
      <c r="I91" s="80"/>
      <c r="J91" s="590"/>
      <c r="K91" s="590"/>
      <c r="L91" s="590"/>
      <c r="M91" s="590"/>
      <c r="N91" s="80"/>
      <c r="O91" s="80"/>
      <c r="P91" s="80"/>
      <c r="Q91" s="80"/>
      <c r="R91" s="80"/>
      <c r="S91" s="590"/>
      <c r="T91" s="80"/>
    </row>
    <row r="92" spans="1:20">
      <c r="A92" s="89">
        <v>12</v>
      </c>
      <c r="B92" s="406" t="s">
        <v>278</v>
      </c>
      <c r="C92" s="27">
        <f>SUM(D92:P92)</f>
        <v>0</v>
      </c>
      <c r="D92" s="589">
        <f t="shared" ref="D92:N92" si="49">SUM(D88:D90)</f>
        <v>0</v>
      </c>
      <c r="E92" s="27">
        <f t="shared" si="49"/>
        <v>0</v>
      </c>
      <c r="F92" s="589">
        <f t="shared" ref="F92" si="50">SUM(F88:F90)</f>
        <v>0</v>
      </c>
      <c r="G92" s="589">
        <f t="shared" si="49"/>
        <v>0</v>
      </c>
      <c r="H92" s="589">
        <f t="shared" si="49"/>
        <v>0</v>
      </c>
      <c r="I92" s="27">
        <f t="shared" si="49"/>
        <v>0</v>
      </c>
      <c r="J92" s="589">
        <f t="shared" si="49"/>
        <v>0</v>
      </c>
      <c r="K92" s="589">
        <f t="shared" si="49"/>
        <v>0</v>
      </c>
      <c r="L92" s="589">
        <f>SUM(L88:L90)</f>
        <v>0</v>
      </c>
      <c r="M92" s="589">
        <f>SUM(M88:M90)</f>
        <v>0</v>
      </c>
      <c r="N92" s="27">
        <f t="shared" si="49"/>
        <v>0</v>
      </c>
      <c r="O92" s="27">
        <f t="shared" ref="O92" si="51">SUM(O88:O90)</f>
        <v>0</v>
      </c>
      <c r="P92" s="27">
        <f t="shared" ref="P92" si="52">SUM(P88:P90)</f>
        <v>0</v>
      </c>
      <c r="Q92" s="27">
        <f t="shared" ref="Q92" si="53">SUM(Q88:Q90)</f>
        <v>0</v>
      </c>
      <c r="R92" s="27">
        <f t="shared" ref="R92:T92" si="54">SUM(R88:R90)</f>
        <v>0</v>
      </c>
      <c r="S92" s="589">
        <f t="shared" si="54"/>
        <v>0</v>
      </c>
      <c r="T92" s="27">
        <f t="shared" si="54"/>
        <v>0</v>
      </c>
    </row>
    <row r="93" spans="1:20">
      <c r="A93" s="89">
        <v>13</v>
      </c>
      <c r="B93" s="86"/>
      <c r="C93" s="28"/>
      <c r="D93" s="590"/>
      <c r="E93" s="80"/>
      <c r="F93" s="590"/>
      <c r="G93" s="590"/>
      <c r="H93" s="590"/>
      <c r="I93" s="80"/>
      <c r="J93" s="590"/>
      <c r="K93" s="590"/>
      <c r="L93" s="590"/>
      <c r="M93" s="590"/>
      <c r="N93" s="80"/>
      <c r="O93" s="80"/>
      <c r="P93" s="80"/>
      <c r="Q93" s="80"/>
      <c r="R93" s="80"/>
      <c r="S93" s="590"/>
      <c r="T93" s="80"/>
    </row>
    <row r="94" spans="1:20">
      <c r="A94" s="89">
        <v>14</v>
      </c>
      <c r="B94" s="86" t="s">
        <v>124</v>
      </c>
      <c r="C94" s="92"/>
      <c r="D94" s="590"/>
      <c r="E94" s="80"/>
      <c r="F94" s="590"/>
      <c r="G94" s="590"/>
      <c r="H94" s="590"/>
      <c r="I94" s="80"/>
      <c r="J94" s="590"/>
      <c r="K94" s="590"/>
      <c r="L94" s="590"/>
      <c r="M94" s="590"/>
      <c r="N94" s="80"/>
      <c r="O94" s="80"/>
      <c r="P94" s="80"/>
      <c r="Q94" s="80"/>
      <c r="R94" s="80"/>
      <c r="S94" s="590"/>
      <c r="T94" s="80"/>
    </row>
    <row r="95" spans="1:20">
      <c r="A95" s="89">
        <v>15</v>
      </c>
      <c r="B95" s="404" t="s">
        <v>178</v>
      </c>
      <c r="C95" s="92">
        <f>SUM(D95:P95)</f>
        <v>0</v>
      </c>
      <c r="D95" s="590"/>
      <c r="E95" s="80"/>
      <c r="F95" s="590"/>
      <c r="G95" s="590"/>
      <c r="H95" s="590"/>
      <c r="I95" s="80"/>
      <c r="J95" s="590"/>
      <c r="K95" s="590"/>
      <c r="L95" s="590"/>
      <c r="M95" s="590"/>
      <c r="N95" s="80"/>
      <c r="O95" s="80"/>
      <c r="P95" s="80"/>
      <c r="Q95" s="80"/>
      <c r="R95" s="80"/>
      <c r="S95" s="590"/>
      <c r="T95" s="80"/>
    </row>
    <row r="96" spans="1:20">
      <c r="A96" s="89">
        <v>16</v>
      </c>
      <c r="B96" s="404" t="s">
        <v>133</v>
      </c>
      <c r="C96" s="92">
        <f>SUM(D96:P96)</f>
        <v>0</v>
      </c>
      <c r="D96" s="590"/>
      <c r="E96" s="80"/>
      <c r="F96" s="590"/>
      <c r="G96" s="590"/>
      <c r="H96" s="590"/>
      <c r="I96" s="80"/>
      <c r="J96" s="590"/>
      <c r="K96" s="590"/>
      <c r="L96" s="590"/>
      <c r="M96" s="590"/>
      <c r="N96" s="80"/>
      <c r="O96" s="80"/>
      <c r="P96" s="80"/>
      <c r="Q96" s="80"/>
      <c r="R96" s="80"/>
      <c r="S96" s="590"/>
      <c r="T96" s="80"/>
    </row>
    <row r="97" spans="1:20">
      <c r="A97" s="89">
        <v>17</v>
      </c>
      <c r="B97" s="404" t="s">
        <v>122</v>
      </c>
      <c r="C97" s="92">
        <f>SUM(D97:P97)</f>
        <v>0</v>
      </c>
      <c r="D97" s="590"/>
      <c r="E97" s="80"/>
      <c r="F97" s="590"/>
      <c r="G97" s="590"/>
      <c r="H97" s="590"/>
      <c r="I97" s="80"/>
      <c r="J97" s="590"/>
      <c r="K97" s="590"/>
      <c r="L97" s="590"/>
      <c r="M97" s="590"/>
      <c r="N97" s="80"/>
      <c r="O97" s="80"/>
      <c r="P97" s="80"/>
      <c r="Q97" s="80"/>
      <c r="R97" s="80"/>
      <c r="S97" s="590"/>
      <c r="T97" s="80"/>
    </row>
    <row r="98" spans="1:20">
      <c r="A98" s="89">
        <v>18</v>
      </c>
      <c r="B98" s="406" t="s">
        <v>279</v>
      </c>
      <c r="C98" s="27">
        <f>SUM(D98:P98)</f>
        <v>0</v>
      </c>
      <c r="D98" s="589">
        <f t="shared" ref="D98:N98" si="55">SUM(D95:D97)</f>
        <v>0</v>
      </c>
      <c r="E98" s="27">
        <f t="shared" si="55"/>
        <v>0</v>
      </c>
      <c r="F98" s="589">
        <f t="shared" ref="F98" si="56">SUM(F95:F97)</f>
        <v>0</v>
      </c>
      <c r="G98" s="589">
        <f t="shared" si="55"/>
        <v>0</v>
      </c>
      <c r="H98" s="589">
        <f t="shared" si="55"/>
        <v>0</v>
      </c>
      <c r="I98" s="27">
        <f t="shared" si="55"/>
        <v>0</v>
      </c>
      <c r="J98" s="589">
        <f t="shared" si="55"/>
        <v>0</v>
      </c>
      <c r="K98" s="589">
        <f t="shared" si="55"/>
        <v>0</v>
      </c>
      <c r="L98" s="589">
        <f>SUM(L95:L97)</f>
        <v>0</v>
      </c>
      <c r="M98" s="589">
        <f>SUM(M95:M97)</f>
        <v>0</v>
      </c>
      <c r="N98" s="27">
        <f t="shared" si="55"/>
        <v>0</v>
      </c>
      <c r="O98" s="27">
        <f t="shared" ref="O98" si="57">SUM(O95:O97)</f>
        <v>0</v>
      </c>
      <c r="P98" s="27">
        <f t="shared" ref="P98" si="58">SUM(P95:P97)</f>
        <v>0</v>
      </c>
      <c r="Q98" s="27">
        <f t="shared" ref="Q98" si="59">SUM(Q95:Q97)</f>
        <v>0</v>
      </c>
      <c r="R98" s="27">
        <f t="shared" ref="R98:T98" si="60">SUM(R95:R97)</f>
        <v>0</v>
      </c>
      <c r="S98" s="589">
        <f t="shared" si="60"/>
        <v>0</v>
      </c>
      <c r="T98" s="27">
        <f t="shared" si="60"/>
        <v>0</v>
      </c>
    </row>
    <row r="99" spans="1:20">
      <c r="A99" s="89">
        <v>19</v>
      </c>
      <c r="B99" s="86"/>
      <c r="C99" s="93">
        <f>SUM(D99:P99)</f>
        <v>0</v>
      </c>
      <c r="D99" s="590"/>
      <c r="E99" s="80"/>
      <c r="F99" s="590"/>
      <c r="G99" s="590"/>
      <c r="H99" s="590"/>
      <c r="I99" s="80"/>
      <c r="J99" s="590"/>
      <c r="K99" s="590"/>
      <c r="L99" s="590"/>
      <c r="M99" s="590"/>
      <c r="N99" s="80"/>
      <c r="O99" s="80"/>
      <c r="P99" s="80"/>
      <c r="Q99" s="80"/>
      <c r="R99" s="80"/>
      <c r="S99" s="590"/>
      <c r="T99" s="80"/>
    </row>
    <row r="100" spans="1:20">
      <c r="A100" s="89">
        <v>20</v>
      </c>
      <c r="B100" s="87" t="s">
        <v>268</v>
      </c>
      <c r="C100" s="28">
        <f>+C85+C92-C98</f>
        <v>-5860</v>
      </c>
      <c r="D100" s="584">
        <f>+D85+D92-D98</f>
        <v>-2943</v>
      </c>
      <c r="E100" s="28">
        <f t="shared" ref="E100:N100" si="61">+E82+E83+E84+E92-E98</f>
        <v>-809</v>
      </c>
      <c r="F100" s="584">
        <f t="shared" ref="F100" si="62">+F82+F83+F84+F92-F98</f>
        <v>-1498</v>
      </c>
      <c r="G100" s="584">
        <f t="shared" si="61"/>
        <v>680</v>
      </c>
      <c r="H100" s="584">
        <f t="shared" si="61"/>
        <v>-3299</v>
      </c>
      <c r="I100" s="28">
        <f t="shared" si="61"/>
        <v>102</v>
      </c>
      <c r="J100" s="584">
        <f t="shared" si="61"/>
        <v>-44</v>
      </c>
      <c r="K100" s="584">
        <f t="shared" si="61"/>
        <v>0</v>
      </c>
      <c r="L100" s="584">
        <f>+L82+L83+L84+L92-L98</f>
        <v>-109</v>
      </c>
      <c r="M100" s="584">
        <f>+M82+M83+M84+M92-M98</f>
        <v>0</v>
      </c>
      <c r="N100" s="28">
        <f t="shared" si="61"/>
        <v>0</v>
      </c>
      <c r="O100" s="28">
        <f t="shared" ref="O100" si="63">+O82+O83+O84+O92-O98</f>
        <v>0</v>
      </c>
      <c r="P100" s="28">
        <f t="shared" ref="P100" si="64">+P82+P83+P84+P92-P98</f>
        <v>0</v>
      </c>
      <c r="Q100" s="28">
        <f t="shared" ref="Q100" si="65">+Q82+Q83+Q84+Q92-Q98</f>
        <v>0</v>
      </c>
      <c r="R100" s="28">
        <f t="shared" ref="R100:T100" si="66">+R82+R83+R84+R92-R98</f>
        <v>0</v>
      </c>
      <c r="S100" s="584">
        <f t="shared" si="66"/>
        <v>2060</v>
      </c>
      <c r="T100" s="28">
        <f t="shared" si="66"/>
        <v>0</v>
      </c>
    </row>
    <row r="101" spans="1:20">
      <c r="A101" s="89">
        <v>21</v>
      </c>
      <c r="B101" s="404" t="s">
        <v>280</v>
      </c>
      <c r="C101" s="94">
        <v>0.35</v>
      </c>
      <c r="D101" s="591">
        <f>+C101</f>
        <v>0.35</v>
      </c>
      <c r="E101" s="94">
        <f t="shared" ref="E101:J101" si="67">+D101</f>
        <v>0.35</v>
      </c>
      <c r="F101" s="591">
        <f>+D101</f>
        <v>0.35</v>
      </c>
      <c r="G101" s="591">
        <f>+E101</f>
        <v>0.35</v>
      </c>
      <c r="H101" s="591">
        <f t="shared" si="67"/>
        <v>0.35</v>
      </c>
      <c r="I101" s="94">
        <f t="shared" si="67"/>
        <v>0.35</v>
      </c>
      <c r="J101" s="591">
        <f t="shared" si="67"/>
        <v>0.35</v>
      </c>
      <c r="K101" s="591">
        <f>+J101</f>
        <v>0.35</v>
      </c>
      <c r="L101" s="591">
        <f>+J101</f>
        <v>0.35</v>
      </c>
      <c r="M101" s="591">
        <v>0.35</v>
      </c>
      <c r="N101" s="94">
        <f>+J101</f>
        <v>0.35</v>
      </c>
      <c r="O101" s="94">
        <f>+H101</f>
        <v>0.35</v>
      </c>
      <c r="P101" s="94">
        <f>+I101</f>
        <v>0.35</v>
      </c>
      <c r="Q101" s="94">
        <f>+J101</f>
        <v>0.35</v>
      </c>
      <c r="R101" s="94">
        <f>+K101</f>
        <v>0.35</v>
      </c>
      <c r="S101" s="591">
        <f>+N101</f>
        <v>0.35</v>
      </c>
      <c r="T101" s="94">
        <f>+O101</f>
        <v>0.35</v>
      </c>
    </row>
    <row r="102" spans="1:20">
      <c r="A102" s="89">
        <v>22</v>
      </c>
      <c r="B102" s="404" t="s">
        <v>127</v>
      </c>
      <c r="C102" s="93">
        <f>SUM(D102:P102)</f>
        <v>-2772</v>
      </c>
      <c r="D102" s="592">
        <f t="shared" ref="D102:N102" si="68">D100*D101</f>
        <v>-1030.05</v>
      </c>
      <c r="E102" s="93">
        <f t="shared" si="68"/>
        <v>-283.14999999999998</v>
      </c>
      <c r="F102" s="592">
        <f t="shared" ref="F102" si="69">F100*F101</f>
        <v>-524.29999999999995</v>
      </c>
      <c r="G102" s="592">
        <f t="shared" si="68"/>
        <v>237.99999999999997</v>
      </c>
      <c r="H102" s="592">
        <f t="shared" si="68"/>
        <v>-1154.6499999999999</v>
      </c>
      <c r="I102" s="93">
        <f t="shared" si="68"/>
        <v>35.699999999999996</v>
      </c>
      <c r="J102" s="592">
        <f t="shared" si="68"/>
        <v>-15.399999999999999</v>
      </c>
      <c r="K102" s="592"/>
      <c r="L102" s="592">
        <f>L100*L101</f>
        <v>-38.15</v>
      </c>
      <c r="M102" s="592">
        <f>M100*M101</f>
        <v>0</v>
      </c>
      <c r="N102" s="93">
        <f t="shared" si="68"/>
        <v>0</v>
      </c>
      <c r="O102" s="93">
        <f t="shared" ref="O102" si="70">O100*O101</f>
        <v>0</v>
      </c>
      <c r="P102" s="93">
        <f t="shared" ref="P102" si="71">P100*P101</f>
        <v>0</v>
      </c>
      <c r="Q102" s="93">
        <f t="shared" ref="Q102" si="72">Q100*Q101</f>
        <v>0</v>
      </c>
      <c r="R102" s="93">
        <f t="shared" ref="R102:T102" si="73">R100*R101</f>
        <v>0</v>
      </c>
      <c r="S102" s="592">
        <f t="shared" si="73"/>
        <v>721</v>
      </c>
      <c r="T102" s="93">
        <f t="shared" si="73"/>
        <v>0</v>
      </c>
    </row>
    <row r="103" spans="1:20">
      <c r="A103" s="89">
        <v>23</v>
      </c>
      <c r="B103" s="404" t="s">
        <v>128</v>
      </c>
      <c r="C103" s="80">
        <f>SUM(D103:P103)</f>
        <v>0</v>
      </c>
      <c r="D103" s="590">
        <f>+(D95-D88+D96)*D101</f>
        <v>0</v>
      </c>
      <c r="E103" s="80">
        <f t="shared" ref="E103:N103" si="74">+(E95-E88+E96)*E101</f>
        <v>0</v>
      </c>
      <c r="F103" s="590">
        <f t="shared" ref="F103" si="75">+(F95-F88+F96)*F101</f>
        <v>0</v>
      </c>
      <c r="G103" s="590">
        <f t="shared" si="74"/>
        <v>0</v>
      </c>
      <c r="H103" s="590">
        <f t="shared" si="74"/>
        <v>0</v>
      </c>
      <c r="I103" s="80">
        <f t="shared" si="74"/>
        <v>0</v>
      </c>
      <c r="J103" s="590">
        <f t="shared" si="74"/>
        <v>0</v>
      </c>
      <c r="K103" s="590">
        <f>+K100*K101</f>
        <v>0</v>
      </c>
      <c r="L103" s="590">
        <f>+(L95-L88+L96)*L101</f>
        <v>0</v>
      </c>
      <c r="M103" s="590">
        <f>+(M95-M88+M96)*M101</f>
        <v>0</v>
      </c>
      <c r="N103" s="80">
        <f t="shared" si="74"/>
        <v>0</v>
      </c>
      <c r="O103" s="80">
        <f t="shared" ref="O103" si="76">+(O95-O88+O96)*O101</f>
        <v>0</v>
      </c>
      <c r="P103" s="80">
        <f t="shared" ref="P103" si="77">+(P95-P88+P96)*P101</f>
        <v>0</v>
      </c>
      <c r="Q103" s="80">
        <f t="shared" ref="Q103" si="78">+(Q95-Q88+Q96)*Q101</f>
        <v>0</v>
      </c>
      <c r="R103" s="80">
        <f t="shared" ref="R103:T103" si="79">+(R95-R88+R96)*R101</f>
        <v>0</v>
      </c>
      <c r="S103" s="590">
        <f t="shared" si="79"/>
        <v>0</v>
      </c>
      <c r="T103" s="80">
        <f t="shared" si="79"/>
        <v>0</v>
      </c>
    </row>
    <row r="104" spans="1:20" ht="13.5" thickBot="1">
      <c r="A104" s="89">
        <v>24</v>
      </c>
      <c r="B104" s="95" t="s">
        <v>129</v>
      </c>
      <c r="C104" s="96">
        <f>ROUNDUP(+C102+C103,0)</f>
        <v>-2772</v>
      </c>
      <c r="D104" s="593">
        <f t="shared" ref="D104:E104" si="80">ROUND(+D102+D103,0)</f>
        <v>-1030</v>
      </c>
      <c r="E104" s="96">
        <f t="shared" si="80"/>
        <v>-283</v>
      </c>
      <c r="F104" s="593">
        <f>ROUND(+F102+F103,0)</f>
        <v>-524</v>
      </c>
      <c r="G104" s="593">
        <f>ROUND(+G102+G103,0)</f>
        <v>238</v>
      </c>
      <c r="H104" s="593">
        <f t="shared" ref="H104:P104" si="81">ROUND(+H102+H103,0)</f>
        <v>-1155</v>
      </c>
      <c r="I104" s="96">
        <f t="shared" si="81"/>
        <v>36</v>
      </c>
      <c r="J104" s="593">
        <f t="shared" si="81"/>
        <v>-15</v>
      </c>
      <c r="K104" s="593">
        <f t="shared" ref="K104" si="82">ROUND(+K102+K103,0)</f>
        <v>0</v>
      </c>
      <c r="L104" s="593">
        <f>ROUND(+L102+L103,0)</f>
        <v>-38</v>
      </c>
      <c r="M104" s="593">
        <f>ROUND(+M102+M103,0)</f>
        <v>0</v>
      </c>
      <c r="N104" s="96">
        <f t="shared" si="81"/>
        <v>0</v>
      </c>
      <c r="O104" s="96">
        <f t="shared" si="81"/>
        <v>0</v>
      </c>
      <c r="P104" s="96">
        <f t="shared" si="81"/>
        <v>0</v>
      </c>
      <c r="Q104" s="96">
        <f t="shared" ref="Q104" si="83">ROUND(+Q102+Q103,0)</f>
        <v>0</v>
      </c>
      <c r="R104" s="96">
        <f t="shared" ref="R104:T104" si="84">ROUND(+R102+R103,0)</f>
        <v>0</v>
      </c>
      <c r="S104" s="593">
        <f t="shared" si="84"/>
        <v>721</v>
      </c>
      <c r="T104" s="96">
        <f t="shared" si="84"/>
        <v>0</v>
      </c>
    </row>
    <row r="105" spans="1:20" ht="13.5" thickTop="1"/>
  </sheetData>
  <mergeCells count="2">
    <mergeCell ref="P8:Q8"/>
    <mergeCell ref="N8:O8"/>
  </mergeCells>
  <phoneticPr fontId="0" type="noConversion"/>
  <printOptions horizontalCentered="1"/>
  <pageMargins left="0.5" right="0.5" top="1.2" bottom="0.3" header="0.5" footer="0.5"/>
  <pageSetup scale="60" firstPageNumber="2" fitToWidth="0" orientation="portrait" r:id="rId1"/>
  <headerFooter scaleWithDoc="0" alignWithMargins="0">
    <oddHeader>&amp;L&amp;"Arial,Regular"&amp;10Avista Corporation
&amp;"Arial,Bold"Electric - Results of Operations (Schedule 1.3) &amp;"Arial,Regular"
Twelve Months Ended Dcember 31, 2011&amp;R&amp;"Arial,Regular"&amp;10Exhibit No. ___ (JH-2)
Dockets UE-120436 &amp;&amp; UG-120437
Page &amp;P+4 of  11</oddHeader>
  </headerFooter>
  <rowBreaks count="1" manualBreakCount="1">
    <brk id="78" min="2" max="13" man="1"/>
  </rowBreaks>
  <colBreaks count="2" manualBreakCount="2">
    <brk id="7" max="1048575" man="1"/>
    <brk id="26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6"/>
  <sheetViews>
    <sheetView topLeftCell="A9" zoomScale="75" zoomScaleNormal="75" workbookViewId="0">
      <pane xSplit="2" ySplit="4" topLeftCell="C40" activePane="bottomRight" state="frozen"/>
      <selection activeCell="G79" sqref="G79"/>
      <selection pane="topRight" activeCell="G79" sqref="G79"/>
      <selection pane="bottomLeft" activeCell="G79" sqref="G79"/>
      <selection pane="bottomRight" activeCell="C52" sqref="C52"/>
    </sheetView>
  </sheetViews>
  <sheetFormatPr defaultColWidth="9" defaultRowHeight="12.75"/>
  <cols>
    <col min="1" max="1" width="4.625" style="64" customWidth="1"/>
    <col min="2" max="2" width="42.5" style="63" bestFit="1" customWidth="1"/>
    <col min="3" max="3" width="13.625" style="586" customWidth="1"/>
    <col min="4" max="16384" width="9" style="14"/>
  </cols>
  <sheetData>
    <row r="1" spans="1:3">
      <c r="A1" s="56"/>
      <c r="B1" s="9" t="s">
        <v>281</v>
      </c>
      <c r="C1" s="572"/>
    </row>
    <row r="2" spans="1:3">
      <c r="A2" s="411"/>
      <c r="B2" s="14"/>
      <c r="C2" s="573" t="s">
        <v>252</v>
      </c>
    </row>
    <row r="3" spans="1:3">
      <c r="A3" s="411"/>
      <c r="B3" s="9"/>
      <c r="C3" s="573"/>
    </row>
    <row r="4" spans="1:3" ht="13.5" thickBot="1">
      <c r="A4" s="411"/>
      <c r="B4" s="9"/>
      <c r="C4" s="574"/>
    </row>
    <row r="5" spans="1:3" ht="13.5" thickTop="1">
      <c r="A5" s="402"/>
      <c r="B5" s="64" t="str">
        <f>+ROO!B2</f>
        <v>(000's of Dollars)</v>
      </c>
      <c r="C5" s="575"/>
    </row>
    <row r="6" spans="1:3">
      <c r="A6" s="62"/>
      <c r="B6" s="64"/>
      <c r="C6" s="575"/>
    </row>
    <row r="7" spans="1:3">
      <c r="A7" s="403"/>
      <c r="B7" s="66" t="s">
        <v>100</v>
      </c>
      <c r="C7" s="573" t="s">
        <v>175</v>
      </c>
    </row>
    <row r="8" spans="1:3">
      <c r="A8" s="403"/>
      <c r="B8" s="66"/>
      <c r="C8" s="573"/>
    </row>
    <row r="9" spans="1:3" s="70" customFormat="1">
      <c r="A9" s="69"/>
      <c r="B9" s="69"/>
      <c r="C9" s="576">
        <v>2.16</v>
      </c>
    </row>
    <row r="10" spans="1:3" s="71" customFormat="1">
      <c r="A10" s="414"/>
      <c r="B10" s="420"/>
      <c r="C10" s="577" t="s">
        <v>332</v>
      </c>
    </row>
    <row r="11" spans="1:3" s="71" customFormat="1">
      <c r="A11" s="414" t="s">
        <v>5</v>
      </c>
      <c r="B11" s="420"/>
      <c r="C11" s="577" t="s">
        <v>323</v>
      </c>
    </row>
    <row r="12" spans="1:3" s="424" customFormat="1">
      <c r="A12" s="421" t="s">
        <v>10</v>
      </c>
      <c r="B12" s="422" t="s">
        <v>11</v>
      </c>
      <c r="C12" s="579" t="s">
        <v>324</v>
      </c>
    </row>
    <row r="13" spans="1:3" s="59" customFormat="1">
      <c r="A13" s="418"/>
      <c r="B13" s="419" t="s">
        <v>155</v>
      </c>
      <c r="C13" s="573"/>
    </row>
    <row r="14" spans="1:3">
      <c r="A14" s="73">
        <v>1</v>
      </c>
      <c r="B14" s="416" t="s">
        <v>98</v>
      </c>
      <c r="C14" s="575"/>
    </row>
    <row r="15" spans="1:3">
      <c r="A15" s="75">
        <v>2</v>
      </c>
      <c r="B15" s="63" t="s">
        <v>40</v>
      </c>
      <c r="C15" s="575"/>
    </row>
    <row r="16" spans="1:3" s="15" customFormat="1">
      <c r="A16" s="73">
        <v>3</v>
      </c>
      <c r="B16" s="76" t="s">
        <v>41</v>
      </c>
      <c r="C16" s="580"/>
    </row>
    <row r="17" spans="1:3" s="20" customFormat="1">
      <c r="A17" s="75">
        <v>4</v>
      </c>
      <c r="B17" s="78" t="s">
        <v>42</v>
      </c>
      <c r="C17" s="581">
        <v>0</v>
      </c>
    </row>
    <row r="18" spans="1:3" s="20" customFormat="1">
      <c r="A18" s="73">
        <v>5</v>
      </c>
      <c r="B18" s="78" t="s">
        <v>43</v>
      </c>
      <c r="C18" s="582">
        <v>0</v>
      </c>
    </row>
    <row r="19" spans="1:3" s="20" customFormat="1">
      <c r="A19" s="75">
        <v>6</v>
      </c>
      <c r="B19" s="397" t="s">
        <v>44</v>
      </c>
      <c r="C19" s="581">
        <f t="shared" ref="C19" si="0">SUM(C16:C18)</f>
        <v>0</v>
      </c>
    </row>
    <row r="20" spans="1:3" s="20" customFormat="1">
      <c r="A20" s="73">
        <v>7</v>
      </c>
      <c r="B20" s="78" t="s">
        <v>45</v>
      </c>
      <c r="C20" s="582">
        <v>0</v>
      </c>
    </row>
    <row r="21" spans="1:3" s="20" customFormat="1">
      <c r="A21" s="75">
        <v>8</v>
      </c>
      <c r="B21" s="397" t="s">
        <v>46</v>
      </c>
      <c r="C21" s="581">
        <f t="shared" ref="C21" si="1">SUM(C19:C20)</f>
        <v>0</v>
      </c>
    </row>
    <row r="22" spans="1:3" s="20" customFormat="1">
      <c r="A22" s="73">
        <v>9</v>
      </c>
      <c r="B22" s="79"/>
      <c r="C22" s="581"/>
    </row>
    <row r="23" spans="1:3" s="20" customFormat="1">
      <c r="A23" s="75">
        <v>10</v>
      </c>
      <c r="B23" s="78" t="s">
        <v>20</v>
      </c>
      <c r="C23" s="581"/>
    </row>
    <row r="24" spans="1:3" s="20" customFormat="1">
      <c r="A24" s="73">
        <v>11</v>
      </c>
      <c r="B24" s="78" t="s">
        <v>47</v>
      </c>
      <c r="C24" s="581"/>
    </row>
    <row r="25" spans="1:3" s="20" customFormat="1">
      <c r="A25" s="75">
        <v>12</v>
      </c>
      <c r="B25" s="397" t="s">
        <v>48</v>
      </c>
      <c r="C25" s="581">
        <v>0</v>
      </c>
    </row>
    <row r="26" spans="1:3" s="20" customFormat="1">
      <c r="A26" s="73">
        <v>13</v>
      </c>
      <c r="B26" s="397" t="s">
        <v>49</v>
      </c>
      <c r="C26" s="581">
        <v>0</v>
      </c>
    </row>
    <row r="27" spans="1:3" s="20" customFormat="1">
      <c r="A27" s="75">
        <v>14</v>
      </c>
      <c r="B27" s="397" t="s">
        <v>50</v>
      </c>
      <c r="C27" s="581">
        <v>0</v>
      </c>
    </row>
    <row r="28" spans="1:3" s="20" customFormat="1">
      <c r="A28" s="73">
        <v>15</v>
      </c>
      <c r="B28" s="393" t="s">
        <v>349</v>
      </c>
      <c r="C28" s="581">
        <v>1091</v>
      </c>
    </row>
    <row r="29" spans="1:3" s="20" customFormat="1">
      <c r="A29" s="75">
        <v>16</v>
      </c>
      <c r="B29" s="397" t="s">
        <v>51</v>
      </c>
      <c r="C29" s="582">
        <v>0</v>
      </c>
    </row>
    <row r="30" spans="1:3" s="20" customFormat="1">
      <c r="A30" s="73">
        <v>17</v>
      </c>
      <c r="B30" s="398" t="s">
        <v>52</v>
      </c>
      <c r="C30" s="581">
        <f t="shared" ref="C30" si="2">SUM(C25:C29)</f>
        <v>1091</v>
      </c>
    </row>
    <row r="31" spans="1:3" s="20" customFormat="1">
      <c r="A31" s="75">
        <v>18</v>
      </c>
      <c r="B31" s="79"/>
      <c r="C31" s="581"/>
    </row>
    <row r="32" spans="1:3" s="20" customFormat="1">
      <c r="A32" s="73">
        <v>19</v>
      </c>
      <c r="B32" s="78" t="s">
        <v>53</v>
      </c>
      <c r="C32" s="581"/>
    </row>
    <row r="33" spans="1:3" s="20" customFormat="1">
      <c r="A33" s="75">
        <v>20</v>
      </c>
      <c r="B33" s="397" t="s">
        <v>48</v>
      </c>
      <c r="C33" s="581">
        <v>0</v>
      </c>
    </row>
    <row r="34" spans="1:3" s="20" customFormat="1">
      <c r="A34" s="73">
        <v>21</v>
      </c>
      <c r="B34" s="397" t="s">
        <v>54</v>
      </c>
      <c r="C34" s="581">
        <v>0</v>
      </c>
    </row>
    <row r="35" spans="1:3" s="20" customFormat="1">
      <c r="A35" s="75">
        <v>22</v>
      </c>
      <c r="B35" s="397" t="s">
        <v>51</v>
      </c>
      <c r="C35" s="582">
        <v>0</v>
      </c>
    </row>
    <row r="36" spans="1:3" s="20" customFormat="1">
      <c r="A36" s="73">
        <v>23</v>
      </c>
      <c r="B36" s="398" t="s">
        <v>55</v>
      </c>
      <c r="C36" s="581">
        <f t="shared" ref="C36" si="3">SUM(C33:C35)</f>
        <v>0</v>
      </c>
    </row>
    <row r="37" spans="1:3" s="20" customFormat="1">
      <c r="A37" s="75">
        <v>24</v>
      </c>
      <c r="B37" s="79"/>
      <c r="C37" s="581"/>
    </row>
    <row r="38" spans="1:3" s="20" customFormat="1">
      <c r="A38" s="73">
        <v>25</v>
      </c>
      <c r="B38" s="78" t="s">
        <v>56</v>
      </c>
      <c r="C38" s="581">
        <v>0</v>
      </c>
    </row>
    <row r="39" spans="1:3" s="20" customFormat="1">
      <c r="A39" s="75">
        <v>26</v>
      </c>
      <c r="B39" s="78" t="s">
        <v>57</v>
      </c>
      <c r="C39" s="581">
        <v>0</v>
      </c>
    </row>
    <row r="40" spans="1:3" s="20" customFormat="1">
      <c r="A40" s="73">
        <v>27</v>
      </c>
      <c r="B40" s="78" t="s">
        <v>58</v>
      </c>
      <c r="C40" s="581">
        <v>0</v>
      </c>
    </row>
    <row r="41" spans="1:3" s="20" customFormat="1">
      <c r="A41" s="75">
        <v>28</v>
      </c>
      <c r="B41" s="79"/>
      <c r="C41" s="581">
        <v>0</v>
      </c>
    </row>
    <row r="42" spans="1:3" s="20" customFormat="1">
      <c r="A42" s="75">
        <v>29</v>
      </c>
      <c r="B42" s="78" t="s">
        <v>59</v>
      </c>
      <c r="C42" s="581">
        <v>0</v>
      </c>
    </row>
    <row r="43" spans="1:3" s="20" customFormat="1">
      <c r="A43" s="73">
        <v>30</v>
      </c>
      <c r="B43" s="397" t="s">
        <v>48</v>
      </c>
      <c r="C43" s="581"/>
    </row>
    <row r="44" spans="1:3" s="20" customFormat="1">
      <c r="A44" s="75">
        <v>31</v>
      </c>
      <c r="B44" s="397" t="s">
        <v>54</v>
      </c>
      <c r="C44" s="581">
        <v>0</v>
      </c>
    </row>
    <row r="45" spans="1:3" s="20" customFormat="1">
      <c r="A45" s="75">
        <v>32</v>
      </c>
      <c r="B45" s="397" t="s">
        <v>51</v>
      </c>
      <c r="C45" s="582">
        <v>0</v>
      </c>
    </row>
    <row r="46" spans="1:3" s="20" customFormat="1">
      <c r="A46" s="73">
        <v>33</v>
      </c>
      <c r="B46" s="398" t="s">
        <v>60</v>
      </c>
      <c r="C46" s="582">
        <f t="shared" ref="C46" si="4">SUM(C43:C45)</f>
        <v>0</v>
      </c>
    </row>
    <row r="47" spans="1:3" s="20" customFormat="1">
      <c r="A47" s="75">
        <v>34</v>
      </c>
      <c r="B47" s="78" t="s">
        <v>61</v>
      </c>
      <c r="C47" s="582">
        <f t="shared" ref="C47" si="5">C46+C40+C39+C38+C36+C30</f>
        <v>1091</v>
      </c>
    </row>
    <row r="48" spans="1:3" s="20" customFormat="1">
      <c r="A48" s="75">
        <v>35</v>
      </c>
      <c r="B48" s="79"/>
      <c r="C48" s="581"/>
    </row>
    <row r="49" spans="1:3" s="20" customFormat="1">
      <c r="A49" s="73">
        <v>36</v>
      </c>
      <c r="B49" s="78" t="s">
        <v>62</v>
      </c>
      <c r="C49" s="581">
        <f t="shared" ref="C49" si="6">C21-C47</f>
        <v>-1091</v>
      </c>
    </row>
    <row r="50" spans="1:3" s="20" customFormat="1">
      <c r="A50" s="75">
        <v>37</v>
      </c>
      <c r="B50" s="78"/>
      <c r="C50" s="581"/>
    </row>
    <row r="51" spans="1:3" s="20" customFormat="1">
      <c r="A51" s="75">
        <v>38</v>
      </c>
      <c r="B51" s="78" t="s">
        <v>63</v>
      </c>
      <c r="C51" s="581"/>
    </row>
    <row r="52" spans="1:3" s="20" customFormat="1">
      <c r="A52" s="73">
        <v>39</v>
      </c>
      <c r="B52" s="78" t="s">
        <v>64</v>
      </c>
      <c r="C52" s="581">
        <f>ROUND(C105,0)</f>
        <v>-382</v>
      </c>
    </row>
    <row r="53" spans="1:3" s="20" customFormat="1">
      <c r="A53" s="75">
        <v>40</v>
      </c>
      <c r="B53" s="78" t="s">
        <v>366</v>
      </c>
      <c r="C53" s="581">
        <v>0</v>
      </c>
    </row>
    <row r="54" spans="1:3" s="20" customFormat="1">
      <c r="A54" s="75">
        <v>41</v>
      </c>
      <c r="B54" s="78" t="s">
        <v>65</v>
      </c>
      <c r="C54" s="581"/>
    </row>
    <row r="55" spans="1:3" s="20" customFormat="1">
      <c r="A55" s="73">
        <v>42</v>
      </c>
      <c r="B55" s="78" t="s">
        <v>238</v>
      </c>
      <c r="C55" s="582"/>
    </row>
    <row r="56" spans="1:3">
      <c r="A56" s="73">
        <v>45</v>
      </c>
      <c r="B56" s="79"/>
      <c r="C56" s="581"/>
    </row>
    <row r="57" spans="1:3" s="15" customFormat="1" ht="13.5" thickBot="1">
      <c r="A57" s="75">
        <v>46</v>
      </c>
      <c r="B57" s="76" t="s">
        <v>66</v>
      </c>
      <c r="C57" s="583">
        <f t="shared" ref="C57" si="7">C49-SUM(C52:C55)</f>
        <v>-709</v>
      </c>
    </row>
    <row r="58" spans="1:3" ht="13.5" thickTop="1">
      <c r="A58" s="75">
        <v>47</v>
      </c>
      <c r="B58" s="2"/>
      <c r="C58" s="581"/>
    </row>
    <row r="59" spans="1:3">
      <c r="A59" s="73">
        <v>48</v>
      </c>
      <c r="B59" s="416" t="s">
        <v>21</v>
      </c>
      <c r="C59" s="581"/>
    </row>
    <row r="60" spans="1:3">
      <c r="A60" s="75">
        <v>49</v>
      </c>
      <c r="B60" s="63" t="s">
        <v>67</v>
      </c>
      <c r="C60" s="581"/>
    </row>
    <row r="61" spans="1:3" s="15" customFormat="1">
      <c r="A61" s="75">
        <v>50</v>
      </c>
      <c r="B61" s="396" t="s">
        <v>68</v>
      </c>
      <c r="C61" s="581">
        <v>0</v>
      </c>
    </row>
    <row r="62" spans="1:3" s="20" customFormat="1">
      <c r="A62" s="73">
        <v>51</v>
      </c>
      <c r="B62" s="397" t="s">
        <v>69</v>
      </c>
      <c r="C62" s="581">
        <v>0</v>
      </c>
    </row>
    <row r="63" spans="1:3" s="20" customFormat="1">
      <c r="A63" s="75">
        <v>52</v>
      </c>
      <c r="B63" s="397" t="s">
        <v>70</v>
      </c>
      <c r="C63" s="581">
        <v>0</v>
      </c>
    </row>
    <row r="64" spans="1:3" s="20" customFormat="1">
      <c r="A64" s="75">
        <v>53</v>
      </c>
      <c r="B64" s="397" t="s">
        <v>53</v>
      </c>
      <c r="C64" s="581">
        <v>0</v>
      </c>
    </row>
    <row r="65" spans="1:3" s="20" customFormat="1">
      <c r="A65" s="73">
        <v>54</v>
      </c>
      <c r="B65" s="397" t="s">
        <v>71</v>
      </c>
      <c r="C65" s="582">
        <v>0</v>
      </c>
    </row>
    <row r="66" spans="1:3" s="20" customFormat="1">
      <c r="A66" s="75">
        <v>55</v>
      </c>
      <c r="B66" s="398" t="s">
        <v>72</v>
      </c>
      <c r="C66" s="581">
        <f t="shared" ref="C66" si="8">SUM(C61:C65)</f>
        <v>0</v>
      </c>
    </row>
    <row r="67" spans="1:3" s="20" customFormat="1">
      <c r="A67" s="75">
        <v>56</v>
      </c>
      <c r="B67" s="78" t="s">
        <v>244</v>
      </c>
      <c r="C67" s="581">
        <v>0</v>
      </c>
    </row>
    <row r="68" spans="1:3" s="20" customFormat="1">
      <c r="A68" s="73">
        <v>57</v>
      </c>
      <c r="B68" s="78" t="s">
        <v>245</v>
      </c>
      <c r="C68" s="582">
        <v>0</v>
      </c>
    </row>
    <row r="69" spans="1:3" s="20" customFormat="1">
      <c r="A69" s="75">
        <v>58</v>
      </c>
      <c r="B69" s="397" t="s">
        <v>73</v>
      </c>
      <c r="C69" s="581">
        <f t="shared" ref="C69" si="9">SUM(C67:C68)</f>
        <v>0</v>
      </c>
    </row>
    <row r="70" spans="1:3" s="20" customFormat="1">
      <c r="A70" s="75">
        <v>59</v>
      </c>
      <c r="B70" s="78" t="s">
        <v>246</v>
      </c>
      <c r="C70" s="581">
        <v>0</v>
      </c>
    </row>
    <row r="71" spans="1:3" s="20" customFormat="1">
      <c r="A71" s="73">
        <v>60</v>
      </c>
      <c r="B71" s="78" t="s">
        <v>351</v>
      </c>
      <c r="C71" s="581"/>
    </row>
    <row r="72" spans="1:3" s="20" customFormat="1">
      <c r="A72" s="75">
        <v>61</v>
      </c>
      <c r="B72" s="78" t="s">
        <v>236</v>
      </c>
      <c r="C72" s="581"/>
    </row>
    <row r="73" spans="1:3" s="20" customFormat="1">
      <c r="A73" s="75">
        <v>62</v>
      </c>
      <c r="B73" s="78" t="s">
        <v>247</v>
      </c>
      <c r="C73" s="581"/>
    </row>
    <row r="74" spans="1:3" s="20" customFormat="1">
      <c r="A74" s="73">
        <v>63</v>
      </c>
      <c r="B74" s="78" t="s">
        <v>248</v>
      </c>
      <c r="C74" s="582">
        <v>0</v>
      </c>
    </row>
    <row r="75" spans="1:3" s="20" customFormat="1">
      <c r="A75" s="75">
        <v>64</v>
      </c>
      <c r="B75" s="79"/>
      <c r="C75" s="584"/>
    </row>
    <row r="76" spans="1:3" s="20" customFormat="1">
      <c r="A76" s="75">
        <v>65</v>
      </c>
      <c r="B76" s="79"/>
      <c r="C76" s="581"/>
    </row>
    <row r="77" spans="1:3" s="15" customFormat="1" ht="13.5" thickBot="1">
      <c r="A77" s="73">
        <v>66</v>
      </c>
      <c r="B77" s="425" t="s">
        <v>74</v>
      </c>
      <c r="C77" s="585">
        <f t="shared" ref="C77" si="10">C66-C69+C70+C72+C73+C74+C71</f>
        <v>0</v>
      </c>
    </row>
    <row r="78" spans="1:3" ht="13.5" thickTop="1">
      <c r="B78" s="83"/>
    </row>
    <row r="79" spans="1:3">
      <c r="A79" s="84"/>
      <c r="B79" s="38"/>
      <c r="C79" s="587"/>
    </row>
    <row r="80" spans="1:3">
      <c r="A80" s="89"/>
      <c r="B80" s="39"/>
    </row>
    <row r="81" spans="1:3">
      <c r="A81" s="73">
        <v>1</v>
      </c>
      <c r="B81" s="392" t="s">
        <v>116</v>
      </c>
    </row>
    <row r="82" spans="1:3">
      <c r="A82" s="73">
        <v>2</v>
      </c>
      <c r="B82" s="87" t="s">
        <v>18</v>
      </c>
      <c r="C82" s="588">
        <f t="shared" ref="C82" si="11">+C21</f>
        <v>0</v>
      </c>
    </row>
    <row r="83" spans="1:3">
      <c r="A83" s="73">
        <v>3</v>
      </c>
      <c r="B83" s="87" t="s">
        <v>19</v>
      </c>
      <c r="C83" s="581">
        <f t="shared" ref="C83" si="12">+C47</f>
        <v>1091</v>
      </c>
    </row>
    <row r="84" spans="1:3">
      <c r="A84" s="73">
        <v>4</v>
      </c>
      <c r="B84" s="87" t="s">
        <v>274</v>
      </c>
      <c r="C84" s="581"/>
    </row>
    <row r="85" spans="1:3">
      <c r="A85" s="73">
        <v>5</v>
      </c>
      <c r="B85" s="399" t="s">
        <v>119</v>
      </c>
      <c r="C85" s="589">
        <f t="shared" ref="C85" si="13">+C82-C83-C84</f>
        <v>-1091</v>
      </c>
    </row>
    <row r="86" spans="1:3">
      <c r="A86" s="73">
        <v>6</v>
      </c>
      <c r="B86" s="91"/>
      <c r="C86" s="590"/>
    </row>
    <row r="87" spans="1:3">
      <c r="A87" s="73">
        <v>7</v>
      </c>
      <c r="B87" s="86" t="s">
        <v>120</v>
      </c>
      <c r="C87" s="590"/>
    </row>
    <row r="88" spans="1:3">
      <c r="A88" s="73">
        <v>8</v>
      </c>
      <c r="B88" s="87" t="s">
        <v>121</v>
      </c>
      <c r="C88" s="590"/>
    </row>
    <row r="89" spans="1:3">
      <c r="A89" s="73">
        <v>9</v>
      </c>
      <c r="B89" s="87" t="s">
        <v>130</v>
      </c>
      <c r="C89" s="590"/>
    </row>
    <row r="90" spans="1:3">
      <c r="A90" s="73">
        <v>10</v>
      </c>
      <c r="B90" s="87" t="s">
        <v>122</v>
      </c>
      <c r="C90" s="590"/>
    </row>
    <row r="91" spans="1:3">
      <c r="A91" s="73">
        <v>11</v>
      </c>
      <c r="B91" s="39"/>
      <c r="C91" s="590"/>
    </row>
    <row r="92" spans="1:3">
      <c r="A92" s="73">
        <v>12</v>
      </c>
      <c r="B92" s="86" t="s">
        <v>123</v>
      </c>
      <c r="C92" s="589">
        <f t="shared" ref="C92" si="14">SUM(C88:C90)</f>
        <v>0</v>
      </c>
    </row>
    <row r="93" spans="1:3">
      <c r="A93" s="73">
        <v>13</v>
      </c>
      <c r="B93" s="39"/>
      <c r="C93" s="590"/>
    </row>
    <row r="94" spans="1:3">
      <c r="A94" s="73">
        <v>14</v>
      </c>
      <c r="B94" s="86" t="s">
        <v>365</v>
      </c>
      <c r="C94" s="590"/>
    </row>
    <row r="95" spans="1:3">
      <c r="A95" s="73">
        <v>15</v>
      </c>
      <c r="B95" s="86" t="s">
        <v>178</v>
      </c>
      <c r="C95" s="590"/>
    </row>
    <row r="96" spans="1:3">
      <c r="A96" s="73">
        <v>16</v>
      </c>
      <c r="B96" s="87" t="s">
        <v>177</v>
      </c>
      <c r="C96" s="590"/>
    </row>
    <row r="97" spans="1:3">
      <c r="A97" s="73">
        <v>17</v>
      </c>
      <c r="B97" s="87" t="s">
        <v>275</v>
      </c>
      <c r="C97" s="590"/>
    </row>
    <row r="98" spans="1:3">
      <c r="A98" s="73">
        <v>18</v>
      </c>
      <c r="B98" s="87"/>
      <c r="C98" s="590"/>
    </row>
    <row r="99" spans="1:3">
      <c r="A99" s="73">
        <v>19</v>
      </c>
      <c r="B99" s="86" t="s">
        <v>125</v>
      </c>
      <c r="C99" s="589">
        <f t="shared" ref="C99" si="15">SUM(C95:C97)</f>
        <v>0</v>
      </c>
    </row>
    <row r="100" spans="1:3">
      <c r="A100" s="73">
        <v>20</v>
      </c>
      <c r="B100" s="39"/>
      <c r="C100" s="590"/>
    </row>
    <row r="101" spans="1:3">
      <c r="A101" s="73">
        <v>21</v>
      </c>
      <c r="B101" s="87" t="s">
        <v>255</v>
      </c>
      <c r="C101" s="584">
        <f t="shared" ref="C101" si="16">+C85+C92-C99</f>
        <v>-1091</v>
      </c>
    </row>
    <row r="102" spans="1:3">
      <c r="A102" s="73">
        <v>22</v>
      </c>
      <c r="B102" s="87" t="s">
        <v>126</v>
      </c>
      <c r="C102" s="591">
        <v>0.35</v>
      </c>
    </row>
    <row r="103" spans="1:3">
      <c r="A103" s="73">
        <v>23</v>
      </c>
      <c r="B103" s="86" t="s">
        <v>127</v>
      </c>
      <c r="C103" s="592">
        <f t="shared" ref="C103" si="17">C101*C102</f>
        <v>-381.84999999999997</v>
      </c>
    </row>
    <row r="104" spans="1:3">
      <c r="A104" s="73">
        <v>24</v>
      </c>
      <c r="B104" s="87" t="s">
        <v>128</v>
      </c>
      <c r="C104" s="590">
        <f t="shared" ref="C104" si="18">+(C95-C88+C96)*C102</f>
        <v>0</v>
      </c>
    </row>
    <row r="105" spans="1:3" ht="13.5" thickBot="1">
      <c r="A105" s="73">
        <v>25</v>
      </c>
      <c r="B105" s="95" t="s">
        <v>129</v>
      </c>
      <c r="C105" s="593">
        <f t="shared" ref="C105" si="19">+C103+C104</f>
        <v>-381.84999999999997</v>
      </c>
    </row>
    <row r="106" spans="1:3" ht="13.5" thickTop="1">
      <c r="A106" s="89"/>
    </row>
  </sheetData>
  <printOptions horizontalCentered="1"/>
  <pageMargins left="0.5" right="0.5" top="1.5" bottom="0.3" header="0.5" footer="0.5"/>
  <pageSetup scale="60" fitToWidth="0" orientation="portrait" useFirstPageNumber="1" r:id="rId1"/>
  <headerFooter scaleWithDoc="0" alignWithMargins="0">
    <oddHeader>&amp;L&amp;"Arial,Regular"&amp;10Avista Corporation
&amp;"Arial,Bold"Electric - Restating Adjustments (Schedule 1.2)&amp;"Arial,Regular"
Twelve Months Ended December 31, 2011&amp;R&amp;"Arial,Regular"&amp;10Exhibit No. ___ (JH-2)
Docket UE-120436 &amp;&amp; UG-120437
Page &amp;P of  &amp;N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6"/>
  <sheetViews>
    <sheetView topLeftCell="A9" zoomScale="75" zoomScaleNormal="75" workbookViewId="0">
      <pane xSplit="2" ySplit="4" topLeftCell="C46" activePane="bottomRight" state="frozen"/>
      <selection activeCell="G79" sqref="G79"/>
      <selection pane="topRight" activeCell="G79" sqref="G79"/>
      <selection pane="bottomLeft" activeCell="G79" sqref="G79"/>
      <selection pane="bottomRight" activeCell="C53" sqref="C53"/>
    </sheetView>
  </sheetViews>
  <sheetFormatPr defaultColWidth="9" defaultRowHeight="12.75"/>
  <cols>
    <col min="1" max="1" width="4.625" style="64" customWidth="1"/>
    <col min="2" max="2" width="42.5" style="63" bestFit="1" customWidth="1"/>
    <col min="3" max="3" width="13.625" style="586" customWidth="1"/>
    <col min="4" max="16384" width="9" style="14"/>
  </cols>
  <sheetData>
    <row r="1" spans="1:3">
      <c r="A1" s="56"/>
      <c r="B1" s="9" t="s">
        <v>281</v>
      </c>
      <c r="C1" s="572"/>
    </row>
    <row r="2" spans="1:3">
      <c r="A2" s="411"/>
      <c r="B2" s="14"/>
      <c r="C2" s="573" t="s">
        <v>250</v>
      </c>
    </row>
    <row r="3" spans="1:3">
      <c r="A3" s="411"/>
      <c r="B3" s="9"/>
      <c r="C3" s="573"/>
    </row>
    <row r="4" spans="1:3" ht="13.5" thickBot="1">
      <c r="A4" s="411"/>
      <c r="B4" s="9"/>
      <c r="C4" s="574"/>
    </row>
    <row r="5" spans="1:3" ht="13.5" thickTop="1">
      <c r="A5" s="402"/>
      <c r="B5" s="64" t="str">
        <f>+ROO!B2</f>
        <v>(000's of Dollars)</v>
      </c>
      <c r="C5" s="606"/>
    </row>
    <row r="6" spans="1:3">
      <c r="A6" s="62"/>
      <c r="B6" s="64"/>
      <c r="C6" s="606"/>
    </row>
    <row r="7" spans="1:3">
      <c r="A7" s="403"/>
      <c r="B7" s="66" t="s">
        <v>100</v>
      </c>
      <c r="C7" s="573" t="s">
        <v>176</v>
      </c>
    </row>
    <row r="8" spans="1:3">
      <c r="A8" s="403"/>
      <c r="B8" s="66"/>
      <c r="C8" s="573"/>
    </row>
    <row r="9" spans="1:3" s="70" customFormat="1">
      <c r="A9" s="69"/>
      <c r="B9" s="69"/>
      <c r="C9" s="576">
        <v>2.17</v>
      </c>
    </row>
    <row r="10" spans="1:3" s="71" customFormat="1">
      <c r="A10" s="414"/>
      <c r="B10" s="420"/>
      <c r="C10" s="577" t="s">
        <v>3</v>
      </c>
    </row>
    <row r="11" spans="1:3" s="71" customFormat="1">
      <c r="A11" s="414" t="s">
        <v>5</v>
      </c>
      <c r="B11" s="420"/>
      <c r="C11" s="577" t="s">
        <v>321</v>
      </c>
    </row>
    <row r="12" spans="1:3" s="424" customFormat="1">
      <c r="A12" s="421" t="s">
        <v>10</v>
      </c>
      <c r="B12" s="422" t="s">
        <v>11</v>
      </c>
      <c r="C12" s="579" t="s">
        <v>322</v>
      </c>
    </row>
    <row r="13" spans="1:3" s="59" customFormat="1">
      <c r="A13" s="418"/>
      <c r="B13" s="419" t="s">
        <v>155</v>
      </c>
      <c r="C13" s="607"/>
    </row>
    <row r="14" spans="1:3">
      <c r="A14" s="73">
        <v>1</v>
      </c>
      <c r="B14" s="416" t="s">
        <v>98</v>
      </c>
      <c r="C14" s="608"/>
    </row>
    <row r="15" spans="1:3">
      <c r="A15" s="75">
        <v>2</v>
      </c>
      <c r="B15" s="63" t="s">
        <v>40</v>
      </c>
      <c r="C15" s="608"/>
    </row>
    <row r="16" spans="1:3" s="15" customFormat="1">
      <c r="A16" s="73">
        <v>3</v>
      </c>
      <c r="B16" s="76" t="s">
        <v>41</v>
      </c>
      <c r="C16" s="580"/>
    </row>
    <row r="17" spans="1:3" s="20" customFormat="1">
      <c r="A17" s="75">
        <v>4</v>
      </c>
      <c r="B17" s="78" t="s">
        <v>42</v>
      </c>
      <c r="C17" s="581">
        <v>0</v>
      </c>
    </row>
    <row r="18" spans="1:3" s="20" customFormat="1">
      <c r="A18" s="73">
        <v>5</v>
      </c>
      <c r="B18" s="78" t="s">
        <v>43</v>
      </c>
      <c r="C18" s="582">
        <v>0</v>
      </c>
    </row>
    <row r="19" spans="1:3" s="20" customFormat="1">
      <c r="A19" s="75">
        <v>6</v>
      </c>
      <c r="B19" s="397" t="s">
        <v>44</v>
      </c>
      <c r="C19" s="581">
        <f t="shared" ref="C19" si="0">SUM(C16:C18)</f>
        <v>0</v>
      </c>
    </row>
    <row r="20" spans="1:3" s="20" customFormat="1">
      <c r="A20" s="73">
        <v>7</v>
      </c>
      <c r="B20" s="78" t="s">
        <v>45</v>
      </c>
      <c r="C20" s="582">
        <v>0</v>
      </c>
    </row>
    <row r="21" spans="1:3" s="20" customFormat="1">
      <c r="A21" s="75">
        <v>8</v>
      </c>
      <c r="B21" s="397" t="s">
        <v>46</v>
      </c>
      <c r="C21" s="581">
        <f t="shared" ref="C21" si="1">SUM(C19:C20)</f>
        <v>0</v>
      </c>
    </row>
    <row r="22" spans="1:3" s="20" customFormat="1">
      <c r="A22" s="73">
        <v>9</v>
      </c>
      <c r="B22" s="79"/>
      <c r="C22" s="581"/>
    </row>
    <row r="23" spans="1:3" s="20" customFormat="1">
      <c r="A23" s="75">
        <v>10</v>
      </c>
      <c r="B23" s="78" t="s">
        <v>20</v>
      </c>
      <c r="C23" s="581"/>
    </row>
    <row r="24" spans="1:3" s="20" customFormat="1">
      <c r="A24" s="73">
        <v>11</v>
      </c>
      <c r="B24" s="78" t="s">
        <v>47</v>
      </c>
      <c r="C24" s="581"/>
    </row>
    <row r="25" spans="1:3" s="20" customFormat="1">
      <c r="A25" s="75">
        <v>12</v>
      </c>
      <c r="B25" s="397" t="s">
        <v>48</v>
      </c>
      <c r="C25" s="581">
        <v>0</v>
      </c>
    </row>
    <row r="26" spans="1:3" s="20" customFormat="1">
      <c r="A26" s="73">
        <v>13</v>
      </c>
      <c r="B26" s="397" t="s">
        <v>49</v>
      </c>
      <c r="C26" s="581">
        <v>0</v>
      </c>
    </row>
    <row r="27" spans="1:3" s="20" customFormat="1">
      <c r="A27" s="75">
        <v>14</v>
      </c>
      <c r="B27" s="397" t="s">
        <v>50</v>
      </c>
      <c r="C27" s="581">
        <v>0</v>
      </c>
    </row>
    <row r="28" spans="1:3" s="20" customFormat="1">
      <c r="A28" s="73">
        <v>15</v>
      </c>
      <c r="B28" s="393" t="s">
        <v>349</v>
      </c>
      <c r="C28" s="581"/>
    </row>
    <row r="29" spans="1:3" s="20" customFormat="1">
      <c r="A29" s="75">
        <v>16</v>
      </c>
      <c r="B29" s="397" t="s">
        <v>51</v>
      </c>
      <c r="C29" s="582">
        <v>0</v>
      </c>
    </row>
    <row r="30" spans="1:3" s="20" customFormat="1">
      <c r="A30" s="73">
        <v>17</v>
      </c>
      <c r="B30" s="398" t="s">
        <v>52</v>
      </c>
      <c r="C30" s="581">
        <f t="shared" ref="C30" si="2">SUM(C25:C29)</f>
        <v>0</v>
      </c>
    </row>
    <row r="31" spans="1:3" s="20" customFormat="1">
      <c r="A31" s="75">
        <v>18</v>
      </c>
      <c r="B31" s="79"/>
      <c r="C31" s="581"/>
    </row>
    <row r="32" spans="1:3" s="20" customFormat="1">
      <c r="A32" s="73">
        <v>19</v>
      </c>
      <c r="B32" s="78" t="s">
        <v>53</v>
      </c>
      <c r="C32" s="581"/>
    </row>
    <row r="33" spans="1:3" s="20" customFormat="1">
      <c r="A33" s="75">
        <v>20</v>
      </c>
      <c r="B33" s="397" t="s">
        <v>48</v>
      </c>
      <c r="C33" s="581">
        <v>0</v>
      </c>
    </row>
    <row r="34" spans="1:3" s="20" customFormat="1">
      <c r="A34" s="73">
        <v>21</v>
      </c>
      <c r="B34" s="397" t="s">
        <v>54</v>
      </c>
      <c r="C34" s="581">
        <v>0</v>
      </c>
    </row>
    <row r="35" spans="1:3" s="20" customFormat="1">
      <c r="A35" s="75">
        <v>22</v>
      </c>
      <c r="B35" s="397" t="s">
        <v>51</v>
      </c>
      <c r="C35" s="582">
        <v>0</v>
      </c>
    </row>
    <row r="36" spans="1:3" s="20" customFormat="1">
      <c r="A36" s="73">
        <v>23</v>
      </c>
      <c r="B36" s="398" t="s">
        <v>55</v>
      </c>
      <c r="C36" s="581">
        <f t="shared" ref="C36" si="3">SUM(C33:C35)</f>
        <v>0</v>
      </c>
    </row>
    <row r="37" spans="1:3" s="20" customFormat="1">
      <c r="A37" s="75">
        <v>24</v>
      </c>
      <c r="B37" s="79"/>
      <c r="C37" s="581"/>
    </row>
    <row r="38" spans="1:3" s="20" customFormat="1">
      <c r="A38" s="73">
        <v>25</v>
      </c>
      <c r="B38" s="78" t="s">
        <v>56</v>
      </c>
      <c r="C38" s="581">
        <v>0</v>
      </c>
    </row>
    <row r="39" spans="1:3" s="20" customFormat="1">
      <c r="A39" s="75">
        <v>26</v>
      </c>
      <c r="B39" s="78" t="s">
        <v>57</v>
      </c>
      <c r="C39" s="581">
        <v>0</v>
      </c>
    </row>
    <row r="40" spans="1:3" s="20" customFormat="1">
      <c r="A40" s="73">
        <v>27</v>
      </c>
      <c r="B40" s="78" t="s">
        <v>58</v>
      </c>
      <c r="C40" s="581">
        <v>0</v>
      </c>
    </row>
    <row r="41" spans="1:3" s="20" customFormat="1">
      <c r="A41" s="75">
        <v>28</v>
      </c>
      <c r="B41" s="79"/>
      <c r="C41" s="581">
        <v>0</v>
      </c>
    </row>
    <row r="42" spans="1:3" s="20" customFormat="1">
      <c r="A42" s="75">
        <v>29</v>
      </c>
      <c r="B42" s="78" t="s">
        <v>59</v>
      </c>
      <c r="C42" s="581">
        <v>0</v>
      </c>
    </row>
    <row r="43" spans="1:3" s="20" customFormat="1">
      <c r="A43" s="73">
        <v>30</v>
      </c>
      <c r="B43" s="397" t="s">
        <v>48</v>
      </c>
      <c r="C43" s="581">
        <v>0</v>
      </c>
    </row>
    <row r="44" spans="1:3" s="20" customFormat="1">
      <c r="A44" s="75">
        <v>31</v>
      </c>
      <c r="B44" s="397" t="s">
        <v>54</v>
      </c>
      <c r="C44" s="581">
        <v>0</v>
      </c>
    </row>
    <row r="45" spans="1:3" s="20" customFormat="1">
      <c r="A45" s="75">
        <v>32</v>
      </c>
      <c r="B45" s="397" t="s">
        <v>51</v>
      </c>
      <c r="C45" s="582">
        <v>0</v>
      </c>
    </row>
    <row r="46" spans="1:3" s="20" customFormat="1">
      <c r="A46" s="73">
        <v>33</v>
      </c>
      <c r="B46" s="398" t="s">
        <v>60</v>
      </c>
      <c r="C46" s="582">
        <f t="shared" ref="C46" si="4">SUM(C43:C45)</f>
        <v>0</v>
      </c>
    </row>
    <row r="47" spans="1:3" s="20" customFormat="1">
      <c r="A47" s="75">
        <v>34</v>
      </c>
      <c r="B47" s="78" t="s">
        <v>61</v>
      </c>
      <c r="C47" s="582">
        <f t="shared" ref="C47" si="5">C46+C40+C39+C38+C36+C30</f>
        <v>0</v>
      </c>
    </row>
    <row r="48" spans="1:3" s="20" customFormat="1">
      <c r="A48" s="75">
        <v>35</v>
      </c>
      <c r="B48" s="79"/>
      <c r="C48" s="581"/>
    </row>
    <row r="49" spans="1:3" s="20" customFormat="1">
      <c r="A49" s="73">
        <v>36</v>
      </c>
      <c r="B49" s="78" t="s">
        <v>62</v>
      </c>
      <c r="C49" s="581">
        <f t="shared" ref="C49" si="6">C21-C47</f>
        <v>0</v>
      </c>
    </row>
    <row r="50" spans="1:3" s="20" customFormat="1">
      <c r="A50" s="75">
        <v>37</v>
      </c>
      <c r="B50" s="78"/>
      <c r="C50" s="581"/>
    </row>
    <row r="51" spans="1:3" s="20" customFormat="1">
      <c r="A51" s="75">
        <v>38</v>
      </c>
      <c r="B51" s="78" t="s">
        <v>63</v>
      </c>
      <c r="C51" s="581"/>
    </row>
    <row r="52" spans="1:3" s="20" customFormat="1">
      <c r="A52" s="73">
        <v>39</v>
      </c>
      <c r="B52" s="78" t="s">
        <v>64</v>
      </c>
      <c r="C52" s="581">
        <f>+ROUND('Debt Int'!G32,0)</f>
        <v>-559</v>
      </c>
    </row>
    <row r="53" spans="1:3" s="20" customFormat="1">
      <c r="A53" s="75">
        <v>40</v>
      </c>
      <c r="B53" s="78" t="s">
        <v>366</v>
      </c>
      <c r="C53" s="581"/>
    </row>
    <row r="54" spans="1:3" s="20" customFormat="1">
      <c r="A54" s="75">
        <v>41</v>
      </c>
      <c r="B54" s="78" t="s">
        <v>65</v>
      </c>
      <c r="C54" s="581"/>
    </row>
    <row r="55" spans="1:3" s="20" customFormat="1">
      <c r="A55" s="73">
        <v>42</v>
      </c>
      <c r="B55" s="78" t="s">
        <v>238</v>
      </c>
      <c r="C55" s="582"/>
    </row>
    <row r="56" spans="1:3">
      <c r="A56" s="73">
        <v>45</v>
      </c>
      <c r="B56" s="79"/>
      <c r="C56" s="581"/>
    </row>
    <row r="57" spans="1:3" s="15" customFormat="1" ht="13.5" thickBot="1">
      <c r="A57" s="75">
        <v>46</v>
      </c>
      <c r="B57" s="76" t="s">
        <v>66</v>
      </c>
      <c r="C57" s="583">
        <f t="shared" ref="C57" si="7">C49-SUM(C52:C55)</f>
        <v>559</v>
      </c>
    </row>
    <row r="58" spans="1:3" ht="13.5" thickTop="1">
      <c r="A58" s="75">
        <v>47</v>
      </c>
      <c r="B58" s="2"/>
      <c r="C58" s="581"/>
    </row>
    <row r="59" spans="1:3">
      <c r="A59" s="73">
        <v>48</v>
      </c>
      <c r="B59" s="416" t="s">
        <v>21</v>
      </c>
      <c r="C59" s="581"/>
    </row>
    <row r="60" spans="1:3">
      <c r="A60" s="75">
        <v>49</v>
      </c>
      <c r="B60" s="63" t="s">
        <v>67</v>
      </c>
      <c r="C60" s="581"/>
    </row>
    <row r="61" spans="1:3" s="15" customFormat="1">
      <c r="A61" s="75">
        <v>50</v>
      </c>
      <c r="B61" s="396" t="s">
        <v>68</v>
      </c>
      <c r="C61" s="581">
        <v>0</v>
      </c>
    </row>
    <row r="62" spans="1:3" s="20" customFormat="1">
      <c r="A62" s="73">
        <v>51</v>
      </c>
      <c r="B62" s="397" t="s">
        <v>69</v>
      </c>
      <c r="C62" s="581">
        <v>0</v>
      </c>
    </row>
    <row r="63" spans="1:3" s="20" customFormat="1">
      <c r="A63" s="75">
        <v>52</v>
      </c>
      <c r="B63" s="397" t="s">
        <v>70</v>
      </c>
      <c r="C63" s="581">
        <v>0</v>
      </c>
    </row>
    <row r="64" spans="1:3" s="20" customFormat="1">
      <c r="A64" s="75">
        <v>53</v>
      </c>
      <c r="B64" s="397" t="s">
        <v>53</v>
      </c>
      <c r="C64" s="581">
        <v>0</v>
      </c>
    </row>
    <row r="65" spans="1:3" s="20" customFormat="1">
      <c r="A65" s="73">
        <v>54</v>
      </c>
      <c r="B65" s="397" t="s">
        <v>71</v>
      </c>
      <c r="C65" s="582">
        <v>0</v>
      </c>
    </row>
    <row r="66" spans="1:3" s="20" customFormat="1">
      <c r="A66" s="75">
        <v>55</v>
      </c>
      <c r="B66" s="398" t="s">
        <v>72</v>
      </c>
      <c r="C66" s="581">
        <f t="shared" ref="C66" si="8">SUM(C61:C65)</f>
        <v>0</v>
      </c>
    </row>
    <row r="67" spans="1:3" s="20" customFormat="1">
      <c r="A67" s="75">
        <v>56</v>
      </c>
      <c r="B67" s="78" t="s">
        <v>244</v>
      </c>
      <c r="C67" s="581">
        <v>0</v>
      </c>
    </row>
    <row r="68" spans="1:3" s="20" customFormat="1">
      <c r="A68" s="73">
        <v>57</v>
      </c>
      <c r="B68" s="78" t="s">
        <v>245</v>
      </c>
      <c r="C68" s="582">
        <v>0</v>
      </c>
    </row>
    <row r="69" spans="1:3" s="20" customFormat="1">
      <c r="A69" s="75">
        <v>58</v>
      </c>
      <c r="B69" s="397" t="s">
        <v>73</v>
      </c>
      <c r="C69" s="581">
        <f t="shared" ref="C69" si="9">SUM(C67:C68)</f>
        <v>0</v>
      </c>
    </row>
    <row r="70" spans="1:3" s="20" customFormat="1">
      <c r="A70" s="75">
        <v>59</v>
      </c>
      <c r="B70" s="78" t="s">
        <v>246</v>
      </c>
      <c r="C70" s="581">
        <v>0</v>
      </c>
    </row>
    <row r="71" spans="1:3" s="20" customFormat="1">
      <c r="A71" s="73">
        <v>60</v>
      </c>
      <c r="B71" s="78" t="s">
        <v>351</v>
      </c>
      <c r="C71" s="581"/>
    </row>
    <row r="72" spans="1:3" s="20" customFormat="1">
      <c r="A72" s="75">
        <v>61</v>
      </c>
      <c r="B72" s="78" t="s">
        <v>236</v>
      </c>
      <c r="C72" s="581"/>
    </row>
    <row r="73" spans="1:3" s="20" customFormat="1">
      <c r="A73" s="75">
        <v>62</v>
      </c>
      <c r="B73" s="78" t="s">
        <v>247</v>
      </c>
      <c r="C73" s="581"/>
    </row>
    <row r="74" spans="1:3" s="20" customFormat="1">
      <c r="A74" s="73">
        <v>63</v>
      </c>
      <c r="B74" s="78" t="s">
        <v>248</v>
      </c>
      <c r="C74" s="582">
        <v>0</v>
      </c>
    </row>
    <row r="75" spans="1:3" s="20" customFormat="1">
      <c r="A75" s="75">
        <v>64</v>
      </c>
      <c r="B75" s="79"/>
      <c r="C75" s="584"/>
    </row>
    <row r="76" spans="1:3" s="20" customFormat="1">
      <c r="A76" s="75">
        <v>65</v>
      </c>
      <c r="B76" s="79"/>
      <c r="C76" s="581"/>
    </row>
    <row r="77" spans="1:3" s="15" customFormat="1" ht="13.5" thickBot="1">
      <c r="A77" s="73">
        <v>66</v>
      </c>
      <c r="B77" s="425" t="s">
        <v>74</v>
      </c>
      <c r="C77" s="585">
        <f t="shared" ref="C77" si="10">C66-C69+C70+C72+C73+C74+C71</f>
        <v>0</v>
      </c>
    </row>
    <row r="78" spans="1:3" ht="13.5" thickTop="1">
      <c r="B78" s="83"/>
    </row>
    <row r="79" spans="1:3">
      <c r="A79" s="84"/>
      <c r="B79" s="38"/>
      <c r="C79" s="587"/>
    </row>
    <row r="80" spans="1:3">
      <c r="A80" s="89"/>
      <c r="B80" s="39"/>
    </row>
    <row r="81" spans="1:3">
      <c r="A81" s="73">
        <v>1</v>
      </c>
      <c r="B81" s="392" t="s">
        <v>116</v>
      </c>
    </row>
    <row r="82" spans="1:3">
      <c r="A82" s="73">
        <v>2</v>
      </c>
      <c r="B82" s="87" t="s">
        <v>18</v>
      </c>
      <c r="C82" s="588">
        <f t="shared" ref="C82" si="11">+C21</f>
        <v>0</v>
      </c>
    </row>
    <row r="83" spans="1:3">
      <c r="A83" s="73">
        <v>3</v>
      </c>
      <c r="B83" s="87" t="s">
        <v>19</v>
      </c>
      <c r="C83" s="581">
        <f t="shared" ref="C83" si="12">+C47</f>
        <v>0</v>
      </c>
    </row>
    <row r="84" spans="1:3">
      <c r="A84" s="73">
        <v>4</v>
      </c>
      <c r="B84" s="87" t="s">
        <v>274</v>
      </c>
      <c r="C84" s="581"/>
    </row>
    <row r="85" spans="1:3">
      <c r="A85" s="73">
        <v>5</v>
      </c>
      <c r="B85" s="399" t="s">
        <v>119</v>
      </c>
      <c r="C85" s="589">
        <f t="shared" ref="C85" si="13">+C82-C83-C84</f>
        <v>0</v>
      </c>
    </row>
    <row r="86" spans="1:3">
      <c r="A86" s="73">
        <v>6</v>
      </c>
      <c r="B86" s="91"/>
      <c r="C86" s="590"/>
    </row>
    <row r="87" spans="1:3">
      <c r="A87" s="73">
        <v>7</v>
      </c>
      <c r="B87" s="86" t="s">
        <v>120</v>
      </c>
      <c r="C87" s="590"/>
    </row>
    <row r="88" spans="1:3">
      <c r="A88" s="73">
        <v>8</v>
      </c>
      <c r="B88" s="87" t="s">
        <v>121</v>
      </c>
      <c r="C88" s="590"/>
    </row>
    <row r="89" spans="1:3">
      <c r="A89" s="73">
        <v>9</v>
      </c>
      <c r="B89" s="87" t="s">
        <v>130</v>
      </c>
      <c r="C89" s="590"/>
    </row>
    <row r="90" spans="1:3">
      <c r="A90" s="73">
        <v>10</v>
      </c>
      <c r="B90" s="87" t="s">
        <v>122</v>
      </c>
      <c r="C90" s="590"/>
    </row>
    <row r="91" spans="1:3">
      <c r="A91" s="73">
        <v>11</v>
      </c>
      <c r="B91" s="39"/>
      <c r="C91" s="590"/>
    </row>
    <row r="92" spans="1:3">
      <c r="A92" s="73">
        <v>12</v>
      </c>
      <c r="B92" s="86" t="s">
        <v>123</v>
      </c>
      <c r="C92" s="589">
        <f t="shared" ref="C92" si="14">SUM(C88:C90)</f>
        <v>0</v>
      </c>
    </row>
    <row r="93" spans="1:3">
      <c r="A93" s="73">
        <v>13</v>
      </c>
      <c r="B93" s="39"/>
      <c r="C93" s="590"/>
    </row>
    <row r="94" spans="1:3">
      <c r="A94" s="73">
        <v>14</v>
      </c>
      <c r="B94" s="86" t="s">
        <v>365</v>
      </c>
      <c r="C94" s="590"/>
    </row>
    <row r="95" spans="1:3">
      <c r="A95" s="73">
        <v>15</v>
      </c>
      <c r="B95" s="86" t="s">
        <v>178</v>
      </c>
      <c r="C95" s="590"/>
    </row>
    <row r="96" spans="1:3">
      <c r="A96" s="73">
        <v>16</v>
      </c>
      <c r="B96" s="87" t="s">
        <v>177</v>
      </c>
      <c r="C96" s="590"/>
    </row>
    <row r="97" spans="1:3">
      <c r="A97" s="73">
        <v>17</v>
      </c>
      <c r="B97" s="87" t="s">
        <v>275</v>
      </c>
      <c r="C97" s="590"/>
    </row>
    <row r="98" spans="1:3">
      <c r="A98" s="73">
        <v>18</v>
      </c>
      <c r="B98" s="87"/>
      <c r="C98" s="590"/>
    </row>
    <row r="99" spans="1:3">
      <c r="A99" s="73">
        <v>19</v>
      </c>
      <c r="B99" s="86" t="s">
        <v>125</v>
      </c>
      <c r="C99" s="589">
        <f t="shared" ref="C99" si="15">SUM(C95:C97)</f>
        <v>0</v>
      </c>
    </row>
    <row r="100" spans="1:3">
      <c r="A100" s="73">
        <v>20</v>
      </c>
      <c r="B100" s="39"/>
      <c r="C100" s="590"/>
    </row>
    <row r="101" spans="1:3">
      <c r="A101" s="73">
        <v>21</v>
      </c>
      <c r="B101" s="87" t="s">
        <v>255</v>
      </c>
      <c r="C101" s="584">
        <f t="shared" ref="C101" si="16">+C85+C92-C99</f>
        <v>0</v>
      </c>
    </row>
    <row r="102" spans="1:3">
      <c r="A102" s="73">
        <v>22</v>
      </c>
      <c r="B102" s="87" t="s">
        <v>126</v>
      </c>
      <c r="C102" s="591">
        <v>0.35</v>
      </c>
    </row>
    <row r="103" spans="1:3">
      <c r="A103" s="73">
        <v>23</v>
      </c>
      <c r="B103" s="86" t="s">
        <v>127</v>
      </c>
      <c r="C103" s="592">
        <f t="shared" ref="C103" si="17">C101*C102</f>
        <v>0</v>
      </c>
    </row>
    <row r="104" spans="1:3">
      <c r="A104" s="73">
        <v>24</v>
      </c>
      <c r="B104" s="87" t="s">
        <v>128</v>
      </c>
      <c r="C104" s="590">
        <f t="shared" ref="C104" si="18">+(C95-C88+C96)*C102</f>
        <v>0</v>
      </c>
    </row>
    <row r="105" spans="1:3" ht="13.5" thickBot="1">
      <c r="A105" s="73">
        <v>25</v>
      </c>
      <c r="B105" s="95" t="s">
        <v>129</v>
      </c>
      <c r="C105" s="593">
        <f t="shared" ref="C105" si="19">+C103+C104</f>
        <v>0</v>
      </c>
    </row>
    <row r="106" spans="1:3" ht="13.5" thickTop="1">
      <c r="A106" s="89"/>
    </row>
  </sheetData>
  <printOptions horizontalCentered="1"/>
  <pageMargins left="0.5" right="0.5" top="1.5" bottom="0.3" header="0.5" footer="0.5"/>
  <pageSetup scale="60" fitToWidth="0" orientation="portrait" useFirstPageNumber="1" r:id="rId1"/>
  <headerFooter scaleWithDoc="0" alignWithMargins="0">
    <oddHeader>&amp;L&amp;"Arial,Regular"&amp;10Avista Corporation
&amp;"Arial,Bold"Electric - Restating Adjustments (Schedule 1.2)&amp;"Arial,Regular"
Twelve Months Ended December 31, 2011&amp;R&amp;"Arial,Regular"&amp;10Exhibit No. ___ (JH-2)
Docket UE-120436 &amp;&amp; UG-120437
Page &amp;P of  &amp;N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6"/>
  <sheetViews>
    <sheetView topLeftCell="A9" zoomScale="75" zoomScaleNormal="75" workbookViewId="0">
      <pane xSplit="2" ySplit="4" topLeftCell="C40" activePane="bottomRight" state="frozen"/>
      <selection activeCell="G79" sqref="G79"/>
      <selection pane="topRight" activeCell="G79" sqref="G79"/>
      <selection pane="bottomLeft" activeCell="G79" sqref="G79"/>
      <selection pane="bottomRight" activeCell="C52" sqref="C52"/>
    </sheetView>
  </sheetViews>
  <sheetFormatPr defaultColWidth="9" defaultRowHeight="12.75"/>
  <cols>
    <col min="1" max="1" width="4.625" style="64" customWidth="1"/>
    <col min="2" max="2" width="42.5" style="63" bestFit="1" customWidth="1"/>
    <col min="3" max="3" width="13.625" style="586" customWidth="1"/>
    <col min="4" max="16384" width="9" style="14"/>
  </cols>
  <sheetData>
    <row r="1" spans="1:3">
      <c r="A1" s="56"/>
      <c r="B1" s="9" t="s">
        <v>281</v>
      </c>
      <c r="C1" s="572"/>
    </row>
    <row r="2" spans="1:3">
      <c r="A2" s="411"/>
      <c r="B2" s="14"/>
      <c r="C2" s="573" t="s">
        <v>250</v>
      </c>
    </row>
    <row r="3" spans="1:3">
      <c r="A3" s="411"/>
      <c r="B3" s="9"/>
      <c r="C3" s="573"/>
    </row>
    <row r="4" spans="1:3" ht="13.5" thickBot="1">
      <c r="A4" s="411"/>
      <c r="B4" s="9"/>
      <c r="C4" s="574"/>
    </row>
    <row r="5" spans="1:3" ht="13.5" thickTop="1">
      <c r="A5" s="402"/>
      <c r="B5" s="64" t="str">
        <f>+ROO!B2</f>
        <v>(000's of Dollars)</v>
      </c>
      <c r="C5" s="606"/>
    </row>
    <row r="6" spans="1:3">
      <c r="A6" s="62"/>
      <c r="B6" s="64"/>
      <c r="C6" s="606"/>
    </row>
    <row r="7" spans="1:3">
      <c r="A7" s="403"/>
      <c r="B7" s="66" t="s">
        <v>100</v>
      </c>
      <c r="C7" s="573" t="s">
        <v>176</v>
      </c>
    </row>
    <row r="8" spans="1:3">
      <c r="A8" s="403"/>
      <c r="B8" s="66"/>
      <c r="C8" s="573"/>
    </row>
    <row r="9" spans="1:3" s="70" customFormat="1">
      <c r="A9" s="69"/>
      <c r="B9" s="69"/>
      <c r="C9" s="576">
        <v>2.1800000000000002</v>
      </c>
    </row>
    <row r="10" spans="1:3" s="71" customFormat="1">
      <c r="A10" s="414"/>
      <c r="B10" s="420"/>
      <c r="C10" s="577" t="s">
        <v>3</v>
      </c>
    </row>
    <row r="11" spans="1:3" s="71" customFormat="1">
      <c r="A11" s="414" t="s">
        <v>5</v>
      </c>
      <c r="B11" s="420"/>
      <c r="C11" s="577" t="s">
        <v>388</v>
      </c>
    </row>
    <row r="12" spans="1:3" s="424" customFormat="1">
      <c r="A12" s="421" t="s">
        <v>10</v>
      </c>
      <c r="B12" s="422" t="s">
        <v>11</v>
      </c>
      <c r="C12" s="579" t="s">
        <v>16</v>
      </c>
    </row>
    <row r="13" spans="1:3" s="59" customFormat="1">
      <c r="A13" s="418"/>
      <c r="B13" s="419" t="s">
        <v>155</v>
      </c>
      <c r="C13" s="607"/>
    </row>
    <row r="14" spans="1:3">
      <c r="A14" s="73">
        <v>1</v>
      </c>
      <c r="B14" s="416" t="s">
        <v>98</v>
      </c>
      <c r="C14" s="608"/>
    </row>
    <row r="15" spans="1:3">
      <c r="A15" s="75">
        <v>2</v>
      </c>
      <c r="B15" s="63" t="s">
        <v>40</v>
      </c>
      <c r="C15" s="608"/>
    </row>
    <row r="16" spans="1:3" s="15" customFormat="1">
      <c r="A16" s="73">
        <v>3</v>
      </c>
      <c r="B16" s="76" t="s">
        <v>41</v>
      </c>
      <c r="C16" s="580"/>
    </row>
    <row r="17" spans="1:3" s="20" customFormat="1">
      <c r="A17" s="75">
        <v>4</v>
      </c>
      <c r="B17" s="78" t="s">
        <v>42</v>
      </c>
      <c r="C17" s="581">
        <v>0</v>
      </c>
    </row>
    <row r="18" spans="1:3" s="20" customFormat="1">
      <c r="A18" s="73">
        <v>5</v>
      </c>
      <c r="B18" s="78" t="s">
        <v>43</v>
      </c>
      <c r="C18" s="582">
        <v>0</v>
      </c>
    </row>
    <row r="19" spans="1:3" s="20" customFormat="1">
      <c r="A19" s="75">
        <v>6</v>
      </c>
      <c r="B19" s="397" t="s">
        <v>44</v>
      </c>
      <c r="C19" s="581">
        <f t="shared" ref="C19" si="0">SUM(C16:C18)</f>
        <v>0</v>
      </c>
    </row>
    <row r="20" spans="1:3" s="20" customFormat="1">
      <c r="A20" s="73">
        <v>7</v>
      </c>
      <c r="B20" s="78" t="s">
        <v>45</v>
      </c>
      <c r="C20" s="582">
        <v>0</v>
      </c>
    </row>
    <row r="21" spans="1:3" s="20" customFormat="1">
      <c r="A21" s="75">
        <v>8</v>
      </c>
      <c r="B21" s="397" t="s">
        <v>46</v>
      </c>
      <c r="C21" s="581">
        <f t="shared" ref="C21" si="1">SUM(C19:C20)</f>
        <v>0</v>
      </c>
    </row>
    <row r="22" spans="1:3" s="20" customFormat="1">
      <c r="A22" s="73">
        <v>9</v>
      </c>
      <c r="B22" s="79"/>
      <c r="C22" s="581"/>
    </row>
    <row r="23" spans="1:3" s="20" customFormat="1">
      <c r="A23" s="75">
        <v>10</v>
      </c>
      <c r="B23" s="78" t="s">
        <v>20</v>
      </c>
      <c r="C23" s="581"/>
    </row>
    <row r="24" spans="1:3" s="20" customFormat="1">
      <c r="A24" s="73">
        <v>11</v>
      </c>
      <c r="B24" s="78" t="s">
        <v>47</v>
      </c>
      <c r="C24" s="581"/>
    </row>
    <row r="25" spans="1:3" s="20" customFormat="1">
      <c r="A25" s="75">
        <v>12</v>
      </c>
      <c r="B25" s="397" t="s">
        <v>48</v>
      </c>
      <c r="C25" s="581">
        <v>0</v>
      </c>
    </row>
    <row r="26" spans="1:3" s="20" customFormat="1">
      <c r="A26" s="73">
        <v>13</v>
      </c>
      <c r="B26" s="397" t="s">
        <v>49</v>
      </c>
      <c r="C26" s="581">
        <v>0</v>
      </c>
    </row>
    <row r="27" spans="1:3" s="20" customFormat="1">
      <c r="A27" s="75">
        <v>14</v>
      </c>
      <c r="B27" s="397" t="s">
        <v>50</v>
      </c>
      <c r="C27" s="581">
        <v>0</v>
      </c>
    </row>
    <row r="28" spans="1:3" s="20" customFormat="1">
      <c r="A28" s="73">
        <v>15</v>
      </c>
      <c r="B28" s="393" t="s">
        <v>349</v>
      </c>
      <c r="C28" s="581"/>
    </row>
    <row r="29" spans="1:3" s="20" customFormat="1">
      <c r="A29" s="75">
        <v>16</v>
      </c>
      <c r="B29" s="397" t="s">
        <v>51</v>
      </c>
      <c r="C29" s="582">
        <v>0</v>
      </c>
    </row>
    <row r="30" spans="1:3" s="20" customFormat="1">
      <c r="A30" s="73">
        <v>17</v>
      </c>
      <c r="B30" s="398" t="s">
        <v>52</v>
      </c>
      <c r="C30" s="581">
        <f t="shared" ref="C30" si="2">SUM(C25:C29)</f>
        <v>0</v>
      </c>
    </row>
    <row r="31" spans="1:3" s="20" customFormat="1">
      <c r="A31" s="75">
        <v>18</v>
      </c>
      <c r="B31" s="79"/>
      <c r="C31" s="581"/>
    </row>
    <row r="32" spans="1:3" s="20" customFormat="1">
      <c r="A32" s="73">
        <v>19</v>
      </c>
      <c r="B32" s="78" t="s">
        <v>53</v>
      </c>
      <c r="C32" s="581"/>
    </row>
    <row r="33" spans="1:3" s="20" customFormat="1">
      <c r="A33" s="75">
        <v>20</v>
      </c>
      <c r="B33" s="397" t="s">
        <v>48</v>
      </c>
      <c r="C33" s="581">
        <v>0</v>
      </c>
    </row>
    <row r="34" spans="1:3" s="20" customFormat="1">
      <c r="A34" s="73">
        <v>21</v>
      </c>
      <c r="B34" s="397" t="s">
        <v>54</v>
      </c>
      <c r="C34" s="581">
        <v>0</v>
      </c>
    </row>
    <row r="35" spans="1:3" s="20" customFormat="1">
      <c r="A35" s="75">
        <v>22</v>
      </c>
      <c r="B35" s="397" t="s">
        <v>51</v>
      </c>
      <c r="C35" s="582">
        <v>0</v>
      </c>
    </row>
    <row r="36" spans="1:3" s="20" customFormat="1">
      <c r="A36" s="73">
        <v>23</v>
      </c>
      <c r="B36" s="398" t="s">
        <v>55</v>
      </c>
      <c r="C36" s="581">
        <f t="shared" ref="C36" si="3">SUM(C33:C35)</f>
        <v>0</v>
      </c>
    </row>
    <row r="37" spans="1:3" s="20" customFormat="1">
      <c r="A37" s="75">
        <v>24</v>
      </c>
      <c r="B37" s="79"/>
      <c r="C37" s="581"/>
    </row>
    <row r="38" spans="1:3" s="20" customFormat="1">
      <c r="A38" s="73">
        <v>25</v>
      </c>
      <c r="B38" s="78" t="s">
        <v>56</v>
      </c>
      <c r="C38" s="581">
        <v>0</v>
      </c>
    </row>
    <row r="39" spans="1:3" s="20" customFormat="1">
      <c r="A39" s="75">
        <v>26</v>
      </c>
      <c r="B39" s="78" t="s">
        <v>57</v>
      </c>
      <c r="C39" s="581">
        <v>0</v>
      </c>
    </row>
    <row r="40" spans="1:3" s="20" customFormat="1">
      <c r="A40" s="73">
        <v>27</v>
      </c>
      <c r="B40" s="78" t="s">
        <v>58</v>
      </c>
      <c r="C40" s="581">
        <v>0</v>
      </c>
    </row>
    <row r="41" spans="1:3" s="20" customFormat="1">
      <c r="A41" s="75">
        <v>28</v>
      </c>
      <c r="B41" s="79"/>
      <c r="C41" s="581">
        <v>0</v>
      </c>
    </row>
    <row r="42" spans="1:3" s="20" customFormat="1">
      <c r="A42" s="75">
        <v>29</v>
      </c>
      <c r="B42" s="78" t="s">
        <v>59</v>
      </c>
      <c r="C42" s="581">
        <v>0</v>
      </c>
    </row>
    <row r="43" spans="1:3" s="20" customFormat="1">
      <c r="A43" s="73">
        <v>30</v>
      </c>
      <c r="B43" s="397" t="s">
        <v>48</v>
      </c>
      <c r="C43" s="581">
        <v>-1130</v>
      </c>
    </row>
    <row r="44" spans="1:3" s="20" customFormat="1">
      <c r="A44" s="75">
        <v>31</v>
      </c>
      <c r="B44" s="397" t="s">
        <v>54</v>
      </c>
      <c r="C44" s="581">
        <v>0</v>
      </c>
    </row>
    <row r="45" spans="1:3" s="20" customFormat="1">
      <c r="A45" s="75">
        <v>32</v>
      </c>
      <c r="B45" s="397" t="s">
        <v>51</v>
      </c>
      <c r="C45" s="582">
        <v>0</v>
      </c>
    </row>
    <row r="46" spans="1:3" s="20" customFormat="1">
      <c r="A46" s="73">
        <v>33</v>
      </c>
      <c r="B46" s="398" t="s">
        <v>60</v>
      </c>
      <c r="C46" s="582">
        <f t="shared" ref="C46" si="4">SUM(C43:C45)</f>
        <v>-1130</v>
      </c>
    </row>
    <row r="47" spans="1:3" s="20" customFormat="1">
      <c r="A47" s="75">
        <v>34</v>
      </c>
      <c r="B47" s="78" t="s">
        <v>61</v>
      </c>
      <c r="C47" s="582">
        <f t="shared" ref="C47" si="5">C46+C40+C39+C38+C36+C30</f>
        <v>-1130</v>
      </c>
    </row>
    <row r="48" spans="1:3" s="20" customFormat="1">
      <c r="A48" s="75">
        <v>35</v>
      </c>
      <c r="B48" s="79"/>
      <c r="C48" s="581"/>
    </row>
    <row r="49" spans="1:3" s="20" customFormat="1">
      <c r="A49" s="73">
        <v>36</v>
      </c>
      <c r="B49" s="78" t="s">
        <v>62</v>
      </c>
      <c r="C49" s="581">
        <f t="shared" ref="C49" si="6">C21-C47</f>
        <v>1130</v>
      </c>
    </row>
    <row r="50" spans="1:3" s="20" customFormat="1">
      <c r="A50" s="75">
        <v>37</v>
      </c>
      <c r="B50" s="78"/>
      <c r="C50" s="581"/>
    </row>
    <row r="51" spans="1:3" s="20" customFormat="1">
      <c r="A51" s="75">
        <v>38</v>
      </c>
      <c r="B51" s="78" t="s">
        <v>63</v>
      </c>
      <c r="C51" s="581"/>
    </row>
    <row r="52" spans="1:3" s="20" customFormat="1">
      <c r="A52" s="73">
        <v>39</v>
      </c>
      <c r="B52" s="78" t="s">
        <v>64</v>
      </c>
      <c r="C52" s="581">
        <f>+ROUND(C105,0)</f>
        <v>396</v>
      </c>
    </row>
    <row r="53" spans="1:3" s="20" customFormat="1">
      <c r="A53" s="75">
        <v>40</v>
      </c>
      <c r="B53" s="78" t="s">
        <v>366</v>
      </c>
      <c r="C53" s="581"/>
    </row>
    <row r="54" spans="1:3" s="20" customFormat="1">
      <c r="A54" s="75">
        <v>41</v>
      </c>
      <c r="B54" s="78" t="s">
        <v>65</v>
      </c>
      <c r="C54" s="581"/>
    </row>
    <row r="55" spans="1:3" s="20" customFormat="1">
      <c r="A55" s="73">
        <v>42</v>
      </c>
      <c r="B55" s="78" t="s">
        <v>238</v>
      </c>
      <c r="C55" s="582"/>
    </row>
    <row r="56" spans="1:3">
      <c r="A56" s="73">
        <v>45</v>
      </c>
      <c r="B56" s="79"/>
      <c r="C56" s="581"/>
    </row>
    <row r="57" spans="1:3" s="15" customFormat="1" ht="13.5" thickBot="1">
      <c r="A57" s="75">
        <v>46</v>
      </c>
      <c r="B57" s="76" t="s">
        <v>66</v>
      </c>
      <c r="C57" s="583">
        <f t="shared" ref="C57" si="7">C49-SUM(C52:C55)</f>
        <v>734</v>
      </c>
    </row>
    <row r="58" spans="1:3" ht="13.5" thickTop="1">
      <c r="A58" s="75">
        <v>47</v>
      </c>
      <c r="B58" s="2"/>
      <c r="C58" s="581"/>
    </row>
    <row r="59" spans="1:3">
      <c r="A59" s="73">
        <v>48</v>
      </c>
      <c r="B59" s="416" t="s">
        <v>21</v>
      </c>
      <c r="C59" s="581"/>
    </row>
    <row r="60" spans="1:3">
      <c r="A60" s="75">
        <v>49</v>
      </c>
      <c r="B60" s="63" t="s">
        <v>67</v>
      </c>
      <c r="C60" s="581"/>
    </row>
    <row r="61" spans="1:3" s="15" customFormat="1">
      <c r="A61" s="75">
        <v>50</v>
      </c>
      <c r="B61" s="396" t="s">
        <v>68</v>
      </c>
      <c r="C61" s="581">
        <v>0</v>
      </c>
    </row>
    <row r="62" spans="1:3" s="20" customFormat="1">
      <c r="A62" s="73">
        <v>51</v>
      </c>
      <c r="B62" s="397" t="s">
        <v>69</v>
      </c>
      <c r="C62" s="581">
        <v>0</v>
      </c>
    </row>
    <row r="63" spans="1:3" s="20" customFormat="1">
      <c r="A63" s="75">
        <v>52</v>
      </c>
      <c r="B63" s="397" t="s">
        <v>70</v>
      </c>
      <c r="C63" s="581">
        <v>0</v>
      </c>
    </row>
    <row r="64" spans="1:3" s="20" customFormat="1">
      <c r="A64" s="75">
        <v>53</v>
      </c>
      <c r="B64" s="397" t="s">
        <v>53</v>
      </c>
      <c r="C64" s="581">
        <v>0</v>
      </c>
    </row>
    <row r="65" spans="1:3" s="20" customFormat="1">
      <c r="A65" s="73">
        <v>54</v>
      </c>
      <c r="B65" s="397" t="s">
        <v>71</v>
      </c>
      <c r="C65" s="582">
        <v>0</v>
      </c>
    </row>
    <row r="66" spans="1:3" s="20" customFormat="1">
      <c r="A66" s="75">
        <v>55</v>
      </c>
      <c r="B66" s="398" t="s">
        <v>72</v>
      </c>
      <c r="C66" s="581">
        <f t="shared" ref="C66" si="8">SUM(C61:C65)</f>
        <v>0</v>
      </c>
    </row>
    <row r="67" spans="1:3" s="20" customFormat="1">
      <c r="A67" s="75">
        <v>56</v>
      </c>
      <c r="B67" s="78" t="s">
        <v>244</v>
      </c>
      <c r="C67" s="581">
        <v>0</v>
      </c>
    </row>
    <row r="68" spans="1:3" s="20" customFormat="1">
      <c r="A68" s="73">
        <v>57</v>
      </c>
      <c r="B68" s="78" t="s">
        <v>245</v>
      </c>
      <c r="C68" s="582">
        <v>0</v>
      </c>
    </row>
    <row r="69" spans="1:3" s="20" customFormat="1">
      <c r="A69" s="75">
        <v>58</v>
      </c>
      <c r="B69" s="397" t="s">
        <v>73</v>
      </c>
      <c r="C69" s="581">
        <f t="shared" ref="C69" si="9">SUM(C67:C68)</f>
        <v>0</v>
      </c>
    </row>
    <row r="70" spans="1:3" s="20" customFormat="1">
      <c r="A70" s="75">
        <v>59</v>
      </c>
      <c r="B70" s="78" t="s">
        <v>246</v>
      </c>
      <c r="C70" s="581">
        <v>0</v>
      </c>
    </row>
    <row r="71" spans="1:3" s="20" customFormat="1">
      <c r="A71" s="73">
        <v>60</v>
      </c>
      <c r="B71" s="78" t="s">
        <v>351</v>
      </c>
      <c r="C71" s="581"/>
    </row>
    <row r="72" spans="1:3" s="20" customFormat="1">
      <c r="A72" s="75">
        <v>61</v>
      </c>
      <c r="B72" s="78" t="s">
        <v>236</v>
      </c>
      <c r="C72" s="581"/>
    </row>
    <row r="73" spans="1:3" s="20" customFormat="1">
      <c r="A73" s="75">
        <v>62</v>
      </c>
      <c r="B73" s="78" t="s">
        <v>247</v>
      </c>
      <c r="C73" s="581"/>
    </row>
    <row r="74" spans="1:3" s="20" customFormat="1">
      <c r="A74" s="73">
        <v>63</v>
      </c>
      <c r="B74" s="78" t="s">
        <v>248</v>
      </c>
      <c r="C74" s="582">
        <v>0</v>
      </c>
    </row>
    <row r="75" spans="1:3" s="20" customFormat="1">
      <c r="A75" s="75">
        <v>64</v>
      </c>
      <c r="B75" s="79"/>
      <c r="C75" s="584"/>
    </row>
    <row r="76" spans="1:3" s="20" customFormat="1">
      <c r="A76" s="75">
        <v>65</v>
      </c>
      <c r="B76" s="79"/>
      <c r="C76" s="581"/>
    </row>
    <row r="77" spans="1:3" s="15" customFormat="1" ht="13.5" thickBot="1">
      <c r="A77" s="73">
        <v>66</v>
      </c>
      <c r="B77" s="425" t="s">
        <v>74</v>
      </c>
      <c r="C77" s="585">
        <f t="shared" ref="C77" si="10">C66-C69+C70+C72+C73+C74+C71</f>
        <v>0</v>
      </c>
    </row>
    <row r="78" spans="1:3" ht="13.5" thickTop="1">
      <c r="B78" s="83"/>
    </row>
    <row r="79" spans="1:3">
      <c r="A79" s="84"/>
      <c r="B79" s="38"/>
      <c r="C79" s="587"/>
    </row>
    <row r="80" spans="1:3">
      <c r="A80" s="89"/>
      <c r="B80" s="39"/>
    </row>
    <row r="81" spans="1:3">
      <c r="A81" s="73">
        <v>1</v>
      </c>
      <c r="B81" s="392" t="s">
        <v>116</v>
      </c>
    </row>
    <row r="82" spans="1:3">
      <c r="A82" s="73">
        <v>2</v>
      </c>
      <c r="B82" s="87" t="s">
        <v>18</v>
      </c>
      <c r="C82" s="588">
        <f t="shared" ref="C82" si="11">+C21</f>
        <v>0</v>
      </c>
    </row>
    <row r="83" spans="1:3">
      <c r="A83" s="73">
        <v>3</v>
      </c>
      <c r="B83" s="87" t="s">
        <v>19</v>
      </c>
      <c r="C83" s="581">
        <f t="shared" ref="C83" si="12">+C47</f>
        <v>-1130</v>
      </c>
    </row>
    <row r="84" spans="1:3">
      <c r="A84" s="73">
        <v>4</v>
      </c>
      <c r="B84" s="87" t="s">
        <v>274</v>
      </c>
      <c r="C84" s="581"/>
    </row>
    <row r="85" spans="1:3">
      <c r="A85" s="73">
        <v>5</v>
      </c>
      <c r="B85" s="399" t="s">
        <v>119</v>
      </c>
      <c r="C85" s="589">
        <f t="shared" ref="C85" si="13">+C82-C83-C84</f>
        <v>1130</v>
      </c>
    </row>
    <row r="86" spans="1:3">
      <c r="A86" s="73">
        <v>6</v>
      </c>
      <c r="B86" s="91"/>
      <c r="C86" s="590"/>
    </row>
    <row r="87" spans="1:3">
      <c r="A87" s="73">
        <v>7</v>
      </c>
      <c r="B87" s="86" t="s">
        <v>120</v>
      </c>
      <c r="C87" s="590"/>
    </row>
    <row r="88" spans="1:3">
      <c r="A88" s="73">
        <v>8</v>
      </c>
      <c r="B88" s="87" t="s">
        <v>121</v>
      </c>
      <c r="C88" s="590"/>
    </row>
    <row r="89" spans="1:3">
      <c r="A89" s="73">
        <v>9</v>
      </c>
      <c r="B89" s="87" t="s">
        <v>130</v>
      </c>
      <c r="C89" s="590"/>
    </row>
    <row r="90" spans="1:3">
      <c r="A90" s="73">
        <v>10</v>
      </c>
      <c r="B90" s="87" t="s">
        <v>122</v>
      </c>
      <c r="C90" s="590"/>
    </row>
    <row r="91" spans="1:3">
      <c r="A91" s="73">
        <v>11</v>
      </c>
      <c r="B91" s="39"/>
      <c r="C91" s="590"/>
    </row>
    <row r="92" spans="1:3">
      <c r="A92" s="73">
        <v>12</v>
      </c>
      <c r="B92" s="86" t="s">
        <v>123</v>
      </c>
      <c r="C92" s="589">
        <f t="shared" ref="C92" si="14">SUM(C88:C90)</f>
        <v>0</v>
      </c>
    </row>
    <row r="93" spans="1:3">
      <c r="A93" s="73">
        <v>13</v>
      </c>
      <c r="B93" s="39"/>
      <c r="C93" s="590"/>
    </row>
    <row r="94" spans="1:3">
      <c r="A94" s="73">
        <v>14</v>
      </c>
      <c r="B94" s="86" t="s">
        <v>365</v>
      </c>
      <c r="C94" s="590"/>
    </row>
    <row r="95" spans="1:3">
      <c r="A95" s="73">
        <v>15</v>
      </c>
      <c r="B95" s="86" t="s">
        <v>178</v>
      </c>
      <c r="C95" s="590"/>
    </row>
    <row r="96" spans="1:3">
      <c r="A96" s="73">
        <v>16</v>
      </c>
      <c r="B96" s="87" t="s">
        <v>177</v>
      </c>
      <c r="C96" s="590"/>
    </row>
    <row r="97" spans="1:3">
      <c r="A97" s="73">
        <v>17</v>
      </c>
      <c r="B97" s="87" t="s">
        <v>275</v>
      </c>
      <c r="C97" s="590"/>
    </row>
    <row r="98" spans="1:3">
      <c r="A98" s="73">
        <v>18</v>
      </c>
      <c r="B98" s="87"/>
      <c r="C98" s="590"/>
    </row>
    <row r="99" spans="1:3">
      <c r="A99" s="73">
        <v>19</v>
      </c>
      <c r="B99" s="86" t="s">
        <v>125</v>
      </c>
      <c r="C99" s="589">
        <f t="shared" ref="C99" si="15">SUM(C95:C97)</f>
        <v>0</v>
      </c>
    </row>
    <row r="100" spans="1:3">
      <c r="A100" s="73">
        <v>20</v>
      </c>
      <c r="B100" s="39"/>
      <c r="C100" s="590"/>
    </row>
    <row r="101" spans="1:3">
      <c r="A101" s="73">
        <v>21</v>
      </c>
      <c r="B101" s="87" t="s">
        <v>255</v>
      </c>
      <c r="C101" s="584">
        <f t="shared" ref="C101" si="16">+C85+C92-C99</f>
        <v>1130</v>
      </c>
    </row>
    <row r="102" spans="1:3">
      <c r="A102" s="73">
        <v>22</v>
      </c>
      <c r="B102" s="87" t="s">
        <v>126</v>
      </c>
      <c r="C102" s="591">
        <v>0.35</v>
      </c>
    </row>
    <row r="103" spans="1:3">
      <c r="A103" s="73">
        <v>23</v>
      </c>
      <c r="B103" s="86" t="s">
        <v>127</v>
      </c>
      <c r="C103" s="592">
        <f t="shared" ref="C103" si="17">C101*C102</f>
        <v>395.5</v>
      </c>
    </row>
    <row r="104" spans="1:3">
      <c r="A104" s="73">
        <v>24</v>
      </c>
      <c r="B104" s="87" t="s">
        <v>128</v>
      </c>
      <c r="C104" s="590">
        <f t="shared" ref="C104" si="18">+(C95-C88+C96)*C102</f>
        <v>0</v>
      </c>
    </row>
    <row r="105" spans="1:3" ht="13.5" thickBot="1">
      <c r="A105" s="73">
        <v>25</v>
      </c>
      <c r="B105" s="95" t="s">
        <v>129</v>
      </c>
      <c r="C105" s="593">
        <f t="shared" ref="C105" si="19">+C103+C104</f>
        <v>395.5</v>
      </c>
    </row>
    <row r="106" spans="1:3" ht="13.5" thickTop="1">
      <c r="A106" s="89"/>
    </row>
  </sheetData>
  <printOptions horizontalCentered="1"/>
  <pageMargins left="0.5" right="0.5" top="1.5" bottom="0.3" header="0.5" footer="0.5"/>
  <pageSetup scale="60" fitToWidth="0" orientation="portrait" useFirstPageNumber="1" r:id="rId1"/>
  <headerFooter scaleWithDoc="0" alignWithMargins="0">
    <oddHeader>&amp;L&amp;"Arial,Regular"&amp;10Avista Corporation
&amp;"Arial,Bold"Electric - Restating Adjustments (Schedule 1.2)&amp;"Arial,Regular"
Twelve Months Ended December 31, 2011&amp;R&amp;"Arial,Regular"&amp;10Exhibit No. ___ (JH-2)
Docket UE-120436 &amp;&amp; UG-120437
Page &amp;P of  &amp;N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5" zoomScaleNormal="75" workbookViewId="0">
      <pane xSplit="2" ySplit="12" topLeftCell="C37" activePane="bottomRight" state="frozen"/>
      <selection activeCell="G79" sqref="G79"/>
      <selection pane="topRight" activeCell="G79" sqref="G79"/>
      <selection pane="bottomLeft" activeCell="G79" sqref="G79"/>
      <selection pane="bottomRight" activeCell="C53" sqref="C53"/>
    </sheetView>
  </sheetViews>
  <sheetFormatPr defaultColWidth="10.625" defaultRowHeight="12.75"/>
  <cols>
    <col min="1" max="1" width="4.375" style="64" bestFit="1" customWidth="1"/>
    <col min="2" max="2" width="36.5" style="63" bestFit="1" customWidth="1"/>
    <col min="3" max="3" width="13.625" style="586" customWidth="1"/>
    <col min="4" max="9" width="9" style="101" customWidth="1"/>
    <col min="10" max="10" width="11.625" style="65" hidden="1" customWidth="1"/>
    <col min="11" max="11" width="5" style="14" customWidth="1"/>
    <col min="12" max="12" width="2.75" style="14" customWidth="1"/>
    <col min="13" max="13" width="11.75" style="14" customWidth="1"/>
    <col min="14" max="14" width="2.625" style="14" customWidth="1"/>
    <col min="15" max="15" width="10.875" style="14" customWidth="1"/>
    <col min="16" max="16" width="6.75" style="14" customWidth="1"/>
    <col min="17" max="18" width="9.625" style="14" customWidth="1"/>
    <col min="19" max="19" width="10.625" style="14" customWidth="1"/>
    <col min="20" max="20" width="6.75" style="14" customWidth="1"/>
    <col min="21" max="16384" width="10.625" style="14"/>
  </cols>
  <sheetData>
    <row r="1" spans="1:13">
      <c r="A1" s="56"/>
      <c r="B1" s="9" t="s">
        <v>281</v>
      </c>
      <c r="C1" s="572"/>
      <c r="D1" s="14"/>
      <c r="E1" s="14"/>
      <c r="F1" s="14"/>
      <c r="G1" s="14"/>
      <c r="H1" s="14"/>
      <c r="I1" s="14"/>
    </row>
    <row r="2" spans="1:13">
      <c r="A2" s="411"/>
      <c r="B2" s="14"/>
      <c r="C2" s="573" t="s">
        <v>383</v>
      </c>
      <c r="D2" s="14"/>
      <c r="E2" s="14"/>
      <c r="F2" s="14"/>
      <c r="G2" s="14"/>
      <c r="H2" s="14"/>
      <c r="I2" s="14"/>
    </row>
    <row r="3" spans="1:13">
      <c r="A3" s="411"/>
      <c r="B3" s="14"/>
      <c r="D3" s="14"/>
      <c r="E3" s="14"/>
      <c r="F3" s="14"/>
      <c r="G3" s="14"/>
      <c r="H3" s="14"/>
      <c r="I3" s="14"/>
    </row>
    <row r="4" spans="1:13" ht="13.5" thickBot="1">
      <c r="A4" s="411"/>
      <c r="B4" s="14"/>
      <c r="C4" s="574"/>
      <c r="D4" s="14"/>
      <c r="E4" s="14"/>
      <c r="F4" s="14"/>
      <c r="G4" s="14"/>
      <c r="H4" s="14"/>
      <c r="I4" s="14"/>
    </row>
    <row r="5" spans="1:13" ht="13.5" thickTop="1">
      <c r="A5" s="402"/>
      <c r="B5" s="64" t="str">
        <f>+Restating!B5</f>
        <v>(000's of Dollars)</v>
      </c>
    </row>
    <row r="6" spans="1:13">
      <c r="A6" s="62"/>
    </row>
    <row r="7" spans="1:13">
      <c r="A7" s="403"/>
      <c r="B7" s="64" t="s">
        <v>100</v>
      </c>
      <c r="C7" s="609" t="s">
        <v>102</v>
      </c>
    </row>
    <row r="8" spans="1:13">
      <c r="A8" s="403"/>
      <c r="B8" s="64"/>
      <c r="C8" s="609"/>
    </row>
    <row r="9" spans="1:13">
      <c r="A9" s="62"/>
      <c r="C9" s="596">
        <v>3</v>
      </c>
    </row>
    <row r="10" spans="1:13" s="71" customFormat="1">
      <c r="A10" s="414"/>
      <c r="B10" s="420"/>
      <c r="C10" s="602" t="s">
        <v>96</v>
      </c>
      <c r="J10" s="68"/>
    </row>
    <row r="11" spans="1:13" s="71" customFormat="1">
      <c r="A11" s="414" t="s">
        <v>5</v>
      </c>
      <c r="B11" s="420"/>
      <c r="C11" s="602" t="s">
        <v>8</v>
      </c>
      <c r="J11" s="68"/>
    </row>
    <row r="12" spans="1:13" s="71" customFormat="1">
      <c r="A12" s="421" t="s">
        <v>10</v>
      </c>
      <c r="B12" s="422" t="s">
        <v>11</v>
      </c>
      <c r="C12" s="579" t="s">
        <v>14</v>
      </c>
      <c r="J12" s="68"/>
    </row>
    <row r="13" spans="1:13" s="72" customFormat="1">
      <c r="A13" s="418"/>
      <c r="B13" s="115" t="s">
        <v>155</v>
      </c>
      <c r="C13" s="577"/>
      <c r="J13" s="60"/>
    </row>
    <row r="14" spans="1:13">
      <c r="A14" s="73">
        <v>1</v>
      </c>
      <c r="B14" s="416" t="s">
        <v>98</v>
      </c>
      <c r="C14" s="608"/>
      <c r="J14" s="61"/>
    </row>
    <row r="15" spans="1:13">
      <c r="A15" s="75">
        <v>2</v>
      </c>
      <c r="B15" s="63" t="s">
        <v>40</v>
      </c>
      <c r="C15" s="608"/>
      <c r="J15" s="61"/>
    </row>
    <row r="16" spans="1:13" s="15" customFormat="1">
      <c r="A16" s="75">
        <v>3</v>
      </c>
      <c r="B16" s="76" t="s">
        <v>41</v>
      </c>
      <c r="C16" s="580"/>
      <c r="J16" s="77"/>
      <c r="K16" s="104"/>
      <c r="L16" s="104"/>
      <c r="M16" s="104"/>
    </row>
    <row r="17" spans="1:10" s="20" customFormat="1">
      <c r="A17" s="73">
        <v>4</v>
      </c>
      <c r="B17" s="78" t="s">
        <v>42</v>
      </c>
      <c r="C17" s="581"/>
      <c r="J17" s="105"/>
    </row>
    <row r="18" spans="1:10" s="20" customFormat="1">
      <c r="A18" s="75">
        <v>5</v>
      </c>
      <c r="B18" s="78" t="s">
        <v>43</v>
      </c>
      <c r="C18" s="582">
        <v>-21549</v>
      </c>
      <c r="J18" s="107"/>
    </row>
    <row r="19" spans="1:10" s="20" customFormat="1">
      <c r="A19" s="75">
        <v>6</v>
      </c>
      <c r="B19" s="397" t="s">
        <v>44</v>
      </c>
      <c r="C19" s="581">
        <f t="shared" ref="C19" si="0">SUM(C16:C18)</f>
        <v>-21549</v>
      </c>
    </row>
    <row r="20" spans="1:10" s="20" customFormat="1">
      <c r="A20" s="73">
        <v>7</v>
      </c>
      <c r="B20" s="78" t="s">
        <v>45</v>
      </c>
      <c r="C20" s="582">
        <v>-118125</v>
      </c>
      <c r="J20" s="107"/>
    </row>
    <row r="21" spans="1:10" s="20" customFormat="1">
      <c r="A21" s="75">
        <v>8</v>
      </c>
      <c r="B21" s="397" t="s">
        <v>46</v>
      </c>
      <c r="C21" s="581">
        <f t="shared" ref="C21" si="1">SUM(C19:C20)</f>
        <v>-139674</v>
      </c>
    </row>
    <row r="22" spans="1:10" s="20" customFormat="1">
      <c r="A22" s="75">
        <v>9</v>
      </c>
      <c r="B22" s="78"/>
      <c r="C22" s="581"/>
      <c r="J22" s="105"/>
    </row>
    <row r="23" spans="1:10" s="20" customFormat="1">
      <c r="A23" s="73">
        <v>10</v>
      </c>
      <c r="B23" s="78" t="s">
        <v>20</v>
      </c>
      <c r="C23" s="581"/>
      <c r="J23" s="105"/>
    </row>
    <row r="24" spans="1:10" s="20" customFormat="1">
      <c r="A24" s="75">
        <v>11</v>
      </c>
      <c r="B24" s="78" t="s">
        <v>47</v>
      </c>
      <c r="C24" s="581"/>
      <c r="J24" s="105"/>
    </row>
    <row r="25" spans="1:10" s="20" customFormat="1">
      <c r="A25" s="75">
        <v>12</v>
      </c>
      <c r="B25" s="397" t="s">
        <v>48</v>
      </c>
      <c r="C25" s="581">
        <v>-97488</v>
      </c>
      <c r="J25" s="105"/>
    </row>
    <row r="26" spans="1:10" s="20" customFormat="1">
      <c r="A26" s="73">
        <v>13</v>
      </c>
      <c r="B26" s="397" t="s">
        <v>49</v>
      </c>
      <c r="C26" s="581">
        <v>-39243</v>
      </c>
      <c r="J26" s="105"/>
    </row>
    <row r="27" spans="1:10" s="20" customFormat="1">
      <c r="A27" s="75">
        <v>14</v>
      </c>
      <c r="B27" s="397" t="s">
        <v>50</v>
      </c>
      <c r="C27" s="581"/>
      <c r="J27" s="105"/>
    </row>
    <row r="28" spans="1:10" s="20" customFormat="1">
      <c r="A28" s="73">
        <v>15</v>
      </c>
      <c r="B28" s="393" t="s">
        <v>349</v>
      </c>
      <c r="C28" s="581"/>
      <c r="J28" s="105"/>
    </row>
    <row r="29" spans="1:10" s="20" customFormat="1">
      <c r="A29" s="75">
        <v>16</v>
      </c>
      <c r="B29" s="397" t="s">
        <v>51</v>
      </c>
      <c r="C29" s="582"/>
      <c r="J29" s="107"/>
    </row>
    <row r="30" spans="1:10" s="20" customFormat="1">
      <c r="A30" s="75">
        <v>17</v>
      </c>
      <c r="B30" s="398" t="s">
        <v>52</v>
      </c>
      <c r="C30" s="581">
        <f t="shared" ref="C30" si="2">SUM(C25:C29)</f>
        <v>-136731</v>
      </c>
    </row>
    <row r="31" spans="1:10" s="20" customFormat="1">
      <c r="A31" s="73">
        <v>18</v>
      </c>
      <c r="B31" s="78"/>
      <c r="C31" s="581"/>
      <c r="J31" s="105"/>
    </row>
    <row r="32" spans="1:10" s="20" customFormat="1">
      <c r="A32" s="75">
        <v>19</v>
      </c>
      <c r="B32" s="78" t="s">
        <v>53</v>
      </c>
      <c r="C32" s="581"/>
      <c r="J32" s="105"/>
    </row>
    <row r="33" spans="1:18" s="20" customFormat="1">
      <c r="A33" s="73">
        <v>20</v>
      </c>
      <c r="B33" s="397" t="s">
        <v>48</v>
      </c>
      <c r="C33" s="581"/>
      <c r="J33" s="105"/>
    </row>
    <row r="34" spans="1:18" s="20" customFormat="1">
      <c r="A34" s="75">
        <v>21</v>
      </c>
      <c r="B34" s="397" t="s">
        <v>54</v>
      </c>
      <c r="C34" s="581"/>
      <c r="J34" s="105"/>
    </row>
    <row r="35" spans="1:18" s="20" customFormat="1">
      <c r="A35" s="75">
        <v>22</v>
      </c>
      <c r="B35" s="397" t="s">
        <v>51</v>
      </c>
      <c r="C35" s="582"/>
      <c r="J35" s="107"/>
    </row>
    <row r="36" spans="1:18" s="20" customFormat="1">
      <c r="A36" s="73">
        <v>23</v>
      </c>
      <c r="B36" s="398" t="s">
        <v>55</v>
      </c>
      <c r="C36" s="581">
        <f t="shared" ref="C36" si="3">SUM(C33:C35)</f>
        <v>0</v>
      </c>
    </row>
    <row r="37" spans="1:18" s="20" customFormat="1">
      <c r="A37" s="75">
        <v>24</v>
      </c>
      <c r="B37" s="78"/>
      <c r="C37" s="581"/>
      <c r="J37" s="105"/>
    </row>
    <row r="38" spans="1:18" s="20" customFormat="1">
      <c r="A38" s="73">
        <v>25</v>
      </c>
      <c r="B38" s="78" t="s">
        <v>56</v>
      </c>
      <c r="C38" s="581"/>
      <c r="J38" s="105"/>
      <c r="K38" s="108"/>
      <c r="L38" s="101"/>
      <c r="O38" s="106"/>
      <c r="P38" s="109"/>
      <c r="Q38" s="109"/>
      <c r="R38" s="109"/>
    </row>
    <row r="39" spans="1:18" s="20" customFormat="1">
      <c r="A39" s="75">
        <v>26</v>
      </c>
      <c r="B39" s="78" t="s">
        <v>57</v>
      </c>
      <c r="C39" s="581"/>
      <c r="J39" s="105"/>
      <c r="M39" s="110"/>
      <c r="O39" s="81"/>
      <c r="P39" s="81"/>
      <c r="Q39" s="81"/>
      <c r="R39" s="109"/>
    </row>
    <row r="40" spans="1:18" s="20" customFormat="1">
      <c r="A40" s="75">
        <v>27</v>
      </c>
      <c r="B40" s="78" t="s">
        <v>58</v>
      </c>
      <c r="C40" s="581"/>
      <c r="J40" s="105"/>
      <c r="M40" s="110"/>
    </row>
    <row r="41" spans="1:18" s="20" customFormat="1">
      <c r="A41" s="73">
        <v>28</v>
      </c>
      <c r="B41" s="78"/>
      <c r="C41" s="581"/>
      <c r="J41" s="105"/>
    </row>
    <row r="42" spans="1:18" s="20" customFormat="1">
      <c r="A42" s="75">
        <v>29</v>
      </c>
      <c r="B42" s="78" t="s">
        <v>59</v>
      </c>
      <c r="C42" s="581"/>
      <c r="J42" s="105"/>
    </row>
    <row r="43" spans="1:18" s="20" customFormat="1">
      <c r="A43" s="73">
        <v>30</v>
      </c>
      <c r="B43" s="397" t="s">
        <v>48</v>
      </c>
      <c r="C43" s="581"/>
      <c r="J43" s="105"/>
    </row>
    <row r="44" spans="1:18" s="20" customFormat="1">
      <c r="A44" s="75">
        <v>31</v>
      </c>
      <c r="B44" s="397" t="s">
        <v>54</v>
      </c>
      <c r="C44" s="581"/>
      <c r="J44" s="105"/>
    </row>
    <row r="45" spans="1:18" s="20" customFormat="1">
      <c r="A45" s="75">
        <v>32</v>
      </c>
      <c r="B45" s="397" t="s">
        <v>51</v>
      </c>
      <c r="C45" s="582"/>
      <c r="J45" s="107"/>
    </row>
    <row r="46" spans="1:18" s="20" customFormat="1">
      <c r="A46" s="73">
        <v>33</v>
      </c>
      <c r="B46" s="398" t="s">
        <v>60</v>
      </c>
      <c r="C46" s="582">
        <f t="shared" ref="C46" si="4">SUM(C43:C45)</f>
        <v>0</v>
      </c>
      <c r="J46" s="111"/>
    </row>
    <row r="47" spans="1:18" s="20" customFormat="1">
      <c r="A47" s="75">
        <v>34</v>
      </c>
      <c r="B47" s="78" t="s">
        <v>61</v>
      </c>
      <c r="C47" s="582">
        <f t="shared" ref="C47" si="5">C46+C40+C39+C38+C36+C30</f>
        <v>-136731</v>
      </c>
      <c r="J47" s="111"/>
    </row>
    <row r="48" spans="1:18" s="20" customFormat="1">
      <c r="A48" s="73">
        <v>35</v>
      </c>
      <c r="B48" s="78"/>
      <c r="C48" s="581"/>
    </row>
    <row r="49" spans="1:18" s="20" customFormat="1">
      <c r="A49" s="75">
        <v>36</v>
      </c>
      <c r="B49" s="78" t="s">
        <v>62</v>
      </c>
      <c r="C49" s="581">
        <v>-2943</v>
      </c>
    </row>
    <row r="50" spans="1:18" s="20" customFormat="1">
      <c r="A50" s="75">
        <v>37</v>
      </c>
      <c r="B50" s="78"/>
      <c r="C50" s="581"/>
      <c r="J50" s="105"/>
    </row>
    <row r="51" spans="1:18" s="20" customFormat="1">
      <c r="A51" s="73">
        <v>38</v>
      </c>
      <c r="B51" s="78" t="s">
        <v>63</v>
      </c>
      <c r="C51" s="581"/>
      <c r="J51" s="105"/>
    </row>
    <row r="52" spans="1:18" s="20" customFormat="1">
      <c r="A52" s="75">
        <v>39</v>
      </c>
      <c r="B52" s="78" t="s">
        <v>64</v>
      </c>
      <c r="C52" s="581">
        <f>+ROUND(C104,0)</f>
        <v>-1030</v>
      </c>
      <c r="J52" s="105"/>
      <c r="N52" s="15"/>
    </row>
    <row r="53" spans="1:18" s="20" customFormat="1">
      <c r="A53" s="75">
        <v>40</v>
      </c>
      <c r="B53" s="78" t="s">
        <v>366</v>
      </c>
      <c r="C53" s="581">
        <f>+(C77*' Capital '!$J$13)*-35%</f>
        <v>0</v>
      </c>
      <c r="J53" s="105"/>
      <c r="N53" s="15"/>
    </row>
    <row r="54" spans="1:18" s="20" customFormat="1">
      <c r="A54" s="73">
        <v>41</v>
      </c>
      <c r="B54" s="78" t="s">
        <v>65</v>
      </c>
      <c r="C54" s="581"/>
      <c r="J54" s="105"/>
      <c r="M54" s="15"/>
      <c r="N54" s="14"/>
    </row>
    <row r="55" spans="1:18" s="20" customFormat="1">
      <c r="A55" s="75">
        <v>42</v>
      </c>
      <c r="B55" s="78" t="s">
        <v>238</v>
      </c>
      <c r="C55" s="581"/>
      <c r="J55" s="105"/>
      <c r="M55" s="15"/>
      <c r="N55" s="14"/>
    </row>
    <row r="56" spans="1:18" s="20" customFormat="1">
      <c r="A56" s="75">
        <v>43</v>
      </c>
      <c r="B56" s="78"/>
      <c r="C56" s="581"/>
      <c r="J56" s="105"/>
      <c r="M56" s="15"/>
      <c r="N56" s="14"/>
    </row>
    <row r="57" spans="1:18">
      <c r="A57" s="73">
        <v>44</v>
      </c>
      <c r="C57" s="581"/>
      <c r="O57" s="15"/>
      <c r="P57" s="15"/>
      <c r="Q57" s="15"/>
      <c r="R57" s="15"/>
    </row>
    <row r="58" spans="1:18" s="15" customFormat="1" ht="13.5" thickBot="1">
      <c r="A58" s="75">
        <v>45</v>
      </c>
      <c r="B58" s="76" t="s">
        <v>66</v>
      </c>
      <c r="C58" s="598">
        <f t="shared" ref="C58" si="6">C49-SUM(C52:C56)</f>
        <v>-1913</v>
      </c>
      <c r="J58" s="112"/>
      <c r="M58" s="14"/>
      <c r="N58" s="14"/>
      <c r="O58" s="14"/>
      <c r="P58" s="14"/>
      <c r="Q58" s="14"/>
      <c r="R58" s="14"/>
    </row>
    <row r="59" spans="1:18" ht="13.5" thickTop="1">
      <c r="A59" s="75">
        <v>46</v>
      </c>
      <c r="B59" s="2"/>
      <c r="C59" s="575"/>
    </row>
    <row r="60" spans="1:18">
      <c r="A60" s="73">
        <v>47</v>
      </c>
      <c r="B60" s="416" t="s">
        <v>21</v>
      </c>
      <c r="C60" s="575"/>
    </row>
    <row r="61" spans="1:18">
      <c r="A61" s="75">
        <v>48</v>
      </c>
      <c r="B61" s="63" t="s">
        <v>67</v>
      </c>
      <c r="C61" s="581"/>
      <c r="O61" s="15"/>
      <c r="P61" s="15"/>
      <c r="Q61" s="15"/>
      <c r="R61" s="15"/>
    </row>
    <row r="62" spans="1:18" s="15" customFormat="1">
      <c r="A62" s="75">
        <v>49</v>
      </c>
      <c r="B62" s="396" t="s">
        <v>68</v>
      </c>
      <c r="C62" s="599"/>
      <c r="J62" s="113"/>
      <c r="M62" s="14"/>
      <c r="N62" s="14"/>
      <c r="O62" s="20"/>
      <c r="P62" s="20"/>
      <c r="Q62" s="20"/>
      <c r="R62" s="20"/>
    </row>
    <row r="63" spans="1:18" s="20" customFormat="1">
      <c r="A63" s="73">
        <v>50</v>
      </c>
      <c r="B63" s="397" t="s">
        <v>69</v>
      </c>
      <c r="C63" s="581"/>
      <c r="J63" s="105"/>
      <c r="M63" s="14"/>
      <c r="N63" s="14"/>
    </row>
    <row r="64" spans="1:18" s="20" customFormat="1">
      <c r="A64" s="75">
        <v>51</v>
      </c>
      <c r="B64" s="397" t="s">
        <v>70</v>
      </c>
      <c r="C64" s="581"/>
      <c r="J64" s="105"/>
      <c r="M64" s="14"/>
      <c r="N64" s="14"/>
    </row>
    <row r="65" spans="1:18" s="20" customFormat="1">
      <c r="A65" s="75">
        <v>52</v>
      </c>
      <c r="B65" s="397" t="s">
        <v>53</v>
      </c>
      <c r="C65" s="581"/>
      <c r="J65" s="105"/>
      <c r="M65" s="14"/>
      <c r="N65" s="14"/>
    </row>
    <row r="66" spans="1:18" s="20" customFormat="1">
      <c r="A66" s="73">
        <v>53</v>
      </c>
      <c r="B66" s="397" t="s">
        <v>71</v>
      </c>
      <c r="C66" s="582"/>
      <c r="J66" s="107"/>
      <c r="M66" s="14"/>
      <c r="N66" s="14"/>
    </row>
    <row r="67" spans="1:18" s="20" customFormat="1">
      <c r="A67" s="75">
        <v>54</v>
      </c>
      <c r="B67" s="398" t="s">
        <v>72</v>
      </c>
      <c r="C67" s="581">
        <f t="shared" ref="C67" si="7">SUM(C62:C66)</f>
        <v>0</v>
      </c>
      <c r="M67" s="14"/>
      <c r="N67" s="14"/>
    </row>
    <row r="68" spans="1:18" s="20" customFormat="1">
      <c r="A68" s="75">
        <v>55</v>
      </c>
      <c r="B68" s="78" t="s">
        <v>244</v>
      </c>
      <c r="C68" s="581"/>
      <c r="J68" s="105"/>
      <c r="M68" s="14"/>
      <c r="N68" s="14"/>
    </row>
    <row r="69" spans="1:18" s="20" customFormat="1">
      <c r="A69" s="73">
        <v>56</v>
      </c>
      <c r="B69" s="78" t="s">
        <v>245</v>
      </c>
      <c r="C69" s="582"/>
      <c r="J69" s="107"/>
      <c r="M69" s="14"/>
      <c r="N69" s="14"/>
    </row>
    <row r="70" spans="1:18" s="20" customFormat="1">
      <c r="A70" s="75">
        <v>57</v>
      </c>
      <c r="B70" s="397" t="s">
        <v>73</v>
      </c>
      <c r="C70" s="581">
        <f t="shared" ref="C70" si="8">SUM(C68:C69)</f>
        <v>0</v>
      </c>
      <c r="M70" s="14"/>
      <c r="N70" s="14"/>
    </row>
    <row r="71" spans="1:18" s="20" customFormat="1">
      <c r="A71" s="75">
        <v>58</v>
      </c>
      <c r="B71" s="78" t="s">
        <v>249</v>
      </c>
      <c r="C71" s="581"/>
      <c r="J71" s="105"/>
      <c r="M71" s="14"/>
      <c r="N71" s="14"/>
    </row>
    <row r="72" spans="1:18" s="20" customFormat="1">
      <c r="A72" s="73">
        <v>59</v>
      </c>
      <c r="B72" s="78" t="s">
        <v>351</v>
      </c>
      <c r="C72" s="581"/>
      <c r="J72" s="105"/>
      <c r="M72" s="14"/>
      <c r="N72" s="14"/>
    </row>
    <row r="73" spans="1:18" s="20" customFormat="1">
      <c r="A73" s="75">
        <v>60</v>
      </c>
      <c r="B73" s="78" t="s">
        <v>236</v>
      </c>
      <c r="C73" s="581"/>
      <c r="J73" s="105"/>
      <c r="M73" s="14"/>
      <c r="N73" s="14"/>
    </row>
    <row r="74" spans="1:18" s="20" customFormat="1">
      <c r="A74" s="75">
        <v>61</v>
      </c>
      <c r="B74" s="78" t="s">
        <v>247</v>
      </c>
      <c r="C74" s="581"/>
      <c r="J74" s="105"/>
      <c r="M74" s="14"/>
      <c r="N74" s="14"/>
    </row>
    <row r="75" spans="1:18" s="20" customFormat="1">
      <c r="A75" s="73">
        <v>62</v>
      </c>
      <c r="B75" s="78" t="s">
        <v>248</v>
      </c>
      <c r="C75" s="582"/>
      <c r="J75" s="107"/>
      <c r="M75" s="14"/>
      <c r="N75" s="14"/>
    </row>
    <row r="76" spans="1:18" s="20" customFormat="1">
      <c r="A76" s="75">
        <v>63</v>
      </c>
      <c r="B76" s="78"/>
      <c r="C76" s="581"/>
      <c r="M76" s="14"/>
      <c r="N76" s="14"/>
      <c r="O76" s="15"/>
      <c r="P76" s="15"/>
      <c r="Q76" s="15"/>
      <c r="R76" s="15"/>
    </row>
    <row r="77" spans="1:18" s="15" customFormat="1" ht="13.5" thickBot="1">
      <c r="A77" s="75">
        <v>64</v>
      </c>
      <c r="B77" s="425" t="s">
        <v>74</v>
      </c>
      <c r="C77" s="598">
        <f>C67+C70+C71+C75</f>
        <v>0</v>
      </c>
      <c r="J77" s="112"/>
      <c r="M77" s="14"/>
      <c r="N77" s="14"/>
      <c r="O77" s="14"/>
      <c r="P77" s="14"/>
      <c r="Q77" s="14"/>
      <c r="R77" s="14"/>
    </row>
    <row r="78" spans="1:18" ht="13.5" thickTop="1">
      <c r="B78" s="83"/>
    </row>
    <row r="79" spans="1:18">
      <c r="A79" s="84"/>
      <c r="B79" s="38"/>
      <c r="C79" s="587"/>
    </row>
    <row r="80" spans="1:18">
      <c r="A80" s="89"/>
      <c r="B80" s="86"/>
    </row>
    <row r="81" spans="1:3">
      <c r="A81" s="89">
        <v>1</v>
      </c>
      <c r="B81" s="392" t="s">
        <v>116</v>
      </c>
    </row>
    <row r="82" spans="1:3">
      <c r="A82" s="89">
        <v>2</v>
      </c>
      <c r="B82" s="87" t="s">
        <v>117</v>
      </c>
      <c r="C82" s="600">
        <f t="shared" ref="C82" si="9">+C21</f>
        <v>-139674</v>
      </c>
    </row>
    <row r="83" spans="1:3">
      <c r="A83" s="89">
        <v>3</v>
      </c>
      <c r="B83" s="87" t="s">
        <v>118</v>
      </c>
      <c r="C83" s="588">
        <f t="shared" ref="C83" si="10">-C47</f>
        <v>136731</v>
      </c>
    </row>
    <row r="84" spans="1:3">
      <c r="A84" s="89">
        <v>4</v>
      </c>
      <c r="B84" s="87" t="s">
        <v>134</v>
      </c>
      <c r="C84" s="581"/>
    </row>
    <row r="85" spans="1:3">
      <c r="A85" s="89">
        <v>5</v>
      </c>
      <c r="B85" s="405" t="s">
        <v>119</v>
      </c>
      <c r="C85" s="589">
        <f t="shared" ref="C85" si="11">SUM(C82:C84)</f>
        <v>-2943</v>
      </c>
    </row>
    <row r="86" spans="1:3">
      <c r="A86" s="89">
        <v>6</v>
      </c>
      <c r="B86" s="86"/>
      <c r="C86" s="590"/>
    </row>
    <row r="87" spans="1:3">
      <c r="A87" s="89">
        <v>7</v>
      </c>
      <c r="B87" s="86" t="s">
        <v>120</v>
      </c>
      <c r="C87" s="590"/>
    </row>
    <row r="88" spans="1:3">
      <c r="A88" s="89">
        <v>8</v>
      </c>
      <c r="B88" s="404" t="s">
        <v>121</v>
      </c>
      <c r="C88" s="590"/>
    </row>
    <row r="89" spans="1:3">
      <c r="A89" s="89">
        <v>9</v>
      </c>
      <c r="B89" s="404" t="s">
        <v>130</v>
      </c>
      <c r="C89" s="590"/>
    </row>
    <row r="90" spans="1:3">
      <c r="A90" s="89">
        <v>10</v>
      </c>
      <c r="B90" s="404" t="s">
        <v>122</v>
      </c>
      <c r="C90" s="590"/>
    </row>
    <row r="91" spans="1:3">
      <c r="A91" s="89">
        <v>11</v>
      </c>
      <c r="B91" s="86"/>
      <c r="C91" s="590"/>
    </row>
    <row r="92" spans="1:3">
      <c r="A92" s="89">
        <v>12</v>
      </c>
      <c r="B92" s="406" t="s">
        <v>278</v>
      </c>
      <c r="C92" s="589">
        <f t="shared" ref="C92" si="12">SUM(C88:C90)</f>
        <v>0</v>
      </c>
    </row>
    <row r="93" spans="1:3">
      <c r="A93" s="89">
        <v>13</v>
      </c>
      <c r="B93" s="86"/>
      <c r="C93" s="590"/>
    </row>
    <row r="94" spans="1:3">
      <c r="A94" s="89">
        <v>14</v>
      </c>
      <c r="B94" s="86" t="s">
        <v>124</v>
      </c>
      <c r="C94" s="590"/>
    </row>
    <row r="95" spans="1:3">
      <c r="A95" s="89">
        <v>15</v>
      </c>
      <c r="B95" s="404" t="s">
        <v>178</v>
      </c>
      <c r="C95" s="590"/>
    </row>
    <row r="96" spans="1:3">
      <c r="A96" s="89">
        <v>16</v>
      </c>
      <c r="B96" s="404" t="s">
        <v>133</v>
      </c>
      <c r="C96" s="590"/>
    </row>
    <row r="97" spans="1:3">
      <c r="A97" s="89">
        <v>17</v>
      </c>
      <c r="B97" s="404" t="s">
        <v>122</v>
      </c>
      <c r="C97" s="590"/>
    </row>
    <row r="98" spans="1:3">
      <c r="A98" s="89">
        <v>18</v>
      </c>
      <c r="B98" s="406" t="s">
        <v>279</v>
      </c>
      <c r="C98" s="589">
        <f t="shared" ref="C98" si="13">SUM(C95:C97)</f>
        <v>0</v>
      </c>
    </row>
    <row r="99" spans="1:3">
      <c r="A99" s="89">
        <v>19</v>
      </c>
      <c r="B99" s="86"/>
      <c r="C99" s="590"/>
    </row>
    <row r="100" spans="1:3">
      <c r="A100" s="89">
        <v>20</v>
      </c>
      <c r="B100" s="87" t="s">
        <v>268</v>
      </c>
      <c r="C100" s="584">
        <f>+C85+C92-C98</f>
        <v>-2943</v>
      </c>
    </row>
    <row r="101" spans="1:3">
      <c r="A101" s="89">
        <v>21</v>
      </c>
      <c r="B101" s="404" t="s">
        <v>280</v>
      </c>
      <c r="C101" s="591">
        <v>0.35</v>
      </c>
    </row>
    <row r="102" spans="1:3">
      <c r="A102" s="89">
        <v>22</v>
      </c>
      <c r="B102" s="404" t="s">
        <v>127</v>
      </c>
      <c r="C102" s="592">
        <f t="shared" ref="C102" si="14">C100*C101</f>
        <v>-1030.05</v>
      </c>
    </row>
    <row r="103" spans="1:3">
      <c r="A103" s="89">
        <v>23</v>
      </c>
      <c r="B103" s="404" t="s">
        <v>128</v>
      </c>
      <c r="C103" s="590">
        <f>+(C95-C88+C96)*C101</f>
        <v>0</v>
      </c>
    </row>
    <row r="104" spans="1:3" ht="13.5" thickBot="1">
      <c r="A104" s="89">
        <v>24</v>
      </c>
      <c r="B104" s="95" t="s">
        <v>129</v>
      </c>
      <c r="C104" s="593">
        <f t="shared" ref="C104" si="15">ROUND(+C102+C103,0)</f>
        <v>-1030</v>
      </c>
    </row>
    <row r="105" spans="1:3" ht="13.5" thickTop="1"/>
  </sheetData>
  <printOptions horizontalCentered="1"/>
  <pageMargins left="0.5" right="0.5" top="1.5" bottom="0.3" header="0.5" footer="0.5"/>
  <pageSetup scale="60" firstPageNumber="2" fitToWidth="0" orientation="portrait" r:id="rId1"/>
  <headerFooter scaleWithDoc="0" alignWithMargins="0">
    <oddHeader>&amp;L&amp;"Arial,Regular"&amp;10Avista Corporation
&amp;"Arial,Bold"Electric - Pro Forma Adjustments (Schedule 1.3)&amp;"Arial,Regular"
Twelve Months Ended December 31,2011&amp;R&amp;"Arial,Regular"&amp;10Exhibit No. ___ (JH-2)
Docket UE-120436 &amp; UG-120437
Page &amp;P of  &amp;N</oddHeader>
  </headerFooter>
  <colBreaks count="1" manualBreakCount="1">
    <brk id="9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5" zoomScaleNormal="75" workbookViewId="0">
      <pane xSplit="2" ySplit="12" topLeftCell="C37" activePane="bottomRight" state="frozen"/>
      <selection activeCell="G79" sqref="G79"/>
      <selection pane="topRight" activeCell="G79" sqref="G79"/>
      <selection pane="bottomLeft" activeCell="G79" sqref="G79"/>
      <selection pane="bottomRight" activeCell="C53" sqref="C53"/>
    </sheetView>
  </sheetViews>
  <sheetFormatPr defaultColWidth="10.625" defaultRowHeight="12.75"/>
  <cols>
    <col min="1" max="1" width="4.375" style="64" bestFit="1" customWidth="1"/>
    <col min="2" max="2" width="36.5" style="63" bestFit="1" customWidth="1"/>
    <col min="3" max="3" width="13.625" style="586" customWidth="1"/>
    <col min="4" max="9" width="9" style="101" customWidth="1"/>
    <col min="10" max="10" width="11.625" style="65" hidden="1" customWidth="1"/>
    <col min="11" max="11" width="5" style="14" customWidth="1"/>
    <col min="12" max="12" width="2.75" style="14" customWidth="1"/>
    <col min="13" max="13" width="11.75" style="14" customWidth="1"/>
    <col min="14" max="14" width="2.625" style="14" customWidth="1"/>
    <col min="15" max="15" width="10.875" style="14" customWidth="1"/>
    <col min="16" max="16" width="6.75" style="14" customWidth="1"/>
    <col min="17" max="18" width="9.625" style="14" customWidth="1"/>
    <col min="19" max="19" width="10.625" style="14" customWidth="1"/>
    <col min="20" max="20" width="6.75" style="14" customWidth="1"/>
    <col min="21" max="16384" width="10.625" style="14"/>
  </cols>
  <sheetData>
    <row r="1" spans="1:13">
      <c r="A1" s="56"/>
      <c r="B1" s="9" t="s">
        <v>281</v>
      </c>
      <c r="C1" s="572"/>
      <c r="D1" s="14"/>
      <c r="E1" s="14"/>
      <c r="F1" s="14"/>
      <c r="G1" s="14"/>
      <c r="H1" s="14"/>
      <c r="I1" s="14"/>
    </row>
    <row r="2" spans="1:13">
      <c r="A2" s="411"/>
      <c r="B2" s="14"/>
      <c r="C2" s="573" t="s">
        <v>384</v>
      </c>
      <c r="D2" s="14"/>
      <c r="E2" s="14"/>
      <c r="F2" s="14"/>
      <c r="G2" s="14"/>
      <c r="H2" s="14"/>
      <c r="I2" s="14"/>
    </row>
    <row r="3" spans="1:13">
      <c r="A3" s="411"/>
      <c r="B3" s="14"/>
      <c r="C3" s="573"/>
      <c r="D3" s="14"/>
      <c r="E3" s="14"/>
      <c r="F3" s="14"/>
      <c r="G3" s="14"/>
      <c r="H3" s="14"/>
      <c r="I3" s="14"/>
    </row>
    <row r="4" spans="1:13" ht="13.5" thickBot="1">
      <c r="A4" s="411"/>
      <c r="B4" s="14"/>
      <c r="C4" s="574"/>
      <c r="D4" s="14"/>
      <c r="E4" s="14"/>
      <c r="F4" s="14"/>
      <c r="G4" s="14"/>
      <c r="H4" s="14"/>
      <c r="I4" s="14"/>
    </row>
    <row r="5" spans="1:13" ht="13.5" thickTop="1">
      <c r="A5" s="402"/>
      <c r="B5" s="64" t="str">
        <f>+Restating!B5</f>
        <v>(000's of Dollars)</v>
      </c>
    </row>
    <row r="6" spans="1:13">
      <c r="A6" s="62"/>
    </row>
    <row r="7" spans="1:13">
      <c r="A7" s="403"/>
      <c r="B7" s="64" t="s">
        <v>100</v>
      </c>
      <c r="C7" s="601" t="s">
        <v>198</v>
      </c>
    </row>
    <row r="8" spans="1:13">
      <c r="A8" s="403"/>
      <c r="B8" s="64"/>
      <c r="C8" s="601"/>
    </row>
    <row r="9" spans="1:13">
      <c r="A9" s="62"/>
      <c r="C9" s="596">
        <v>3.01</v>
      </c>
    </row>
    <row r="10" spans="1:13" s="71" customFormat="1">
      <c r="A10" s="414"/>
      <c r="B10" s="420"/>
      <c r="C10" s="602" t="s">
        <v>96</v>
      </c>
      <c r="J10" s="68"/>
    </row>
    <row r="11" spans="1:13" s="71" customFormat="1">
      <c r="A11" s="414" t="s">
        <v>5</v>
      </c>
      <c r="B11" s="420"/>
      <c r="C11" s="603" t="s">
        <v>22</v>
      </c>
      <c r="J11" s="68"/>
    </row>
    <row r="12" spans="1:13" s="71" customFormat="1">
      <c r="A12" s="421" t="s">
        <v>10</v>
      </c>
      <c r="B12" s="422" t="s">
        <v>11</v>
      </c>
      <c r="C12" s="604" t="s">
        <v>79</v>
      </c>
      <c r="J12" s="68"/>
    </row>
    <row r="13" spans="1:13" s="72" customFormat="1">
      <c r="A13" s="418"/>
      <c r="B13" s="115" t="s">
        <v>155</v>
      </c>
      <c r="C13" s="607"/>
      <c r="J13" s="60"/>
    </row>
    <row r="14" spans="1:13">
      <c r="A14" s="73">
        <v>1</v>
      </c>
      <c r="B14" s="416" t="s">
        <v>98</v>
      </c>
      <c r="C14" s="608"/>
      <c r="J14" s="61"/>
    </row>
    <row r="15" spans="1:13">
      <c r="A15" s="75">
        <v>2</v>
      </c>
      <c r="B15" s="63" t="s">
        <v>40</v>
      </c>
      <c r="C15" s="608"/>
      <c r="J15" s="61"/>
    </row>
    <row r="16" spans="1:13" s="15" customFormat="1">
      <c r="A16" s="75">
        <v>3</v>
      </c>
      <c r="B16" s="76" t="s">
        <v>41</v>
      </c>
      <c r="C16" s="580"/>
      <c r="J16" s="77"/>
      <c r="K16" s="104"/>
      <c r="L16" s="104"/>
      <c r="M16" s="104"/>
    </row>
    <row r="17" spans="1:10" s="20" customFormat="1">
      <c r="A17" s="73">
        <v>4</v>
      </c>
      <c r="B17" s="78" t="s">
        <v>42</v>
      </c>
      <c r="C17" s="581"/>
      <c r="J17" s="105"/>
    </row>
    <row r="18" spans="1:10" s="20" customFormat="1">
      <c r="A18" s="75">
        <v>5</v>
      </c>
      <c r="B18" s="78" t="s">
        <v>43</v>
      </c>
      <c r="C18" s="582">
        <v>0</v>
      </c>
      <c r="J18" s="107"/>
    </row>
    <row r="19" spans="1:10" s="20" customFormat="1">
      <c r="A19" s="75">
        <v>6</v>
      </c>
      <c r="B19" s="397" t="s">
        <v>44</v>
      </c>
      <c r="C19" s="581">
        <f t="shared" ref="C19" si="0">SUM(C16:C18)</f>
        <v>0</v>
      </c>
    </row>
    <row r="20" spans="1:10" s="20" customFormat="1">
      <c r="A20" s="73">
        <v>7</v>
      </c>
      <c r="B20" s="78" t="s">
        <v>45</v>
      </c>
      <c r="C20" s="582">
        <v>-62</v>
      </c>
      <c r="J20" s="107"/>
    </row>
    <row r="21" spans="1:10" s="20" customFormat="1">
      <c r="A21" s="75">
        <v>8</v>
      </c>
      <c r="B21" s="397" t="s">
        <v>46</v>
      </c>
      <c r="C21" s="581">
        <f t="shared" ref="C21" si="1">SUM(C19:C20)</f>
        <v>-62</v>
      </c>
    </row>
    <row r="22" spans="1:10" s="20" customFormat="1">
      <c r="A22" s="75">
        <v>9</v>
      </c>
      <c r="B22" s="78"/>
      <c r="C22" s="581"/>
      <c r="J22" s="105"/>
    </row>
    <row r="23" spans="1:10" s="20" customFormat="1">
      <c r="A23" s="73">
        <v>10</v>
      </c>
      <c r="B23" s="78" t="s">
        <v>20</v>
      </c>
      <c r="C23" s="581"/>
      <c r="J23" s="105"/>
    </row>
    <row r="24" spans="1:10" s="20" customFormat="1">
      <c r="A24" s="75">
        <v>11</v>
      </c>
      <c r="B24" s="78" t="s">
        <v>47</v>
      </c>
      <c r="C24" s="581"/>
      <c r="J24" s="105"/>
    </row>
    <row r="25" spans="1:10" s="20" customFormat="1">
      <c r="A25" s="75">
        <v>12</v>
      </c>
      <c r="B25" s="397" t="s">
        <v>48</v>
      </c>
      <c r="C25" s="581">
        <v>747</v>
      </c>
      <c r="J25" s="105"/>
    </row>
    <row r="26" spans="1:10" s="20" customFormat="1">
      <c r="A26" s="73">
        <v>13</v>
      </c>
      <c r="B26" s="397" t="s">
        <v>49</v>
      </c>
      <c r="C26" s="581"/>
      <c r="J26" s="105"/>
    </row>
    <row r="27" spans="1:10" s="20" customFormat="1">
      <c r="A27" s="75">
        <v>14</v>
      </c>
      <c r="B27" s="397" t="s">
        <v>50</v>
      </c>
      <c r="C27" s="581"/>
      <c r="J27" s="105"/>
    </row>
    <row r="28" spans="1:10" s="20" customFormat="1">
      <c r="A28" s="73">
        <v>15</v>
      </c>
      <c r="B28" s="393" t="s">
        <v>349</v>
      </c>
      <c r="C28" s="581"/>
      <c r="J28" s="105"/>
    </row>
    <row r="29" spans="1:10" s="20" customFormat="1">
      <c r="A29" s="75">
        <v>16</v>
      </c>
      <c r="B29" s="397" t="s">
        <v>51</v>
      </c>
      <c r="C29" s="582"/>
      <c r="J29" s="107"/>
    </row>
    <row r="30" spans="1:10" s="20" customFormat="1">
      <c r="A30" s="75">
        <v>17</v>
      </c>
      <c r="B30" s="398" t="s">
        <v>52</v>
      </c>
      <c r="C30" s="581">
        <f t="shared" ref="C30" si="2">SUM(C25:C29)</f>
        <v>747</v>
      </c>
    </row>
    <row r="31" spans="1:10" s="20" customFormat="1">
      <c r="A31" s="73">
        <v>18</v>
      </c>
      <c r="B31" s="78"/>
      <c r="C31" s="581"/>
      <c r="J31" s="105"/>
    </row>
    <row r="32" spans="1:10" s="20" customFormat="1">
      <c r="A32" s="75">
        <v>19</v>
      </c>
      <c r="B32" s="78" t="s">
        <v>53</v>
      </c>
      <c r="C32" s="581"/>
      <c r="J32" s="105"/>
    </row>
    <row r="33" spans="1:18" s="20" customFormat="1">
      <c r="A33" s="73">
        <v>20</v>
      </c>
      <c r="B33" s="397" t="s">
        <v>48</v>
      </c>
      <c r="C33" s="581"/>
      <c r="J33" s="105"/>
    </row>
    <row r="34" spans="1:18" s="20" customFormat="1">
      <c r="A34" s="75">
        <v>21</v>
      </c>
      <c r="B34" s="397" t="s">
        <v>54</v>
      </c>
      <c r="C34" s="581"/>
      <c r="J34" s="105"/>
    </row>
    <row r="35" spans="1:18" s="20" customFormat="1">
      <c r="A35" s="75">
        <v>22</v>
      </c>
      <c r="B35" s="397" t="s">
        <v>51</v>
      </c>
      <c r="C35" s="582"/>
      <c r="J35" s="107"/>
    </row>
    <row r="36" spans="1:18" s="20" customFormat="1">
      <c r="A36" s="73">
        <v>23</v>
      </c>
      <c r="B36" s="398" t="s">
        <v>55</v>
      </c>
      <c r="C36" s="581">
        <f t="shared" ref="C36" si="3">SUM(C33:C35)</f>
        <v>0</v>
      </c>
    </row>
    <row r="37" spans="1:18" s="20" customFormat="1">
      <c r="A37" s="75">
        <v>24</v>
      </c>
      <c r="B37" s="78"/>
      <c r="C37" s="581"/>
      <c r="J37" s="105"/>
    </row>
    <row r="38" spans="1:18" s="20" customFormat="1">
      <c r="A38" s="73">
        <v>25</v>
      </c>
      <c r="B38" s="78" t="s">
        <v>56</v>
      </c>
      <c r="C38" s="581"/>
      <c r="J38" s="105"/>
      <c r="K38" s="108"/>
      <c r="L38" s="101"/>
      <c r="O38" s="106"/>
      <c r="P38" s="109"/>
      <c r="Q38" s="109"/>
      <c r="R38" s="109"/>
    </row>
    <row r="39" spans="1:18" s="20" customFormat="1">
      <c r="A39" s="75">
        <v>26</v>
      </c>
      <c r="B39" s="78" t="s">
        <v>57</v>
      </c>
      <c r="C39" s="581"/>
      <c r="J39" s="105"/>
      <c r="M39" s="110"/>
      <c r="O39" s="81"/>
      <c r="P39" s="81"/>
      <c r="Q39" s="81"/>
      <c r="R39" s="109"/>
    </row>
    <row r="40" spans="1:18" s="20" customFormat="1">
      <c r="A40" s="75">
        <v>27</v>
      </c>
      <c r="B40" s="78" t="s">
        <v>58</v>
      </c>
      <c r="C40" s="581"/>
      <c r="J40" s="105"/>
      <c r="M40" s="110"/>
    </row>
    <row r="41" spans="1:18" s="20" customFormat="1">
      <c r="A41" s="73">
        <v>28</v>
      </c>
      <c r="B41" s="78"/>
      <c r="C41" s="581"/>
      <c r="J41" s="105"/>
    </row>
    <row r="42" spans="1:18" s="20" customFormat="1">
      <c r="A42" s="75">
        <v>29</v>
      </c>
      <c r="B42" s="78" t="s">
        <v>59</v>
      </c>
      <c r="C42" s="581"/>
      <c r="J42" s="105"/>
    </row>
    <row r="43" spans="1:18" s="20" customFormat="1">
      <c r="A43" s="73">
        <v>30</v>
      </c>
      <c r="B43" s="397" t="s">
        <v>48</v>
      </c>
      <c r="C43" s="581"/>
      <c r="J43" s="105"/>
    </row>
    <row r="44" spans="1:18" s="20" customFormat="1">
      <c r="A44" s="75">
        <v>31</v>
      </c>
      <c r="B44" s="397" t="s">
        <v>54</v>
      </c>
      <c r="C44" s="581"/>
      <c r="J44" s="105"/>
    </row>
    <row r="45" spans="1:18" s="20" customFormat="1">
      <c r="A45" s="75">
        <v>32</v>
      </c>
      <c r="B45" s="397" t="s">
        <v>51</v>
      </c>
      <c r="C45" s="582"/>
      <c r="J45" s="107"/>
    </row>
    <row r="46" spans="1:18" s="20" customFormat="1">
      <c r="A46" s="73">
        <v>33</v>
      </c>
      <c r="B46" s="398" t="s">
        <v>60</v>
      </c>
      <c r="C46" s="582">
        <f t="shared" ref="C46" si="4">SUM(C43:C45)</f>
        <v>0</v>
      </c>
      <c r="J46" s="111"/>
    </row>
    <row r="47" spans="1:18" s="20" customFormat="1">
      <c r="A47" s="75">
        <v>34</v>
      </c>
      <c r="B47" s="78" t="s">
        <v>61</v>
      </c>
      <c r="C47" s="582">
        <f t="shared" ref="C47" si="5">C46+C40+C39+C38+C36+C30</f>
        <v>747</v>
      </c>
      <c r="J47" s="111"/>
    </row>
    <row r="48" spans="1:18" s="20" customFormat="1">
      <c r="A48" s="73">
        <v>35</v>
      </c>
      <c r="B48" s="78"/>
      <c r="C48" s="581"/>
    </row>
    <row r="49" spans="1:18" s="20" customFormat="1">
      <c r="A49" s="75">
        <v>36</v>
      </c>
      <c r="B49" s="78" t="s">
        <v>62</v>
      </c>
      <c r="C49" s="581">
        <f t="shared" ref="C49" si="6">C21-C47</f>
        <v>-809</v>
      </c>
    </row>
    <row r="50" spans="1:18" s="20" customFormat="1">
      <c r="A50" s="75">
        <v>37</v>
      </c>
      <c r="B50" s="78"/>
      <c r="C50" s="581"/>
      <c r="J50" s="105"/>
    </row>
    <row r="51" spans="1:18" s="20" customFormat="1">
      <c r="A51" s="73">
        <v>38</v>
      </c>
      <c r="B51" s="78" t="s">
        <v>63</v>
      </c>
      <c r="C51" s="581"/>
      <c r="J51" s="105"/>
    </row>
    <row r="52" spans="1:18" s="20" customFormat="1">
      <c r="A52" s="75">
        <v>39</v>
      </c>
      <c r="B52" s="78" t="s">
        <v>64</v>
      </c>
      <c r="C52" s="581">
        <f>+ROUND(C104,0)</f>
        <v>-283</v>
      </c>
      <c r="J52" s="105"/>
      <c r="N52" s="15"/>
    </row>
    <row r="53" spans="1:18" s="20" customFormat="1">
      <c r="A53" s="75">
        <v>40</v>
      </c>
      <c r="B53" s="78" t="s">
        <v>366</v>
      </c>
      <c r="C53" s="581">
        <f>+(C77*' Capital '!$J$13)*-35%</f>
        <v>0</v>
      </c>
      <c r="J53" s="105"/>
      <c r="N53" s="15"/>
    </row>
    <row r="54" spans="1:18" s="20" customFormat="1">
      <c r="A54" s="73">
        <v>41</v>
      </c>
      <c r="B54" s="78" t="s">
        <v>65</v>
      </c>
      <c r="C54" s="581"/>
      <c r="J54" s="105"/>
      <c r="M54" s="15"/>
      <c r="N54" s="14"/>
    </row>
    <row r="55" spans="1:18" s="20" customFormat="1">
      <c r="A55" s="75">
        <v>42</v>
      </c>
      <c r="B55" s="78" t="s">
        <v>238</v>
      </c>
      <c r="C55" s="581"/>
      <c r="J55" s="105"/>
      <c r="M55" s="15"/>
      <c r="N55" s="14"/>
    </row>
    <row r="56" spans="1:18" s="20" customFormat="1">
      <c r="A56" s="75">
        <v>43</v>
      </c>
      <c r="B56" s="78"/>
      <c r="C56" s="581"/>
      <c r="J56" s="105"/>
      <c r="M56" s="15"/>
      <c r="N56" s="14"/>
    </row>
    <row r="57" spans="1:18">
      <c r="A57" s="73">
        <v>44</v>
      </c>
      <c r="C57" s="581"/>
      <c r="O57" s="15"/>
      <c r="P57" s="15"/>
      <c r="Q57" s="15"/>
      <c r="R57" s="15"/>
    </row>
    <row r="58" spans="1:18" s="15" customFormat="1" ht="13.5" thickBot="1">
      <c r="A58" s="75">
        <v>45</v>
      </c>
      <c r="B58" s="76" t="s">
        <v>66</v>
      </c>
      <c r="C58" s="598">
        <f t="shared" ref="C58" si="7">C49-SUM(C52:C56)</f>
        <v>-526</v>
      </c>
      <c r="J58" s="112"/>
      <c r="M58" s="14"/>
      <c r="N58" s="14"/>
      <c r="O58" s="14"/>
      <c r="P58" s="14"/>
      <c r="Q58" s="14"/>
      <c r="R58" s="14"/>
    </row>
    <row r="59" spans="1:18" ht="13.5" thickTop="1">
      <c r="A59" s="75">
        <v>46</v>
      </c>
      <c r="B59" s="2"/>
      <c r="C59" s="575"/>
    </row>
    <row r="60" spans="1:18">
      <c r="A60" s="73">
        <v>47</v>
      </c>
      <c r="B60" s="416" t="s">
        <v>21</v>
      </c>
      <c r="C60" s="575"/>
    </row>
    <row r="61" spans="1:18">
      <c r="A61" s="75">
        <v>48</v>
      </c>
      <c r="B61" s="63" t="s">
        <v>67</v>
      </c>
      <c r="C61" s="581"/>
      <c r="O61" s="15"/>
      <c r="P61" s="15"/>
      <c r="Q61" s="15"/>
      <c r="R61" s="15"/>
    </row>
    <row r="62" spans="1:18" s="15" customFormat="1">
      <c r="A62" s="75">
        <v>49</v>
      </c>
      <c r="B62" s="396" t="s">
        <v>68</v>
      </c>
      <c r="C62" s="599"/>
      <c r="J62" s="113"/>
      <c r="M62" s="14"/>
      <c r="N62" s="14"/>
      <c r="O62" s="20"/>
      <c r="P62" s="20"/>
      <c r="Q62" s="20"/>
      <c r="R62" s="20"/>
    </row>
    <row r="63" spans="1:18" s="20" customFormat="1">
      <c r="A63" s="73">
        <v>50</v>
      </c>
      <c r="B63" s="397" t="s">
        <v>69</v>
      </c>
      <c r="C63" s="581">
        <v>0</v>
      </c>
      <c r="J63" s="105"/>
      <c r="M63" s="14"/>
      <c r="N63" s="14"/>
    </row>
    <row r="64" spans="1:18" s="20" customFormat="1">
      <c r="A64" s="75">
        <v>51</v>
      </c>
      <c r="B64" s="397" t="s">
        <v>70</v>
      </c>
      <c r="C64" s="581"/>
      <c r="J64" s="105"/>
      <c r="M64" s="14"/>
      <c r="N64" s="14"/>
    </row>
    <row r="65" spans="1:18" s="20" customFormat="1">
      <c r="A65" s="75">
        <v>52</v>
      </c>
      <c r="B65" s="397" t="s">
        <v>53</v>
      </c>
      <c r="C65" s="581"/>
      <c r="J65" s="105"/>
      <c r="M65" s="14"/>
      <c r="N65" s="14"/>
    </row>
    <row r="66" spans="1:18" s="20" customFormat="1">
      <c r="A66" s="73">
        <v>53</v>
      </c>
      <c r="B66" s="397" t="s">
        <v>71</v>
      </c>
      <c r="C66" s="582"/>
      <c r="J66" s="107"/>
      <c r="M66" s="14"/>
      <c r="N66" s="14"/>
    </row>
    <row r="67" spans="1:18" s="20" customFormat="1">
      <c r="A67" s="75">
        <v>54</v>
      </c>
      <c r="B67" s="398" t="s">
        <v>72</v>
      </c>
      <c r="C67" s="581">
        <f t="shared" ref="C67" si="8">SUM(C62:C66)</f>
        <v>0</v>
      </c>
      <c r="M67" s="14"/>
      <c r="N67" s="14"/>
    </row>
    <row r="68" spans="1:18" s="20" customFormat="1">
      <c r="A68" s="75">
        <v>55</v>
      </c>
      <c r="B68" s="78" t="s">
        <v>244</v>
      </c>
      <c r="C68" s="581">
        <v>0</v>
      </c>
      <c r="J68" s="105"/>
      <c r="M68" s="14"/>
      <c r="N68" s="14"/>
    </row>
    <row r="69" spans="1:18" s="20" customFormat="1">
      <c r="A69" s="73">
        <v>56</v>
      </c>
      <c r="B69" s="78" t="s">
        <v>245</v>
      </c>
      <c r="C69" s="582"/>
      <c r="J69" s="107"/>
      <c r="M69" s="14"/>
      <c r="N69" s="14"/>
    </row>
    <row r="70" spans="1:18" s="20" customFormat="1">
      <c r="A70" s="75">
        <v>57</v>
      </c>
      <c r="B70" s="397" t="s">
        <v>73</v>
      </c>
      <c r="C70" s="581">
        <f t="shared" ref="C70" si="9">SUM(C68:C69)</f>
        <v>0</v>
      </c>
      <c r="M70" s="14"/>
      <c r="N70" s="14"/>
    </row>
    <row r="71" spans="1:18" s="20" customFormat="1">
      <c r="A71" s="75">
        <v>58</v>
      </c>
      <c r="B71" s="78" t="s">
        <v>249</v>
      </c>
      <c r="C71" s="581"/>
      <c r="J71" s="105"/>
      <c r="M71" s="14"/>
      <c r="N71" s="14"/>
    </row>
    <row r="72" spans="1:18" s="20" customFormat="1">
      <c r="A72" s="73">
        <v>59</v>
      </c>
      <c r="B72" s="78" t="s">
        <v>351</v>
      </c>
      <c r="C72" s="581"/>
      <c r="J72" s="105"/>
      <c r="M72" s="14"/>
      <c r="N72" s="14"/>
    </row>
    <row r="73" spans="1:18" s="20" customFormat="1">
      <c r="A73" s="75">
        <v>60</v>
      </c>
      <c r="B73" s="78" t="s">
        <v>236</v>
      </c>
      <c r="C73" s="581"/>
      <c r="J73" s="105"/>
      <c r="M73" s="14"/>
      <c r="N73" s="14"/>
    </row>
    <row r="74" spans="1:18" s="20" customFormat="1">
      <c r="A74" s="75">
        <v>61</v>
      </c>
      <c r="B74" s="78" t="s">
        <v>247</v>
      </c>
      <c r="C74" s="581"/>
      <c r="J74" s="105"/>
      <c r="M74" s="14"/>
      <c r="N74" s="14"/>
    </row>
    <row r="75" spans="1:18" s="20" customFormat="1">
      <c r="A75" s="73">
        <v>62</v>
      </c>
      <c r="B75" s="78" t="s">
        <v>248</v>
      </c>
      <c r="C75" s="582">
        <v>0</v>
      </c>
      <c r="J75" s="107"/>
      <c r="M75" s="14"/>
      <c r="N75" s="14"/>
    </row>
    <row r="76" spans="1:18" s="20" customFormat="1">
      <c r="A76" s="75">
        <v>63</v>
      </c>
      <c r="B76" s="78"/>
      <c r="C76" s="581"/>
      <c r="M76" s="14"/>
      <c r="N76" s="14"/>
      <c r="O76" s="15"/>
      <c r="P76" s="15"/>
      <c r="Q76" s="15"/>
      <c r="R76" s="15"/>
    </row>
    <row r="77" spans="1:18" s="15" customFormat="1" ht="13.5" thickBot="1">
      <c r="A77" s="75">
        <v>64</v>
      </c>
      <c r="B77" s="425" t="s">
        <v>74</v>
      </c>
      <c r="C77" s="598">
        <f t="shared" ref="C77" si="10">C67-C70+C71+C75</f>
        <v>0</v>
      </c>
      <c r="J77" s="112"/>
      <c r="M77" s="14"/>
      <c r="N77" s="14"/>
      <c r="O77" s="14"/>
      <c r="P77" s="14"/>
      <c r="Q77" s="14"/>
      <c r="R77" s="14"/>
    </row>
    <row r="78" spans="1:18" ht="13.5" thickTop="1">
      <c r="B78" s="83"/>
    </row>
    <row r="79" spans="1:18">
      <c r="A79" s="84"/>
      <c r="B79" s="38"/>
      <c r="C79" s="587"/>
    </row>
    <row r="80" spans="1:18">
      <c r="A80" s="89"/>
      <c r="B80" s="86"/>
    </row>
    <row r="81" spans="1:3">
      <c r="A81" s="89">
        <v>1</v>
      </c>
      <c r="B81" s="392" t="s">
        <v>116</v>
      </c>
    </row>
    <row r="82" spans="1:3">
      <c r="A82" s="89">
        <v>2</v>
      </c>
      <c r="B82" s="87" t="s">
        <v>117</v>
      </c>
      <c r="C82" s="600">
        <f t="shared" ref="C82" si="11">+C21</f>
        <v>-62</v>
      </c>
    </row>
    <row r="83" spans="1:3">
      <c r="A83" s="89">
        <v>3</v>
      </c>
      <c r="B83" s="87" t="s">
        <v>118</v>
      </c>
      <c r="C83" s="588">
        <f t="shared" ref="C83" si="12">-C47</f>
        <v>-747</v>
      </c>
    </row>
    <row r="84" spans="1:3">
      <c r="A84" s="89">
        <v>4</v>
      </c>
      <c r="B84" s="87" t="s">
        <v>134</v>
      </c>
      <c r="C84" s="581"/>
    </row>
    <row r="85" spans="1:3">
      <c r="A85" s="89">
        <v>5</v>
      </c>
      <c r="B85" s="405" t="s">
        <v>119</v>
      </c>
      <c r="C85" s="589">
        <f t="shared" ref="C85" si="13">SUM(C82:C84)</f>
        <v>-809</v>
      </c>
    </row>
    <row r="86" spans="1:3">
      <c r="A86" s="89">
        <v>6</v>
      </c>
      <c r="B86" s="86"/>
      <c r="C86" s="590"/>
    </row>
    <row r="87" spans="1:3">
      <c r="A87" s="89">
        <v>7</v>
      </c>
      <c r="B87" s="86" t="s">
        <v>120</v>
      </c>
      <c r="C87" s="590"/>
    </row>
    <row r="88" spans="1:3">
      <c r="A88" s="89">
        <v>8</v>
      </c>
      <c r="B88" s="404" t="s">
        <v>121</v>
      </c>
      <c r="C88" s="590"/>
    </row>
    <row r="89" spans="1:3">
      <c r="A89" s="89">
        <v>9</v>
      </c>
      <c r="B89" s="404" t="s">
        <v>130</v>
      </c>
      <c r="C89" s="590"/>
    </row>
    <row r="90" spans="1:3">
      <c r="A90" s="89">
        <v>10</v>
      </c>
      <c r="B90" s="404" t="s">
        <v>122</v>
      </c>
      <c r="C90" s="590"/>
    </row>
    <row r="91" spans="1:3">
      <c r="A91" s="89">
        <v>11</v>
      </c>
      <c r="B91" s="86"/>
      <c r="C91" s="590"/>
    </row>
    <row r="92" spans="1:3">
      <c r="A92" s="89">
        <v>12</v>
      </c>
      <c r="B92" s="406" t="s">
        <v>278</v>
      </c>
      <c r="C92" s="589">
        <f t="shared" ref="C92" si="14">SUM(C88:C90)</f>
        <v>0</v>
      </c>
    </row>
    <row r="93" spans="1:3">
      <c r="A93" s="89">
        <v>13</v>
      </c>
      <c r="B93" s="86"/>
      <c r="C93" s="590"/>
    </row>
    <row r="94" spans="1:3">
      <c r="A94" s="89">
        <v>14</v>
      </c>
      <c r="B94" s="86" t="s">
        <v>124</v>
      </c>
      <c r="C94" s="590"/>
    </row>
    <row r="95" spans="1:3">
      <c r="A95" s="89">
        <v>15</v>
      </c>
      <c r="B95" s="404" t="s">
        <v>178</v>
      </c>
      <c r="C95" s="590"/>
    </row>
    <row r="96" spans="1:3">
      <c r="A96" s="89">
        <v>16</v>
      </c>
      <c r="B96" s="404" t="s">
        <v>133</v>
      </c>
      <c r="C96" s="590"/>
    </row>
    <row r="97" spans="1:3">
      <c r="A97" s="89">
        <v>17</v>
      </c>
      <c r="B97" s="404" t="s">
        <v>122</v>
      </c>
      <c r="C97" s="590"/>
    </row>
    <row r="98" spans="1:3">
      <c r="A98" s="89">
        <v>18</v>
      </c>
      <c r="B98" s="406" t="s">
        <v>279</v>
      </c>
      <c r="C98" s="589">
        <f t="shared" ref="C98" si="15">SUM(C95:C97)</f>
        <v>0</v>
      </c>
    </row>
    <row r="99" spans="1:3">
      <c r="A99" s="89">
        <v>19</v>
      </c>
      <c r="B99" s="86"/>
      <c r="C99" s="590"/>
    </row>
    <row r="100" spans="1:3">
      <c r="A100" s="89">
        <v>20</v>
      </c>
      <c r="B100" s="87" t="s">
        <v>268</v>
      </c>
      <c r="C100" s="584">
        <f t="shared" ref="C100" si="16">+C82+C83+C84+C92-C98</f>
        <v>-809</v>
      </c>
    </row>
    <row r="101" spans="1:3">
      <c r="A101" s="89">
        <v>21</v>
      </c>
      <c r="B101" s="404" t="s">
        <v>280</v>
      </c>
      <c r="C101" s="591">
        <v>0.35</v>
      </c>
    </row>
    <row r="102" spans="1:3">
      <c r="A102" s="89">
        <v>22</v>
      </c>
      <c r="B102" s="404" t="s">
        <v>127</v>
      </c>
      <c r="C102" s="592">
        <f t="shared" ref="C102" si="17">C100*C101</f>
        <v>-283.14999999999998</v>
      </c>
    </row>
    <row r="103" spans="1:3">
      <c r="A103" s="89">
        <v>23</v>
      </c>
      <c r="B103" s="404" t="s">
        <v>128</v>
      </c>
      <c r="C103" s="590">
        <f t="shared" ref="C103" si="18">+(C95-C88+C96)*C101</f>
        <v>0</v>
      </c>
    </row>
    <row r="104" spans="1:3" ht="13.5" thickBot="1">
      <c r="A104" s="89">
        <v>24</v>
      </c>
      <c r="B104" s="95" t="s">
        <v>129</v>
      </c>
      <c r="C104" s="593">
        <f t="shared" ref="C104" si="19">ROUND(+C102+C103,0)</f>
        <v>-283</v>
      </c>
    </row>
    <row r="105" spans="1:3" ht="13.5" thickTop="1"/>
  </sheetData>
  <printOptions horizontalCentered="1"/>
  <pageMargins left="0.5" right="0.5" top="1.5" bottom="0.3" header="0.5" footer="0.5"/>
  <pageSetup scale="60" firstPageNumber="2" fitToWidth="0" orientation="portrait" r:id="rId1"/>
  <headerFooter scaleWithDoc="0" alignWithMargins="0">
    <oddHeader>&amp;L&amp;"Arial,Regular"&amp;10Avista Corporation
&amp;"Arial,Bold"Electric - Pro Forma Adjustments (Schedule 1.3)&amp;"Arial,Regular"
Twelve Months Ended December 31,2011&amp;R&amp;"Arial,Regular"&amp;10Exhibit No. ___ (JH-2)
Docket UE-120436 &amp; UG-120437
Page &amp;P of  &amp;N</oddHeader>
  </headerFooter>
  <colBreaks count="1" manualBreakCount="1">
    <brk id="9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zoomScale="75" zoomScaleNormal="75" workbookViewId="0">
      <pane xSplit="2" ySplit="12" topLeftCell="C28" activePane="bottomRight" state="frozen"/>
      <selection activeCell="G79" sqref="G79"/>
      <selection pane="topRight" activeCell="G79" sqref="G79"/>
      <selection pane="bottomLeft" activeCell="G79" sqref="G79"/>
      <selection pane="bottomRight" activeCell="C48" sqref="C48"/>
    </sheetView>
  </sheetViews>
  <sheetFormatPr defaultColWidth="10.625" defaultRowHeight="12.75"/>
  <cols>
    <col min="1" max="1" width="4.375" style="64" bestFit="1" customWidth="1"/>
    <col min="2" max="2" width="36.5" style="63" bestFit="1" customWidth="1"/>
    <col min="3" max="3" width="13.625" style="586" customWidth="1"/>
    <col min="4" max="4" width="6.75" style="14" customWidth="1"/>
    <col min="5" max="6" width="9.625" style="14" customWidth="1"/>
    <col min="7" max="7" width="10.625" style="14" customWidth="1"/>
    <col min="8" max="8" width="6.75" style="14" customWidth="1"/>
    <col min="9" max="16384" width="10.625" style="14"/>
  </cols>
  <sheetData>
    <row r="1" spans="1:3">
      <c r="A1" s="56"/>
      <c r="B1" s="9" t="s">
        <v>281</v>
      </c>
      <c r="C1" s="572"/>
    </row>
    <row r="2" spans="1:3">
      <c r="A2" s="411"/>
      <c r="B2" s="14"/>
      <c r="C2" s="573" t="s">
        <v>382</v>
      </c>
    </row>
    <row r="3" spans="1:3">
      <c r="A3" s="411"/>
      <c r="B3" s="14"/>
      <c r="C3" s="573"/>
    </row>
    <row r="4" spans="1:3" ht="13.5" thickBot="1">
      <c r="A4" s="411"/>
      <c r="B4" s="14"/>
      <c r="C4" s="574"/>
    </row>
    <row r="5" spans="1:3" ht="13.5" thickTop="1">
      <c r="A5" s="402"/>
      <c r="B5" s="64" t="str">
        <f>+Restating!B5</f>
        <v>(000's of Dollars)</v>
      </c>
    </row>
    <row r="6" spans="1:3">
      <c r="A6" s="62"/>
    </row>
    <row r="7" spans="1:3">
      <c r="A7" s="403"/>
      <c r="B7" s="64" t="s">
        <v>100</v>
      </c>
      <c r="C7" s="601" t="s">
        <v>103</v>
      </c>
    </row>
    <row r="8" spans="1:3">
      <c r="A8" s="403"/>
      <c r="B8" s="64"/>
      <c r="C8" s="601"/>
    </row>
    <row r="9" spans="1:3">
      <c r="A9" s="62"/>
      <c r="C9" s="596">
        <v>3.02</v>
      </c>
    </row>
    <row r="10" spans="1:3" s="71" customFormat="1">
      <c r="A10" s="414"/>
      <c r="B10" s="420"/>
      <c r="C10" s="602" t="s">
        <v>96</v>
      </c>
    </row>
    <row r="11" spans="1:3" s="71" customFormat="1">
      <c r="A11" s="414" t="s">
        <v>5</v>
      </c>
      <c r="B11" s="420"/>
      <c r="C11" s="603" t="s">
        <v>76</v>
      </c>
    </row>
    <row r="12" spans="1:3" s="71" customFormat="1">
      <c r="A12" s="421" t="s">
        <v>10</v>
      </c>
      <c r="B12" s="422" t="s">
        <v>11</v>
      </c>
      <c r="C12" s="604" t="s">
        <v>77</v>
      </c>
    </row>
    <row r="13" spans="1:3" s="72" customFormat="1">
      <c r="A13" s="418"/>
      <c r="B13" s="115" t="s">
        <v>155</v>
      </c>
      <c r="C13" s="605"/>
    </row>
    <row r="14" spans="1:3">
      <c r="A14" s="73">
        <v>1</v>
      </c>
      <c r="B14" s="416" t="s">
        <v>98</v>
      </c>
    </row>
    <row r="15" spans="1:3">
      <c r="A15" s="75">
        <v>2</v>
      </c>
      <c r="B15" s="63" t="s">
        <v>40</v>
      </c>
      <c r="C15" s="575"/>
    </row>
    <row r="16" spans="1:3" s="15" customFormat="1">
      <c r="A16" s="75">
        <v>3</v>
      </c>
      <c r="B16" s="76" t="s">
        <v>41</v>
      </c>
      <c r="C16" s="580"/>
    </row>
    <row r="17" spans="1:3" s="20" customFormat="1">
      <c r="A17" s="73">
        <v>4</v>
      </c>
      <c r="B17" s="78" t="s">
        <v>42</v>
      </c>
      <c r="C17" s="581"/>
    </row>
    <row r="18" spans="1:3" s="20" customFormat="1">
      <c r="A18" s="75">
        <v>5</v>
      </c>
      <c r="B18" s="78" t="s">
        <v>43</v>
      </c>
      <c r="C18" s="582">
        <v>0</v>
      </c>
    </row>
    <row r="19" spans="1:3" s="20" customFormat="1">
      <c r="A19" s="75">
        <v>6</v>
      </c>
      <c r="B19" s="397" t="s">
        <v>44</v>
      </c>
      <c r="C19" s="581">
        <f t="shared" ref="C19" si="0">SUM(C16:C18)</f>
        <v>0</v>
      </c>
    </row>
    <row r="20" spans="1:3" s="20" customFormat="1">
      <c r="A20" s="73">
        <v>7</v>
      </c>
      <c r="B20" s="78" t="s">
        <v>45</v>
      </c>
      <c r="C20" s="582"/>
    </row>
    <row r="21" spans="1:3" s="20" customFormat="1">
      <c r="A21" s="75">
        <v>8</v>
      </c>
      <c r="B21" s="397" t="s">
        <v>46</v>
      </c>
      <c r="C21" s="581">
        <f t="shared" ref="C21" si="1">SUM(C19:C20)</f>
        <v>0</v>
      </c>
    </row>
    <row r="22" spans="1:3" s="20" customFormat="1">
      <c r="A22" s="75">
        <v>9</v>
      </c>
      <c r="B22" s="78"/>
      <c r="C22" s="581"/>
    </row>
    <row r="23" spans="1:3" s="20" customFormat="1">
      <c r="A23" s="73">
        <v>10</v>
      </c>
      <c r="B23" s="78" t="s">
        <v>20</v>
      </c>
      <c r="C23" s="581"/>
    </row>
    <row r="24" spans="1:3" s="20" customFormat="1">
      <c r="A24" s="75">
        <v>11</v>
      </c>
      <c r="B24" s="78" t="s">
        <v>47</v>
      </c>
      <c r="C24" s="581"/>
    </row>
    <row r="25" spans="1:3" s="20" customFormat="1">
      <c r="A25" s="75">
        <v>12</v>
      </c>
      <c r="B25" s="397" t="s">
        <v>48</v>
      </c>
      <c r="C25" s="581">
        <v>527</v>
      </c>
    </row>
    <row r="26" spans="1:3" s="20" customFormat="1">
      <c r="A26" s="73">
        <v>13</v>
      </c>
      <c r="B26" s="397" t="s">
        <v>49</v>
      </c>
      <c r="C26" s="581"/>
    </row>
    <row r="27" spans="1:3" s="20" customFormat="1">
      <c r="A27" s="75">
        <v>14</v>
      </c>
      <c r="B27" s="397" t="s">
        <v>50</v>
      </c>
      <c r="C27" s="581"/>
    </row>
    <row r="28" spans="1:3" s="20" customFormat="1">
      <c r="A28" s="73">
        <v>15</v>
      </c>
      <c r="B28" s="393" t="s">
        <v>349</v>
      </c>
      <c r="C28" s="581"/>
    </row>
    <row r="29" spans="1:3" s="20" customFormat="1">
      <c r="A29" s="75">
        <v>16</v>
      </c>
      <c r="B29" s="397" t="s">
        <v>51</v>
      </c>
      <c r="C29" s="582"/>
    </row>
    <row r="30" spans="1:3" s="20" customFormat="1">
      <c r="A30" s="75">
        <v>17</v>
      </c>
      <c r="B30" s="398" t="s">
        <v>52</v>
      </c>
      <c r="C30" s="581">
        <f t="shared" ref="C30" si="2">SUM(C25:C29)</f>
        <v>527</v>
      </c>
    </row>
    <row r="31" spans="1:3" s="20" customFormat="1">
      <c r="A31" s="73">
        <v>18</v>
      </c>
      <c r="B31" s="78"/>
      <c r="C31" s="581"/>
    </row>
    <row r="32" spans="1:3" s="20" customFormat="1">
      <c r="A32" s="75">
        <v>19</v>
      </c>
      <c r="B32" s="78" t="s">
        <v>53</v>
      </c>
      <c r="C32" s="581"/>
    </row>
    <row r="33" spans="1:6" s="20" customFormat="1">
      <c r="A33" s="73">
        <v>20</v>
      </c>
      <c r="B33" s="397" t="s">
        <v>48</v>
      </c>
      <c r="C33" s="581">
        <v>392</v>
      </c>
    </row>
    <row r="34" spans="1:6" s="20" customFormat="1">
      <c r="A34" s="75">
        <v>21</v>
      </c>
      <c r="B34" s="397" t="s">
        <v>54</v>
      </c>
      <c r="C34" s="581"/>
    </row>
    <row r="35" spans="1:6" s="20" customFormat="1">
      <c r="A35" s="75">
        <v>22</v>
      </c>
      <c r="B35" s="397" t="s">
        <v>51</v>
      </c>
      <c r="C35" s="582">
        <v>0</v>
      </c>
    </row>
    <row r="36" spans="1:6" s="20" customFormat="1">
      <c r="A36" s="73">
        <v>23</v>
      </c>
      <c r="B36" s="398" t="s">
        <v>55</v>
      </c>
      <c r="C36" s="581">
        <f t="shared" ref="C36" si="3">SUM(C33:C35)</f>
        <v>392</v>
      </c>
    </row>
    <row r="37" spans="1:6" s="20" customFormat="1">
      <c r="A37" s="75">
        <v>24</v>
      </c>
      <c r="B37" s="78"/>
      <c r="C37" s="581"/>
    </row>
    <row r="38" spans="1:6" s="20" customFormat="1">
      <c r="A38" s="73">
        <v>25</v>
      </c>
      <c r="B38" s="78" t="s">
        <v>56</v>
      </c>
      <c r="C38" s="581">
        <v>173</v>
      </c>
      <c r="D38" s="109"/>
      <c r="E38" s="109"/>
      <c r="F38" s="109"/>
    </row>
    <row r="39" spans="1:6" s="20" customFormat="1">
      <c r="A39" s="75">
        <v>26</v>
      </c>
      <c r="B39" s="78" t="s">
        <v>57</v>
      </c>
      <c r="C39" s="581">
        <v>14</v>
      </c>
      <c r="D39" s="81"/>
      <c r="E39" s="81"/>
      <c r="F39" s="109"/>
    </row>
    <row r="40" spans="1:6" s="20" customFormat="1">
      <c r="A40" s="75">
        <v>27</v>
      </c>
      <c r="B40" s="78" t="s">
        <v>58</v>
      </c>
      <c r="C40" s="581"/>
    </row>
    <row r="41" spans="1:6" s="20" customFormat="1">
      <c r="A41" s="73">
        <v>28</v>
      </c>
      <c r="B41" s="78"/>
      <c r="C41" s="581"/>
    </row>
    <row r="42" spans="1:6" s="20" customFormat="1">
      <c r="A42" s="75">
        <v>29</v>
      </c>
      <c r="B42" s="78" t="s">
        <v>59</v>
      </c>
      <c r="C42" s="581"/>
    </row>
    <row r="43" spans="1:6" s="20" customFormat="1">
      <c r="A43" s="73">
        <v>30</v>
      </c>
      <c r="B43" s="397" t="s">
        <v>48</v>
      </c>
      <c r="C43" s="581">
        <v>392</v>
      </c>
    </row>
    <row r="44" spans="1:6" s="20" customFormat="1">
      <c r="A44" s="75">
        <v>31</v>
      </c>
      <c r="B44" s="397" t="s">
        <v>54</v>
      </c>
      <c r="C44" s="581"/>
    </row>
    <row r="45" spans="1:6" s="20" customFormat="1">
      <c r="A45" s="75">
        <v>32</v>
      </c>
      <c r="B45" s="397" t="s">
        <v>51</v>
      </c>
      <c r="C45" s="582"/>
    </row>
    <row r="46" spans="1:6" s="20" customFormat="1">
      <c r="A46" s="73">
        <v>33</v>
      </c>
      <c r="B46" s="398" t="s">
        <v>60</v>
      </c>
      <c r="C46" s="582">
        <f t="shared" ref="C46" si="4">SUM(C43:C45)</f>
        <v>392</v>
      </c>
    </row>
    <row r="47" spans="1:6" s="20" customFormat="1">
      <c r="A47" s="75">
        <v>34</v>
      </c>
      <c r="B47" s="78" t="s">
        <v>61</v>
      </c>
      <c r="C47" s="582">
        <f>C46+C40+C39+C38+C36+C30</f>
        <v>1498</v>
      </c>
    </row>
    <row r="48" spans="1:6" s="20" customFormat="1">
      <c r="A48" s="73">
        <v>35</v>
      </c>
      <c r="B48" s="78"/>
      <c r="C48" s="581"/>
    </row>
    <row r="49" spans="1:6" s="20" customFormat="1">
      <c r="A49" s="75">
        <v>36</v>
      </c>
      <c r="B49" s="78" t="s">
        <v>62</v>
      </c>
      <c r="C49" s="581">
        <f t="shared" ref="C49" si="5">C21-C47</f>
        <v>-1498</v>
      </c>
    </row>
    <row r="50" spans="1:6" s="20" customFormat="1">
      <c r="A50" s="75">
        <v>37</v>
      </c>
      <c r="B50" s="78"/>
      <c r="C50" s="581"/>
    </row>
    <row r="51" spans="1:6" s="20" customFormat="1">
      <c r="A51" s="73">
        <v>38</v>
      </c>
      <c r="B51" s="78" t="s">
        <v>63</v>
      </c>
      <c r="C51" s="581"/>
    </row>
    <row r="52" spans="1:6" s="20" customFormat="1">
      <c r="A52" s="75">
        <v>39</v>
      </c>
      <c r="B52" s="78" t="s">
        <v>64</v>
      </c>
      <c r="C52" s="581">
        <f>+ROUND(C104,0)</f>
        <v>-524</v>
      </c>
    </row>
    <row r="53" spans="1:6" s="20" customFormat="1">
      <c r="A53" s="75">
        <v>40</v>
      </c>
      <c r="B53" s="78" t="s">
        <v>366</v>
      </c>
      <c r="C53" s="581">
        <f>+(C77*' Capital '!$J$13)*-35%</f>
        <v>0</v>
      </c>
    </row>
    <row r="54" spans="1:6" s="20" customFormat="1">
      <c r="A54" s="73">
        <v>41</v>
      </c>
      <c r="B54" s="78" t="s">
        <v>65</v>
      </c>
      <c r="C54" s="581"/>
    </row>
    <row r="55" spans="1:6" s="20" customFormat="1">
      <c r="A55" s="75">
        <v>42</v>
      </c>
      <c r="B55" s="78" t="s">
        <v>238</v>
      </c>
      <c r="C55" s="581"/>
    </row>
    <row r="56" spans="1:6" s="20" customFormat="1">
      <c r="A56" s="75">
        <v>43</v>
      </c>
      <c r="B56" s="78"/>
      <c r="C56" s="581"/>
    </row>
    <row r="57" spans="1:6">
      <c r="A57" s="73">
        <v>44</v>
      </c>
      <c r="C57" s="581"/>
      <c r="D57" s="15"/>
      <c r="E57" s="15"/>
      <c r="F57" s="15"/>
    </row>
    <row r="58" spans="1:6" s="15" customFormat="1" ht="13.5" thickBot="1">
      <c r="A58" s="75">
        <v>45</v>
      </c>
      <c r="B58" s="76" t="s">
        <v>66</v>
      </c>
      <c r="C58" s="598">
        <f t="shared" ref="C58" si="6">C49-SUM(C52:C56)</f>
        <v>-974</v>
      </c>
      <c r="D58" s="14"/>
      <c r="E58" s="14"/>
      <c r="F58" s="14"/>
    </row>
    <row r="59" spans="1:6" ht="13.5" thickTop="1">
      <c r="A59" s="75">
        <v>46</v>
      </c>
      <c r="B59" s="2"/>
      <c r="C59" s="575"/>
    </row>
    <row r="60" spans="1:6">
      <c r="A60" s="73">
        <v>47</v>
      </c>
      <c r="B60" s="416" t="s">
        <v>21</v>
      </c>
      <c r="C60" s="575"/>
    </row>
    <row r="61" spans="1:6">
      <c r="A61" s="75">
        <v>48</v>
      </c>
      <c r="B61" s="63" t="s">
        <v>67</v>
      </c>
      <c r="C61" s="581"/>
      <c r="D61" s="15"/>
      <c r="E61" s="15"/>
      <c r="F61" s="15"/>
    </row>
    <row r="62" spans="1:6" s="15" customFormat="1">
      <c r="A62" s="75">
        <v>49</v>
      </c>
      <c r="B62" s="396" t="s">
        <v>68</v>
      </c>
      <c r="C62" s="599"/>
      <c r="D62" s="20"/>
      <c r="E62" s="20"/>
      <c r="F62" s="20"/>
    </row>
    <row r="63" spans="1:6" s="20" customFormat="1">
      <c r="A63" s="73">
        <v>50</v>
      </c>
      <c r="B63" s="397" t="s">
        <v>69</v>
      </c>
      <c r="C63" s="581"/>
    </row>
    <row r="64" spans="1:6" s="20" customFormat="1">
      <c r="A64" s="75">
        <v>51</v>
      </c>
      <c r="B64" s="397" t="s">
        <v>70</v>
      </c>
      <c r="C64" s="581"/>
    </row>
    <row r="65" spans="1:6" s="20" customFormat="1">
      <c r="A65" s="75">
        <v>52</v>
      </c>
      <c r="B65" s="397" t="s">
        <v>53</v>
      </c>
      <c r="C65" s="581"/>
    </row>
    <row r="66" spans="1:6" s="20" customFormat="1">
      <c r="A66" s="73">
        <v>53</v>
      </c>
      <c r="B66" s="397" t="s">
        <v>71</v>
      </c>
      <c r="C66" s="582"/>
    </row>
    <row r="67" spans="1:6" s="20" customFormat="1">
      <c r="A67" s="75">
        <v>54</v>
      </c>
      <c r="B67" s="398" t="s">
        <v>72</v>
      </c>
      <c r="C67" s="581">
        <f t="shared" ref="C67" si="7">SUM(C62:C66)</f>
        <v>0</v>
      </c>
    </row>
    <row r="68" spans="1:6" s="20" customFormat="1">
      <c r="A68" s="75">
        <v>55</v>
      </c>
      <c r="B68" s="78" t="s">
        <v>244</v>
      </c>
      <c r="C68" s="581"/>
    </row>
    <row r="69" spans="1:6" s="20" customFormat="1">
      <c r="A69" s="73">
        <v>56</v>
      </c>
      <c r="B69" s="78" t="s">
        <v>245</v>
      </c>
      <c r="C69" s="582"/>
    </row>
    <row r="70" spans="1:6" s="20" customFormat="1">
      <c r="A70" s="75">
        <v>57</v>
      </c>
      <c r="B70" s="397" t="s">
        <v>73</v>
      </c>
      <c r="C70" s="581">
        <f t="shared" ref="C70" si="8">SUM(C68:C69)</f>
        <v>0</v>
      </c>
    </row>
    <row r="71" spans="1:6" s="20" customFormat="1">
      <c r="A71" s="75">
        <v>58</v>
      </c>
      <c r="B71" s="78" t="s">
        <v>249</v>
      </c>
      <c r="C71" s="581"/>
    </row>
    <row r="72" spans="1:6" s="20" customFormat="1">
      <c r="A72" s="73">
        <v>59</v>
      </c>
      <c r="B72" s="78" t="s">
        <v>351</v>
      </c>
      <c r="C72" s="581"/>
    </row>
    <row r="73" spans="1:6" s="20" customFormat="1">
      <c r="A73" s="75">
        <v>60</v>
      </c>
      <c r="B73" s="78" t="s">
        <v>236</v>
      </c>
      <c r="C73" s="581"/>
    </row>
    <row r="74" spans="1:6" s="20" customFormat="1">
      <c r="A74" s="75">
        <v>61</v>
      </c>
      <c r="B74" s="78" t="s">
        <v>247</v>
      </c>
      <c r="C74" s="581"/>
    </row>
    <row r="75" spans="1:6" s="20" customFormat="1">
      <c r="A75" s="73">
        <v>62</v>
      </c>
      <c r="B75" s="78" t="s">
        <v>248</v>
      </c>
      <c r="C75" s="582"/>
    </row>
    <row r="76" spans="1:6" s="20" customFormat="1">
      <c r="A76" s="75">
        <v>63</v>
      </c>
      <c r="B76" s="78"/>
      <c r="C76" s="581"/>
      <c r="D76" s="15"/>
      <c r="E76" s="15"/>
      <c r="F76" s="15"/>
    </row>
    <row r="77" spans="1:6" s="15" customFormat="1" ht="13.5" thickBot="1">
      <c r="A77" s="75">
        <v>64</v>
      </c>
      <c r="B77" s="425" t="s">
        <v>74</v>
      </c>
      <c r="C77" s="598">
        <f t="shared" ref="C77" si="9">C67-C70+C71+C75</f>
        <v>0</v>
      </c>
      <c r="D77" s="14"/>
      <c r="E77" s="14"/>
      <c r="F77" s="14"/>
    </row>
    <row r="78" spans="1:6" ht="13.5" thickTop="1">
      <c r="B78" s="83"/>
    </row>
    <row r="79" spans="1:6">
      <c r="A79" s="84"/>
      <c r="B79" s="38"/>
      <c r="C79" s="587"/>
    </row>
    <row r="80" spans="1:6">
      <c r="A80" s="89"/>
      <c r="B80" s="86"/>
    </row>
    <row r="81" spans="1:3">
      <c r="A81" s="89">
        <v>1</v>
      </c>
      <c r="B81" s="392" t="s">
        <v>116</v>
      </c>
    </row>
    <row r="82" spans="1:3">
      <c r="A82" s="89">
        <v>2</v>
      </c>
      <c r="B82" s="87" t="s">
        <v>117</v>
      </c>
      <c r="C82" s="600">
        <f t="shared" ref="C82" si="10">+C21</f>
        <v>0</v>
      </c>
    </row>
    <row r="83" spans="1:3">
      <c r="A83" s="89">
        <v>3</v>
      </c>
      <c r="B83" s="87" t="s">
        <v>118</v>
      </c>
      <c r="C83" s="588">
        <f t="shared" ref="C83" si="11">-C47</f>
        <v>-1498</v>
      </c>
    </row>
    <row r="84" spans="1:3">
      <c r="A84" s="89">
        <v>4</v>
      </c>
      <c r="B84" s="87" t="s">
        <v>134</v>
      </c>
      <c r="C84" s="581"/>
    </row>
    <row r="85" spans="1:3">
      <c r="A85" s="89">
        <v>5</v>
      </c>
      <c r="B85" s="405" t="s">
        <v>119</v>
      </c>
      <c r="C85" s="589">
        <f t="shared" ref="C85" si="12">SUM(C82:C84)</f>
        <v>-1498</v>
      </c>
    </row>
    <row r="86" spans="1:3">
      <c r="A86" s="89">
        <v>6</v>
      </c>
      <c r="B86" s="86"/>
      <c r="C86" s="590"/>
    </row>
    <row r="87" spans="1:3">
      <c r="A87" s="89">
        <v>7</v>
      </c>
      <c r="B87" s="86" t="s">
        <v>120</v>
      </c>
      <c r="C87" s="590"/>
    </row>
    <row r="88" spans="1:3">
      <c r="A88" s="89">
        <v>8</v>
      </c>
      <c r="B88" s="404" t="s">
        <v>121</v>
      </c>
      <c r="C88" s="590"/>
    </row>
    <row r="89" spans="1:3">
      <c r="A89" s="89">
        <v>9</v>
      </c>
      <c r="B89" s="404" t="s">
        <v>130</v>
      </c>
      <c r="C89" s="590"/>
    </row>
    <row r="90" spans="1:3">
      <c r="A90" s="89">
        <v>10</v>
      </c>
      <c r="B90" s="404" t="s">
        <v>122</v>
      </c>
      <c r="C90" s="590"/>
    </row>
    <row r="91" spans="1:3">
      <c r="A91" s="89">
        <v>11</v>
      </c>
      <c r="B91" s="86"/>
      <c r="C91" s="590"/>
    </row>
    <row r="92" spans="1:3">
      <c r="A92" s="89">
        <v>12</v>
      </c>
      <c r="B92" s="406" t="s">
        <v>278</v>
      </c>
      <c r="C92" s="589">
        <f t="shared" ref="C92" si="13">SUM(C88:C90)</f>
        <v>0</v>
      </c>
    </row>
    <row r="93" spans="1:3">
      <c r="A93" s="89">
        <v>13</v>
      </c>
      <c r="B93" s="86"/>
      <c r="C93" s="590"/>
    </row>
    <row r="94" spans="1:3">
      <c r="A94" s="89">
        <v>14</v>
      </c>
      <c r="B94" s="86" t="s">
        <v>124</v>
      </c>
      <c r="C94" s="590"/>
    </row>
    <row r="95" spans="1:3">
      <c r="A95" s="89">
        <v>15</v>
      </c>
      <c r="B95" s="404" t="s">
        <v>178</v>
      </c>
      <c r="C95" s="590"/>
    </row>
    <row r="96" spans="1:3">
      <c r="A96" s="89">
        <v>16</v>
      </c>
      <c r="B96" s="404" t="s">
        <v>133</v>
      </c>
      <c r="C96" s="590"/>
    </row>
    <row r="97" spans="1:3">
      <c r="A97" s="89">
        <v>17</v>
      </c>
      <c r="B97" s="404" t="s">
        <v>122</v>
      </c>
      <c r="C97" s="590"/>
    </row>
    <row r="98" spans="1:3">
      <c r="A98" s="89">
        <v>18</v>
      </c>
      <c r="B98" s="406" t="s">
        <v>279</v>
      </c>
      <c r="C98" s="589">
        <f t="shared" ref="C98" si="14">SUM(C95:C97)</f>
        <v>0</v>
      </c>
    </row>
    <row r="99" spans="1:3">
      <c r="A99" s="89">
        <v>19</v>
      </c>
      <c r="B99" s="86"/>
      <c r="C99" s="590"/>
    </row>
    <row r="100" spans="1:3">
      <c r="A100" s="89">
        <v>20</v>
      </c>
      <c r="B100" s="87" t="s">
        <v>268</v>
      </c>
      <c r="C100" s="584">
        <f t="shared" ref="C100" si="15">+C82+C83+C84+C92-C98</f>
        <v>-1498</v>
      </c>
    </row>
    <row r="101" spans="1:3">
      <c r="A101" s="89">
        <v>21</v>
      </c>
      <c r="B101" s="404" t="s">
        <v>280</v>
      </c>
      <c r="C101" s="591">
        <v>0.35</v>
      </c>
    </row>
    <row r="102" spans="1:3">
      <c r="A102" s="89">
        <v>22</v>
      </c>
      <c r="B102" s="404" t="s">
        <v>127</v>
      </c>
      <c r="C102" s="592">
        <f>ROUND(C100*C101,0)</f>
        <v>-524</v>
      </c>
    </row>
    <row r="103" spans="1:3">
      <c r="A103" s="89">
        <v>23</v>
      </c>
      <c r="B103" s="404" t="s">
        <v>128</v>
      </c>
      <c r="C103" s="590">
        <f t="shared" ref="C103" si="16">+(C95-C88+C96)*C101</f>
        <v>0</v>
      </c>
    </row>
    <row r="104" spans="1:3" ht="13.5" thickBot="1">
      <c r="A104" s="89">
        <v>24</v>
      </c>
      <c r="B104" s="95" t="s">
        <v>129</v>
      </c>
      <c r="C104" s="593">
        <f>ROUND(+C102+C103,0)</f>
        <v>-524</v>
      </c>
    </row>
    <row r="105" spans="1:3" ht="13.5" thickTop="1"/>
  </sheetData>
  <printOptions horizontalCentered="1"/>
  <pageMargins left="0.5" right="0.5" top="1.5" bottom="0.3" header="0.5" footer="0.5"/>
  <pageSetup scale="60" firstPageNumber="2" fitToWidth="0" orientation="portrait" r:id="rId1"/>
  <headerFooter scaleWithDoc="0" alignWithMargins="0">
    <oddHeader>&amp;L&amp;"Arial,Regular"&amp;10Avista Corporation
&amp;"Arial,Bold"Electric - Pro Forma Adjustments (Schedule 1.3)&amp;"Arial,Regular"
Twelve Months Ended December 31,2011&amp;R&amp;"Arial,Regular"&amp;10Exhibit No. ___ (JH-2)
Docket UE-120436 &amp; UG-120437
Page &amp;P of  &amp;N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5"/>
  <sheetViews>
    <sheetView zoomScale="75" zoomScaleNormal="75" workbookViewId="0">
      <pane xSplit="2" ySplit="12" topLeftCell="C43" activePane="bottomRight" state="frozen"/>
      <selection activeCell="G79" sqref="G79"/>
      <selection pane="topRight" activeCell="G79" sqref="G79"/>
      <selection pane="bottomLeft" activeCell="G79" sqref="G79"/>
      <selection pane="bottomRight" activeCell="C52" sqref="C52"/>
    </sheetView>
  </sheetViews>
  <sheetFormatPr defaultColWidth="10.625" defaultRowHeight="12.75"/>
  <cols>
    <col min="1" max="1" width="4.375" style="64" bestFit="1" customWidth="1"/>
    <col min="2" max="2" width="36.5" style="63" bestFit="1" customWidth="1"/>
    <col min="3" max="3" width="13.625" style="586" customWidth="1"/>
    <col min="4" max="4" width="10.875" style="14" customWidth="1"/>
    <col min="5" max="5" width="6.75" style="14" customWidth="1"/>
    <col min="6" max="7" width="9.625" style="14" customWidth="1"/>
    <col min="8" max="8" width="10.625" style="14" customWidth="1"/>
    <col min="9" max="9" width="6.75" style="14" customWidth="1"/>
    <col min="10" max="16384" width="10.625" style="14"/>
  </cols>
  <sheetData>
    <row r="1" spans="1:3">
      <c r="A1" s="56"/>
      <c r="B1" s="9" t="s">
        <v>281</v>
      </c>
      <c r="C1" s="572"/>
    </row>
    <row r="2" spans="1:3">
      <c r="A2" s="411"/>
      <c r="B2" s="14"/>
      <c r="C2" s="573" t="s">
        <v>382</v>
      </c>
    </row>
    <row r="3" spans="1:3">
      <c r="A3" s="411"/>
      <c r="B3" s="14"/>
      <c r="C3" s="573"/>
    </row>
    <row r="4" spans="1:3" ht="13.5" thickBot="1">
      <c r="A4" s="411"/>
      <c r="B4" s="14"/>
      <c r="C4" s="574"/>
    </row>
    <row r="5" spans="1:3" ht="13.5" thickTop="1">
      <c r="A5" s="402"/>
      <c r="B5" s="64" t="str">
        <f>+Restating!B5</f>
        <v>(000's of Dollars)</v>
      </c>
    </row>
    <row r="6" spans="1:3">
      <c r="A6" s="62"/>
    </row>
    <row r="7" spans="1:3">
      <c r="A7" s="403"/>
      <c r="B7" s="64" t="s">
        <v>100</v>
      </c>
      <c r="C7" s="601" t="s">
        <v>104</v>
      </c>
    </row>
    <row r="8" spans="1:3">
      <c r="A8" s="403"/>
      <c r="B8" s="64"/>
      <c r="C8" s="601"/>
    </row>
    <row r="9" spans="1:3">
      <c r="A9" s="62"/>
      <c r="C9" s="596">
        <v>3.03</v>
      </c>
    </row>
    <row r="10" spans="1:3" s="71" customFormat="1">
      <c r="A10" s="414"/>
      <c r="B10" s="420"/>
      <c r="C10" s="602" t="s">
        <v>96</v>
      </c>
    </row>
    <row r="11" spans="1:3" s="71" customFormat="1">
      <c r="A11" s="414" t="s">
        <v>5</v>
      </c>
      <c r="B11" s="420"/>
      <c r="C11" s="603" t="s">
        <v>76</v>
      </c>
    </row>
    <row r="12" spans="1:3" s="71" customFormat="1">
      <c r="A12" s="421" t="s">
        <v>10</v>
      </c>
      <c r="B12" s="422" t="s">
        <v>11</v>
      </c>
      <c r="C12" s="604" t="s">
        <v>78</v>
      </c>
    </row>
    <row r="13" spans="1:3" s="72" customFormat="1">
      <c r="A13" s="418"/>
      <c r="B13" s="115" t="s">
        <v>155</v>
      </c>
      <c r="C13" s="605"/>
    </row>
    <row r="14" spans="1:3">
      <c r="A14" s="73">
        <v>1</v>
      </c>
      <c r="B14" s="416" t="s">
        <v>98</v>
      </c>
    </row>
    <row r="15" spans="1:3">
      <c r="A15" s="75">
        <v>2</v>
      </c>
      <c r="B15" s="63" t="s">
        <v>40</v>
      </c>
      <c r="C15" s="575"/>
    </row>
    <row r="16" spans="1:3" s="15" customFormat="1">
      <c r="A16" s="75">
        <v>3</v>
      </c>
      <c r="B16" s="76" t="s">
        <v>41</v>
      </c>
      <c r="C16" s="580"/>
    </row>
    <row r="17" spans="1:3" s="20" customFormat="1">
      <c r="A17" s="73">
        <v>4</v>
      </c>
      <c r="B17" s="78" t="s">
        <v>42</v>
      </c>
      <c r="C17" s="581"/>
    </row>
    <row r="18" spans="1:3" s="20" customFormat="1">
      <c r="A18" s="75">
        <v>5</v>
      </c>
      <c r="B18" s="78" t="s">
        <v>43</v>
      </c>
      <c r="C18" s="582"/>
    </row>
    <row r="19" spans="1:3" s="20" customFormat="1">
      <c r="A19" s="75">
        <v>6</v>
      </c>
      <c r="B19" s="397" t="s">
        <v>44</v>
      </c>
      <c r="C19" s="581">
        <f t="shared" ref="C19" si="0">SUM(C16:C18)</f>
        <v>0</v>
      </c>
    </row>
    <row r="20" spans="1:3" s="20" customFormat="1">
      <c r="A20" s="73">
        <v>7</v>
      </c>
      <c r="B20" s="78" t="s">
        <v>45</v>
      </c>
      <c r="C20" s="582"/>
    </row>
    <row r="21" spans="1:3" s="20" customFormat="1">
      <c r="A21" s="75">
        <v>8</v>
      </c>
      <c r="B21" s="397" t="s">
        <v>46</v>
      </c>
      <c r="C21" s="581">
        <f t="shared" ref="C21" si="1">SUM(C19:C20)</f>
        <v>0</v>
      </c>
    </row>
    <row r="22" spans="1:3" s="20" customFormat="1">
      <c r="A22" s="75">
        <v>9</v>
      </c>
      <c r="B22" s="78"/>
      <c r="C22" s="581"/>
    </row>
    <row r="23" spans="1:3" s="20" customFormat="1">
      <c r="A23" s="73">
        <v>10</v>
      </c>
      <c r="B23" s="78" t="s">
        <v>20</v>
      </c>
      <c r="C23" s="581"/>
    </row>
    <row r="24" spans="1:3" s="20" customFormat="1">
      <c r="A24" s="75">
        <v>11</v>
      </c>
      <c r="B24" s="78" t="s">
        <v>47</v>
      </c>
      <c r="C24" s="581"/>
    </row>
    <row r="25" spans="1:3" s="20" customFormat="1">
      <c r="A25" s="75">
        <v>12</v>
      </c>
      <c r="B25" s="397" t="s">
        <v>48</v>
      </c>
      <c r="C25" s="581">
        <v>-48</v>
      </c>
    </row>
    <row r="26" spans="1:3" s="20" customFormat="1">
      <c r="A26" s="73">
        <v>13</v>
      </c>
      <c r="B26" s="397" t="s">
        <v>49</v>
      </c>
      <c r="C26" s="581"/>
    </row>
    <row r="27" spans="1:3" s="20" customFormat="1">
      <c r="A27" s="75">
        <v>14</v>
      </c>
      <c r="B27" s="397" t="s">
        <v>50</v>
      </c>
      <c r="C27" s="581"/>
    </row>
    <row r="28" spans="1:3" s="20" customFormat="1">
      <c r="A28" s="73">
        <v>15</v>
      </c>
      <c r="B28" s="393" t="s">
        <v>349</v>
      </c>
      <c r="C28" s="581"/>
    </row>
    <row r="29" spans="1:3" s="20" customFormat="1">
      <c r="A29" s="75">
        <v>16</v>
      </c>
      <c r="B29" s="397" t="s">
        <v>51</v>
      </c>
      <c r="C29" s="582"/>
    </row>
    <row r="30" spans="1:3" s="20" customFormat="1">
      <c r="A30" s="75">
        <v>17</v>
      </c>
      <c r="B30" s="398" t="s">
        <v>52</v>
      </c>
      <c r="C30" s="581">
        <f t="shared" ref="C30" si="2">SUM(C25:C29)</f>
        <v>-48</v>
      </c>
    </row>
    <row r="31" spans="1:3" s="20" customFormat="1">
      <c r="A31" s="73">
        <v>18</v>
      </c>
      <c r="B31" s="78"/>
      <c r="C31" s="581"/>
    </row>
    <row r="32" spans="1:3" s="20" customFormat="1">
      <c r="A32" s="75">
        <v>19</v>
      </c>
      <c r="B32" s="78" t="s">
        <v>53</v>
      </c>
      <c r="C32" s="581"/>
    </row>
    <row r="33" spans="1:7" s="20" customFormat="1">
      <c r="A33" s="73">
        <v>20</v>
      </c>
      <c r="B33" s="397" t="s">
        <v>48</v>
      </c>
      <c r="C33" s="581">
        <v>0</v>
      </c>
    </row>
    <row r="34" spans="1:7" s="20" customFormat="1">
      <c r="A34" s="75">
        <v>21</v>
      </c>
      <c r="B34" s="397" t="s">
        <v>54</v>
      </c>
      <c r="C34" s="581"/>
    </row>
    <row r="35" spans="1:7" s="20" customFormat="1">
      <c r="A35" s="75">
        <v>22</v>
      </c>
      <c r="B35" s="397" t="s">
        <v>51</v>
      </c>
      <c r="C35" s="582"/>
    </row>
    <row r="36" spans="1:7" s="20" customFormat="1">
      <c r="A36" s="73">
        <v>23</v>
      </c>
      <c r="B36" s="398" t="s">
        <v>55</v>
      </c>
      <c r="C36" s="581">
        <f t="shared" ref="C36" si="3">SUM(C33:C35)</f>
        <v>0</v>
      </c>
    </row>
    <row r="37" spans="1:7" s="20" customFormat="1">
      <c r="A37" s="75">
        <v>24</v>
      </c>
      <c r="B37" s="78"/>
      <c r="C37" s="581"/>
    </row>
    <row r="38" spans="1:7" s="20" customFormat="1">
      <c r="A38" s="73">
        <v>25</v>
      </c>
      <c r="B38" s="78" t="s">
        <v>56</v>
      </c>
      <c r="C38" s="581">
        <v>0</v>
      </c>
      <c r="D38" s="106"/>
      <c r="E38" s="109"/>
      <c r="F38" s="109"/>
      <c r="G38" s="109"/>
    </row>
    <row r="39" spans="1:7" s="20" customFormat="1">
      <c r="A39" s="75">
        <v>26</v>
      </c>
      <c r="B39" s="78" t="s">
        <v>57</v>
      </c>
      <c r="C39" s="581">
        <v>0</v>
      </c>
      <c r="D39" s="81"/>
      <c r="E39" s="81"/>
      <c r="F39" s="81"/>
      <c r="G39" s="109"/>
    </row>
    <row r="40" spans="1:7" s="20" customFormat="1">
      <c r="A40" s="75">
        <v>27</v>
      </c>
      <c r="B40" s="78" t="s">
        <v>58</v>
      </c>
      <c r="C40" s="581">
        <v>0</v>
      </c>
    </row>
    <row r="41" spans="1:7" s="20" customFormat="1">
      <c r="A41" s="73">
        <v>28</v>
      </c>
      <c r="B41" s="78"/>
      <c r="C41" s="581"/>
    </row>
    <row r="42" spans="1:7" s="20" customFormat="1">
      <c r="A42" s="75">
        <v>29</v>
      </c>
      <c r="B42" s="78" t="s">
        <v>59</v>
      </c>
      <c r="C42" s="581"/>
    </row>
    <row r="43" spans="1:7" s="20" customFormat="1">
      <c r="A43" s="73">
        <v>30</v>
      </c>
      <c r="B43" s="397" t="s">
        <v>48</v>
      </c>
      <c r="C43" s="581">
        <v>-632</v>
      </c>
    </row>
    <row r="44" spans="1:7" s="20" customFormat="1">
      <c r="A44" s="75">
        <v>31</v>
      </c>
      <c r="B44" s="397" t="s">
        <v>54</v>
      </c>
      <c r="C44" s="581"/>
    </row>
    <row r="45" spans="1:7" s="20" customFormat="1">
      <c r="A45" s="75">
        <v>32</v>
      </c>
      <c r="B45" s="397" t="s">
        <v>51</v>
      </c>
      <c r="C45" s="582"/>
    </row>
    <row r="46" spans="1:7" s="20" customFormat="1">
      <c r="A46" s="73">
        <v>33</v>
      </c>
      <c r="B46" s="398" t="s">
        <v>60</v>
      </c>
      <c r="C46" s="582">
        <f t="shared" ref="C46" si="4">SUM(C43:C45)</f>
        <v>-632</v>
      </c>
    </row>
    <row r="47" spans="1:7" s="20" customFormat="1">
      <c r="A47" s="75">
        <v>34</v>
      </c>
      <c r="B47" s="78" t="s">
        <v>61</v>
      </c>
      <c r="C47" s="582">
        <f t="shared" ref="C47" si="5">C46+C40+C39+C38+C36+C30</f>
        <v>-680</v>
      </c>
    </row>
    <row r="48" spans="1:7" s="20" customFormat="1">
      <c r="A48" s="73">
        <v>35</v>
      </c>
      <c r="B48" s="78"/>
      <c r="C48" s="581"/>
    </row>
    <row r="49" spans="1:7" s="20" customFormat="1">
      <c r="A49" s="75">
        <v>36</v>
      </c>
      <c r="B49" s="78" t="s">
        <v>62</v>
      </c>
      <c r="C49" s="581">
        <f t="shared" ref="C49" si="6">C21-C47</f>
        <v>680</v>
      </c>
    </row>
    <row r="50" spans="1:7" s="20" customFormat="1">
      <c r="A50" s="75">
        <v>37</v>
      </c>
      <c r="B50" s="78"/>
      <c r="C50" s="581"/>
    </row>
    <row r="51" spans="1:7" s="20" customFormat="1">
      <c r="A51" s="73">
        <v>38</v>
      </c>
      <c r="B51" s="78" t="s">
        <v>63</v>
      </c>
      <c r="C51" s="581"/>
    </row>
    <row r="52" spans="1:7" s="20" customFormat="1">
      <c r="A52" s="75">
        <v>39</v>
      </c>
      <c r="B52" s="78" t="s">
        <v>64</v>
      </c>
      <c r="C52" s="581">
        <f>+ROUND(C104,0)</f>
        <v>238</v>
      </c>
    </row>
    <row r="53" spans="1:7" s="20" customFormat="1">
      <c r="A53" s="75">
        <v>40</v>
      </c>
      <c r="B53" s="78" t="s">
        <v>366</v>
      </c>
      <c r="C53" s="581">
        <f>+(C77*' Capital '!$J$13)*-35%</f>
        <v>0</v>
      </c>
    </row>
    <row r="54" spans="1:7" s="20" customFormat="1">
      <c r="A54" s="73">
        <v>41</v>
      </c>
      <c r="B54" s="78" t="s">
        <v>65</v>
      </c>
      <c r="C54" s="581"/>
    </row>
    <row r="55" spans="1:7" s="20" customFormat="1">
      <c r="A55" s="75">
        <v>42</v>
      </c>
      <c r="B55" s="78" t="s">
        <v>238</v>
      </c>
      <c r="C55" s="581"/>
    </row>
    <row r="56" spans="1:7" s="20" customFormat="1">
      <c r="A56" s="75">
        <v>43</v>
      </c>
      <c r="B56" s="78"/>
      <c r="C56" s="581"/>
    </row>
    <row r="57" spans="1:7">
      <c r="A57" s="73">
        <v>44</v>
      </c>
      <c r="C57" s="581"/>
      <c r="D57" s="15"/>
      <c r="E57" s="15"/>
      <c r="F57" s="15"/>
      <c r="G57" s="15"/>
    </row>
    <row r="58" spans="1:7" s="15" customFormat="1" ht="13.5" thickBot="1">
      <c r="A58" s="75">
        <v>45</v>
      </c>
      <c r="B58" s="76" t="s">
        <v>66</v>
      </c>
      <c r="C58" s="598">
        <f t="shared" ref="C58" si="7">C49-SUM(C52:C56)</f>
        <v>442</v>
      </c>
      <c r="D58" s="14"/>
      <c r="E58" s="14"/>
      <c r="F58" s="14"/>
      <c r="G58" s="14"/>
    </row>
    <row r="59" spans="1:7" ht="13.5" thickTop="1">
      <c r="A59" s="75">
        <v>46</v>
      </c>
      <c r="B59" s="2"/>
      <c r="C59" s="575"/>
    </row>
    <row r="60" spans="1:7">
      <c r="A60" s="73">
        <v>47</v>
      </c>
      <c r="B60" s="416" t="s">
        <v>21</v>
      </c>
      <c r="C60" s="575"/>
    </row>
    <row r="61" spans="1:7">
      <c r="A61" s="75">
        <v>48</v>
      </c>
      <c r="B61" s="63" t="s">
        <v>67</v>
      </c>
      <c r="C61" s="581"/>
      <c r="D61" s="15"/>
      <c r="E61" s="15"/>
      <c r="F61" s="15"/>
      <c r="G61" s="15"/>
    </row>
    <row r="62" spans="1:7" s="15" customFormat="1">
      <c r="A62" s="75">
        <v>49</v>
      </c>
      <c r="B62" s="396" t="s">
        <v>68</v>
      </c>
      <c r="C62" s="599"/>
      <c r="D62" s="20"/>
      <c r="E62" s="20"/>
      <c r="F62" s="20"/>
      <c r="G62" s="20"/>
    </row>
    <row r="63" spans="1:7" s="20" customFormat="1">
      <c r="A63" s="73">
        <v>50</v>
      </c>
      <c r="B63" s="397" t="s">
        <v>69</v>
      </c>
      <c r="C63" s="581"/>
    </row>
    <row r="64" spans="1:7" s="20" customFormat="1">
      <c r="A64" s="75">
        <v>51</v>
      </c>
      <c r="B64" s="397" t="s">
        <v>70</v>
      </c>
      <c r="C64" s="581"/>
    </row>
    <row r="65" spans="1:7" s="20" customFormat="1">
      <c r="A65" s="75">
        <v>52</v>
      </c>
      <c r="B65" s="397" t="s">
        <v>53</v>
      </c>
      <c r="C65" s="581"/>
    </row>
    <row r="66" spans="1:7" s="20" customFormat="1">
      <c r="A66" s="73">
        <v>53</v>
      </c>
      <c r="B66" s="397" t="s">
        <v>71</v>
      </c>
      <c r="C66" s="582"/>
    </row>
    <row r="67" spans="1:7" s="20" customFormat="1">
      <c r="A67" s="75">
        <v>54</v>
      </c>
      <c r="B67" s="398" t="s">
        <v>72</v>
      </c>
      <c r="C67" s="581">
        <f t="shared" ref="C67" si="8">SUM(C62:C66)</f>
        <v>0</v>
      </c>
    </row>
    <row r="68" spans="1:7" s="20" customFormat="1">
      <c r="A68" s="75">
        <v>55</v>
      </c>
      <c r="B68" s="78" t="s">
        <v>244</v>
      </c>
      <c r="C68" s="581"/>
    </row>
    <row r="69" spans="1:7" s="20" customFormat="1">
      <c r="A69" s="73">
        <v>56</v>
      </c>
      <c r="B69" s="78" t="s">
        <v>245</v>
      </c>
      <c r="C69" s="582"/>
    </row>
    <row r="70" spans="1:7" s="20" customFormat="1">
      <c r="A70" s="75">
        <v>57</v>
      </c>
      <c r="B70" s="397" t="s">
        <v>73</v>
      </c>
      <c r="C70" s="581">
        <f t="shared" ref="C70" si="9">SUM(C68:C69)</f>
        <v>0</v>
      </c>
    </row>
    <row r="71" spans="1:7" s="20" customFormat="1">
      <c r="A71" s="75">
        <v>58</v>
      </c>
      <c r="B71" s="78" t="s">
        <v>249</v>
      </c>
      <c r="C71" s="581"/>
    </row>
    <row r="72" spans="1:7" s="20" customFormat="1">
      <c r="A72" s="73">
        <v>59</v>
      </c>
      <c r="B72" s="78" t="s">
        <v>351</v>
      </c>
      <c r="C72" s="581"/>
    </row>
    <row r="73" spans="1:7" s="20" customFormat="1">
      <c r="A73" s="75">
        <v>60</v>
      </c>
      <c r="B73" s="78" t="s">
        <v>236</v>
      </c>
      <c r="C73" s="581"/>
    </row>
    <row r="74" spans="1:7" s="20" customFormat="1">
      <c r="A74" s="75">
        <v>61</v>
      </c>
      <c r="B74" s="78" t="s">
        <v>247</v>
      </c>
      <c r="C74" s="581"/>
    </row>
    <row r="75" spans="1:7" s="20" customFormat="1">
      <c r="A75" s="73">
        <v>62</v>
      </c>
      <c r="B75" s="78" t="s">
        <v>248</v>
      </c>
      <c r="C75" s="582"/>
    </row>
    <row r="76" spans="1:7" s="20" customFormat="1">
      <c r="A76" s="75">
        <v>63</v>
      </c>
      <c r="B76" s="78"/>
      <c r="C76" s="581"/>
      <c r="D76" s="15"/>
      <c r="E76" s="15"/>
      <c r="F76" s="15"/>
      <c r="G76" s="15"/>
    </row>
    <row r="77" spans="1:7" s="15" customFormat="1" ht="13.5" thickBot="1">
      <c r="A77" s="75">
        <v>64</v>
      </c>
      <c r="B77" s="425" t="s">
        <v>74</v>
      </c>
      <c r="C77" s="598">
        <f t="shared" ref="C77" si="10">C67-C70+C71+C75</f>
        <v>0</v>
      </c>
      <c r="D77" s="14"/>
      <c r="E77" s="14"/>
      <c r="F77" s="14"/>
      <c r="G77" s="14"/>
    </row>
    <row r="78" spans="1:7" ht="13.5" thickTop="1">
      <c r="B78" s="83"/>
    </row>
    <row r="79" spans="1:7">
      <c r="A79" s="84"/>
      <c r="B79" s="38"/>
      <c r="C79" s="587"/>
    </row>
    <row r="80" spans="1:7">
      <c r="A80" s="89"/>
      <c r="B80" s="86"/>
    </row>
    <row r="81" spans="1:3">
      <c r="A81" s="89">
        <v>1</v>
      </c>
      <c r="B81" s="392" t="s">
        <v>116</v>
      </c>
    </row>
    <row r="82" spans="1:3">
      <c r="A82" s="89">
        <v>2</v>
      </c>
      <c r="B82" s="87" t="s">
        <v>117</v>
      </c>
      <c r="C82" s="600">
        <f t="shared" ref="C82" si="11">+C21</f>
        <v>0</v>
      </c>
    </row>
    <row r="83" spans="1:3">
      <c r="A83" s="89">
        <v>3</v>
      </c>
      <c r="B83" s="87" t="s">
        <v>118</v>
      </c>
      <c r="C83" s="588">
        <f t="shared" ref="C83" si="12">-C47</f>
        <v>680</v>
      </c>
    </row>
    <row r="84" spans="1:3">
      <c r="A84" s="89">
        <v>4</v>
      </c>
      <c r="B84" s="87" t="s">
        <v>134</v>
      </c>
      <c r="C84" s="581"/>
    </row>
    <row r="85" spans="1:3">
      <c r="A85" s="89">
        <v>5</v>
      </c>
      <c r="B85" s="405" t="s">
        <v>119</v>
      </c>
      <c r="C85" s="589">
        <f t="shared" ref="C85" si="13">SUM(C82:C84)</f>
        <v>680</v>
      </c>
    </row>
    <row r="86" spans="1:3">
      <c r="A86" s="89">
        <v>6</v>
      </c>
      <c r="B86" s="86"/>
      <c r="C86" s="590"/>
    </row>
    <row r="87" spans="1:3">
      <c r="A87" s="89">
        <v>7</v>
      </c>
      <c r="B87" s="86" t="s">
        <v>120</v>
      </c>
      <c r="C87" s="590"/>
    </row>
    <row r="88" spans="1:3">
      <c r="A88" s="89">
        <v>8</v>
      </c>
      <c r="B88" s="404" t="s">
        <v>121</v>
      </c>
      <c r="C88" s="590"/>
    </row>
    <row r="89" spans="1:3">
      <c r="A89" s="89">
        <v>9</v>
      </c>
      <c r="B89" s="404" t="s">
        <v>130</v>
      </c>
      <c r="C89" s="590"/>
    </row>
    <row r="90" spans="1:3">
      <c r="A90" s="89">
        <v>10</v>
      </c>
      <c r="B90" s="404" t="s">
        <v>122</v>
      </c>
      <c r="C90" s="590"/>
    </row>
    <row r="91" spans="1:3">
      <c r="A91" s="89">
        <v>11</v>
      </c>
      <c r="B91" s="86"/>
      <c r="C91" s="590"/>
    </row>
    <row r="92" spans="1:3">
      <c r="A92" s="89">
        <v>12</v>
      </c>
      <c r="B92" s="406" t="s">
        <v>278</v>
      </c>
      <c r="C92" s="589">
        <f t="shared" ref="C92" si="14">SUM(C88:C90)</f>
        <v>0</v>
      </c>
    </row>
    <row r="93" spans="1:3">
      <c r="A93" s="89">
        <v>13</v>
      </c>
      <c r="B93" s="86"/>
      <c r="C93" s="590"/>
    </row>
    <row r="94" spans="1:3">
      <c r="A94" s="89">
        <v>14</v>
      </c>
      <c r="B94" s="86" t="s">
        <v>124</v>
      </c>
      <c r="C94" s="590"/>
    </row>
    <row r="95" spans="1:3">
      <c r="A95" s="89">
        <v>15</v>
      </c>
      <c r="B95" s="404" t="s">
        <v>178</v>
      </c>
      <c r="C95" s="590"/>
    </row>
    <row r="96" spans="1:3">
      <c r="A96" s="89">
        <v>16</v>
      </c>
      <c r="B96" s="404" t="s">
        <v>133</v>
      </c>
      <c r="C96" s="590"/>
    </row>
    <row r="97" spans="1:3">
      <c r="A97" s="89">
        <v>17</v>
      </c>
      <c r="B97" s="404" t="s">
        <v>122</v>
      </c>
      <c r="C97" s="590"/>
    </row>
    <row r="98" spans="1:3">
      <c r="A98" s="89">
        <v>18</v>
      </c>
      <c r="B98" s="406" t="s">
        <v>279</v>
      </c>
      <c r="C98" s="589">
        <f t="shared" ref="C98" si="15">SUM(C95:C97)</f>
        <v>0</v>
      </c>
    </row>
    <row r="99" spans="1:3">
      <c r="A99" s="89">
        <v>19</v>
      </c>
      <c r="B99" s="86"/>
      <c r="C99" s="590"/>
    </row>
    <row r="100" spans="1:3">
      <c r="A100" s="89">
        <v>20</v>
      </c>
      <c r="B100" s="87" t="s">
        <v>268</v>
      </c>
      <c r="C100" s="584">
        <f t="shared" ref="C100" si="16">+C82+C83+C84+C92-C98</f>
        <v>680</v>
      </c>
    </row>
    <row r="101" spans="1:3">
      <c r="A101" s="89">
        <v>21</v>
      </c>
      <c r="B101" s="404" t="s">
        <v>280</v>
      </c>
      <c r="C101" s="591">
        <v>0.35</v>
      </c>
    </row>
    <row r="102" spans="1:3">
      <c r="A102" s="89">
        <v>22</v>
      </c>
      <c r="B102" s="404" t="s">
        <v>127</v>
      </c>
      <c r="C102" s="592">
        <f t="shared" ref="C102" si="17">C100*C101</f>
        <v>237.99999999999997</v>
      </c>
    </row>
    <row r="103" spans="1:3">
      <c r="A103" s="89">
        <v>23</v>
      </c>
      <c r="B103" s="404" t="s">
        <v>128</v>
      </c>
      <c r="C103" s="590">
        <f t="shared" ref="C103" si="18">+(C95-C88+C96)*C101</f>
        <v>0</v>
      </c>
    </row>
    <row r="104" spans="1:3" ht="13.5" thickBot="1">
      <c r="A104" s="89">
        <v>24</v>
      </c>
      <c r="B104" s="95" t="s">
        <v>129</v>
      </c>
      <c r="C104" s="593">
        <f>ROUND(+C102+C103,0)</f>
        <v>238</v>
      </c>
    </row>
    <row r="105" spans="1:3" ht="13.5" thickTop="1"/>
  </sheetData>
  <printOptions horizontalCentered="1"/>
  <pageMargins left="0.5" right="0.5" top="1.5" bottom="0.3" header="0.5" footer="0.5"/>
  <pageSetup scale="60" firstPageNumber="2" fitToWidth="0" orientation="portrait" r:id="rId1"/>
  <headerFooter scaleWithDoc="0" alignWithMargins="0">
    <oddHeader>&amp;L&amp;"Arial,Regular"&amp;10Avista Corporation
&amp;"Arial,Bold"Electric - Pro Forma Adjustments (Schedule 1.3)&amp;"Arial,Regular"
Twelve Months Ended December 31,2011&amp;R&amp;"Arial,Regular"&amp;10Exhibit No. ___ (JH-2)
Docket UE-120436 &amp; UG-120437
Page &amp;P of  &amp;N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zoomScale="75" zoomScaleNormal="75" workbookViewId="0">
      <pane xSplit="2" ySplit="12" topLeftCell="C40" activePane="bottomRight" state="frozen"/>
      <selection activeCell="G79" sqref="G79"/>
      <selection pane="topRight" activeCell="G79" sqref="G79"/>
      <selection pane="bottomLeft" activeCell="G79" sqref="G79"/>
      <selection pane="bottomRight" activeCell="C52" sqref="C52"/>
    </sheetView>
  </sheetViews>
  <sheetFormatPr defaultColWidth="10.625" defaultRowHeight="12.75"/>
  <cols>
    <col min="1" max="1" width="4.375" style="64" bestFit="1" customWidth="1"/>
    <col min="2" max="2" width="36.5" style="63" bestFit="1" customWidth="1"/>
    <col min="3" max="3" width="13.625" style="74" customWidth="1"/>
    <col min="4" max="4" width="6.75" style="14" customWidth="1"/>
    <col min="5" max="6" width="9.625" style="14" customWidth="1"/>
    <col min="7" max="7" width="10.625" style="14" customWidth="1"/>
    <col min="8" max="8" width="6.75" style="14" customWidth="1"/>
    <col min="9" max="16384" width="10.625" style="14"/>
  </cols>
  <sheetData>
    <row r="1" spans="1:3">
      <c r="A1" s="56"/>
      <c r="B1" s="9" t="s">
        <v>281</v>
      </c>
      <c r="C1" s="58"/>
    </row>
    <row r="2" spans="1:3">
      <c r="A2" s="411"/>
      <c r="B2" s="14"/>
      <c r="C2" s="66" t="s">
        <v>382</v>
      </c>
    </row>
    <row r="3" spans="1:3">
      <c r="A3" s="411"/>
      <c r="B3" s="14"/>
      <c r="C3" s="66"/>
    </row>
    <row r="4" spans="1:3" ht="13.5" thickBot="1">
      <c r="A4" s="411"/>
      <c r="B4" s="14"/>
      <c r="C4" s="413"/>
    </row>
    <row r="5" spans="1:3" ht="13.5" thickTop="1">
      <c r="A5" s="402"/>
      <c r="B5" s="64" t="str">
        <f>+Restating!B5</f>
        <v>(000's of Dollars)</v>
      </c>
    </row>
    <row r="6" spans="1:3">
      <c r="A6" s="62"/>
    </row>
    <row r="7" spans="1:3">
      <c r="A7" s="403"/>
      <c r="B7" s="64" t="s">
        <v>100</v>
      </c>
      <c r="C7" s="102" t="s">
        <v>105</v>
      </c>
    </row>
    <row r="8" spans="1:3">
      <c r="A8" s="403"/>
      <c r="B8" s="64"/>
      <c r="C8" s="102"/>
    </row>
    <row r="9" spans="1:3">
      <c r="A9" s="62"/>
      <c r="C9" s="550">
        <v>3.04</v>
      </c>
    </row>
    <row r="10" spans="1:3" s="71" customFormat="1">
      <c r="A10" s="414"/>
      <c r="B10" s="420"/>
      <c r="C10" s="426" t="s">
        <v>4</v>
      </c>
    </row>
    <row r="11" spans="1:3" s="71" customFormat="1">
      <c r="A11" s="414" t="s">
        <v>5</v>
      </c>
      <c r="B11" s="420"/>
      <c r="C11" s="427" t="s">
        <v>221</v>
      </c>
    </row>
    <row r="12" spans="1:3" s="71" customFormat="1">
      <c r="A12" s="421" t="s">
        <v>10</v>
      </c>
      <c r="B12" s="422" t="s">
        <v>11</v>
      </c>
      <c r="C12" s="428" t="s">
        <v>222</v>
      </c>
    </row>
    <row r="13" spans="1:3" s="72" customFormat="1">
      <c r="A13" s="418"/>
      <c r="B13" s="115" t="s">
        <v>155</v>
      </c>
      <c r="C13" s="103"/>
    </row>
    <row r="14" spans="1:3">
      <c r="A14" s="73">
        <v>1</v>
      </c>
      <c r="B14" s="416" t="s">
        <v>98</v>
      </c>
    </row>
    <row r="15" spans="1:3">
      <c r="A15" s="75">
        <v>2</v>
      </c>
      <c r="B15" s="63" t="s">
        <v>40</v>
      </c>
      <c r="C15" s="65"/>
    </row>
    <row r="16" spans="1:3" s="15" customFormat="1">
      <c r="A16" s="75">
        <v>3</v>
      </c>
      <c r="B16" s="76" t="s">
        <v>41</v>
      </c>
      <c r="C16" s="566"/>
    </row>
    <row r="17" spans="1:3" s="20" customFormat="1">
      <c r="A17" s="73">
        <v>4</v>
      </c>
      <c r="B17" s="78" t="s">
        <v>42</v>
      </c>
      <c r="C17" s="23"/>
    </row>
    <row r="18" spans="1:3" s="20" customFormat="1">
      <c r="A18" s="75">
        <v>5</v>
      </c>
      <c r="B18" s="78" t="s">
        <v>43</v>
      </c>
      <c r="C18" s="24"/>
    </row>
    <row r="19" spans="1:3" s="20" customFormat="1">
      <c r="A19" s="75">
        <v>6</v>
      </c>
      <c r="B19" s="397" t="s">
        <v>44</v>
      </c>
      <c r="C19" s="23">
        <f t="shared" ref="C19" si="0">SUM(C16:C18)</f>
        <v>0</v>
      </c>
    </row>
    <row r="20" spans="1:3" s="20" customFormat="1">
      <c r="A20" s="73">
        <v>7</v>
      </c>
      <c r="B20" s="78" t="s">
        <v>45</v>
      </c>
      <c r="C20" s="24"/>
    </row>
    <row r="21" spans="1:3" s="20" customFormat="1">
      <c r="A21" s="75">
        <v>8</v>
      </c>
      <c r="B21" s="397" t="s">
        <v>46</v>
      </c>
      <c r="C21" s="23">
        <f t="shared" ref="C21" si="1">SUM(C19:C20)</f>
        <v>0</v>
      </c>
    </row>
    <row r="22" spans="1:3" s="20" customFormat="1">
      <c r="A22" s="75">
        <v>9</v>
      </c>
      <c r="B22" s="78"/>
      <c r="C22" s="23"/>
    </row>
    <row r="23" spans="1:3" s="20" customFormat="1">
      <c r="A23" s="73">
        <v>10</v>
      </c>
      <c r="B23" s="78" t="s">
        <v>20</v>
      </c>
      <c r="C23" s="23"/>
    </row>
    <row r="24" spans="1:3" s="20" customFormat="1">
      <c r="A24" s="75">
        <v>11</v>
      </c>
      <c r="B24" s="78" t="s">
        <v>47</v>
      </c>
      <c r="C24" s="23"/>
    </row>
    <row r="25" spans="1:3" s="20" customFormat="1">
      <c r="A25" s="75">
        <v>12</v>
      </c>
      <c r="B25" s="397" t="s">
        <v>48</v>
      </c>
      <c r="C25" s="23">
        <v>1110</v>
      </c>
    </row>
    <row r="26" spans="1:3" s="20" customFormat="1">
      <c r="A26" s="73">
        <v>13</v>
      </c>
      <c r="B26" s="397" t="s">
        <v>49</v>
      </c>
      <c r="C26" s="23"/>
    </row>
    <row r="27" spans="1:3" s="20" customFormat="1">
      <c r="A27" s="75">
        <v>14</v>
      </c>
      <c r="B27" s="397" t="s">
        <v>50</v>
      </c>
      <c r="C27" s="23"/>
    </row>
    <row r="28" spans="1:3" s="20" customFormat="1">
      <c r="A28" s="73">
        <v>15</v>
      </c>
      <c r="B28" s="393" t="s">
        <v>349</v>
      </c>
      <c r="C28" s="23"/>
    </row>
    <row r="29" spans="1:3" s="20" customFormat="1">
      <c r="A29" s="75">
        <v>16</v>
      </c>
      <c r="B29" s="397" t="s">
        <v>51</v>
      </c>
      <c r="C29" s="24"/>
    </row>
    <row r="30" spans="1:3" s="20" customFormat="1">
      <c r="A30" s="75">
        <v>17</v>
      </c>
      <c r="B30" s="398" t="s">
        <v>52</v>
      </c>
      <c r="C30" s="23">
        <f t="shared" ref="C30" si="2">SUM(C25:C29)</f>
        <v>1110</v>
      </c>
    </row>
    <row r="31" spans="1:3" s="20" customFormat="1">
      <c r="A31" s="73">
        <v>18</v>
      </c>
      <c r="B31" s="78"/>
      <c r="C31" s="23"/>
    </row>
    <row r="32" spans="1:3" s="20" customFormat="1">
      <c r="A32" s="75">
        <v>19</v>
      </c>
      <c r="B32" s="78" t="s">
        <v>53</v>
      </c>
      <c r="C32" s="23"/>
    </row>
    <row r="33" spans="1:6" s="20" customFormat="1">
      <c r="A33" s="73">
        <v>20</v>
      </c>
      <c r="B33" s="397" t="s">
        <v>48</v>
      </c>
      <c r="C33" s="23">
        <v>785</v>
      </c>
    </row>
    <row r="34" spans="1:6" s="20" customFormat="1">
      <c r="A34" s="75">
        <v>21</v>
      </c>
      <c r="B34" s="397" t="s">
        <v>54</v>
      </c>
      <c r="C34" s="23"/>
    </row>
    <row r="35" spans="1:6" s="20" customFormat="1">
      <c r="A35" s="75">
        <v>22</v>
      </c>
      <c r="B35" s="397" t="s">
        <v>51</v>
      </c>
      <c r="C35" s="24"/>
    </row>
    <row r="36" spans="1:6" s="20" customFormat="1">
      <c r="A36" s="73">
        <v>23</v>
      </c>
      <c r="B36" s="398" t="s">
        <v>55</v>
      </c>
      <c r="C36" s="23">
        <f t="shared" ref="C36" si="3">SUM(C33:C35)</f>
        <v>785</v>
      </c>
    </row>
    <row r="37" spans="1:6" s="20" customFormat="1">
      <c r="A37" s="75">
        <v>24</v>
      </c>
      <c r="B37" s="78"/>
      <c r="C37" s="23"/>
    </row>
    <row r="38" spans="1:6" s="20" customFormat="1">
      <c r="A38" s="73">
        <v>25</v>
      </c>
      <c r="B38" s="78" t="s">
        <v>56</v>
      </c>
      <c r="C38" s="23">
        <v>373</v>
      </c>
      <c r="D38" s="109"/>
      <c r="E38" s="109"/>
      <c r="F38" s="109"/>
    </row>
    <row r="39" spans="1:6" s="20" customFormat="1">
      <c r="A39" s="75">
        <v>26</v>
      </c>
      <c r="B39" s="78" t="s">
        <v>57</v>
      </c>
      <c r="C39" s="23">
        <v>32</v>
      </c>
      <c r="D39" s="81"/>
      <c r="E39" s="81"/>
      <c r="F39" s="109"/>
    </row>
    <row r="40" spans="1:6" s="20" customFormat="1">
      <c r="A40" s="75">
        <v>27</v>
      </c>
      <c r="B40" s="78" t="s">
        <v>58</v>
      </c>
      <c r="C40" s="23"/>
    </row>
    <row r="41" spans="1:6" s="20" customFormat="1">
      <c r="A41" s="73">
        <v>28</v>
      </c>
      <c r="B41" s="78"/>
      <c r="C41" s="23"/>
    </row>
    <row r="42" spans="1:6" s="20" customFormat="1">
      <c r="A42" s="75">
        <v>29</v>
      </c>
      <c r="B42" s="78" t="s">
        <v>59</v>
      </c>
      <c r="C42" s="23"/>
    </row>
    <row r="43" spans="1:6" s="20" customFormat="1">
      <c r="A43" s="73">
        <v>30</v>
      </c>
      <c r="B43" s="397" t="s">
        <v>48</v>
      </c>
      <c r="C43" s="23">
        <v>999</v>
      </c>
    </row>
    <row r="44" spans="1:6" s="20" customFormat="1">
      <c r="A44" s="75">
        <v>31</v>
      </c>
      <c r="B44" s="397" t="s">
        <v>54</v>
      </c>
      <c r="C44" s="23"/>
    </row>
    <row r="45" spans="1:6" s="20" customFormat="1">
      <c r="A45" s="75">
        <v>32</v>
      </c>
      <c r="B45" s="397" t="s">
        <v>51</v>
      </c>
      <c r="C45" s="24"/>
    </row>
    <row r="46" spans="1:6" s="20" customFormat="1">
      <c r="A46" s="73">
        <v>33</v>
      </c>
      <c r="B46" s="398" t="s">
        <v>60</v>
      </c>
      <c r="C46" s="24">
        <f t="shared" ref="C46" si="4">SUM(C43:C45)</f>
        <v>999</v>
      </c>
    </row>
    <row r="47" spans="1:6" s="20" customFormat="1">
      <c r="A47" s="75">
        <v>34</v>
      </c>
      <c r="B47" s="78" t="s">
        <v>61</v>
      </c>
      <c r="C47" s="24">
        <f t="shared" ref="C47" si="5">C46+C40+C39+C38+C36+C30</f>
        <v>3299</v>
      </c>
    </row>
    <row r="48" spans="1:6" s="20" customFormat="1">
      <c r="A48" s="73">
        <v>35</v>
      </c>
      <c r="B48" s="78"/>
      <c r="C48" s="23"/>
    </row>
    <row r="49" spans="1:6" s="20" customFormat="1">
      <c r="A49" s="75">
        <v>36</v>
      </c>
      <c r="B49" s="78" t="s">
        <v>62</v>
      </c>
      <c r="C49" s="23">
        <f t="shared" ref="C49" si="6">C21-C47</f>
        <v>-3299</v>
      </c>
    </row>
    <row r="50" spans="1:6" s="20" customFormat="1">
      <c r="A50" s="75">
        <v>37</v>
      </c>
      <c r="B50" s="78"/>
      <c r="C50" s="23"/>
    </row>
    <row r="51" spans="1:6" s="20" customFormat="1">
      <c r="A51" s="73">
        <v>38</v>
      </c>
      <c r="B51" s="78" t="s">
        <v>63</v>
      </c>
      <c r="C51" s="23"/>
    </row>
    <row r="52" spans="1:6" s="20" customFormat="1">
      <c r="A52" s="75">
        <v>39</v>
      </c>
      <c r="B52" s="78" t="s">
        <v>64</v>
      </c>
      <c r="C52" s="23">
        <f>+ROUND(C104,0)</f>
        <v>-1155</v>
      </c>
    </row>
    <row r="53" spans="1:6" s="20" customFormat="1">
      <c r="A53" s="75">
        <v>40</v>
      </c>
      <c r="B53" s="78" t="s">
        <v>366</v>
      </c>
      <c r="C53" s="23">
        <f>+(C77*' Capital '!$J$13)*-35%</f>
        <v>0</v>
      </c>
    </row>
    <row r="54" spans="1:6" s="20" customFormat="1">
      <c r="A54" s="73">
        <v>41</v>
      </c>
      <c r="B54" s="78" t="s">
        <v>65</v>
      </c>
      <c r="C54" s="23"/>
    </row>
    <row r="55" spans="1:6" s="20" customFormat="1">
      <c r="A55" s="75">
        <v>42</v>
      </c>
      <c r="B55" s="78" t="s">
        <v>238</v>
      </c>
      <c r="C55" s="23"/>
    </row>
    <row r="56" spans="1:6" s="20" customFormat="1">
      <c r="A56" s="75">
        <v>43</v>
      </c>
      <c r="B56" s="78"/>
      <c r="C56" s="23"/>
    </row>
    <row r="57" spans="1:6">
      <c r="A57" s="73">
        <v>44</v>
      </c>
      <c r="C57" s="23"/>
      <c r="D57" s="15"/>
      <c r="E57" s="15"/>
      <c r="F57" s="15"/>
    </row>
    <row r="58" spans="1:6" s="15" customFormat="1" ht="13.5" thickBot="1">
      <c r="A58" s="75">
        <v>45</v>
      </c>
      <c r="B58" s="76" t="s">
        <v>66</v>
      </c>
      <c r="C58" s="112">
        <f t="shared" ref="C58" si="7">C49-SUM(C52:C56)</f>
        <v>-2144</v>
      </c>
      <c r="D58" s="14"/>
      <c r="E58" s="14"/>
      <c r="F58" s="14"/>
    </row>
    <row r="59" spans="1:6" ht="13.5" thickTop="1">
      <c r="A59" s="75">
        <v>46</v>
      </c>
      <c r="B59" s="2"/>
      <c r="C59" s="65"/>
    </row>
    <row r="60" spans="1:6">
      <c r="A60" s="73">
        <v>47</v>
      </c>
      <c r="B60" s="416" t="s">
        <v>21</v>
      </c>
      <c r="C60" s="65"/>
    </row>
    <row r="61" spans="1:6">
      <c r="A61" s="75">
        <v>48</v>
      </c>
      <c r="B61" s="63" t="s">
        <v>67</v>
      </c>
      <c r="C61" s="23"/>
      <c r="D61" s="15"/>
      <c r="E61" s="15"/>
      <c r="F61" s="15"/>
    </row>
    <row r="62" spans="1:6" s="15" customFormat="1">
      <c r="A62" s="75">
        <v>49</v>
      </c>
      <c r="B62" s="396" t="s">
        <v>68</v>
      </c>
      <c r="C62" s="36"/>
      <c r="D62" s="20"/>
      <c r="E62" s="20"/>
      <c r="F62" s="20"/>
    </row>
    <row r="63" spans="1:6" s="20" customFormat="1">
      <c r="A63" s="73">
        <v>50</v>
      </c>
      <c r="B63" s="397" t="s">
        <v>69</v>
      </c>
      <c r="C63" s="23"/>
    </row>
    <row r="64" spans="1:6" s="20" customFormat="1">
      <c r="A64" s="75">
        <v>51</v>
      </c>
      <c r="B64" s="397" t="s">
        <v>70</v>
      </c>
      <c r="C64" s="23"/>
    </row>
    <row r="65" spans="1:6" s="20" customFormat="1">
      <c r="A65" s="75">
        <v>52</v>
      </c>
      <c r="B65" s="397" t="s">
        <v>53</v>
      </c>
      <c r="C65" s="23"/>
    </row>
    <row r="66" spans="1:6" s="20" customFormat="1">
      <c r="A66" s="73">
        <v>53</v>
      </c>
      <c r="B66" s="397" t="s">
        <v>71</v>
      </c>
      <c r="C66" s="24"/>
    </row>
    <row r="67" spans="1:6" s="20" customFormat="1">
      <c r="A67" s="75">
        <v>54</v>
      </c>
      <c r="B67" s="398" t="s">
        <v>72</v>
      </c>
      <c r="C67" s="23">
        <f t="shared" ref="C67" si="8">SUM(C62:C66)</f>
        <v>0</v>
      </c>
    </row>
    <row r="68" spans="1:6" s="20" customFormat="1">
      <c r="A68" s="75">
        <v>55</v>
      </c>
      <c r="B68" s="78" t="s">
        <v>244</v>
      </c>
      <c r="C68" s="23"/>
    </row>
    <row r="69" spans="1:6" s="20" customFormat="1">
      <c r="A69" s="73">
        <v>56</v>
      </c>
      <c r="B69" s="78" t="s">
        <v>245</v>
      </c>
      <c r="C69" s="24"/>
    </row>
    <row r="70" spans="1:6" s="20" customFormat="1">
      <c r="A70" s="75">
        <v>57</v>
      </c>
      <c r="B70" s="397" t="s">
        <v>73</v>
      </c>
      <c r="C70" s="23">
        <f t="shared" ref="C70" si="9">SUM(C68:C69)</f>
        <v>0</v>
      </c>
    </row>
    <row r="71" spans="1:6" s="20" customFormat="1">
      <c r="A71" s="75">
        <v>58</v>
      </c>
      <c r="B71" s="78" t="s">
        <v>249</v>
      </c>
      <c r="C71" s="23"/>
    </row>
    <row r="72" spans="1:6" s="20" customFormat="1">
      <c r="A72" s="73">
        <v>59</v>
      </c>
      <c r="B72" s="78" t="s">
        <v>351</v>
      </c>
      <c r="C72" s="23"/>
    </row>
    <row r="73" spans="1:6" s="20" customFormat="1">
      <c r="A73" s="75">
        <v>60</v>
      </c>
      <c r="B73" s="78" t="s">
        <v>236</v>
      </c>
      <c r="C73" s="23"/>
    </row>
    <row r="74" spans="1:6" s="20" customFormat="1">
      <c r="A74" s="75">
        <v>61</v>
      </c>
      <c r="B74" s="78" t="s">
        <v>247</v>
      </c>
      <c r="C74" s="23"/>
    </row>
    <row r="75" spans="1:6" s="20" customFormat="1">
      <c r="A75" s="73">
        <v>62</v>
      </c>
      <c r="B75" s="78" t="s">
        <v>248</v>
      </c>
      <c r="C75" s="24"/>
    </row>
    <row r="76" spans="1:6" s="20" customFormat="1">
      <c r="A76" s="75">
        <v>63</v>
      </c>
      <c r="B76" s="78"/>
      <c r="C76" s="23"/>
      <c r="D76" s="15"/>
      <c r="E76" s="15"/>
      <c r="F76" s="15"/>
    </row>
    <row r="77" spans="1:6" s="15" customFormat="1" ht="13.5" thickBot="1">
      <c r="A77" s="75">
        <v>64</v>
      </c>
      <c r="B77" s="425" t="s">
        <v>74</v>
      </c>
      <c r="C77" s="112">
        <f t="shared" ref="C77" si="10">C67-C70+C71+C75</f>
        <v>0</v>
      </c>
      <c r="D77" s="14"/>
      <c r="E77" s="14"/>
      <c r="F77" s="14"/>
    </row>
    <row r="78" spans="1:6" ht="13.5" thickTop="1">
      <c r="B78" s="83"/>
    </row>
    <row r="79" spans="1:6">
      <c r="A79" s="84"/>
      <c r="B79" s="38"/>
      <c r="C79" s="57"/>
    </row>
    <row r="80" spans="1:6">
      <c r="A80" s="89"/>
      <c r="B80" s="86"/>
    </row>
    <row r="81" spans="1:3">
      <c r="A81" s="89">
        <v>1</v>
      </c>
      <c r="B81" s="392" t="s">
        <v>116</v>
      </c>
    </row>
    <row r="82" spans="1:3">
      <c r="A82" s="89">
        <v>2</v>
      </c>
      <c r="B82" s="87" t="s">
        <v>117</v>
      </c>
      <c r="C82" s="114">
        <f t="shared" ref="C82" si="11">+C21</f>
        <v>0</v>
      </c>
    </row>
    <row r="83" spans="1:3">
      <c r="A83" s="89">
        <v>3</v>
      </c>
      <c r="B83" s="87" t="s">
        <v>118</v>
      </c>
      <c r="C83" s="82">
        <f t="shared" ref="C83" si="12">-C47</f>
        <v>-3299</v>
      </c>
    </row>
    <row r="84" spans="1:3">
      <c r="A84" s="89">
        <v>4</v>
      </c>
      <c r="B84" s="87" t="s">
        <v>134</v>
      </c>
      <c r="C84" s="23"/>
    </row>
    <row r="85" spans="1:3">
      <c r="A85" s="89">
        <v>5</v>
      </c>
      <c r="B85" s="405" t="s">
        <v>119</v>
      </c>
      <c r="C85" s="27">
        <f t="shared" ref="C85" si="13">SUM(C82:C84)</f>
        <v>-3299</v>
      </c>
    </row>
    <row r="86" spans="1:3">
      <c r="A86" s="89">
        <v>6</v>
      </c>
      <c r="B86" s="86"/>
      <c r="C86" s="80"/>
    </row>
    <row r="87" spans="1:3">
      <c r="A87" s="89">
        <v>7</v>
      </c>
      <c r="B87" s="86" t="s">
        <v>120</v>
      </c>
      <c r="C87" s="80"/>
    </row>
    <row r="88" spans="1:3">
      <c r="A88" s="89">
        <v>8</v>
      </c>
      <c r="B88" s="404" t="s">
        <v>121</v>
      </c>
      <c r="C88" s="80"/>
    </row>
    <row r="89" spans="1:3">
      <c r="A89" s="89">
        <v>9</v>
      </c>
      <c r="B89" s="404" t="s">
        <v>130</v>
      </c>
      <c r="C89" s="80"/>
    </row>
    <row r="90" spans="1:3">
      <c r="A90" s="89">
        <v>10</v>
      </c>
      <c r="B90" s="404" t="s">
        <v>122</v>
      </c>
      <c r="C90" s="80"/>
    </row>
    <row r="91" spans="1:3">
      <c r="A91" s="89">
        <v>11</v>
      </c>
      <c r="B91" s="86"/>
      <c r="C91" s="80"/>
    </row>
    <row r="92" spans="1:3">
      <c r="A92" s="89">
        <v>12</v>
      </c>
      <c r="B92" s="406" t="s">
        <v>278</v>
      </c>
      <c r="C92" s="27">
        <f t="shared" ref="C92" si="14">SUM(C88:C90)</f>
        <v>0</v>
      </c>
    </row>
    <row r="93" spans="1:3">
      <c r="A93" s="89">
        <v>13</v>
      </c>
      <c r="B93" s="86"/>
      <c r="C93" s="80"/>
    </row>
    <row r="94" spans="1:3">
      <c r="A94" s="89">
        <v>14</v>
      </c>
      <c r="B94" s="86" t="s">
        <v>124</v>
      </c>
      <c r="C94" s="80"/>
    </row>
    <row r="95" spans="1:3">
      <c r="A95" s="89">
        <v>15</v>
      </c>
      <c r="B95" s="404" t="s">
        <v>178</v>
      </c>
      <c r="C95" s="80"/>
    </row>
    <row r="96" spans="1:3">
      <c r="A96" s="89">
        <v>16</v>
      </c>
      <c r="B96" s="404" t="s">
        <v>133</v>
      </c>
      <c r="C96" s="80"/>
    </row>
    <row r="97" spans="1:3">
      <c r="A97" s="89">
        <v>17</v>
      </c>
      <c r="B97" s="404" t="s">
        <v>122</v>
      </c>
      <c r="C97" s="80"/>
    </row>
    <row r="98" spans="1:3">
      <c r="A98" s="89">
        <v>18</v>
      </c>
      <c r="B98" s="406" t="s">
        <v>279</v>
      </c>
      <c r="C98" s="27">
        <f t="shared" ref="C98" si="15">SUM(C95:C97)</f>
        <v>0</v>
      </c>
    </row>
    <row r="99" spans="1:3">
      <c r="A99" s="89">
        <v>19</v>
      </c>
      <c r="B99" s="86"/>
      <c r="C99" s="80"/>
    </row>
    <row r="100" spans="1:3">
      <c r="A100" s="89">
        <v>20</v>
      </c>
      <c r="B100" s="87" t="s">
        <v>268</v>
      </c>
      <c r="C100" s="28">
        <f t="shared" ref="C100" si="16">+C82+C83+C84+C92-C98</f>
        <v>-3299</v>
      </c>
    </row>
    <row r="101" spans="1:3">
      <c r="A101" s="89">
        <v>21</v>
      </c>
      <c r="B101" s="404" t="s">
        <v>280</v>
      </c>
      <c r="C101" s="94">
        <v>0.35</v>
      </c>
    </row>
    <row r="102" spans="1:3">
      <c r="A102" s="89">
        <v>22</v>
      </c>
      <c r="B102" s="404" t="s">
        <v>127</v>
      </c>
      <c r="C102" s="93">
        <f t="shared" ref="C102" si="17">C100*C101</f>
        <v>-1154.6499999999999</v>
      </c>
    </row>
    <row r="103" spans="1:3">
      <c r="A103" s="89">
        <v>23</v>
      </c>
      <c r="B103" s="404" t="s">
        <v>128</v>
      </c>
      <c r="C103" s="80">
        <f t="shared" ref="C103" si="18">+(C95-C88+C96)*C101</f>
        <v>0</v>
      </c>
    </row>
    <row r="104" spans="1:3" ht="13.5" thickBot="1">
      <c r="A104" s="89">
        <v>24</v>
      </c>
      <c r="B104" s="95" t="s">
        <v>129</v>
      </c>
      <c r="C104" s="96">
        <f t="shared" ref="C104" si="19">ROUND(+C102+C103,0)</f>
        <v>-1155</v>
      </c>
    </row>
    <row r="105" spans="1:3" ht="13.5" thickTop="1"/>
  </sheetData>
  <printOptions horizontalCentered="1"/>
  <pageMargins left="0.5" right="0.5" top="1.5" bottom="0.3" header="0.5" footer="0.5"/>
  <pageSetup scale="60" firstPageNumber="2" fitToWidth="0" orientation="portrait" r:id="rId1"/>
  <headerFooter scaleWithDoc="0" alignWithMargins="0">
    <oddHeader>&amp;L&amp;"Arial,Regular"&amp;10Avista Corporation
&amp;"Arial,Bold"Electric - Pro Forma Adjustments (Schedule 1.3)&amp;"Arial,Regular"
Twelve Months Ended December 31,2011&amp;R&amp;"Arial,Regular"&amp;10Exhibit No. ___ (JH-2)
Docket UE-120436 &amp; UG-120437
Page &amp;P of  &amp;N</oddHeader>
  </headerFooter>
  <colBreaks count="1" manualBreakCount="1">
    <brk id="2" min="1" max="74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5" zoomScaleNormal="75" workbookViewId="0">
      <pane xSplit="2" ySplit="12" topLeftCell="C40" activePane="bottomRight" state="frozen"/>
      <selection activeCell="G79" sqref="G79"/>
      <selection pane="topRight" activeCell="G79" sqref="G79"/>
      <selection pane="bottomLeft" activeCell="G79" sqref="G79"/>
      <selection pane="bottomRight" activeCell="C53" sqref="C53"/>
    </sheetView>
  </sheetViews>
  <sheetFormatPr defaultColWidth="10.625" defaultRowHeight="12.75"/>
  <cols>
    <col min="1" max="1" width="4.375" style="64" bestFit="1" customWidth="1"/>
    <col min="2" max="2" width="36.5" style="63" bestFit="1" customWidth="1"/>
    <col min="3" max="3" width="13.625" style="74" customWidth="1"/>
    <col min="4" max="9" width="9" style="101" customWidth="1"/>
    <col min="10" max="10" width="11.625" style="65" hidden="1" customWidth="1"/>
    <col min="11" max="11" width="5" style="14" customWidth="1"/>
    <col min="12" max="12" width="2.75" style="14" customWidth="1"/>
    <col min="13" max="13" width="11.75" style="14" customWidth="1"/>
    <col min="14" max="14" width="2.625" style="14" customWidth="1"/>
    <col min="15" max="15" width="10.875" style="14" customWidth="1"/>
    <col min="16" max="16" width="6.75" style="14" customWidth="1"/>
    <col min="17" max="18" width="9.625" style="14" customWidth="1"/>
    <col min="19" max="19" width="10.625" style="14" customWidth="1"/>
    <col min="20" max="20" width="6.75" style="14" customWidth="1"/>
    <col min="21" max="16384" width="10.625" style="14"/>
  </cols>
  <sheetData>
    <row r="1" spans="1:13">
      <c r="A1" s="56"/>
      <c r="B1" s="9" t="s">
        <v>281</v>
      </c>
      <c r="C1" s="58"/>
      <c r="D1" s="14"/>
      <c r="E1" s="14"/>
      <c r="F1" s="14"/>
      <c r="G1" s="14"/>
      <c r="H1" s="14"/>
      <c r="I1" s="14"/>
    </row>
    <row r="2" spans="1:13">
      <c r="A2" s="411"/>
      <c r="B2" s="14"/>
      <c r="C2" s="66" t="s">
        <v>250</v>
      </c>
      <c r="D2" s="14"/>
      <c r="E2" s="14"/>
      <c r="F2" s="14"/>
      <c r="G2" s="14"/>
      <c r="H2" s="14"/>
      <c r="I2" s="14"/>
    </row>
    <row r="3" spans="1:13">
      <c r="A3" s="411"/>
      <c r="B3" s="14"/>
      <c r="C3" s="66"/>
      <c r="D3" s="14"/>
      <c r="E3" s="14"/>
      <c r="F3" s="14"/>
      <c r="G3" s="14"/>
      <c r="H3" s="14"/>
      <c r="I3" s="14"/>
    </row>
    <row r="4" spans="1:13" ht="13.5" thickBot="1">
      <c r="A4" s="411"/>
      <c r="B4" s="14"/>
      <c r="C4" s="413"/>
      <c r="D4" s="14"/>
      <c r="E4" s="14"/>
      <c r="F4" s="14"/>
      <c r="G4" s="14"/>
      <c r="H4" s="14"/>
      <c r="I4" s="14"/>
    </row>
    <row r="5" spans="1:13" ht="13.5" thickTop="1">
      <c r="A5" s="402"/>
      <c r="B5" s="64" t="str">
        <f>+Restating!B5</f>
        <v>(000's of Dollars)</v>
      </c>
    </row>
    <row r="6" spans="1:13">
      <c r="A6" s="62"/>
    </row>
    <row r="7" spans="1:13">
      <c r="A7" s="403"/>
      <c r="B7" s="64" t="s">
        <v>100</v>
      </c>
      <c r="C7" s="102" t="s">
        <v>106</v>
      </c>
    </row>
    <row r="8" spans="1:13">
      <c r="A8" s="403"/>
      <c r="B8" s="64"/>
      <c r="C8" s="102"/>
    </row>
    <row r="9" spans="1:13">
      <c r="A9" s="62"/>
      <c r="C9" s="550">
        <v>3.05</v>
      </c>
    </row>
    <row r="10" spans="1:13" s="71" customFormat="1">
      <c r="A10" s="414"/>
      <c r="B10" s="420"/>
      <c r="C10" s="426" t="s">
        <v>4</v>
      </c>
      <c r="J10" s="68"/>
    </row>
    <row r="11" spans="1:13" s="71" customFormat="1">
      <c r="A11" s="414" t="s">
        <v>5</v>
      </c>
      <c r="B11" s="420"/>
      <c r="C11" s="68" t="s">
        <v>223</v>
      </c>
      <c r="J11" s="68"/>
    </row>
    <row r="12" spans="1:13" s="71" customFormat="1">
      <c r="A12" s="421" t="s">
        <v>10</v>
      </c>
      <c r="B12" s="422" t="s">
        <v>11</v>
      </c>
      <c r="C12" s="423"/>
      <c r="J12" s="68"/>
    </row>
    <row r="13" spans="1:13" s="72" customFormat="1">
      <c r="A13" s="418"/>
      <c r="B13" s="115" t="s">
        <v>155</v>
      </c>
      <c r="C13" s="103"/>
      <c r="J13" s="60"/>
    </row>
    <row r="14" spans="1:13">
      <c r="A14" s="73">
        <v>1</v>
      </c>
      <c r="B14" s="416" t="s">
        <v>98</v>
      </c>
      <c r="J14" s="61"/>
    </row>
    <row r="15" spans="1:13">
      <c r="A15" s="75">
        <v>2</v>
      </c>
      <c r="B15" s="63" t="s">
        <v>40</v>
      </c>
      <c r="C15" s="65"/>
      <c r="J15" s="61"/>
    </row>
    <row r="16" spans="1:13" s="15" customFormat="1">
      <c r="A16" s="75">
        <v>3</v>
      </c>
      <c r="B16" s="76" t="s">
        <v>41</v>
      </c>
      <c r="C16" s="566"/>
      <c r="J16" s="77"/>
      <c r="K16" s="104"/>
      <c r="L16" s="104"/>
      <c r="M16" s="104"/>
    </row>
    <row r="17" spans="1:10" s="20" customFormat="1">
      <c r="A17" s="73">
        <v>4</v>
      </c>
      <c r="B17" s="78" t="s">
        <v>42</v>
      </c>
      <c r="C17" s="23"/>
      <c r="J17" s="105"/>
    </row>
    <row r="18" spans="1:10" s="20" customFormat="1">
      <c r="A18" s="75">
        <v>5</v>
      </c>
      <c r="B18" s="78" t="s">
        <v>43</v>
      </c>
      <c r="C18" s="24"/>
      <c r="J18" s="107"/>
    </row>
    <row r="19" spans="1:10" s="20" customFormat="1">
      <c r="A19" s="75">
        <v>6</v>
      </c>
      <c r="B19" s="397" t="s">
        <v>44</v>
      </c>
      <c r="C19" s="23">
        <f t="shared" ref="C19" si="0">SUM(C16:C18)</f>
        <v>0</v>
      </c>
    </row>
    <row r="20" spans="1:10" s="20" customFormat="1">
      <c r="A20" s="73">
        <v>7</v>
      </c>
      <c r="B20" s="78" t="s">
        <v>45</v>
      </c>
      <c r="C20" s="24">
        <v>0</v>
      </c>
      <c r="J20" s="107"/>
    </row>
    <row r="21" spans="1:10" s="20" customFormat="1">
      <c r="A21" s="75">
        <v>8</v>
      </c>
      <c r="B21" s="397" t="s">
        <v>46</v>
      </c>
      <c r="C21" s="23">
        <f t="shared" ref="C21" si="1">SUM(C19:C20)</f>
        <v>0</v>
      </c>
    </row>
    <row r="22" spans="1:10" s="20" customFormat="1">
      <c r="A22" s="75">
        <v>9</v>
      </c>
      <c r="B22" s="78"/>
      <c r="C22" s="23"/>
      <c r="J22" s="105"/>
    </row>
    <row r="23" spans="1:10" s="20" customFormat="1">
      <c r="A23" s="73">
        <v>10</v>
      </c>
      <c r="B23" s="78" t="s">
        <v>20</v>
      </c>
      <c r="C23" s="23"/>
      <c r="J23" s="105"/>
    </row>
    <row r="24" spans="1:10" s="20" customFormat="1">
      <c r="A24" s="75">
        <v>11</v>
      </c>
      <c r="B24" s="78" t="s">
        <v>47</v>
      </c>
      <c r="C24" s="23"/>
      <c r="J24" s="105"/>
    </row>
    <row r="25" spans="1:10" s="20" customFormat="1">
      <c r="A25" s="75">
        <v>12</v>
      </c>
      <c r="B25" s="397" t="s">
        <v>48</v>
      </c>
      <c r="C25" s="23">
        <v>0</v>
      </c>
      <c r="J25" s="105"/>
    </row>
    <row r="26" spans="1:10" s="20" customFormat="1">
      <c r="A26" s="73">
        <v>13</v>
      </c>
      <c r="B26" s="397" t="s">
        <v>49</v>
      </c>
      <c r="C26" s="23">
        <v>0</v>
      </c>
      <c r="J26" s="105"/>
    </row>
    <row r="27" spans="1:10" s="20" customFormat="1">
      <c r="A27" s="75">
        <v>14</v>
      </c>
      <c r="B27" s="397" t="s">
        <v>50</v>
      </c>
      <c r="C27" s="23">
        <v>0</v>
      </c>
      <c r="J27" s="105"/>
    </row>
    <row r="28" spans="1:10" s="20" customFormat="1">
      <c r="A28" s="73">
        <v>15</v>
      </c>
      <c r="B28" s="393" t="s">
        <v>349</v>
      </c>
      <c r="C28" s="23"/>
      <c r="J28" s="105"/>
    </row>
    <row r="29" spans="1:10" s="20" customFormat="1">
      <c r="A29" s="75">
        <v>16</v>
      </c>
      <c r="B29" s="397" t="s">
        <v>51</v>
      </c>
      <c r="C29" s="24"/>
      <c r="J29" s="107"/>
    </row>
    <row r="30" spans="1:10" s="20" customFormat="1">
      <c r="A30" s="75">
        <v>17</v>
      </c>
      <c r="B30" s="398" t="s">
        <v>52</v>
      </c>
      <c r="C30" s="23">
        <f t="shared" ref="C30" si="2">SUM(C25:C29)</f>
        <v>0</v>
      </c>
    </row>
    <row r="31" spans="1:10" s="20" customFormat="1">
      <c r="A31" s="73">
        <v>18</v>
      </c>
      <c r="B31" s="78"/>
      <c r="C31" s="23"/>
      <c r="J31" s="105"/>
    </row>
    <row r="32" spans="1:10" s="20" customFormat="1">
      <c r="A32" s="75">
        <v>19</v>
      </c>
      <c r="B32" s="78" t="s">
        <v>53</v>
      </c>
      <c r="C32" s="23"/>
      <c r="J32" s="105"/>
    </row>
    <row r="33" spans="1:18" s="20" customFormat="1">
      <c r="A33" s="73">
        <v>20</v>
      </c>
      <c r="B33" s="397" t="s">
        <v>48</v>
      </c>
      <c r="C33" s="23"/>
      <c r="J33" s="105"/>
    </row>
    <row r="34" spans="1:18" s="20" customFormat="1">
      <c r="A34" s="75">
        <v>21</v>
      </c>
      <c r="B34" s="397" t="s">
        <v>54</v>
      </c>
      <c r="C34" s="23"/>
      <c r="J34" s="105"/>
    </row>
    <row r="35" spans="1:18" s="20" customFormat="1">
      <c r="A35" s="75">
        <v>22</v>
      </c>
      <c r="B35" s="397" t="s">
        <v>51</v>
      </c>
      <c r="C35" s="24"/>
      <c r="J35" s="107"/>
    </row>
    <row r="36" spans="1:18" s="20" customFormat="1">
      <c r="A36" s="73">
        <v>23</v>
      </c>
      <c r="B36" s="398" t="s">
        <v>55</v>
      </c>
      <c r="C36" s="23">
        <f t="shared" ref="C36" si="3">SUM(C33:C35)</f>
        <v>0</v>
      </c>
    </row>
    <row r="37" spans="1:18" s="20" customFormat="1">
      <c r="A37" s="75">
        <v>24</v>
      </c>
      <c r="B37" s="78"/>
      <c r="C37" s="23"/>
      <c r="J37" s="105"/>
    </row>
    <row r="38" spans="1:18" s="20" customFormat="1">
      <c r="A38" s="73">
        <v>25</v>
      </c>
      <c r="B38" s="78" t="s">
        <v>56</v>
      </c>
      <c r="C38" s="23"/>
      <c r="J38" s="105"/>
      <c r="K38" s="108"/>
      <c r="L38" s="101"/>
      <c r="O38" s="106"/>
      <c r="P38" s="109"/>
      <c r="Q38" s="109"/>
      <c r="R38" s="109"/>
    </row>
    <row r="39" spans="1:18" s="20" customFormat="1">
      <c r="A39" s="75">
        <v>26</v>
      </c>
      <c r="B39" s="78" t="s">
        <v>57</v>
      </c>
      <c r="C39" s="23"/>
      <c r="J39" s="105"/>
      <c r="M39" s="110"/>
      <c r="O39" s="81"/>
      <c r="P39" s="81"/>
      <c r="Q39" s="81"/>
      <c r="R39" s="109"/>
    </row>
    <row r="40" spans="1:18" s="20" customFormat="1">
      <c r="A40" s="75">
        <v>27</v>
      </c>
      <c r="B40" s="78" t="s">
        <v>58</v>
      </c>
      <c r="C40" s="23"/>
      <c r="J40" s="105"/>
      <c r="M40" s="110"/>
    </row>
    <row r="41" spans="1:18" s="20" customFormat="1">
      <c r="A41" s="73">
        <v>28</v>
      </c>
      <c r="B41" s="78"/>
      <c r="C41" s="23"/>
      <c r="J41" s="105"/>
    </row>
    <row r="42" spans="1:18" s="20" customFormat="1">
      <c r="A42" s="75">
        <v>29</v>
      </c>
      <c r="B42" s="78" t="s">
        <v>59</v>
      </c>
      <c r="C42" s="23"/>
      <c r="J42" s="105"/>
    </row>
    <row r="43" spans="1:18" s="20" customFormat="1">
      <c r="A43" s="73">
        <v>30</v>
      </c>
      <c r="B43" s="397" t="s">
        <v>48</v>
      </c>
      <c r="C43" s="23">
        <v>-102</v>
      </c>
      <c r="J43" s="105"/>
    </row>
    <row r="44" spans="1:18" s="20" customFormat="1">
      <c r="A44" s="75">
        <v>31</v>
      </c>
      <c r="B44" s="397" t="s">
        <v>54</v>
      </c>
      <c r="C44" s="23"/>
      <c r="J44" s="105"/>
    </row>
    <row r="45" spans="1:18" s="20" customFormat="1">
      <c r="A45" s="75">
        <v>32</v>
      </c>
      <c r="B45" s="397" t="s">
        <v>51</v>
      </c>
      <c r="C45" s="24"/>
      <c r="J45" s="107"/>
    </row>
    <row r="46" spans="1:18" s="20" customFormat="1">
      <c r="A46" s="73">
        <v>33</v>
      </c>
      <c r="B46" s="398" t="s">
        <v>60</v>
      </c>
      <c r="C46" s="24">
        <f t="shared" ref="C46" si="4">SUM(C43:C45)</f>
        <v>-102</v>
      </c>
      <c r="J46" s="111"/>
    </row>
    <row r="47" spans="1:18" s="20" customFormat="1">
      <c r="A47" s="75">
        <v>34</v>
      </c>
      <c r="B47" s="78" t="s">
        <v>61</v>
      </c>
      <c r="C47" s="24">
        <f t="shared" ref="C47" si="5">C46+C40+C39+C38+C36+C30</f>
        <v>-102</v>
      </c>
      <c r="J47" s="111"/>
    </row>
    <row r="48" spans="1:18" s="20" customFormat="1">
      <c r="A48" s="73">
        <v>35</v>
      </c>
      <c r="B48" s="78"/>
      <c r="C48" s="23"/>
    </row>
    <row r="49" spans="1:18" s="20" customFormat="1">
      <c r="A49" s="75">
        <v>36</v>
      </c>
      <c r="B49" s="78" t="s">
        <v>62</v>
      </c>
      <c r="C49" s="23">
        <f t="shared" ref="C49" si="6">C21-C47</f>
        <v>102</v>
      </c>
    </row>
    <row r="50" spans="1:18" s="20" customFormat="1">
      <c r="A50" s="75">
        <v>37</v>
      </c>
      <c r="B50" s="78"/>
      <c r="C50" s="23"/>
      <c r="J50" s="105"/>
    </row>
    <row r="51" spans="1:18" s="20" customFormat="1">
      <c r="A51" s="73">
        <v>38</v>
      </c>
      <c r="B51" s="78" t="s">
        <v>63</v>
      </c>
      <c r="C51" s="23"/>
      <c r="J51" s="105"/>
    </row>
    <row r="52" spans="1:18" s="20" customFormat="1">
      <c r="A52" s="75">
        <v>39</v>
      </c>
      <c r="B52" s="78" t="s">
        <v>64</v>
      </c>
      <c r="C52" s="23">
        <f>+ROUND(C104,0)</f>
        <v>36</v>
      </c>
      <c r="J52" s="105"/>
      <c r="N52" s="15"/>
    </row>
    <row r="53" spans="1:18" s="20" customFormat="1">
      <c r="A53" s="75">
        <v>40</v>
      </c>
      <c r="B53" s="78" t="s">
        <v>366</v>
      </c>
      <c r="C53" s="581">
        <f>+(C77*' Capital '!$J$13)*-35%</f>
        <v>0</v>
      </c>
      <c r="J53" s="105"/>
      <c r="N53" s="15"/>
    </row>
    <row r="54" spans="1:18" s="20" customFormat="1">
      <c r="A54" s="73">
        <v>41</v>
      </c>
      <c r="B54" s="78" t="s">
        <v>65</v>
      </c>
      <c r="C54" s="23"/>
      <c r="J54" s="105"/>
      <c r="M54" s="15"/>
      <c r="N54" s="14"/>
    </row>
    <row r="55" spans="1:18" s="20" customFormat="1">
      <c r="A55" s="75">
        <v>42</v>
      </c>
      <c r="B55" s="78" t="s">
        <v>238</v>
      </c>
      <c r="C55" s="23"/>
      <c r="J55" s="105"/>
      <c r="M55" s="15"/>
      <c r="N55" s="14"/>
    </row>
    <row r="56" spans="1:18" s="20" customFormat="1">
      <c r="A56" s="75">
        <v>43</v>
      </c>
      <c r="B56" s="78"/>
      <c r="C56" s="23"/>
      <c r="J56" s="105"/>
      <c r="M56" s="15"/>
      <c r="N56" s="14"/>
    </row>
    <row r="57" spans="1:18">
      <c r="A57" s="73">
        <v>44</v>
      </c>
      <c r="C57" s="23"/>
      <c r="O57" s="15"/>
      <c r="P57" s="15"/>
      <c r="Q57" s="15"/>
      <c r="R57" s="15"/>
    </row>
    <row r="58" spans="1:18" s="15" customFormat="1" ht="13.5" thickBot="1">
      <c r="A58" s="75">
        <v>45</v>
      </c>
      <c r="B58" s="76" t="s">
        <v>66</v>
      </c>
      <c r="C58" s="112">
        <f t="shared" ref="C58" si="7">C49-SUM(C52:C56)</f>
        <v>66</v>
      </c>
      <c r="J58" s="112"/>
      <c r="M58" s="14"/>
      <c r="N58" s="14"/>
      <c r="O58" s="14"/>
      <c r="P58" s="14"/>
      <c r="Q58" s="14"/>
      <c r="R58" s="14"/>
    </row>
    <row r="59" spans="1:18" ht="13.5" thickTop="1">
      <c r="A59" s="75">
        <v>46</v>
      </c>
      <c r="B59" s="2"/>
      <c r="C59" s="65"/>
    </row>
    <row r="60" spans="1:18">
      <c r="A60" s="73">
        <v>47</v>
      </c>
      <c r="B60" s="416" t="s">
        <v>21</v>
      </c>
      <c r="C60" s="65"/>
    </row>
    <row r="61" spans="1:18">
      <c r="A61" s="75">
        <v>48</v>
      </c>
      <c r="B61" s="63" t="s">
        <v>67</v>
      </c>
      <c r="C61" s="23"/>
      <c r="O61" s="15"/>
      <c r="P61" s="15"/>
      <c r="Q61" s="15"/>
      <c r="R61" s="15"/>
    </row>
    <row r="62" spans="1:18" s="15" customFormat="1">
      <c r="A62" s="75">
        <v>49</v>
      </c>
      <c r="B62" s="396" t="s">
        <v>68</v>
      </c>
      <c r="C62" s="36"/>
      <c r="J62" s="113"/>
      <c r="M62" s="14"/>
      <c r="N62" s="14"/>
      <c r="O62" s="20"/>
      <c r="P62" s="20"/>
      <c r="Q62" s="20"/>
      <c r="R62" s="20"/>
    </row>
    <row r="63" spans="1:18" s="20" customFormat="1">
      <c r="A63" s="73">
        <v>50</v>
      </c>
      <c r="B63" s="397" t="s">
        <v>69</v>
      </c>
      <c r="C63" s="23"/>
      <c r="J63" s="105"/>
      <c r="M63" s="14"/>
      <c r="N63" s="14"/>
    </row>
    <row r="64" spans="1:18" s="20" customFormat="1">
      <c r="A64" s="75">
        <v>51</v>
      </c>
      <c r="B64" s="397" t="s">
        <v>70</v>
      </c>
      <c r="C64" s="23"/>
      <c r="J64" s="105"/>
      <c r="M64" s="14"/>
      <c r="N64" s="14"/>
    </row>
    <row r="65" spans="1:18" s="20" customFormat="1">
      <c r="A65" s="75">
        <v>52</v>
      </c>
      <c r="B65" s="397" t="s">
        <v>53</v>
      </c>
      <c r="C65" s="23"/>
      <c r="J65" s="105"/>
      <c r="M65" s="14"/>
      <c r="N65" s="14"/>
    </row>
    <row r="66" spans="1:18" s="20" customFormat="1">
      <c r="A66" s="73">
        <v>53</v>
      </c>
      <c r="B66" s="397" t="s">
        <v>71</v>
      </c>
      <c r="C66" s="24"/>
      <c r="J66" s="107"/>
      <c r="M66" s="14"/>
      <c r="N66" s="14"/>
    </row>
    <row r="67" spans="1:18" s="20" customFormat="1">
      <c r="A67" s="75">
        <v>54</v>
      </c>
      <c r="B67" s="398" t="s">
        <v>72</v>
      </c>
      <c r="C67" s="23">
        <f t="shared" ref="C67" si="8">SUM(C62:C66)</f>
        <v>0</v>
      </c>
      <c r="M67" s="14"/>
      <c r="N67" s="14"/>
    </row>
    <row r="68" spans="1:18" s="20" customFormat="1">
      <c r="A68" s="75">
        <v>55</v>
      </c>
      <c r="B68" s="78" t="s">
        <v>244</v>
      </c>
      <c r="C68" s="23"/>
      <c r="J68" s="105"/>
      <c r="M68" s="14"/>
      <c r="N68" s="14"/>
    </row>
    <row r="69" spans="1:18" s="20" customFormat="1">
      <c r="A69" s="73">
        <v>56</v>
      </c>
      <c r="B69" s="78" t="s">
        <v>245</v>
      </c>
      <c r="C69" s="24"/>
      <c r="J69" s="107"/>
      <c r="M69" s="14"/>
      <c r="N69" s="14"/>
    </row>
    <row r="70" spans="1:18" s="20" customFormat="1">
      <c r="A70" s="75">
        <v>57</v>
      </c>
      <c r="B70" s="397" t="s">
        <v>73</v>
      </c>
      <c r="C70" s="23">
        <f t="shared" ref="C70" si="9">SUM(C68:C69)</f>
        <v>0</v>
      </c>
      <c r="M70" s="14"/>
      <c r="N70" s="14"/>
    </row>
    <row r="71" spans="1:18" s="20" customFormat="1">
      <c r="A71" s="75">
        <v>58</v>
      </c>
      <c r="B71" s="78" t="s">
        <v>249</v>
      </c>
      <c r="C71" s="23"/>
      <c r="J71" s="105"/>
      <c r="M71" s="14"/>
      <c r="N71" s="14"/>
    </row>
    <row r="72" spans="1:18" s="20" customFormat="1">
      <c r="A72" s="73">
        <v>59</v>
      </c>
      <c r="B72" s="78" t="s">
        <v>351</v>
      </c>
      <c r="C72" s="23"/>
      <c r="J72" s="105"/>
      <c r="M72" s="14"/>
      <c r="N72" s="14"/>
    </row>
    <row r="73" spans="1:18" s="20" customFormat="1">
      <c r="A73" s="75">
        <v>60</v>
      </c>
      <c r="B73" s="78" t="s">
        <v>236</v>
      </c>
      <c r="C73" s="23"/>
      <c r="J73" s="105"/>
      <c r="M73" s="14"/>
      <c r="N73" s="14"/>
    </row>
    <row r="74" spans="1:18" s="20" customFormat="1">
      <c r="A74" s="75">
        <v>61</v>
      </c>
      <c r="B74" s="78" t="s">
        <v>247</v>
      </c>
      <c r="C74" s="23"/>
      <c r="J74" s="105"/>
      <c r="M74" s="14"/>
      <c r="N74" s="14"/>
    </row>
    <row r="75" spans="1:18" s="20" customFormat="1">
      <c r="A75" s="73">
        <v>62</v>
      </c>
      <c r="B75" s="78" t="s">
        <v>248</v>
      </c>
      <c r="C75" s="24"/>
      <c r="J75" s="107"/>
      <c r="M75" s="14"/>
      <c r="N75" s="14"/>
    </row>
    <row r="76" spans="1:18" s="20" customFormat="1">
      <c r="A76" s="75">
        <v>63</v>
      </c>
      <c r="B76" s="78"/>
      <c r="C76" s="23"/>
      <c r="M76" s="14"/>
      <c r="N76" s="14"/>
      <c r="O76" s="15"/>
      <c r="P76" s="15"/>
      <c r="Q76" s="15"/>
      <c r="R76" s="15"/>
    </row>
    <row r="77" spans="1:18" s="15" customFormat="1" ht="13.5" thickBot="1">
      <c r="A77" s="75">
        <v>64</v>
      </c>
      <c r="B77" s="425" t="s">
        <v>74</v>
      </c>
      <c r="C77" s="112">
        <f t="shared" ref="C77" si="10">C67-C70+C71+C75</f>
        <v>0</v>
      </c>
      <c r="J77" s="112"/>
      <c r="M77" s="14"/>
      <c r="N77" s="14"/>
      <c r="O77" s="14"/>
      <c r="P77" s="14"/>
      <c r="Q77" s="14"/>
      <c r="R77" s="14"/>
    </row>
    <row r="78" spans="1:18" ht="13.5" thickTop="1">
      <c r="B78" s="83"/>
    </row>
    <row r="79" spans="1:18">
      <c r="A79" s="84"/>
      <c r="B79" s="38"/>
      <c r="C79" s="57"/>
    </row>
    <row r="80" spans="1:18">
      <c r="A80" s="89"/>
      <c r="B80" s="86"/>
    </row>
    <row r="81" spans="1:3">
      <c r="A81" s="89">
        <v>1</v>
      </c>
      <c r="B81" s="392" t="s">
        <v>116</v>
      </c>
    </row>
    <row r="82" spans="1:3">
      <c r="A82" s="89">
        <v>2</v>
      </c>
      <c r="B82" s="87" t="s">
        <v>117</v>
      </c>
      <c r="C82" s="114">
        <f t="shared" ref="C82" si="11">+C21</f>
        <v>0</v>
      </c>
    </row>
    <row r="83" spans="1:3">
      <c r="A83" s="89">
        <v>3</v>
      </c>
      <c r="B83" s="87" t="s">
        <v>118</v>
      </c>
      <c r="C83" s="82">
        <f t="shared" ref="C83" si="12">-C47</f>
        <v>102</v>
      </c>
    </row>
    <row r="84" spans="1:3">
      <c r="A84" s="89">
        <v>4</v>
      </c>
      <c r="B84" s="87" t="s">
        <v>134</v>
      </c>
      <c r="C84" s="23"/>
    </row>
    <row r="85" spans="1:3">
      <c r="A85" s="89">
        <v>5</v>
      </c>
      <c r="B85" s="405" t="s">
        <v>119</v>
      </c>
      <c r="C85" s="27">
        <f t="shared" ref="C85" si="13">SUM(C82:C84)</f>
        <v>102</v>
      </c>
    </row>
    <row r="86" spans="1:3">
      <c r="A86" s="89">
        <v>6</v>
      </c>
      <c r="B86" s="86"/>
      <c r="C86" s="80"/>
    </row>
    <row r="87" spans="1:3">
      <c r="A87" s="89">
        <v>7</v>
      </c>
      <c r="B87" s="86" t="s">
        <v>120</v>
      </c>
      <c r="C87" s="80"/>
    </row>
    <row r="88" spans="1:3">
      <c r="A88" s="89">
        <v>8</v>
      </c>
      <c r="B88" s="404" t="s">
        <v>121</v>
      </c>
      <c r="C88" s="80"/>
    </row>
    <row r="89" spans="1:3">
      <c r="A89" s="89">
        <v>9</v>
      </c>
      <c r="B89" s="404" t="s">
        <v>130</v>
      </c>
      <c r="C89" s="80"/>
    </row>
    <row r="90" spans="1:3">
      <c r="A90" s="89">
        <v>10</v>
      </c>
      <c r="B90" s="404" t="s">
        <v>122</v>
      </c>
      <c r="C90" s="80"/>
    </row>
    <row r="91" spans="1:3">
      <c r="A91" s="89">
        <v>11</v>
      </c>
      <c r="B91" s="86"/>
      <c r="C91" s="80"/>
    </row>
    <row r="92" spans="1:3">
      <c r="A92" s="89">
        <v>12</v>
      </c>
      <c r="B92" s="406" t="s">
        <v>278</v>
      </c>
      <c r="C92" s="27">
        <f t="shared" ref="C92" si="14">SUM(C88:C90)</f>
        <v>0</v>
      </c>
    </row>
    <row r="93" spans="1:3">
      <c r="A93" s="89">
        <v>13</v>
      </c>
      <c r="B93" s="86"/>
      <c r="C93" s="80"/>
    </row>
    <row r="94" spans="1:3">
      <c r="A94" s="89">
        <v>14</v>
      </c>
      <c r="B94" s="86" t="s">
        <v>124</v>
      </c>
      <c r="C94" s="80"/>
    </row>
    <row r="95" spans="1:3">
      <c r="A95" s="89">
        <v>15</v>
      </c>
      <c r="B95" s="404" t="s">
        <v>178</v>
      </c>
      <c r="C95" s="80"/>
    </row>
    <row r="96" spans="1:3">
      <c r="A96" s="89">
        <v>16</v>
      </c>
      <c r="B96" s="404" t="s">
        <v>133</v>
      </c>
      <c r="C96" s="80"/>
    </row>
    <row r="97" spans="1:3">
      <c r="A97" s="89">
        <v>17</v>
      </c>
      <c r="B97" s="404" t="s">
        <v>122</v>
      </c>
      <c r="C97" s="80"/>
    </row>
    <row r="98" spans="1:3">
      <c r="A98" s="89">
        <v>18</v>
      </c>
      <c r="B98" s="406" t="s">
        <v>279</v>
      </c>
      <c r="C98" s="27">
        <f t="shared" ref="C98" si="15">SUM(C95:C97)</f>
        <v>0</v>
      </c>
    </row>
    <row r="99" spans="1:3">
      <c r="A99" s="89">
        <v>19</v>
      </c>
      <c r="B99" s="86"/>
      <c r="C99" s="80"/>
    </row>
    <row r="100" spans="1:3">
      <c r="A100" s="89">
        <v>20</v>
      </c>
      <c r="B100" s="87" t="s">
        <v>268</v>
      </c>
      <c r="C100" s="28">
        <f t="shared" ref="C100" si="16">+C82+C83+C84+C92-C98</f>
        <v>102</v>
      </c>
    </row>
    <row r="101" spans="1:3">
      <c r="A101" s="89">
        <v>21</v>
      </c>
      <c r="B101" s="404" t="s">
        <v>280</v>
      </c>
      <c r="C101" s="94">
        <v>0.35</v>
      </c>
    </row>
    <row r="102" spans="1:3">
      <c r="A102" s="89">
        <v>22</v>
      </c>
      <c r="B102" s="404" t="s">
        <v>127</v>
      </c>
      <c r="C102" s="93">
        <f t="shared" ref="C102" si="17">C100*C101</f>
        <v>35.699999999999996</v>
      </c>
    </row>
    <row r="103" spans="1:3">
      <c r="A103" s="89">
        <v>23</v>
      </c>
      <c r="B103" s="404" t="s">
        <v>128</v>
      </c>
      <c r="C103" s="80">
        <f t="shared" ref="C103" si="18">+(C95-C88+C96)*C101</f>
        <v>0</v>
      </c>
    </row>
    <row r="104" spans="1:3" ht="13.5" thickBot="1">
      <c r="A104" s="89">
        <v>24</v>
      </c>
      <c r="B104" s="95" t="s">
        <v>129</v>
      </c>
      <c r="C104" s="96">
        <f t="shared" ref="C104" si="19">ROUND(+C102+C103,0)</f>
        <v>36</v>
      </c>
    </row>
    <row r="105" spans="1:3" ht="13.5" thickTop="1"/>
  </sheetData>
  <printOptions horizontalCentered="1"/>
  <pageMargins left="0.5" right="0.5" top="1.5" bottom="0.3" header="0.5" footer="0.5"/>
  <pageSetup scale="60" firstPageNumber="2" fitToWidth="0" orientation="portrait" r:id="rId1"/>
  <headerFooter scaleWithDoc="0" alignWithMargins="0">
    <oddHeader>&amp;L&amp;"Arial,Regular"&amp;10Avista Corporation
&amp;"Arial,Bold"Electric - Pro Forma Adjustments (Schedule 1.3)&amp;"Arial,Regular"
Twelve Months Ended December 31,2011&amp;R&amp;"Arial,Regular"&amp;10Exhibit No. ___ (JH-2)
Docket UE-120436 &amp; UG-120437
Page &amp;P of  &amp;N</oddHeader>
  </headerFooter>
  <colBreaks count="1" manualBreakCount="1">
    <brk id="9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5" zoomScaleNormal="75" workbookViewId="0">
      <pane xSplit="2" ySplit="12" topLeftCell="C40" activePane="bottomRight" state="frozen"/>
      <selection activeCell="G79" sqref="G79"/>
      <selection pane="topRight" activeCell="G79" sqref="G79"/>
      <selection pane="bottomLeft" activeCell="G79" sqref="G79"/>
      <selection pane="bottomRight" activeCell="C53" sqref="C53"/>
    </sheetView>
  </sheetViews>
  <sheetFormatPr defaultColWidth="10.625" defaultRowHeight="12.75"/>
  <cols>
    <col min="1" max="1" width="4.375" style="64" bestFit="1" customWidth="1"/>
    <col min="2" max="2" width="36.5" style="63" bestFit="1" customWidth="1"/>
    <col min="3" max="3" width="13.625" style="586" customWidth="1"/>
    <col min="4" max="9" width="9" style="101" customWidth="1"/>
    <col min="10" max="10" width="11.625" style="65" hidden="1" customWidth="1"/>
    <col min="11" max="11" width="5" style="14" customWidth="1"/>
    <col min="12" max="12" width="2.75" style="14" customWidth="1"/>
    <col min="13" max="13" width="11.75" style="14" customWidth="1"/>
    <col min="14" max="14" width="2.625" style="14" customWidth="1"/>
    <col min="15" max="15" width="10.875" style="14" customWidth="1"/>
    <col min="16" max="16" width="6.75" style="14" customWidth="1"/>
    <col min="17" max="18" width="9.625" style="14" customWidth="1"/>
    <col min="19" max="19" width="10.625" style="14" customWidth="1"/>
    <col min="20" max="20" width="6.75" style="14" customWidth="1"/>
    <col min="21" max="16384" width="10.625" style="14"/>
  </cols>
  <sheetData>
    <row r="1" spans="1:13">
      <c r="A1" s="56"/>
      <c r="B1" s="9" t="s">
        <v>281</v>
      </c>
      <c r="C1" s="572"/>
      <c r="D1" s="14"/>
      <c r="E1" s="14"/>
      <c r="F1" s="14"/>
      <c r="G1" s="14"/>
      <c r="H1" s="14"/>
      <c r="I1" s="14"/>
    </row>
    <row r="2" spans="1:13">
      <c r="A2" s="411"/>
      <c r="B2" s="14"/>
      <c r="C2" s="573" t="s">
        <v>251</v>
      </c>
      <c r="D2" s="14"/>
      <c r="E2" s="14"/>
      <c r="F2" s="14"/>
      <c r="G2" s="14"/>
      <c r="H2" s="14"/>
      <c r="I2" s="14"/>
    </row>
    <row r="3" spans="1:13">
      <c r="A3" s="411"/>
      <c r="B3" s="14"/>
      <c r="C3" s="573"/>
      <c r="D3" s="14"/>
      <c r="E3" s="14"/>
      <c r="F3" s="14"/>
      <c r="G3" s="14"/>
      <c r="H3" s="14"/>
      <c r="I3" s="14"/>
    </row>
    <row r="4" spans="1:13" ht="13.5" thickBot="1">
      <c r="A4" s="411"/>
      <c r="B4" s="14"/>
      <c r="C4" s="574"/>
      <c r="D4" s="14"/>
      <c r="E4" s="14"/>
      <c r="F4" s="14"/>
      <c r="G4" s="14"/>
      <c r="H4" s="14"/>
      <c r="I4" s="14"/>
    </row>
    <row r="5" spans="1:13" ht="13.5" thickTop="1">
      <c r="A5" s="402"/>
      <c r="B5" s="64" t="str">
        <f>+Restating!B5</f>
        <v>(000's of Dollars)</v>
      </c>
    </row>
    <row r="6" spans="1:13">
      <c r="A6" s="62"/>
    </row>
    <row r="7" spans="1:13">
      <c r="A7" s="403"/>
      <c r="B7" s="64" t="s">
        <v>100</v>
      </c>
      <c r="C7" s="601" t="s">
        <v>107</v>
      </c>
    </row>
    <row r="8" spans="1:13">
      <c r="A8" s="403"/>
      <c r="B8" s="64"/>
      <c r="C8" s="601"/>
    </row>
    <row r="9" spans="1:13">
      <c r="A9" s="62"/>
      <c r="C9" s="596">
        <v>3.06</v>
      </c>
    </row>
    <row r="10" spans="1:13" s="71" customFormat="1">
      <c r="A10" s="414"/>
      <c r="B10" s="420"/>
      <c r="C10" s="602" t="s">
        <v>96</v>
      </c>
      <c r="J10" s="68"/>
    </row>
    <row r="11" spans="1:13" s="71" customFormat="1">
      <c r="A11" s="414" t="s">
        <v>5</v>
      </c>
      <c r="B11" s="420"/>
      <c r="C11" s="602" t="s">
        <v>401</v>
      </c>
      <c r="J11" s="68"/>
    </row>
    <row r="12" spans="1:13" s="71" customFormat="1">
      <c r="A12" s="421" t="s">
        <v>10</v>
      </c>
      <c r="B12" s="422" t="s">
        <v>11</v>
      </c>
      <c r="C12" s="579" t="s">
        <v>80</v>
      </c>
      <c r="J12" s="68"/>
    </row>
    <row r="13" spans="1:13" s="72" customFormat="1">
      <c r="A13" s="418"/>
      <c r="B13" s="115" t="s">
        <v>155</v>
      </c>
      <c r="C13" s="605"/>
      <c r="J13" s="60"/>
    </row>
    <row r="14" spans="1:13">
      <c r="A14" s="73">
        <v>1</v>
      </c>
      <c r="B14" s="416" t="s">
        <v>98</v>
      </c>
      <c r="J14" s="61"/>
    </row>
    <row r="15" spans="1:13">
      <c r="A15" s="75">
        <v>2</v>
      </c>
      <c r="B15" s="63" t="s">
        <v>40</v>
      </c>
      <c r="C15" s="575"/>
      <c r="J15" s="61"/>
    </row>
    <row r="16" spans="1:13" s="15" customFormat="1">
      <c r="A16" s="75">
        <v>3</v>
      </c>
      <c r="B16" s="76" t="s">
        <v>41</v>
      </c>
      <c r="C16" s="580"/>
      <c r="J16" s="77"/>
      <c r="K16" s="104"/>
      <c r="L16" s="104"/>
      <c r="M16" s="104"/>
    </row>
    <row r="17" spans="1:10" s="20" customFormat="1">
      <c r="A17" s="73">
        <v>4</v>
      </c>
      <c r="B17" s="78" t="s">
        <v>42</v>
      </c>
      <c r="C17" s="581"/>
      <c r="J17" s="105"/>
    </row>
    <row r="18" spans="1:10" s="20" customFormat="1">
      <c r="A18" s="75">
        <v>5</v>
      </c>
      <c r="B18" s="78" t="s">
        <v>43</v>
      </c>
      <c r="C18" s="582"/>
      <c r="J18" s="107"/>
    </row>
    <row r="19" spans="1:10" s="20" customFormat="1">
      <c r="A19" s="75">
        <v>6</v>
      </c>
      <c r="B19" s="397" t="s">
        <v>44</v>
      </c>
      <c r="C19" s="581">
        <f t="shared" ref="C19" si="0">SUM(C16:C18)</f>
        <v>0</v>
      </c>
    </row>
    <row r="20" spans="1:10" s="20" customFormat="1">
      <c r="A20" s="73">
        <v>7</v>
      </c>
      <c r="B20" s="78" t="s">
        <v>45</v>
      </c>
      <c r="C20" s="582"/>
      <c r="J20" s="107"/>
    </row>
    <row r="21" spans="1:10" s="20" customFormat="1">
      <c r="A21" s="75">
        <v>8</v>
      </c>
      <c r="B21" s="397" t="s">
        <v>46</v>
      </c>
      <c r="C21" s="581">
        <f t="shared" ref="C21" si="1">SUM(C19:C20)</f>
        <v>0</v>
      </c>
    </row>
    <row r="22" spans="1:10" s="20" customFormat="1">
      <c r="A22" s="75">
        <v>9</v>
      </c>
      <c r="B22" s="78"/>
      <c r="C22" s="581"/>
      <c r="J22" s="105"/>
    </row>
    <row r="23" spans="1:10" s="20" customFormat="1">
      <c r="A23" s="73">
        <v>10</v>
      </c>
      <c r="B23" s="78" t="s">
        <v>20</v>
      </c>
      <c r="C23" s="581"/>
      <c r="J23" s="105"/>
    </row>
    <row r="24" spans="1:10" s="20" customFormat="1">
      <c r="A24" s="75">
        <v>11</v>
      </c>
      <c r="B24" s="78" t="s">
        <v>47</v>
      </c>
      <c r="C24" s="581"/>
      <c r="J24" s="105"/>
    </row>
    <row r="25" spans="1:10" s="20" customFormat="1">
      <c r="A25" s="75">
        <v>12</v>
      </c>
      <c r="B25" s="397" t="s">
        <v>48</v>
      </c>
      <c r="C25" s="581">
        <v>0</v>
      </c>
      <c r="J25" s="105"/>
    </row>
    <row r="26" spans="1:10" s="20" customFormat="1">
      <c r="A26" s="73">
        <v>13</v>
      </c>
      <c r="B26" s="397" t="s">
        <v>49</v>
      </c>
      <c r="C26" s="581"/>
      <c r="J26" s="105"/>
    </row>
    <row r="27" spans="1:10" s="20" customFormat="1">
      <c r="A27" s="75">
        <v>14</v>
      </c>
      <c r="B27" s="397" t="s">
        <v>50</v>
      </c>
      <c r="C27" s="581">
        <v>0</v>
      </c>
      <c r="J27" s="105"/>
    </row>
    <row r="28" spans="1:10" s="20" customFormat="1">
      <c r="A28" s="73">
        <v>15</v>
      </c>
      <c r="B28" s="393" t="s">
        <v>349</v>
      </c>
      <c r="C28" s="581"/>
      <c r="J28" s="105"/>
    </row>
    <row r="29" spans="1:10" s="20" customFormat="1">
      <c r="A29" s="75">
        <v>16</v>
      </c>
      <c r="B29" s="397" t="s">
        <v>51</v>
      </c>
      <c r="C29" s="582">
        <v>15</v>
      </c>
      <c r="J29" s="107"/>
    </row>
    <row r="30" spans="1:10" s="20" customFormat="1">
      <c r="A30" s="75">
        <v>17</v>
      </c>
      <c r="B30" s="398" t="s">
        <v>52</v>
      </c>
      <c r="C30" s="581">
        <f t="shared" ref="C30" si="2">SUM(C25:C29)</f>
        <v>15</v>
      </c>
    </row>
    <row r="31" spans="1:10" s="20" customFormat="1">
      <c r="A31" s="73">
        <v>18</v>
      </c>
      <c r="B31" s="78"/>
      <c r="C31" s="581"/>
      <c r="J31" s="105"/>
    </row>
    <row r="32" spans="1:10" s="20" customFormat="1">
      <c r="A32" s="75">
        <v>19</v>
      </c>
      <c r="B32" s="78" t="s">
        <v>53</v>
      </c>
      <c r="C32" s="581"/>
      <c r="J32" s="105"/>
    </row>
    <row r="33" spans="1:18" s="20" customFormat="1">
      <c r="A33" s="73">
        <v>20</v>
      </c>
      <c r="B33" s="397" t="s">
        <v>48</v>
      </c>
      <c r="C33" s="581">
        <v>0</v>
      </c>
      <c r="J33" s="105"/>
    </row>
    <row r="34" spans="1:18" s="20" customFormat="1">
      <c r="A34" s="75">
        <v>21</v>
      </c>
      <c r="B34" s="397" t="s">
        <v>54</v>
      </c>
      <c r="C34" s="581">
        <v>0</v>
      </c>
      <c r="J34" s="105"/>
    </row>
    <row r="35" spans="1:18" s="20" customFormat="1">
      <c r="A35" s="75">
        <v>22</v>
      </c>
      <c r="B35" s="397" t="s">
        <v>51</v>
      </c>
      <c r="C35" s="582">
        <v>28</v>
      </c>
      <c r="J35" s="107"/>
    </row>
    <row r="36" spans="1:18" s="20" customFormat="1">
      <c r="A36" s="73">
        <v>23</v>
      </c>
      <c r="B36" s="398" t="s">
        <v>55</v>
      </c>
      <c r="C36" s="581">
        <f t="shared" ref="C36" si="3">SUM(C33:C35)</f>
        <v>28</v>
      </c>
    </row>
    <row r="37" spans="1:18" s="20" customFormat="1">
      <c r="A37" s="75">
        <v>24</v>
      </c>
      <c r="B37" s="78"/>
      <c r="C37" s="581"/>
      <c r="J37" s="105"/>
    </row>
    <row r="38" spans="1:18" s="20" customFormat="1">
      <c r="A38" s="73">
        <v>25</v>
      </c>
      <c r="B38" s="78" t="s">
        <v>56</v>
      </c>
      <c r="C38" s="581"/>
      <c r="J38" s="105"/>
      <c r="K38" s="108"/>
      <c r="L38" s="101"/>
      <c r="O38" s="106"/>
      <c r="P38" s="109"/>
      <c r="Q38" s="109"/>
      <c r="R38" s="109"/>
    </row>
    <row r="39" spans="1:18" s="20" customFormat="1">
      <c r="A39" s="75">
        <v>26</v>
      </c>
      <c r="B39" s="78" t="s">
        <v>57</v>
      </c>
      <c r="C39" s="581"/>
      <c r="J39" s="105"/>
      <c r="M39" s="110"/>
      <c r="O39" s="81"/>
      <c r="P39" s="81"/>
      <c r="Q39" s="81"/>
      <c r="R39" s="109"/>
    </row>
    <row r="40" spans="1:18" s="20" customFormat="1">
      <c r="A40" s="75">
        <v>27</v>
      </c>
      <c r="B40" s="78" t="s">
        <v>58</v>
      </c>
      <c r="C40" s="581"/>
      <c r="J40" s="105"/>
      <c r="M40" s="110"/>
    </row>
    <row r="41" spans="1:18" s="20" customFormat="1">
      <c r="A41" s="73">
        <v>28</v>
      </c>
      <c r="B41" s="78"/>
      <c r="C41" s="581"/>
      <c r="J41" s="105"/>
    </row>
    <row r="42" spans="1:18" s="20" customFormat="1">
      <c r="A42" s="75">
        <v>29</v>
      </c>
      <c r="B42" s="78" t="s">
        <v>59</v>
      </c>
      <c r="C42" s="581"/>
      <c r="J42" s="105"/>
    </row>
    <row r="43" spans="1:18" s="20" customFormat="1">
      <c r="A43" s="73">
        <v>30</v>
      </c>
      <c r="B43" s="397" t="s">
        <v>48</v>
      </c>
      <c r="C43" s="581">
        <v>0</v>
      </c>
      <c r="J43" s="105"/>
    </row>
    <row r="44" spans="1:18" s="20" customFormat="1">
      <c r="A44" s="75">
        <v>31</v>
      </c>
      <c r="B44" s="397" t="s">
        <v>54</v>
      </c>
      <c r="C44" s="581">
        <v>0</v>
      </c>
      <c r="J44" s="105"/>
    </row>
    <row r="45" spans="1:18" s="20" customFormat="1">
      <c r="A45" s="75">
        <v>32</v>
      </c>
      <c r="B45" s="397" t="s">
        <v>51</v>
      </c>
      <c r="C45" s="582">
        <v>1</v>
      </c>
      <c r="J45" s="107"/>
    </row>
    <row r="46" spans="1:18" s="20" customFormat="1">
      <c r="A46" s="73">
        <v>33</v>
      </c>
      <c r="B46" s="398" t="s">
        <v>60</v>
      </c>
      <c r="C46" s="582">
        <f t="shared" ref="C46" si="4">SUM(C43:C45)</f>
        <v>1</v>
      </c>
      <c r="J46" s="111"/>
    </row>
    <row r="47" spans="1:18" s="20" customFormat="1">
      <c r="A47" s="75">
        <v>34</v>
      </c>
      <c r="B47" s="78" t="s">
        <v>61</v>
      </c>
      <c r="C47" s="582">
        <f t="shared" ref="C47" si="5">C46+C40+C39+C38+C36+C30</f>
        <v>44</v>
      </c>
      <c r="J47" s="111"/>
    </row>
    <row r="48" spans="1:18" s="20" customFormat="1">
      <c r="A48" s="73">
        <v>35</v>
      </c>
      <c r="B48" s="78"/>
      <c r="C48" s="581"/>
    </row>
    <row r="49" spans="1:18" s="20" customFormat="1">
      <c r="A49" s="75">
        <v>36</v>
      </c>
      <c r="B49" s="78" t="s">
        <v>62</v>
      </c>
      <c r="C49" s="581">
        <f t="shared" ref="C49" si="6">C21-C47</f>
        <v>-44</v>
      </c>
    </row>
    <row r="50" spans="1:18" s="20" customFormat="1">
      <c r="A50" s="75">
        <v>37</v>
      </c>
      <c r="B50" s="78"/>
      <c r="C50" s="581"/>
      <c r="J50" s="105"/>
    </row>
    <row r="51" spans="1:18" s="20" customFormat="1">
      <c r="A51" s="73">
        <v>38</v>
      </c>
      <c r="B51" s="78" t="s">
        <v>63</v>
      </c>
      <c r="C51" s="581"/>
      <c r="J51" s="105"/>
    </row>
    <row r="52" spans="1:18" s="20" customFormat="1">
      <c r="A52" s="75">
        <v>39</v>
      </c>
      <c r="B52" s="78" t="s">
        <v>64</v>
      </c>
      <c r="C52" s="581">
        <f>+ROUND(C104,0)</f>
        <v>-15</v>
      </c>
      <c r="J52" s="105"/>
      <c r="N52" s="15"/>
    </row>
    <row r="53" spans="1:18" s="20" customFormat="1">
      <c r="A53" s="75">
        <v>40</v>
      </c>
      <c r="B53" s="78" t="s">
        <v>366</v>
      </c>
      <c r="C53" s="581">
        <f>+(C77*' Capital '!$J$13)*-35%</f>
        <v>0</v>
      </c>
      <c r="J53" s="105"/>
      <c r="N53" s="15"/>
    </row>
    <row r="54" spans="1:18" s="20" customFormat="1">
      <c r="A54" s="73">
        <v>41</v>
      </c>
      <c r="B54" s="78" t="s">
        <v>65</v>
      </c>
      <c r="C54" s="581"/>
      <c r="J54" s="105"/>
      <c r="M54" s="15"/>
      <c r="N54" s="14"/>
    </row>
    <row r="55" spans="1:18" s="20" customFormat="1">
      <c r="A55" s="75">
        <v>42</v>
      </c>
      <c r="B55" s="78" t="s">
        <v>238</v>
      </c>
      <c r="C55" s="581"/>
      <c r="J55" s="105"/>
      <c r="M55" s="15"/>
      <c r="N55" s="14"/>
    </row>
    <row r="56" spans="1:18" s="20" customFormat="1">
      <c r="A56" s="75">
        <v>43</v>
      </c>
      <c r="B56" s="78"/>
      <c r="C56" s="581"/>
      <c r="J56" s="105"/>
      <c r="M56" s="15"/>
      <c r="N56" s="14"/>
    </row>
    <row r="57" spans="1:18">
      <c r="A57" s="73">
        <v>44</v>
      </c>
      <c r="C57" s="581"/>
      <c r="O57" s="15"/>
      <c r="P57" s="15"/>
      <c r="Q57" s="15"/>
      <c r="R57" s="15"/>
    </row>
    <row r="58" spans="1:18" s="15" customFormat="1" ht="13.5" thickBot="1">
      <c r="A58" s="75">
        <v>45</v>
      </c>
      <c r="B58" s="76" t="s">
        <v>66</v>
      </c>
      <c r="C58" s="598">
        <f t="shared" ref="C58" si="7">C49-SUM(C52:C56)</f>
        <v>-29</v>
      </c>
      <c r="J58" s="112"/>
      <c r="M58" s="14"/>
      <c r="N58" s="14"/>
      <c r="O58" s="14"/>
      <c r="P58" s="14"/>
      <c r="Q58" s="14"/>
      <c r="R58" s="14"/>
    </row>
    <row r="59" spans="1:18" ht="13.5" thickTop="1">
      <c r="A59" s="75">
        <v>46</v>
      </c>
      <c r="B59" s="2"/>
      <c r="C59" s="575"/>
    </row>
    <row r="60" spans="1:18">
      <c r="A60" s="73">
        <v>47</v>
      </c>
      <c r="B60" s="416" t="s">
        <v>21</v>
      </c>
      <c r="C60" s="575"/>
    </row>
    <row r="61" spans="1:18">
      <c r="A61" s="75">
        <v>48</v>
      </c>
      <c r="B61" s="63" t="s">
        <v>67</v>
      </c>
      <c r="C61" s="581"/>
      <c r="O61" s="15"/>
      <c r="P61" s="15"/>
      <c r="Q61" s="15"/>
      <c r="R61" s="15"/>
    </row>
    <row r="62" spans="1:18" s="15" customFormat="1">
      <c r="A62" s="75">
        <v>49</v>
      </c>
      <c r="B62" s="396" t="s">
        <v>68</v>
      </c>
      <c r="C62" s="599"/>
      <c r="J62" s="113"/>
      <c r="M62" s="14"/>
      <c r="N62" s="14"/>
      <c r="O62" s="20"/>
      <c r="P62" s="20"/>
      <c r="Q62" s="20"/>
      <c r="R62" s="20"/>
    </row>
    <row r="63" spans="1:18" s="20" customFormat="1">
      <c r="A63" s="73">
        <v>50</v>
      </c>
      <c r="B63" s="397" t="s">
        <v>69</v>
      </c>
      <c r="C63" s="581">
        <v>0</v>
      </c>
      <c r="J63" s="105"/>
      <c r="M63" s="14"/>
      <c r="N63" s="14"/>
    </row>
    <row r="64" spans="1:18" s="20" customFormat="1">
      <c r="A64" s="75">
        <v>51</v>
      </c>
      <c r="B64" s="397" t="s">
        <v>70</v>
      </c>
      <c r="C64" s="581">
        <v>0</v>
      </c>
      <c r="J64" s="105"/>
      <c r="M64" s="14"/>
      <c r="N64" s="14"/>
    </row>
    <row r="65" spans="1:18" s="20" customFormat="1">
      <c r="A65" s="75">
        <v>52</v>
      </c>
      <c r="B65" s="397" t="s">
        <v>53</v>
      </c>
      <c r="C65" s="581">
        <v>0</v>
      </c>
      <c r="J65" s="105"/>
      <c r="M65" s="14"/>
      <c r="N65" s="14"/>
    </row>
    <row r="66" spans="1:18" s="20" customFormat="1">
      <c r="A66" s="73">
        <v>53</v>
      </c>
      <c r="B66" s="397" t="s">
        <v>71</v>
      </c>
      <c r="C66" s="582">
        <v>0</v>
      </c>
      <c r="J66" s="107"/>
      <c r="M66" s="14"/>
      <c r="N66" s="14"/>
    </row>
    <row r="67" spans="1:18" s="20" customFormat="1">
      <c r="A67" s="75">
        <v>54</v>
      </c>
      <c r="B67" s="398" t="s">
        <v>72</v>
      </c>
      <c r="C67" s="581">
        <f t="shared" ref="C67" si="8">SUM(C62:C66)</f>
        <v>0</v>
      </c>
      <c r="M67" s="14"/>
      <c r="N67" s="14"/>
    </row>
    <row r="68" spans="1:18" s="20" customFormat="1">
      <c r="A68" s="75">
        <v>55</v>
      </c>
      <c r="B68" s="78" t="s">
        <v>244</v>
      </c>
      <c r="C68" s="581">
        <v>0</v>
      </c>
      <c r="J68" s="105"/>
      <c r="M68" s="14"/>
      <c r="N68" s="14"/>
    </row>
    <row r="69" spans="1:18" s="20" customFormat="1">
      <c r="A69" s="73">
        <v>56</v>
      </c>
      <c r="B69" s="78" t="s">
        <v>245</v>
      </c>
      <c r="C69" s="582"/>
      <c r="J69" s="107"/>
      <c r="M69" s="14"/>
      <c r="N69" s="14"/>
    </row>
    <row r="70" spans="1:18" s="20" customFormat="1">
      <c r="A70" s="75">
        <v>57</v>
      </c>
      <c r="B70" s="397" t="s">
        <v>73</v>
      </c>
      <c r="C70" s="581">
        <f t="shared" ref="C70" si="9">SUM(C68:C69)</f>
        <v>0</v>
      </c>
      <c r="M70" s="14"/>
      <c r="N70" s="14"/>
    </row>
    <row r="71" spans="1:18" s="20" customFormat="1">
      <c r="A71" s="75">
        <v>58</v>
      </c>
      <c r="B71" s="78" t="s">
        <v>249</v>
      </c>
      <c r="C71" s="581"/>
      <c r="J71" s="105"/>
      <c r="M71" s="14"/>
      <c r="N71" s="14"/>
    </row>
    <row r="72" spans="1:18" s="20" customFormat="1">
      <c r="A72" s="73">
        <v>59</v>
      </c>
      <c r="B72" s="78" t="s">
        <v>351</v>
      </c>
      <c r="C72" s="581"/>
      <c r="J72" s="105"/>
      <c r="M72" s="14"/>
      <c r="N72" s="14"/>
    </row>
    <row r="73" spans="1:18" s="20" customFormat="1">
      <c r="A73" s="75">
        <v>60</v>
      </c>
      <c r="B73" s="78" t="s">
        <v>236</v>
      </c>
      <c r="C73" s="581"/>
      <c r="J73" s="105"/>
      <c r="M73" s="14"/>
      <c r="N73" s="14"/>
    </row>
    <row r="74" spans="1:18" s="20" customFormat="1">
      <c r="A74" s="75">
        <v>61</v>
      </c>
      <c r="B74" s="78" t="s">
        <v>247</v>
      </c>
      <c r="C74" s="581"/>
      <c r="J74" s="105"/>
      <c r="M74" s="14"/>
      <c r="N74" s="14"/>
    </row>
    <row r="75" spans="1:18" s="20" customFormat="1">
      <c r="A75" s="73">
        <v>62</v>
      </c>
      <c r="B75" s="78" t="s">
        <v>248</v>
      </c>
      <c r="C75" s="582">
        <v>0</v>
      </c>
      <c r="J75" s="107"/>
      <c r="M75" s="14"/>
      <c r="N75" s="14"/>
    </row>
    <row r="76" spans="1:18" s="20" customFormat="1">
      <c r="A76" s="75">
        <v>63</v>
      </c>
      <c r="B76" s="78"/>
      <c r="C76" s="581"/>
      <c r="M76" s="14"/>
      <c r="N76" s="14"/>
      <c r="O76" s="15"/>
      <c r="P76" s="15"/>
      <c r="Q76" s="15"/>
      <c r="R76" s="15"/>
    </row>
    <row r="77" spans="1:18" s="15" customFormat="1" ht="13.5" thickBot="1">
      <c r="A77" s="75">
        <v>64</v>
      </c>
      <c r="B77" s="425" t="s">
        <v>74</v>
      </c>
      <c r="C77" s="598">
        <f t="shared" ref="C77" si="10">C67-C70+C71+C75</f>
        <v>0</v>
      </c>
      <c r="J77" s="112"/>
      <c r="M77" s="14"/>
      <c r="N77" s="14"/>
      <c r="O77" s="14"/>
      <c r="P77" s="14"/>
      <c r="Q77" s="14"/>
      <c r="R77" s="14"/>
    </row>
    <row r="78" spans="1:18" ht="13.5" thickTop="1">
      <c r="B78" s="83"/>
    </row>
    <row r="79" spans="1:18">
      <c r="A79" s="84"/>
      <c r="B79" s="38"/>
      <c r="C79" s="587"/>
    </row>
    <row r="80" spans="1:18">
      <c r="A80" s="89"/>
      <c r="B80" s="86"/>
    </row>
    <row r="81" spans="1:3">
      <c r="A81" s="89">
        <v>1</v>
      </c>
      <c r="B81" s="392" t="s">
        <v>116</v>
      </c>
    </row>
    <row r="82" spans="1:3">
      <c r="A82" s="89">
        <v>2</v>
      </c>
      <c r="B82" s="87" t="s">
        <v>117</v>
      </c>
      <c r="C82" s="600">
        <f t="shared" ref="C82" si="11">+C21</f>
        <v>0</v>
      </c>
    </row>
    <row r="83" spans="1:3">
      <c r="A83" s="89">
        <v>3</v>
      </c>
      <c r="B83" s="87" t="s">
        <v>118</v>
      </c>
      <c r="C83" s="588">
        <f t="shared" ref="C83" si="12">-C47</f>
        <v>-44</v>
      </c>
    </row>
    <row r="84" spans="1:3">
      <c r="A84" s="89">
        <v>4</v>
      </c>
      <c r="B84" s="87" t="s">
        <v>134</v>
      </c>
      <c r="C84" s="581"/>
    </row>
    <row r="85" spans="1:3">
      <c r="A85" s="89">
        <v>5</v>
      </c>
      <c r="B85" s="405" t="s">
        <v>119</v>
      </c>
      <c r="C85" s="589">
        <f t="shared" ref="C85" si="13">SUM(C82:C84)</f>
        <v>-44</v>
      </c>
    </row>
    <row r="86" spans="1:3">
      <c r="A86" s="89">
        <v>6</v>
      </c>
      <c r="B86" s="86"/>
      <c r="C86" s="590"/>
    </row>
    <row r="87" spans="1:3">
      <c r="A87" s="89">
        <v>7</v>
      </c>
      <c r="B87" s="86" t="s">
        <v>120</v>
      </c>
      <c r="C87" s="590"/>
    </row>
    <row r="88" spans="1:3">
      <c r="A88" s="89">
        <v>8</v>
      </c>
      <c r="B88" s="404" t="s">
        <v>121</v>
      </c>
      <c r="C88" s="590"/>
    </row>
    <row r="89" spans="1:3">
      <c r="A89" s="89">
        <v>9</v>
      </c>
      <c r="B89" s="404" t="s">
        <v>130</v>
      </c>
      <c r="C89" s="590"/>
    </row>
    <row r="90" spans="1:3">
      <c r="A90" s="89">
        <v>10</v>
      </c>
      <c r="B90" s="404" t="s">
        <v>122</v>
      </c>
      <c r="C90" s="590"/>
    </row>
    <row r="91" spans="1:3">
      <c r="A91" s="89">
        <v>11</v>
      </c>
      <c r="B91" s="86"/>
      <c r="C91" s="590"/>
    </row>
    <row r="92" spans="1:3">
      <c r="A92" s="89">
        <v>12</v>
      </c>
      <c r="B92" s="406" t="s">
        <v>278</v>
      </c>
      <c r="C92" s="589">
        <f t="shared" ref="C92" si="14">SUM(C88:C90)</f>
        <v>0</v>
      </c>
    </row>
    <row r="93" spans="1:3">
      <c r="A93" s="89">
        <v>13</v>
      </c>
      <c r="B93" s="86"/>
      <c r="C93" s="590"/>
    </row>
    <row r="94" spans="1:3">
      <c r="A94" s="89">
        <v>14</v>
      </c>
      <c r="B94" s="86" t="s">
        <v>124</v>
      </c>
      <c r="C94" s="590"/>
    </row>
    <row r="95" spans="1:3">
      <c r="A95" s="89">
        <v>15</v>
      </c>
      <c r="B95" s="404" t="s">
        <v>178</v>
      </c>
      <c r="C95" s="590"/>
    </row>
    <row r="96" spans="1:3">
      <c r="A96" s="89">
        <v>16</v>
      </c>
      <c r="B96" s="404" t="s">
        <v>133</v>
      </c>
      <c r="C96" s="590"/>
    </row>
    <row r="97" spans="1:3">
      <c r="A97" s="89">
        <v>17</v>
      </c>
      <c r="B97" s="404" t="s">
        <v>122</v>
      </c>
      <c r="C97" s="590"/>
    </row>
    <row r="98" spans="1:3">
      <c r="A98" s="89">
        <v>18</v>
      </c>
      <c r="B98" s="406" t="s">
        <v>279</v>
      </c>
      <c r="C98" s="589">
        <f t="shared" ref="C98" si="15">SUM(C95:C97)</f>
        <v>0</v>
      </c>
    </row>
    <row r="99" spans="1:3">
      <c r="A99" s="89">
        <v>19</v>
      </c>
      <c r="B99" s="86"/>
      <c r="C99" s="590"/>
    </row>
    <row r="100" spans="1:3">
      <c r="A100" s="89">
        <v>20</v>
      </c>
      <c r="B100" s="87" t="s">
        <v>268</v>
      </c>
      <c r="C100" s="584">
        <f t="shared" ref="C100" si="16">+C82+C83+C84+C92-C98</f>
        <v>-44</v>
      </c>
    </row>
    <row r="101" spans="1:3">
      <c r="A101" s="89">
        <v>21</v>
      </c>
      <c r="B101" s="404" t="s">
        <v>280</v>
      </c>
      <c r="C101" s="591">
        <v>0.35</v>
      </c>
    </row>
    <row r="102" spans="1:3">
      <c r="A102" s="89">
        <v>22</v>
      </c>
      <c r="B102" s="404" t="s">
        <v>127</v>
      </c>
      <c r="C102" s="592">
        <f t="shared" ref="C102" si="17">C100*C101</f>
        <v>-15.399999999999999</v>
      </c>
    </row>
    <row r="103" spans="1:3">
      <c r="A103" s="89">
        <v>23</v>
      </c>
      <c r="B103" s="404" t="s">
        <v>128</v>
      </c>
      <c r="C103" s="590">
        <f t="shared" ref="C103" si="18">+(C95-C88+C96)*C101</f>
        <v>0</v>
      </c>
    </row>
    <row r="104" spans="1:3" ht="13.5" thickBot="1">
      <c r="A104" s="89">
        <v>24</v>
      </c>
      <c r="B104" s="95" t="s">
        <v>129</v>
      </c>
      <c r="C104" s="593">
        <f t="shared" ref="C104" si="19">ROUND(+C102+C103,0)</f>
        <v>-15</v>
      </c>
    </row>
    <row r="105" spans="1:3" ht="13.5" thickTop="1"/>
  </sheetData>
  <printOptions horizontalCentered="1"/>
  <pageMargins left="0.5" right="0.5" top="1.5" bottom="0.3" header="0.5" footer="0.5"/>
  <pageSetup scale="60" firstPageNumber="2" fitToWidth="0" orientation="portrait" r:id="rId1"/>
  <headerFooter scaleWithDoc="0" alignWithMargins="0">
    <oddHeader>&amp;L&amp;"Arial,Regular"&amp;10Avista Corporation
&amp;"Arial,Bold"Electric - Pro Forma Adjustments (Schedule 1.3)&amp;"Arial,Regular"
Twelve Months Ended December 31,2011&amp;R&amp;"Arial,Regular"&amp;10Exhibit No. ___ (JH-2)
Docket UE-120436 &amp; UG-120437
Page &amp;P of  &amp;N</oddHeader>
  </headerFooter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 enableFormatConditionsCalculation="0">
    <pageSetUpPr fitToPage="1"/>
  </sheetPr>
  <dimension ref="A1:S86"/>
  <sheetViews>
    <sheetView zoomScale="80" zoomScaleNormal="8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G9" sqref="G9"/>
    </sheetView>
  </sheetViews>
  <sheetFormatPr defaultColWidth="9" defaultRowHeight="12.75"/>
  <cols>
    <col min="1" max="1" width="6.125" style="123" bestFit="1" customWidth="1"/>
    <col min="2" max="2" width="9.5" style="123" bestFit="1" customWidth="1"/>
    <col min="3" max="3" width="31.5" style="123" bestFit="1" customWidth="1"/>
    <col min="4" max="4" width="8.125" style="123" bestFit="1" customWidth="1"/>
    <col min="5" max="5" width="26.375" style="123" bestFit="1" customWidth="1"/>
    <col min="6" max="6" width="9" style="123" bestFit="1" customWidth="1"/>
    <col min="7" max="7" width="8.875" style="123" bestFit="1" customWidth="1"/>
    <col min="8" max="8" width="8.625" style="123" bestFit="1" customWidth="1"/>
    <col min="9" max="9" width="2.125" style="123" customWidth="1"/>
    <col min="10" max="10" width="9.375" style="123" customWidth="1"/>
    <col min="11" max="11" width="9.875" style="123" bestFit="1" customWidth="1"/>
    <col min="12" max="12" width="9" style="123" bestFit="1" customWidth="1"/>
    <col min="13" max="13" width="20.75" style="123" bestFit="1" customWidth="1"/>
    <col min="14" max="14" width="28.875" style="123" bestFit="1" customWidth="1"/>
    <col min="15" max="15" width="2.125" style="130" customWidth="1"/>
    <col min="16" max="16" width="36.375" style="123" bestFit="1" customWidth="1"/>
    <col min="17" max="17" width="9.25" style="117" bestFit="1" customWidth="1"/>
    <col min="18" max="18" width="10.125" style="123" bestFit="1" customWidth="1"/>
    <col min="19" max="19" width="4.5" style="117" bestFit="1" customWidth="1"/>
    <col min="20" max="16384" width="9" style="117"/>
  </cols>
  <sheetData>
    <row r="1" spans="1:18">
      <c r="A1" s="116"/>
      <c r="B1" s="727" t="s">
        <v>281</v>
      </c>
      <c r="C1" s="727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72"/>
      <c r="P1" s="116"/>
      <c r="Q1" s="116"/>
      <c r="R1" s="116"/>
    </row>
    <row r="2" spans="1:18" ht="15">
      <c r="A2" s="117"/>
      <c r="B2" s="117"/>
      <c r="C2" s="118" t="s">
        <v>99</v>
      </c>
      <c r="D2" s="117"/>
      <c r="E2" s="117"/>
      <c r="F2" s="117"/>
      <c r="G2" s="117"/>
      <c r="H2" s="117"/>
      <c r="I2" s="117"/>
      <c r="J2" s="389"/>
      <c r="K2" s="117"/>
      <c r="L2" s="117"/>
      <c r="M2" s="117"/>
      <c r="N2" s="117"/>
      <c r="O2" s="136"/>
      <c r="P2" s="117"/>
      <c r="Q2" s="116"/>
      <c r="R2" s="116"/>
    </row>
    <row r="3" spans="1:18">
      <c r="A3" s="117"/>
      <c r="B3" s="117"/>
      <c r="C3" s="118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36"/>
      <c r="P3" s="117"/>
      <c r="Q3" s="116"/>
      <c r="R3" s="116"/>
    </row>
    <row r="4" spans="1:18">
      <c r="A4" s="117"/>
      <c r="B4" s="117"/>
      <c r="C4" s="118" t="s">
        <v>100</v>
      </c>
      <c r="D4" s="118" t="s">
        <v>101</v>
      </c>
      <c r="E4" s="118" t="s">
        <v>102</v>
      </c>
      <c r="F4" s="728" t="s">
        <v>269</v>
      </c>
      <c r="G4" s="728"/>
      <c r="H4" s="119" t="s">
        <v>198</v>
      </c>
      <c r="I4" s="120"/>
      <c r="J4" s="121" t="s">
        <v>103</v>
      </c>
      <c r="K4" s="118" t="s">
        <v>104</v>
      </c>
      <c r="L4" s="726" t="s">
        <v>269</v>
      </c>
      <c r="M4" s="726"/>
      <c r="N4" s="122"/>
      <c r="O4" s="435"/>
      <c r="P4" s="118" t="s">
        <v>106</v>
      </c>
      <c r="Q4" s="116"/>
      <c r="R4" s="116"/>
    </row>
    <row r="5" spans="1:18">
      <c r="B5" s="117"/>
      <c r="C5" s="124"/>
      <c r="H5" s="130"/>
      <c r="I5" s="290"/>
      <c r="J5" s="130"/>
      <c r="K5" s="130"/>
      <c r="L5" s="130"/>
      <c r="M5" s="130"/>
      <c r="N5" s="130"/>
      <c r="Q5" s="116"/>
      <c r="R5" s="116"/>
    </row>
    <row r="6" spans="1:18">
      <c r="A6" s="264" t="s">
        <v>5</v>
      </c>
      <c r="B6" s="118"/>
      <c r="C6" s="434"/>
      <c r="D6" s="148"/>
      <c r="E6" s="148"/>
      <c r="F6" s="148"/>
      <c r="G6" s="148"/>
      <c r="H6" s="148"/>
      <c r="I6" s="148"/>
      <c r="J6" s="730"/>
      <c r="K6" s="730"/>
      <c r="L6" s="443"/>
      <c r="M6" s="444"/>
      <c r="N6" s="130"/>
      <c r="P6" s="121"/>
      <c r="Q6" s="116"/>
      <c r="R6" s="116"/>
    </row>
    <row r="7" spans="1:18">
      <c r="A7" s="430" t="s">
        <v>10</v>
      </c>
      <c r="B7" s="121"/>
      <c r="C7" s="441"/>
      <c r="D7" s="723" t="s">
        <v>131</v>
      </c>
      <c r="E7" s="723"/>
      <c r="F7" s="723"/>
      <c r="G7" s="723"/>
      <c r="H7" s="723"/>
      <c r="I7" s="148"/>
      <c r="J7" s="723" t="s">
        <v>232</v>
      </c>
      <c r="K7" s="723"/>
      <c r="L7" s="723"/>
      <c r="M7" s="723"/>
      <c r="N7" s="723"/>
      <c r="O7" s="445"/>
      <c r="P7" s="448" t="s">
        <v>181</v>
      </c>
      <c r="Q7" s="116"/>
      <c r="R7" s="116"/>
    </row>
    <row r="8" spans="1:18" ht="13.5" thickBot="1">
      <c r="A8" s="436"/>
      <c r="B8" s="729"/>
      <c r="C8" s="729"/>
      <c r="D8" s="173" t="s">
        <v>179</v>
      </c>
      <c r="E8" s="131" t="s">
        <v>180</v>
      </c>
      <c r="F8" s="442" t="s">
        <v>179</v>
      </c>
      <c r="G8" s="173" t="s">
        <v>12</v>
      </c>
      <c r="H8" s="173" t="s">
        <v>282</v>
      </c>
      <c r="I8" s="437"/>
      <c r="J8" s="442" t="s">
        <v>179</v>
      </c>
      <c r="K8" s="173" t="s">
        <v>12</v>
      </c>
      <c r="L8" s="173" t="s">
        <v>179</v>
      </c>
      <c r="M8" s="173" t="s">
        <v>12</v>
      </c>
      <c r="N8" s="714" t="s">
        <v>364</v>
      </c>
      <c r="O8" s="715"/>
      <c r="P8" s="713" t="s">
        <v>364</v>
      </c>
      <c r="Q8" s="713"/>
      <c r="R8" s="116"/>
    </row>
    <row r="9" spans="1:18">
      <c r="A9" s="436"/>
      <c r="B9" s="435"/>
      <c r="C9" s="434" t="s">
        <v>305</v>
      </c>
      <c r="D9" s="438">
        <f>+ROO!C56</f>
        <v>76024</v>
      </c>
      <c r="E9" s="439">
        <v>1123911</v>
      </c>
      <c r="F9" s="182">
        <f>-D9/Conv!G20</f>
        <v>-122457.39505814889</v>
      </c>
      <c r="G9" s="440">
        <f>(+E9*$H$71)/Conv!G20</f>
        <v>149355.13917077414</v>
      </c>
      <c r="H9" s="183">
        <f>SUM(F9:G9)</f>
        <v>26897.744112625252</v>
      </c>
      <c r="I9" s="148"/>
      <c r="J9" s="438">
        <f>+D9</f>
        <v>76024</v>
      </c>
      <c r="K9" s="438">
        <f>+E9</f>
        <v>1123911</v>
      </c>
      <c r="L9" s="457">
        <f>-J9/Conv!G20</f>
        <v>-122457.39505814889</v>
      </c>
      <c r="M9" s="180">
        <f>+K9*$H$71/Conv!$G$20</f>
        <v>149355.13917077414</v>
      </c>
      <c r="N9" s="183">
        <f>SUM(L9:M9)</f>
        <v>26897.744112625252</v>
      </c>
      <c r="O9" s="456"/>
      <c r="P9" s="127" t="s">
        <v>199</v>
      </c>
      <c r="Q9" s="116"/>
      <c r="R9" s="116"/>
    </row>
    <row r="10" spans="1:18">
      <c r="A10" s="128">
        <v>1</v>
      </c>
      <c r="B10" s="721" t="s">
        <v>270</v>
      </c>
      <c r="C10" s="722"/>
      <c r="D10" s="174"/>
      <c r="E10" s="136"/>
      <c r="F10" s="174"/>
      <c r="G10" s="136"/>
      <c r="H10" s="174"/>
      <c r="I10" s="148"/>
      <c r="J10" s="136"/>
      <c r="K10" s="136"/>
      <c r="L10" s="136"/>
      <c r="M10" s="136"/>
      <c r="N10" s="136"/>
      <c r="O10" s="136"/>
      <c r="P10" s="117"/>
      <c r="Q10" s="116"/>
      <c r="R10" s="116"/>
    </row>
    <row r="11" spans="1:18">
      <c r="A11" s="128">
        <v>2</v>
      </c>
      <c r="B11" s="565">
        <v>1.01</v>
      </c>
      <c r="C11" s="117" t="s">
        <v>207</v>
      </c>
      <c r="D11" s="28">
        <v>3</v>
      </c>
      <c r="E11" s="454">
        <v>285</v>
      </c>
      <c r="F11" s="28">
        <f>-+D11/Conv!$G$20</f>
        <v>-4.8323185464385805</v>
      </c>
      <c r="G11" s="454">
        <f>(+E11*$H$71)/Conv!$G$20</f>
        <v>37.873296607712383</v>
      </c>
      <c r="H11" s="134">
        <f t="shared" ref="H11:H31" si="0">+F11+G11</f>
        <v>33.040978061273805</v>
      </c>
      <c r="I11" s="126"/>
      <c r="J11" s="454">
        <f>+Restating!$D$57</f>
        <v>3</v>
      </c>
      <c r="K11" s="449">
        <f>+Restating!$D$77</f>
        <v>285</v>
      </c>
      <c r="L11" s="452">
        <f>-J11/Conv!$G$20</f>
        <v>-4.8323185464385805</v>
      </c>
      <c r="M11" s="539">
        <f>+K11*$H$71/Conv!$G$20</f>
        <v>37.873296607712383</v>
      </c>
      <c r="N11" s="184">
        <f>+L11+M11</f>
        <v>33.040978061273805</v>
      </c>
      <c r="O11" s="136"/>
      <c r="P11" s="454">
        <f>ROUND(N11-H11,0)</f>
        <v>0</v>
      </c>
      <c r="Q11" s="116"/>
      <c r="R11" s="116"/>
    </row>
    <row r="12" spans="1:18">
      <c r="A12" s="128">
        <v>3</v>
      </c>
      <c r="B12" s="564">
        <v>1.02</v>
      </c>
      <c r="C12" s="117" t="s">
        <v>351</v>
      </c>
      <c r="D12" s="123">
        <v>-84</v>
      </c>
      <c r="E12" s="134">
        <v>-7013</v>
      </c>
      <c r="F12" s="28">
        <f>-+D12/Conv!$G$20</f>
        <v>135.30491930028026</v>
      </c>
      <c r="G12" s="134">
        <f>(+E12*$H$71)/Conv!$G$20</f>
        <v>-931.94887406977864</v>
      </c>
      <c r="H12" s="132">
        <f t="shared" si="0"/>
        <v>-796.64395476949835</v>
      </c>
      <c r="I12" s="437"/>
      <c r="J12" s="132">
        <f>+Restating!$E$57</f>
        <v>-87</v>
      </c>
      <c r="K12" s="538">
        <f>+Restating!E77</f>
        <v>-7013</v>
      </c>
      <c r="L12" s="140">
        <f>-J12/Conv!$G$20</f>
        <v>140.13723784671885</v>
      </c>
      <c r="M12" s="540">
        <f>+K12*$H$71/Conv!$G$20</f>
        <v>-931.94887406977864</v>
      </c>
      <c r="N12" s="133">
        <f t="shared" ref="N12:N32" si="1">+L12+M12</f>
        <v>-791.81163622305985</v>
      </c>
      <c r="O12" s="136"/>
      <c r="P12" s="134">
        <f t="shared" ref="P12:P32" si="2">ROUND(N12-H12,0)</f>
        <v>5</v>
      </c>
      <c r="Q12" s="116"/>
      <c r="R12" s="116"/>
    </row>
    <row r="13" spans="1:18">
      <c r="A13" s="128">
        <v>4</v>
      </c>
      <c r="B13" s="565">
        <v>1.03</v>
      </c>
      <c r="C13" s="117" t="s">
        <v>236</v>
      </c>
      <c r="D13" s="28">
        <v>142</v>
      </c>
      <c r="E13" s="134">
        <v>13689</v>
      </c>
      <c r="F13" s="28">
        <f>-+D13/Conv!$G$20</f>
        <v>-228.72974453142618</v>
      </c>
      <c r="G13" s="134">
        <f>(+E13*$H$71)/Conv!$G$20</f>
        <v>1819.1142360104377</v>
      </c>
      <c r="H13" s="133">
        <f t="shared" si="0"/>
        <v>1590.3844914790116</v>
      </c>
      <c r="I13" s="126"/>
      <c r="J13" s="132">
        <f>+Restating!$F$57</f>
        <v>40</v>
      </c>
      <c r="K13" s="538">
        <f>+Restating!F77</f>
        <v>3744</v>
      </c>
      <c r="L13" s="140">
        <f>-J13/Conv!$G$20</f>
        <v>-64.430913952514416</v>
      </c>
      <c r="M13" s="540">
        <f>+K13*$H$71/Conv!$G$20</f>
        <v>497.53551754131627</v>
      </c>
      <c r="N13" s="133">
        <f t="shared" si="1"/>
        <v>433.10460358880187</v>
      </c>
      <c r="O13" s="136"/>
      <c r="P13" s="134">
        <f t="shared" si="2"/>
        <v>-1157</v>
      </c>
      <c r="Q13" s="116"/>
      <c r="R13" s="116"/>
    </row>
    <row r="14" spans="1:18">
      <c r="A14" s="128">
        <v>5</v>
      </c>
      <c r="B14" s="565">
        <v>1.04</v>
      </c>
      <c r="C14" s="117" t="s">
        <v>390</v>
      </c>
      <c r="D14" s="28"/>
      <c r="E14" s="134"/>
      <c r="F14" s="28">
        <f>-+D14/Conv!$G$20</f>
        <v>0</v>
      </c>
      <c r="G14" s="134">
        <f>(+E14*$H$71)/Conv!$G$20</f>
        <v>0</v>
      </c>
      <c r="H14" s="134">
        <f>(+F14*$H$71)/Conv!$G$20</f>
        <v>0</v>
      </c>
      <c r="I14" s="126"/>
      <c r="J14" s="132">
        <f>+Restating!G57</f>
        <v>1826</v>
      </c>
      <c r="K14" s="538"/>
      <c r="L14" s="140">
        <f>-J14/Conv!$G$20</f>
        <v>-2941.271221932283</v>
      </c>
      <c r="M14" s="540">
        <f>+K14*$H$71/Conv!$G$20</f>
        <v>0</v>
      </c>
      <c r="N14" s="133">
        <f t="shared" si="1"/>
        <v>-2941.271221932283</v>
      </c>
      <c r="O14" s="136"/>
      <c r="P14" s="134">
        <f t="shared" si="2"/>
        <v>-2941</v>
      </c>
      <c r="Q14" s="116"/>
      <c r="R14" s="116"/>
    </row>
    <row r="15" spans="1:18">
      <c r="A15" s="128">
        <v>6</v>
      </c>
      <c r="B15" s="565">
        <v>2.0099999999999998</v>
      </c>
      <c r="C15" s="117" t="s">
        <v>182</v>
      </c>
      <c r="D15" s="28">
        <v>-46</v>
      </c>
      <c r="E15" s="134"/>
      <c r="F15" s="28">
        <f>-+D15/Conv!$G$20</f>
        <v>74.095551045391574</v>
      </c>
      <c r="G15" s="134">
        <f>(+E15*$H$71)/Conv!$G$20</f>
        <v>0</v>
      </c>
      <c r="H15" s="134">
        <f t="shared" si="0"/>
        <v>74.095551045391574</v>
      </c>
      <c r="I15" s="126"/>
      <c r="J15" s="132">
        <f>+Restating!$H$57</f>
        <v>-45</v>
      </c>
      <c r="K15" s="538">
        <f>+Restating!H77</f>
        <v>0</v>
      </c>
      <c r="L15" s="140">
        <f>-J15/Conv!$G$20</f>
        <v>72.484778196578716</v>
      </c>
      <c r="M15" s="540">
        <f>+K15*$H$71/Conv!$G$20</f>
        <v>0</v>
      </c>
      <c r="N15" s="133">
        <f t="shared" si="1"/>
        <v>72.484778196578716</v>
      </c>
      <c r="O15" s="136"/>
      <c r="P15" s="134">
        <f t="shared" si="2"/>
        <v>-2</v>
      </c>
      <c r="Q15" s="116"/>
      <c r="R15" s="116"/>
    </row>
    <row r="16" spans="1:18">
      <c r="A16" s="128">
        <v>7</v>
      </c>
      <c r="B16" s="565">
        <v>2.02</v>
      </c>
      <c r="C16" s="117" t="s">
        <v>186</v>
      </c>
      <c r="D16" s="28">
        <v>-206</v>
      </c>
      <c r="E16" s="134"/>
      <c r="F16" s="28">
        <f>-+D16/Conv!$G$20</f>
        <v>331.81920685544924</v>
      </c>
      <c r="G16" s="134">
        <f>(+E16*$H$71)/Conv!$G$20</f>
        <v>0</v>
      </c>
      <c r="H16" s="134">
        <f t="shared" si="0"/>
        <v>331.81920685544924</v>
      </c>
      <c r="I16" s="126"/>
      <c r="J16" s="132">
        <f>+Restating!$I$57</f>
        <v>-206</v>
      </c>
      <c r="K16" s="538">
        <f>+Restating!I77</f>
        <v>0</v>
      </c>
      <c r="L16" s="140">
        <f>-J16/Conv!$G$20</f>
        <v>331.81920685544924</v>
      </c>
      <c r="M16" s="540">
        <f>+K16*$H$71/Conv!$G$20</f>
        <v>0</v>
      </c>
      <c r="N16" s="133">
        <f t="shared" si="1"/>
        <v>331.81920685544924</v>
      </c>
      <c r="O16" s="136"/>
      <c r="P16" s="134">
        <f t="shared" si="2"/>
        <v>0</v>
      </c>
      <c r="Q16" s="116"/>
      <c r="R16" s="116"/>
    </row>
    <row r="17" spans="1:18">
      <c r="A17" s="128">
        <v>8</v>
      </c>
      <c r="B17" s="565">
        <v>2.0299999999999998</v>
      </c>
      <c r="C17" s="117" t="s">
        <v>187</v>
      </c>
      <c r="D17" s="28">
        <v>-31</v>
      </c>
      <c r="E17" s="134"/>
      <c r="F17" s="28">
        <f>-+D17/Conv!$G$20</f>
        <v>49.933958313198673</v>
      </c>
      <c r="G17" s="134">
        <f>(+E17*$H$71)/Conv!$G$20</f>
        <v>0</v>
      </c>
      <c r="H17" s="134">
        <f t="shared" si="0"/>
        <v>49.933958313198673</v>
      </c>
      <c r="I17" s="126"/>
      <c r="J17" s="132">
        <f>+Restating!$J$57</f>
        <v>-31</v>
      </c>
      <c r="K17" s="538">
        <f>+Restating!J77</f>
        <v>0</v>
      </c>
      <c r="L17" s="140">
        <f>-J17/Conv!$G$20</f>
        <v>49.933958313198673</v>
      </c>
      <c r="M17" s="540">
        <f>+K17*$H$71/Conv!$G$20</f>
        <v>0</v>
      </c>
      <c r="N17" s="133">
        <f t="shared" si="1"/>
        <v>49.933958313198673</v>
      </c>
      <c r="O17" s="136"/>
      <c r="P17" s="134">
        <f t="shared" si="2"/>
        <v>0</v>
      </c>
      <c r="Q17" s="116"/>
      <c r="R17" s="116"/>
    </row>
    <row r="18" spans="1:18">
      <c r="A18" s="128">
        <v>9</v>
      </c>
      <c r="B18" s="565">
        <v>2.04</v>
      </c>
      <c r="C18" s="117" t="s">
        <v>183</v>
      </c>
      <c r="D18" s="28">
        <v>150</v>
      </c>
      <c r="E18" s="134"/>
      <c r="F18" s="28">
        <f>-+D18/Conv!$G$20</f>
        <v>-241.61592732192904</v>
      </c>
      <c r="G18" s="134">
        <f>(+E18*$H$71)/Conv!$G$20</f>
        <v>0</v>
      </c>
      <c r="H18" s="134">
        <f t="shared" si="0"/>
        <v>-241.61592732192904</v>
      </c>
      <c r="I18" s="126"/>
      <c r="J18" s="132">
        <f>+Restating!$K$57</f>
        <v>149</v>
      </c>
      <c r="K18" s="538">
        <f>+Restating!K77</f>
        <v>0</v>
      </c>
      <c r="L18" s="140">
        <f>-J18/Conv!$G$20</f>
        <v>-240.00515447311619</v>
      </c>
      <c r="M18" s="540">
        <f>+K18*$H$71/Conv!$G$20</f>
        <v>0</v>
      </c>
      <c r="N18" s="133">
        <f t="shared" si="1"/>
        <v>-240.00515447311619</v>
      </c>
      <c r="O18" s="136"/>
      <c r="P18" s="134">
        <f t="shared" si="2"/>
        <v>2</v>
      </c>
      <c r="Q18" s="116"/>
      <c r="R18" s="116"/>
    </row>
    <row r="19" spans="1:18">
      <c r="A19" s="128">
        <v>10</v>
      </c>
      <c r="B19" s="565">
        <v>2.0499999999999998</v>
      </c>
      <c r="C19" s="117" t="s">
        <v>367</v>
      </c>
      <c r="D19" s="28">
        <v>-5</v>
      </c>
      <c r="E19" s="134"/>
      <c r="F19" s="28">
        <f>-+D19/Conv!$G$20</f>
        <v>8.053864244064302</v>
      </c>
      <c r="G19" s="134">
        <f>(+E19*$H$71)/Conv!$G$20</f>
        <v>0</v>
      </c>
      <c r="H19" s="134">
        <f t="shared" si="0"/>
        <v>8.053864244064302</v>
      </c>
      <c r="I19" s="126"/>
      <c r="J19" s="132">
        <f>+Restating!$L$57</f>
        <v>-5</v>
      </c>
      <c r="K19" s="538">
        <f>+Restating!$L$77</f>
        <v>0</v>
      </c>
      <c r="L19" s="140">
        <f>-J19/Conv!$G$20</f>
        <v>8.053864244064302</v>
      </c>
      <c r="M19" s="540">
        <f>+K19*$H$71/Conv!$G$20</f>
        <v>0</v>
      </c>
      <c r="N19" s="133">
        <f t="shared" si="1"/>
        <v>8.053864244064302</v>
      </c>
      <c r="O19" s="136"/>
      <c r="P19" s="134">
        <f t="shared" si="2"/>
        <v>0</v>
      </c>
      <c r="Q19" s="116"/>
      <c r="R19" s="116"/>
    </row>
    <row r="20" spans="1:18">
      <c r="A20" s="128">
        <v>11</v>
      </c>
      <c r="B20" s="565">
        <v>2.06</v>
      </c>
      <c r="C20" s="117" t="s">
        <v>184</v>
      </c>
      <c r="D20" s="28">
        <v>8312</v>
      </c>
      <c r="E20" s="134"/>
      <c r="F20" s="28">
        <f>-+D20/Conv!$G$20</f>
        <v>-13388.743919332495</v>
      </c>
      <c r="G20" s="134">
        <f>(+E20*$H$71)/Conv!$G$20</f>
        <v>0</v>
      </c>
      <c r="H20" s="134">
        <f t="shared" si="0"/>
        <v>-13388.743919332495</v>
      </c>
      <c r="I20" s="126"/>
      <c r="J20" s="134">
        <f>+Restating!$M$57</f>
        <v>8312.2000000000007</v>
      </c>
      <c r="K20" s="538">
        <f>+Restating!$M$77</f>
        <v>0</v>
      </c>
      <c r="L20" s="140">
        <f>-J20/Conv!$G$20</f>
        <v>-13389.066073902259</v>
      </c>
      <c r="M20" s="540">
        <f>+K20*$H$71/Conv!$G$20</f>
        <v>0</v>
      </c>
      <c r="N20" s="133">
        <f t="shared" si="1"/>
        <v>-13389.066073902259</v>
      </c>
      <c r="O20" s="136"/>
      <c r="P20" s="134">
        <f t="shared" si="2"/>
        <v>0</v>
      </c>
      <c r="Q20" s="116"/>
      <c r="R20" s="116"/>
    </row>
    <row r="21" spans="1:18">
      <c r="A21" s="128">
        <v>12</v>
      </c>
      <c r="B21" s="565">
        <v>2.0699999999999998</v>
      </c>
      <c r="C21" s="117" t="s">
        <v>185</v>
      </c>
      <c r="D21" s="28">
        <v>-9</v>
      </c>
      <c r="E21" s="134"/>
      <c r="F21" s="28">
        <f>-+D21/Conv!$G$20</f>
        <v>14.496955639315743</v>
      </c>
      <c r="G21" s="134">
        <f>(+E21*$H$71)/Conv!$G$20</f>
        <v>0</v>
      </c>
      <c r="H21" s="134">
        <f t="shared" si="0"/>
        <v>14.496955639315743</v>
      </c>
      <c r="I21" s="126"/>
      <c r="J21" s="134">
        <f>Restating!N$57</f>
        <v>-9</v>
      </c>
      <c r="K21" s="538">
        <f>+Restating!N77</f>
        <v>0</v>
      </c>
      <c r="L21" s="140">
        <f>-J21/Conv!$G$20</f>
        <v>14.496955639315743</v>
      </c>
      <c r="M21" s="540">
        <f>+K21*$H$71/Conv!$G$20</f>
        <v>0</v>
      </c>
      <c r="N21" s="133">
        <f t="shared" si="1"/>
        <v>14.496955639315743</v>
      </c>
      <c r="O21" s="136"/>
      <c r="P21" s="134">
        <f t="shared" si="2"/>
        <v>0</v>
      </c>
      <c r="Q21" s="116"/>
      <c r="R21" s="116"/>
    </row>
    <row r="22" spans="1:18">
      <c r="A22" s="128">
        <v>13</v>
      </c>
      <c r="B22" s="565">
        <v>2.08</v>
      </c>
      <c r="C22" s="117" t="s">
        <v>368</v>
      </c>
      <c r="D22" s="28">
        <v>1</v>
      </c>
      <c r="E22" s="134"/>
      <c r="F22" s="28">
        <f>-+D22/Conv!$G$20</f>
        <v>-1.6107728488128603</v>
      </c>
      <c r="G22" s="134">
        <f>(+E22*$H$71)/Conv!$G$20</f>
        <v>0</v>
      </c>
      <c r="H22" s="134">
        <f t="shared" si="0"/>
        <v>-1.6107728488128603</v>
      </c>
      <c r="I22" s="126"/>
      <c r="J22" s="134">
        <f>Restating!O$57</f>
        <v>1</v>
      </c>
      <c r="K22" s="538">
        <f>+Restating!O77</f>
        <v>0</v>
      </c>
      <c r="L22" s="140">
        <f>-J22/Conv!$G$20</f>
        <v>-1.6107728488128603</v>
      </c>
      <c r="M22" s="540">
        <f>+K22*$H$71/Conv!$G$20</f>
        <v>0</v>
      </c>
      <c r="N22" s="133">
        <f t="shared" si="1"/>
        <v>-1.6107728488128603</v>
      </c>
      <c r="O22" s="136"/>
      <c r="P22" s="134">
        <f t="shared" si="2"/>
        <v>0</v>
      </c>
      <c r="Q22" s="116"/>
      <c r="R22" s="116"/>
    </row>
    <row r="23" spans="1:18">
      <c r="A23" s="128">
        <v>14</v>
      </c>
      <c r="B23" s="565">
        <v>2.09</v>
      </c>
      <c r="C23" s="117" t="s">
        <v>208</v>
      </c>
      <c r="D23" s="28">
        <v>3</v>
      </c>
      <c r="E23" s="134"/>
      <c r="F23" s="28">
        <f>-+D23/Conv!$G$20</f>
        <v>-4.8323185464385805</v>
      </c>
      <c r="G23" s="134">
        <f>(+E23*$H$71)/Conv!$G$20</f>
        <v>0</v>
      </c>
      <c r="H23" s="134">
        <f t="shared" si="0"/>
        <v>-4.8323185464385805</v>
      </c>
      <c r="I23" s="126"/>
      <c r="J23" s="134">
        <f>+Restating!P$57</f>
        <v>3</v>
      </c>
      <c r="K23" s="538">
        <f>+Restating!P77</f>
        <v>0</v>
      </c>
      <c r="L23" s="140">
        <f>-J23/Conv!$G$20</f>
        <v>-4.8323185464385805</v>
      </c>
      <c r="M23" s="540">
        <f>+K23*$H$71/Conv!$G$20</f>
        <v>0</v>
      </c>
      <c r="N23" s="133">
        <f t="shared" si="1"/>
        <v>-4.8323185464385805</v>
      </c>
      <c r="O23" s="136"/>
      <c r="P23" s="134">
        <f t="shared" si="2"/>
        <v>0</v>
      </c>
      <c r="Q23" s="116"/>
      <c r="R23" s="116"/>
    </row>
    <row r="24" spans="1:18">
      <c r="A24" s="128">
        <v>15</v>
      </c>
      <c r="B24" s="565">
        <v>2.1</v>
      </c>
      <c r="C24" s="117" t="s">
        <v>161</v>
      </c>
      <c r="D24" s="28">
        <v>67</v>
      </c>
      <c r="E24" s="134"/>
      <c r="F24" s="28">
        <f>-+D24/Conv!$G$20</f>
        <v>-107.92178087046165</v>
      </c>
      <c r="G24" s="134">
        <f>(+E24*$H$71)/Conv!$G$20</f>
        <v>0</v>
      </c>
      <c r="H24" s="134">
        <f t="shared" si="0"/>
        <v>-107.92178087046165</v>
      </c>
      <c r="I24" s="126"/>
      <c r="J24" s="134">
        <f>+Restating!Q$57</f>
        <v>67</v>
      </c>
      <c r="K24" s="538">
        <f>+Restating!Q77</f>
        <v>0</v>
      </c>
      <c r="L24" s="140">
        <f>-J24/Conv!$G$20</f>
        <v>-107.92178087046165</v>
      </c>
      <c r="M24" s="540">
        <f>+K24*$H$71/Conv!$G$20</f>
        <v>0</v>
      </c>
      <c r="N24" s="133">
        <f t="shared" si="1"/>
        <v>-107.92178087046165</v>
      </c>
      <c r="O24" s="136"/>
      <c r="P24" s="134">
        <f t="shared" si="2"/>
        <v>0</v>
      </c>
      <c r="Q24" s="116"/>
      <c r="R24" s="116"/>
    </row>
    <row r="25" spans="1:18">
      <c r="A25" s="128">
        <v>16</v>
      </c>
      <c r="B25" s="565">
        <v>2.11</v>
      </c>
      <c r="C25" s="117" t="s">
        <v>369</v>
      </c>
      <c r="D25" s="28">
        <v>52</v>
      </c>
      <c r="E25" s="134"/>
      <c r="F25" s="28">
        <f>-+D25/Conv!$G$20</f>
        <v>-83.760188138268731</v>
      </c>
      <c r="G25" s="134">
        <f>(+E25*$H$71)/Conv!$G$20</f>
        <v>0</v>
      </c>
      <c r="H25" s="134">
        <f t="shared" si="0"/>
        <v>-83.760188138268731</v>
      </c>
      <c r="I25" s="126"/>
      <c r="J25" s="134">
        <f>+Restating!R$57</f>
        <v>52</v>
      </c>
      <c r="K25" s="538">
        <f>+Restating!R77</f>
        <v>0</v>
      </c>
      <c r="L25" s="140">
        <f>-J25/Conv!$G$20</f>
        <v>-83.760188138268731</v>
      </c>
      <c r="M25" s="540">
        <f>+K25*$H$71/Conv!$G$20</f>
        <v>0</v>
      </c>
      <c r="N25" s="133">
        <f t="shared" si="1"/>
        <v>-83.760188138268731</v>
      </c>
      <c r="O25" s="136"/>
      <c r="P25" s="134">
        <f t="shared" si="2"/>
        <v>0</v>
      </c>
      <c r="Q25" s="116"/>
      <c r="R25" s="116"/>
    </row>
    <row r="26" spans="1:18">
      <c r="A26" s="128">
        <v>17</v>
      </c>
      <c r="B26" s="565">
        <v>2.12</v>
      </c>
      <c r="C26" s="117" t="s">
        <v>162</v>
      </c>
      <c r="D26" s="28">
        <v>10116</v>
      </c>
      <c r="E26" s="134"/>
      <c r="F26" s="28">
        <f>-+D26/Conv!$G$20</f>
        <v>-16294.578138590894</v>
      </c>
      <c r="G26" s="134">
        <f>(+E26*$H$71)/Conv!$G$20</f>
        <v>0</v>
      </c>
      <c r="H26" s="134">
        <f t="shared" si="0"/>
        <v>-16294.578138590894</v>
      </c>
      <c r="I26" s="126"/>
      <c r="J26" s="134">
        <f>+Restating!S$57</f>
        <v>10116</v>
      </c>
      <c r="K26" s="538">
        <f>+Restating!S77</f>
        <v>0</v>
      </c>
      <c r="L26" s="140">
        <f>-J26/Conv!$G$20</f>
        <v>-16294.578138590894</v>
      </c>
      <c r="M26" s="540">
        <f>+K26*$H$71/Conv!$G$20</f>
        <v>0</v>
      </c>
      <c r="N26" s="133">
        <f t="shared" si="1"/>
        <v>-16294.578138590894</v>
      </c>
      <c r="O26" s="136"/>
      <c r="P26" s="134">
        <f t="shared" si="2"/>
        <v>0</v>
      </c>
      <c r="Q26" s="116"/>
      <c r="R26" s="116"/>
    </row>
    <row r="27" spans="1:18">
      <c r="A27" s="128">
        <v>18</v>
      </c>
      <c r="B27" s="565">
        <v>2.13</v>
      </c>
      <c r="C27" s="117" t="s">
        <v>226</v>
      </c>
      <c r="D27" s="28">
        <v>59</v>
      </c>
      <c r="E27" s="134"/>
      <c r="F27" s="28">
        <f>-+D27/Conv!$G$20</f>
        <v>-95.03559807995876</v>
      </c>
      <c r="G27" s="134">
        <f>(+E27*$H$71)/Conv!$G$20</f>
        <v>0</v>
      </c>
      <c r="H27" s="134">
        <f t="shared" si="0"/>
        <v>-95.03559807995876</v>
      </c>
      <c r="I27" s="126"/>
      <c r="J27" s="134">
        <f>+Restating!T$57</f>
        <v>192</v>
      </c>
      <c r="K27" s="538">
        <f>+Restating!T77</f>
        <v>0</v>
      </c>
      <c r="L27" s="140">
        <f>-J27/Conv!$G$20</f>
        <v>-309.26838697206915</v>
      </c>
      <c r="M27" s="540">
        <f>+K27*$H$71/Conv!$G$20</f>
        <v>0</v>
      </c>
      <c r="N27" s="133">
        <f t="shared" si="1"/>
        <v>-309.26838697206915</v>
      </c>
      <c r="O27" s="136"/>
      <c r="P27" s="134">
        <f t="shared" si="2"/>
        <v>-214</v>
      </c>
      <c r="Q27" s="116"/>
      <c r="R27" s="116"/>
    </row>
    <row r="28" spans="1:18">
      <c r="A28" s="128">
        <v>19</v>
      </c>
      <c r="B28" s="565">
        <v>2.14</v>
      </c>
      <c r="C28" s="117" t="s">
        <v>370</v>
      </c>
      <c r="D28" s="28">
        <v>554</v>
      </c>
      <c r="E28" s="134"/>
      <c r="F28" s="28">
        <f>-+D28/Conv!$G$20</f>
        <v>-892.36815824232463</v>
      </c>
      <c r="G28" s="134">
        <f>(+E28*$H$71)/Conv!$G$20</f>
        <v>0</v>
      </c>
      <c r="H28" s="134">
        <f t="shared" si="0"/>
        <v>-892.36815824232463</v>
      </c>
      <c r="I28" s="126"/>
      <c r="J28" s="134">
        <f>+Restating!U$57</f>
        <v>831</v>
      </c>
      <c r="K28" s="538">
        <f>+Restating!U77</f>
        <v>0</v>
      </c>
      <c r="L28" s="140">
        <f>-J28/Conv!$G$20</f>
        <v>-1338.5522373634869</v>
      </c>
      <c r="M28" s="540">
        <f>+K28*$H$71/Conv!$G$20</f>
        <v>0</v>
      </c>
      <c r="N28" s="133">
        <f t="shared" si="1"/>
        <v>-1338.5522373634869</v>
      </c>
      <c r="O28" s="136"/>
      <c r="P28" s="134">
        <f t="shared" si="2"/>
        <v>-446</v>
      </c>
      <c r="Q28" s="116"/>
      <c r="R28" s="116"/>
    </row>
    <row r="29" spans="1:18">
      <c r="A29" s="128">
        <v>20</v>
      </c>
      <c r="B29" s="565">
        <v>2.15</v>
      </c>
      <c r="C29" s="117" t="s">
        <v>315</v>
      </c>
      <c r="D29" s="28">
        <v>-487</v>
      </c>
      <c r="E29" s="134">
        <v>0</v>
      </c>
      <c r="F29" s="28">
        <f>-+D29/Conv!$G$20</f>
        <v>784.44637737186292</v>
      </c>
      <c r="G29" s="134">
        <f>(+E29*$H$71)/Conv!$G$20</f>
        <v>0</v>
      </c>
      <c r="H29" s="134">
        <f t="shared" si="0"/>
        <v>784.44637737186292</v>
      </c>
      <c r="I29" s="126"/>
      <c r="J29" s="132">
        <f>+Restating!$V$57</f>
        <v>-158</v>
      </c>
      <c r="K29" s="538">
        <f>+Restating!$V$77</f>
        <v>0</v>
      </c>
      <c r="L29" s="140">
        <f>-J29/Conv!$G$20</f>
        <v>254.50211011243192</v>
      </c>
      <c r="M29" s="540">
        <f>+K29*$H$71/Conv!$G$20</f>
        <v>0</v>
      </c>
      <c r="N29" s="133">
        <f t="shared" si="1"/>
        <v>254.50211011243192</v>
      </c>
      <c r="O29" s="136"/>
      <c r="P29" s="134">
        <f t="shared" si="2"/>
        <v>-530</v>
      </c>
      <c r="Q29" s="116"/>
      <c r="R29" s="116"/>
    </row>
    <row r="30" spans="1:18">
      <c r="A30" s="128">
        <v>21</v>
      </c>
      <c r="B30" s="565">
        <v>2.16</v>
      </c>
      <c r="C30" s="117" t="s">
        <v>371</v>
      </c>
      <c r="D30" s="28">
        <v>-638</v>
      </c>
      <c r="E30" s="134">
        <v>0</v>
      </c>
      <c r="F30" s="28">
        <f>-+D30/Conv!$G$20</f>
        <v>1027.6730775426049</v>
      </c>
      <c r="G30" s="538">
        <f>(+E30*$H$71)/Conv!$G$20</f>
        <v>0</v>
      </c>
      <c r="H30" s="134">
        <f t="shared" si="0"/>
        <v>1027.6730775426049</v>
      </c>
      <c r="I30" s="437"/>
      <c r="J30" s="132">
        <f>+Restating!$W$57</f>
        <v>-709</v>
      </c>
      <c r="K30" s="538">
        <f>+Restating!$W$77</f>
        <v>0</v>
      </c>
      <c r="L30" s="140">
        <f>-J30/Conv!$G$20</f>
        <v>1142.037949808318</v>
      </c>
      <c r="M30" s="540">
        <f>+K30*$H$71/Conv!$G$20</f>
        <v>0</v>
      </c>
      <c r="N30" s="133">
        <f t="shared" si="1"/>
        <v>1142.037949808318</v>
      </c>
      <c r="O30" s="136"/>
      <c r="P30" s="134">
        <f t="shared" si="2"/>
        <v>114</v>
      </c>
      <c r="Q30" s="116"/>
      <c r="R30" s="116"/>
    </row>
    <row r="31" spans="1:18">
      <c r="A31" s="128">
        <v>22</v>
      </c>
      <c r="B31" s="565">
        <v>2.17</v>
      </c>
      <c r="C31" s="123" t="s">
        <v>316</v>
      </c>
      <c r="D31" s="28">
        <v>126</v>
      </c>
      <c r="E31" s="134">
        <v>0</v>
      </c>
      <c r="F31" s="28">
        <f>-+D31/Conv!$G$20</f>
        <v>-202.95737895042041</v>
      </c>
      <c r="G31" s="134">
        <f>(+E31*$H$71)/Conv!$G$20</f>
        <v>0</v>
      </c>
      <c r="H31" s="133">
        <f t="shared" si="0"/>
        <v>-202.95737895042041</v>
      </c>
      <c r="I31" s="126"/>
      <c r="J31" s="132">
        <f>+Restating!$X$57</f>
        <v>559</v>
      </c>
      <c r="K31" s="538">
        <f>+Restating!$X$77</f>
        <v>0</v>
      </c>
      <c r="L31" s="140">
        <f>-J31/Conv!$G$20</f>
        <v>-900.42202248638887</v>
      </c>
      <c r="M31" s="540">
        <f>+K31*$H$71/Conv!$G$20</f>
        <v>0</v>
      </c>
      <c r="N31" s="133">
        <f t="shared" si="1"/>
        <v>-900.42202248638887</v>
      </c>
      <c r="O31" s="136"/>
      <c r="P31" s="134">
        <f t="shared" si="2"/>
        <v>-697</v>
      </c>
      <c r="Q31" s="116"/>
      <c r="R31" s="116"/>
    </row>
    <row r="32" spans="1:18">
      <c r="A32" s="128">
        <v>23</v>
      </c>
      <c r="B32" s="565">
        <v>2.1800000000000002</v>
      </c>
      <c r="C32" s="123" t="s">
        <v>391</v>
      </c>
      <c r="D32" s="28"/>
      <c r="E32" s="134">
        <v>0</v>
      </c>
      <c r="F32" s="28">
        <f>-+D32/Conv!$G$20</f>
        <v>0</v>
      </c>
      <c r="G32" s="134">
        <f>(+E32*$H$71)/Conv!$G$20</f>
        <v>0</v>
      </c>
      <c r="H32" s="134">
        <f>(+F32*$H$71)/Conv!$G$20</f>
        <v>0</v>
      </c>
      <c r="I32" s="106"/>
      <c r="J32" s="132">
        <f>+Restating!Y57</f>
        <v>734</v>
      </c>
      <c r="K32" s="538"/>
      <c r="L32" s="140">
        <f>-J32/Conv!$G$20</f>
        <v>-1182.3072710286394</v>
      </c>
      <c r="M32" s="142">
        <f>+K32*$H$71/Conv!$G$20</f>
        <v>0</v>
      </c>
      <c r="N32" s="133">
        <f t="shared" si="1"/>
        <v>-1182.3072710286394</v>
      </c>
      <c r="O32" s="133"/>
      <c r="P32" s="134">
        <f t="shared" si="2"/>
        <v>-1182</v>
      </c>
      <c r="Q32" s="116"/>
      <c r="R32" s="116"/>
    </row>
    <row r="33" spans="1:18">
      <c r="A33" s="128">
        <v>24</v>
      </c>
      <c r="B33" s="118"/>
      <c r="C33" s="137" t="s">
        <v>372</v>
      </c>
      <c r="D33" s="449">
        <f>SUM(D11:D32)</f>
        <v>18079</v>
      </c>
      <c r="E33" s="449">
        <f>SUM(E11:E32)</f>
        <v>6961</v>
      </c>
      <c r="F33" s="177">
        <f>SUM(F11:F32)</f>
        <v>-29121.162333687698</v>
      </c>
      <c r="G33" s="177">
        <f>SUM(G11:G32)</f>
        <v>925.03865854837147</v>
      </c>
      <c r="H33" s="129">
        <f>SUM(H11:H32)</f>
        <v>-28196.123675139326</v>
      </c>
      <c r="I33" s="106"/>
      <c r="J33" s="138">
        <f>SUM(J11:J32)</f>
        <v>21635.200000000001</v>
      </c>
      <c r="K33" s="449">
        <f>SUM(K11:K32)</f>
        <v>-2984</v>
      </c>
      <c r="L33" s="177">
        <f>SUM(L11:L32)</f>
        <v>-34849.392738635994</v>
      </c>
      <c r="M33" s="177">
        <f>SUM(M11:M32)</f>
        <v>-396.54005992074997</v>
      </c>
      <c r="N33" s="177">
        <f>SUM(N11:N32)</f>
        <v>-35245.932798556751</v>
      </c>
      <c r="O33" s="133"/>
      <c r="P33" s="179">
        <f>SUM(P11:P32)</f>
        <v>-7048</v>
      </c>
      <c r="Q33" s="116"/>
      <c r="R33" s="116"/>
    </row>
    <row r="34" spans="1:18">
      <c r="A34" s="128">
        <v>25</v>
      </c>
      <c r="B34" s="117"/>
      <c r="C34" s="137"/>
      <c r="D34" s="25"/>
      <c r="E34" s="25"/>
      <c r="F34" s="178"/>
      <c r="G34" s="178"/>
      <c r="H34" s="178"/>
      <c r="I34" s="106"/>
      <c r="J34" s="25"/>
      <c r="K34" s="25"/>
      <c r="L34" s="178"/>
      <c r="M34" s="178"/>
      <c r="N34" s="178"/>
      <c r="O34" s="136"/>
      <c r="P34" s="178"/>
      <c r="Q34" s="116"/>
      <c r="R34" s="116"/>
    </row>
    <row r="35" spans="1:18">
      <c r="A35" s="128">
        <v>26</v>
      </c>
      <c r="B35" s="117"/>
      <c r="C35" s="137" t="s">
        <v>373</v>
      </c>
      <c r="D35" s="24">
        <f>+D9+SUM(D11:D31)</f>
        <v>94103</v>
      </c>
      <c r="E35" s="24">
        <f>+E9+SUM(E11:E31)</f>
        <v>1130872</v>
      </c>
      <c r="F35" s="450">
        <f>+F9+SUM(F11:F31)</f>
        <v>-151578.5573918366</v>
      </c>
      <c r="G35" s="450">
        <f>+G9+SUM(G11:G31)</f>
        <v>150280.17782932252</v>
      </c>
      <c r="H35" s="450">
        <f>+H9+SUM(H11:H31)</f>
        <v>-1298.3795625140738</v>
      </c>
      <c r="I35" s="106"/>
      <c r="J35" s="24">
        <f>+J9+SUM(J11:J32)+1</f>
        <v>97660.2</v>
      </c>
      <c r="K35" s="24">
        <f>+K9+SUM(K11:K31)</f>
        <v>1120927</v>
      </c>
      <c r="L35" s="450">
        <f>+L9+SUM(L11:L32)</f>
        <v>-157306.78779678489</v>
      </c>
      <c r="M35" s="450">
        <f>+M9+SUM(M11:M32)</f>
        <v>148958.59911085339</v>
      </c>
      <c r="N35" s="450">
        <f>+N9+SUM(N11:N32)</f>
        <v>-8348.1886859314982</v>
      </c>
      <c r="O35" s="136"/>
      <c r="P35" s="136"/>
      <c r="Q35" s="116"/>
      <c r="R35" s="116"/>
    </row>
    <row r="36" spans="1:18">
      <c r="A36" s="128">
        <v>27</v>
      </c>
      <c r="B36" s="117"/>
      <c r="C36" s="117"/>
      <c r="D36" s="136"/>
      <c r="E36" s="136"/>
      <c r="F36" s="136"/>
      <c r="G36" s="136"/>
      <c r="H36" s="136"/>
      <c r="I36" s="106"/>
      <c r="J36" s="136"/>
      <c r="K36" s="136"/>
      <c r="L36" s="136"/>
      <c r="M36" s="136"/>
      <c r="N36" s="136"/>
      <c r="O36" s="136"/>
      <c r="P36" s="136"/>
      <c r="Q36" s="116"/>
      <c r="R36" s="116"/>
    </row>
    <row r="37" spans="1:18">
      <c r="A37" s="128">
        <v>28</v>
      </c>
      <c r="B37" s="719" t="s">
        <v>189</v>
      </c>
      <c r="C37" s="720"/>
      <c r="D37" s="136"/>
      <c r="E37" s="136"/>
      <c r="F37" s="136"/>
      <c r="G37" s="136"/>
      <c r="H37" s="136"/>
      <c r="I37" s="148"/>
      <c r="J37" s="136"/>
      <c r="K37" s="136"/>
      <c r="L37" s="136"/>
      <c r="M37" s="136"/>
      <c r="N37" s="136"/>
      <c r="O37" s="136"/>
      <c r="P37" s="136"/>
      <c r="Q37" s="116"/>
      <c r="R37" s="116"/>
    </row>
    <row r="38" spans="1:18">
      <c r="A38" s="128">
        <v>29</v>
      </c>
      <c r="B38" s="565">
        <v>3</v>
      </c>
      <c r="C38" s="178" t="s">
        <v>190</v>
      </c>
      <c r="D38" s="451">
        <v>-5238</v>
      </c>
      <c r="E38" s="453">
        <v>0</v>
      </c>
      <c r="F38" s="452">
        <f>-D38/Conv!$G$20</f>
        <v>8437.2281820817625</v>
      </c>
      <c r="G38" s="458">
        <f>(+E38*$H$71)/Conv!$G$20</f>
        <v>0</v>
      </c>
      <c r="H38" s="453">
        <f>+F38+G38</f>
        <v>8437.2281820817625</v>
      </c>
      <c r="I38" s="126"/>
      <c r="J38" s="25">
        <f>+'Pro Forma'!D58</f>
        <v>-1913</v>
      </c>
      <c r="K38" s="449">
        <f>+'Pro Forma'!D77</f>
        <v>0</v>
      </c>
      <c r="L38" s="452">
        <f>-J38/Conv!$G$20</f>
        <v>3081.408459779002</v>
      </c>
      <c r="M38" s="541">
        <f>+K38*$H$71/Conv!$G$20</f>
        <v>0</v>
      </c>
      <c r="N38" s="452">
        <f t="shared" ref="N38:N55" si="3">+L38+M38</f>
        <v>3081.408459779002</v>
      </c>
      <c r="O38" s="135"/>
      <c r="P38" s="452">
        <f>ROUND(+N38-H38,0)</f>
        <v>-5356</v>
      </c>
      <c r="Q38" s="116"/>
      <c r="R38" s="116"/>
    </row>
    <row r="39" spans="1:18">
      <c r="A39" s="128">
        <v>30</v>
      </c>
      <c r="B39" s="565">
        <v>3.01</v>
      </c>
      <c r="C39" s="117" t="s">
        <v>194</v>
      </c>
      <c r="D39" s="135">
        <v>-526</v>
      </c>
      <c r="E39" s="139"/>
      <c r="F39" s="140">
        <f>-D39/Conv!$G$20</f>
        <v>847.26651847556457</v>
      </c>
      <c r="G39" s="446">
        <f>(+E39*$H$71)/Conv!$G$20</f>
        <v>0</v>
      </c>
      <c r="H39" s="139">
        <f t="shared" ref="H39:H54" si="4">+F39+G39</f>
        <v>847.26651847556457</v>
      </c>
      <c r="I39" s="126"/>
      <c r="J39" s="23">
        <f>+'Pro Forma'!E58</f>
        <v>-526</v>
      </c>
      <c r="K39" s="538">
        <f>+'Pro Forma'!E77</f>
        <v>0</v>
      </c>
      <c r="L39" s="140">
        <f>-J39/Conv!$G$20</f>
        <v>847.26651847556457</v>
      </c>
      <c r="M39" s="446">
        <f>+K39*$H$71/Conv!$G$20</f>
        <v>0</v>
      </c>
      <c r="N39" s="140">
        <f t="shared" si="3"/>
        <v>847.26651847556457</v>
      </c>
      <c r="O39" s="135"/>
      <c r="P39" s="452">
        <f>ROUND(+N39-H39,0)</f>
        <v>0</v>
      </c>
      <c r="Q39" s="116"/>
      <c r="R39" s="116"/>
    </row>
    <row r="40" spans="1:18">
      <c r="A40" s="128">
        <v>31</v>
      </c>
      <c r="B40" s="565">
        <v>3.02</v>
      </c>
      <c r="C40" s="117" t="s">
        <v>192</v>
      </c>
      <c r="D40" s="135">
        <v>-1370</v>
      </c>
      <c r="E40" s="139"/>
      <c r="F40" s="140">
        <f>-D40/Conv!$G$20</f>
        <v>2206.7588028736186</v>
      </c>
      <c r="G40" s="446">
        <f>(+E40*$H$71)/Conv!$G$20</f>
        <v>0</v>
      </c>
      <c r="H40" s="139">
        <f t="shared" ref="H40" si="5">+F40+G40</f>
        <v>2206.7588028736186</v>
      </c>
      <c r="I40" s="126"/>
      <c r="J40" s="23">
        <f>+'Pro Forma'!F58</f>
        <v>-974</v>
      </c>
      <c r="K40" s="538">
        <f>+'Pro Forma'!F77</f>
        <v>0</v>
      </c>
      <c r="L40" s="140">
        <f>-J40/Conv!$G$20</f>
        <v>1568.8927547437258</v>
      </c>
      <c r="M40" s="446">
        <f>+K40*$H$71/Conv!$G$20</f>
        <v>0</v>
      </c>
      <c r="N40" s="140">
        <f t="shared" si="3"/>
        <v>1568.8927547437258</v>
      </c>
      <c r="O40" s="135"/>
      <c r="P40" s="140">
        <f t="shared" ref="P40:P55" si="6">ROUND(+N40-H40,0)</f>
        <v>-638</v>
      </c>
      <c r="Q40" s="116"/>
      <c r="R40" s="116"/>
    </row>
    <row r="41" spans="1:18">
      <c r="A41" s="128">
        <v>32</v>
      </c>
      <c r="B41" s="565">
        <v>3.03</v>
      </c>
      <c r="C41" s="117" t="s">
        <v>193</v>
      </c>
      <c r="D41" s="135">
        <v>8</v>
      </c>
      <c r="E41" s="139"/>
      <c r="F41" s="140">
        <f>-D41/Conv!$G$20</f>
        <v>-12.886182790502883</v>
      </c>
      <c r="G41" s="446">
        <f>(+E41*$H$71)/Conv!$G$20</f>
        <v>0</v>
      </c>
      <c r="H41" s="139">
        <f t="shared" si="4"/>
        <v>-12.886182790502883</v>
      </c>
      <c r="I41" s="126"/>
      <c r="J41" s="23">
        <f>+'Pro Forma'!G58</f>
        <v>442</v>
      </c>
      <c r="K41" s="538">
        <f>+'Pro Forma'!G77</f>
        <v>0</v>
      </c>
      <c r="L41" s="140">
        <f>-J41/Conv!$G$20</f>
        <v>-711.96159917528428</v>
      </c>
      <c r="M41" s="446">
        <f>+K41*$H$71/Conv!$G$20</f>
        <v>0</v>
      </c>
      <c r="N41" s="140">
        <f t="shared" si="3"/>
        <v>-711.96159917528428</v>
      </c>
      <c r="O41" s="135"/>
      <c r="P41" s="140">
        <f t="shared" si="6"/>
        <v>-699</v>
      </c>
      <c r="Q41" s="116"/>
      <c r="R41" s="116"/>
    </row>
    <row r="42" spans="1:18">
      <c r="A42" s="128">
        <v>33</v>
      </c>
      <c r="B42" s="565">
        <v>3.04</v>
      </c>
      <c r="C42" s="123" t="s">
        <v>227</v>
      </c>
      <c r="D42" s="135">
        <v>-2144</v>
      </c>
      <c r="E42" s="139"/>
      <c r="F42" s="140">
        <f>-D42/Conv!$G$20</f>
        <v>3453.4969878547727</v>
      </c>
      <c r="G42" s="446">
        <f>(+E42*$H$71)/Conv!$G$20</f>
        <v>0</v>
      </c>
      <c r="H42" s="139">
        <f t="shared" si="4"/>
        <v>3453.4969878547727</v>
      </c>
      <c r="I42" s="126"/>
      <c r="J42" s="23">
        <f>+'Pro Forma'!H58</f>
        <v>-2144</v>
      </c>
      <c r="K42" s="538">
        <f>+'Pro Forma'!G77</f>
        <v>0</v>
      </c>
      <c r="L42" s="140">
        <f>-J42/Conv!$G$20</f>
        <v>3453.4969878547727</v>
      </c>
      <c r="M42" s="446">
        <f>+K42*$H$71/Conv!$G$20</f>
        <v>0</v>
      </c>
      <c r="N42" s="140">
        <f t="shared" si="3"/>
        <v>3453.4969878547727</v>
      </c>
      <c r="O42" s="135"/>
      <c r="P42" s="140">
        <f t="shared" si="6"/>
        <v>0</v>
      </c>
      <c r="Q42" s="116"/>
      <c r="R42" s="116"/>
    </row>
    <row r="43" spans="1:18">
      <c r="A43" s="128">
        <v>34</v>
      </c>
      <c r="B43" s="565">
        <v>3.05</v>
      </c>
      <c r="C43" s="117" t="s">
        <v>223</v>
      </c>
      <c r="D43" s="135">
        <v>66</v>
      </c>
      <c r="E43" s="139"/>
      <c r="F43" s="140">
        <f>-D43/Conv!$G$20</f>
        <v>-106.31100802164877</v>
      </c>
      <c r="G43" s="446">
        <f>(+E43*$H$71)/Conv!$G$20</f>
        <v>0</v>
      </c>
      <c r="H43" s="139">
        <f t="shared" si="4"/>
        <v>-106.31100802164877</v>
      </c>
      <c r="I43" s="126"/>
      <c r="J43" s="23">
        <f>+'Pro Forma'!I58</f>
        <v>66</v>
      </c>
      <c r="K43" s="538">
        <f>+'Pro Forma'!I77</f>
        <v>0</v>
      </c>
      <c r="L43" s="140">
        <f>-J43/Conv!$G$20</f>
        <v>-106.31100802164877</v>
      </c>
      <c r="M43" s="446">
        <f>+K43*$H$71/Conv!$G$20</f>
        <v>0</v>
      </c>
      <c r="N43" s="140">
        <f t="shared" si="3"/>
        <v>-106.31100802164877</v>
      </c>
      <c r="O43" s="135"/>
      <c r="P43" s="140">
        <f t="shared" si="6"/>
        <v>0</v>
      </c>
      <c r="Q43" s="116"/>
      <c r="R43" s="116"/>
    </row>
    <row r="44" spans="1:18">
      <c r="A44" s="128">
        <v>35</v>
      </c>
      <c r="B44" s="565">
        <v>3.06</v>
      </c>
      <c r="C44" s="117" t="s">
        <v>191</v>
      </c>
      <c r="D44" s="135">
        <v>-1303</v>
      </c>
      <c r="E44" s="139"/>
      <c r="F44" s="140">
        <f>-D44/Conv!$G$20</f>
        <v>2098.837022003157</v>
      </c>
      <c r="G44" s="446">
        <f>(+E44*$H$71)/Conv!$G$20</f>
        <v>0</v>
      </c>
      <c r="H44" s="139">
        <f t="shared" si="4"/>
        <v>2098.837022003157</v>
      </c>
      <c r="I44" s="126"/>
      <c r="J44" s="23">
        <f>+'Pro Forma'!J58</f>
        <v>-29</v>
      </c>
      <c r="K44" s="538">
        <f>+'Pro Forma'!J77</f>
        <v>0</v>
      </c>
      <c r="L44" s="140">
        <f>-J44/Conv!$G$20</f>
        <v>46.712412615572951</v>
      </c>
      <c r="M44" s="446">
        <f>+K44*$H$71/Conv!$G$20</f>
        <v>0</v>
      </c>
      <c r="N44" s="140">
        <f t="shared" si="3"/>
        <v>46.712412615572951</v>
      </c>
      <c r="O44" s="135"/>
      <c r="P44" s="140">
        <f t="shared" si="6"/>
        <v>-2052</v>
      </c>
      <c r="Q44" s="116"/>
      <c r="R44" s="116"/>
    </row>
    <row r="45" spans="1:18">
      <c r="A45" s="128">
        <v>36</v>
      </c>
      <c r="B45" s="565">
        <v>3.07</v>
      </c>
      <c r="C45" s="117" t="s">
        <v>374</v>
      </c>
      <c r="D45" s="135">
        <v>-779</v>
      </c>
      <c r="E45" s="139">
        <v>30915</v>
      </c>
      <c r="F45" s="140">
        <f>-D45/Conv!$G$20</f>
        <v>1254.7920492252181</v>
      </c>
      <c r="G45" s="446">
        <f>(+E45*$H$71)/Conv!$G$20</f>
        <v>4108.2560162365908</v>
      </c>
      <c r="H45" s="139">
        <f t="shared" si="4"/>
        <v>5363.0480654618086</v>
      </c>
      <c r="I45" s="126"/>
      <c r="J45" s="23">
        <f>+'Pro Forma'!K58</f>
        <v>0</v>
      </c>
      <c r="K45" s="538">
        <f>+'Pro Forma'!K77</f>
        <v>0</v>
      </c>
      <c r="L45" s="140">
        <f>-J45/Conv!$G$20</f>
        <v>0</v>
      </c>
      <c r="M45" s="446">
        <f>+K45*$H$71/Conv!$G$20</f>
        <v>0</v>
      </c>
      <c r="N45" s="140">
        <f t="shared" si="3"/>
        <v>0</v>
      </c>
      <c r="O45" s="135"/>
      <c r="P45" s="140">
        <f t="shared" si="6"/>
        <v>-5363</v>
      </c>
      <c r="Q45" s="116"/>
      <c r="R45" s="116"/>
    </row>
    <row r="46" spans="1:18">
      <c r="A46" s="128">
        <v>37</v>
      </c>
      <c r="B46" s="565">
        <v>3.08</v>
      </c>
      <c r="C46" s="117" t="s">
        <v>392</v>
      </c>
      <c r="D46" s="135"/>
      <c r="E46" s="139"/>
      <c r="F46" s="140"/>
      <c r="G46" s="446"/>
      <c r="H46" s="139"/>
      <c r="I46" s="126"/>
      <c r="J46" s="23">
        <f>+'Pro Forma'!L58</f>
        <v>-15</v>
      </c>
      <c r="K46" s="538">
        <f>+'Pro Forma'!L77</f>
        <v>5173</v>
      </c>
      <c r="L46" s="140">
        <f>-J46/Conv!$G$20</f>
        <v>24.161592732192904</v>
      </c>
      <c r="M46" s="540">
        <f>+K46*$H$71/Conv!$G$20</f>
        <v>687.43355561998646</v>
      </c>
      <c r="N46" s="140">
        <f t="shared" si="3"/>
        <v>711.59514835217942</v>
      </c>
      <c r="O46" s="135"/>
      <c r="P46" s="140">
        <f t="shared" si="6"/>
        <v>712</v>
      </c>
      <c r="Q46" s="116"/>
      <c r="R46" s="116"/>
    </row>
    <row r="47" spans="1:18">
      <c r="A47" s="128"/>
      <c r="B47" s="565">
        <v>3.09</v>
      </c>
      <c r="C47" s="117" t="s">
        <v>406</v>
      </c>
      <c r="D47" s="135"/>
      <c r="E47" s="139"/>
      <c r="F47" s="140"/>
      <c r="G47" s="446"/>
      <c r="H47" s="139"/>
      <c r="I47" s="126"/>
      <c r="J47" s="23">
        <f>+'Pro Forma'!M58</f>
        <v>-9</v>
      </c>
      <c r="K47" s="538"/>
      <c r="L47" s="140">
        <f>-J47/Conv!$G$20</f>
        <v>14.496955639315743</v>
      </c>
      <c r="M47" s="446"/>
      <c r="N47" s="140">
        <f t="shared" si="3"/>
        <v>14.496955639315743</v>
      </c>
      <c r="O47" s="135"/>
      <c r="P47" s="140">
        <f t="shared" si="6"/>
        <v>14</v>
      </c>
      <c r="Q47" s="116"/>
      <c r="R47" s="116"/>
    </row>
    <row r="48" spans="1:18">
      <c r="A48" s="128">
        <v>38</v>
      </c>
      <c r="B48" s="565">
        <v>4</v>
      </c>
      <c r="C48" s="117" t="s">
        <v>375</v>
      </c>
      <c r="D48" s="135">
        <v>-3968</v>
      </c>
      <c r="E48" s="139">
        <v>63456</v>
      </c>
      <c r="F48" s="140">
        <f>-D48/Conv!$G$20</f>
        <v>6391.5466640894301</v>
      </c>
      <c r="G48" s="446">
        <f>(+E48*$H$71)/Conv!$G$20</f>
        <v>8432.5891562771812</v>
      </c>
      <c r="H48" s="139">
        <f t="shared" si="4"/>
        <v>14824.135820366611</v>
      </c>
      <c r="I48" s="126"/>
      <c r="J48" s="23">
        <f>+'Pro Forma'!N58</f>
        <v>0</v>
      </c>
      <c r="K48" s="538">
        <f>+'Pro Forma'!N77</f>
        <v>0</v>
      </c>
      <c r="L48" s="140">
        <f>-J48/Conv!$G$20</f>
        <v>0</v>
      </c>
      <c r="M48" s="446">
        <f>+K48*$H$71/Conv!$G$20</f>
        <v>0</v>
      </c>
      <c r="N48" s="140">
        <f t="shared" si="3"/>
        <v>0</v>
      </c>
      <c r="O48" s="135"/>
      <c r="P48" s="140">
        <f t="shared" si="6"/>
        <v>-14824</v>
      </c>
      <c r="Q48" s="116"/>
      <c r="R48" s="116"/>
    </row>
    <row r="49" spans="1:19">
      <c r="A49" s="128">
        <v>39</v>
      </c>
      <c r="B49" s="565">
        <v>4.01</v>
      </c>
      <c r="C49" s="117" t="s">
        <v>376</v>
      </c>
      <c r="D49" s="135">
        <v>-1098</v>
      </c>
      <c r="E49" s="139">
        <v>-2618</v>
      </c>
      <c r="F49" s="140">
        <f>-D49/Conv!$G$20</f>
        <v>1768.6285879965205</v>
      </c>
      <c r="G49" s="446">
        <f>(+E49*$H$71)/Conv!$G$20</f>
        <v>-347.90277375084565</v>
      </c>
      <c r="H49" s="139">
        <f>+F49+G49</f>
        <v>1420.7258142456749</v>
      </c>
      <c r="I49" s="126"/>
      <c r="J49" s="23">
        <f>+'Pro Forma'!O58</f>
        <v>0</v>
      </c>
      <c r="K49" s="538">
        <f>+'Pro Forma'!O77</f>
        <v>0</v>
      </c>
      <c r="L49" s="140">
        <f>-J49/Conv!$G$20</f>
        <v>0</v>
      </c>
      <c r="M49" s="446">
        <f>+K49*$H$71/Conv!$G$20</f>
        <v>0</v>
      </c>
      <c r="N49" s="140">
        <f t="shared" si="3"/>
        <v>0</v>
      </c>
      <c r="O49" s="135"/>
      <c r="P49" s="140">
        <f t="shared" si="6"/>
        <v>-1421</v>
      </c>
      <c r="Q49" s="116"/>
      <c r="R49" s="116"/>
    </row>
    <row r="50" spans="1:19">
      <c r="A50" s="128">
        <v>40</v>
      </c>
      <c r="B50" s="565">
        <v>4.0199999999999996</v>
      </c>
      <c r="C50" s="117" t="s">
        <v>363</v>
      </c>
      <c r="D50" s="135">
        <v>-2585</v>
      </c>
      <c r="E50" s="139">
        <v>0</v>
      </c>
      <c r="F50" s="140">
        <f>-D50/Conv!$G$20</f>
        <v>4163.8478141812438</v>
      </c>
      <c r="G50" s="446">
        <f>(+E50*$H$71)/Conv!$G$20</f>
        <v>0</v>
      </c>
      <c r="H50" s="139">
        <f t="shared" si="4"/>
        <v>4163.8478141812438</v>
      </c>
      <c r="I50" s="126"/>
      <c r="J50" s="23">
        <f>+'Pro Forma'!P58</f>
        <v>0</v>
      </c>
      <c r="K50" s="538">
        <f>+'Pro Forma'!P77</f>
        <v>0</v>
      </c>
      <c r="L50" s="140">
        <f>-J50/Conv!$G$20</f>
        <v>0</v>
      </c>
      <c r="M50" s="446">
        <f>+K50*$H$71/Conv!$G$20</f>
        <v>0</v>
      </c>
      <c r="N50" s="140">
        <f t="shared" si="3"/>
        <v>0</v>
      </c>
      <c r="O50" s="135"/>
      <c r="P50" s="140">
        <f t="shared" si="6"/>
        <v>-4164</v>
      </c>
      <c r="Q50" s="116"/>
      <c r="R50" s="116"/>
    </row>
    <row r="51" spans="1:19">
      <c r="A51" s="128">
        <v>41</v>
      </c>
      <c r="B51" s="565">
        <v>4.03</v>
      </c>
      <c r="C51" s="117" t="s">
        <v>122</v>
      </c>
      <c r="D51" s="135">
        <v>-65</v>
      </c>
      <c r="E51" s="140"/>
      <c r="F51" s="140">
        <f>-D51/Conv!$G$20</f>
        <v>104.70023517283592</v>
      </c>
      <c r="G51" s="142"/>
      <c r="H51" s="139">
        <f t="shared" si="4"/>
        <v>104.70023517283592</v>
      </c>
      <c r="I51" s="126"/>
      <c r="J51" s="23">
        <f>+'Pro Forma'!Q58</f>
        <v>0</v>
      </c>
      <c r="K51" s="134"/>
      <c r="L51" s="140">
        <f>-J51/Conv!$G$20</f>
        <v>0</v>
      </c>
      <c r="M51" s="142">
        <f>+K51*$H$71/Conv!$G$20</f>
        <v>0</v>
      </c>
      <c r="N51" s="140">
        <f t="shared" si="3"/>
        <v>0</v>
      </c>
      <c r="O51" s="135"/>
      <c r="P51" s="140">
        <f t="shared" si="6"/>
        <v>-105</v>
      </c>
      <c r="Q51" s="116"/>
      <c r="R51" s="116"/>
    </row>
    <row r="52" spans="1:19">
      <c r="A52" s="128">
        <v>42</v>
      </c>
      <c r="B52" s="565">
        <v>4.04</v>
      </c>
      <c r="C52" s="117" t="s">
        <v>377</v>
      </c>
      <c r="D52" s="562">
        <v>-2255</v>
      </c>
      <c r="E52" s="140"/>
      <c r="F52" s="140">
        <f>-D52/Conv!$G$20</f>
        <v>3632.2927740730001</v>
      </c>
      <c r="G52" s="135"/>
      <c r="H52" s="139">
        <f t="shared" si="4"/>
        <v>3632.2927740730001</v>
      </c>
      <c r="I52" s="143"/>
      <c r="J52" s="134">
        <f>+'Pro Forma'!R59</f>
        <v>0</v>
      </c>
      <c r="K52" s="134"/>
      <c r="L52" s="135">
        <f>-J52/Conv!$G$20</f>
        <v>0</v>
      </c>
      <c r="M52" s="143">
        <f>+K52*$H$71/Conv!$G$20</f>
        <v>0</v>
      </c>
      <c r="N52" s="140">
        <f t="shared" si="3"/>
        <v>0</v>
      </c>
      <c r="O52" s="446"/>
      <c r="P52" s="140">
        <f t="shared" si="6"/>
        <v>-3632</v>
      </c>
      <c r="Q52" s="116"/>
      <c r="R52" s="116"/>
    </row>
    <row r="53" spans="1:19">
      <c r="A53" s="128">
        <v>43</v>
      </c>
      <c r="B53" s="565">
        <v>4.05</v>
      </c>
      <c r="C53" s="117" t="s">
        <v>378</v>
      </c>
      <c r="D53" s="562">
        <v>1944</v>
      </c>
      <c r="E53" s="140"/>
      <c r="F53" s="140">
        <f>-D53/Conv!$G$20</f>
        <v>-3131.3424180922007</v>
      </c>
      <c r="G53" s="135"/>
      <c r="H53" s="139">
        <f t="shared" si="4"/>
        <v>-3131.3424180922007</v>
      </c>
      <c r="I53" s="143"/>
      <c r="J53" s="134">
        <f>+'Pro Forma'!S58</f>
        <v>1339</v>
      </c>
      <c r="K53" s="134"/>
      <c r="L53" s="135">
        <f>-J53/Conv!$G$20</f>
        <v>-2156.8248445604199</v>
      </c>
      <c r="M53" s="143">
        <f>+K53*$H$71/Conv!$G$20</f>
        <v>0</v>
      </c>
      <c r="N53" s="140">
        <f t="shared" si="3"/>
        <v>-2156.8248445604199</v>
      </c>
      <c r="O53" s="446"/>
      <c r="P53" s="140">
        <f t="shared" si="6"/>
        <v>975</v>
      </c>
      <c r="Q53" s="116"/>
      <c r="R53" s="116"/>
    </row>
    <row r="54" spans="1:19">
      <c r="A54" s="128">
        <v>44</v>
      </c>
      <c r="B54" s="565">
        <v>4.0599999999999996</v>
      </c>
      <c r="C54" s="117" t="s">
        <v>379</v>
      </c>
      <c r="D54" s="562">
        <v>634</v>
      </c>
      <c r="E54" s="140"/>
      <c r="F54" s="140">
        <f>-D54/Conv!$G$20</f>
        <v>-1021.2299861473534</v>
      </c>
      <c r="G54" s="135"/>
      <c r="H54" s="139">
        <f t="shared" si="4"/>
        <v>-1021.2299861473534</v>
      </c>
      <c r="I54" s="143"/>
      <c r="J54" s="134">
        <f>+'Pro Forma'!T58</f>
        <v>0</v>
      </c>
      <c r="K54" s="134"/>
      <c r="L54" s="135">
        <f>-J54/Conv!$G$20</f>
        <v>0</v>
      </c>
      <c r="M54" s="143">
        <f>+K54*$H$71/Conv!$G$20</f>
        <v>0</v>
      </c>
      <c r="N54" s="140">
        <f t="shared" si="3"/>
        <v>0</v>
      </c>
      <c r="O54" s="446"/>
      <c r="P54" s="140">
        <f t="shared" si="6"/>
        <v>1021</v>
      </c>
      <c r="Q54" s="116"/>
      <c r="R54" s="116"/>
    </row>
    <row r="55" spans="1:19">
      <c r="A55" s="128">
        <v>45</v>
      </c>
      <c r="B55" s="555"/>
      <c r="C55" s="117"/>
      <c r="D55" s="561"/>
      <c r="E55" s="140"/>
      <c r="F55" s="141"/>
      <c r="G55" s="181"/>
      <c r="H55" s="142"/>
      <c r="I55" s="143"/>
      <c r="J55" s="23"/>
      <c r="K55" s="182"/>
      <c r="L55" s="616">
        <f>-J55/Conv!$G$20</f>
        <v>0</v>
      </c>
      <c r="M55" s="180">
        <f>+K55*$H$71/Conv!$G$20</f>
        <v>0</v>
      </c>
      <c r="N55" s="140">
        <f t="shared" si="3"/>
        <v>0</v>
      </c>
      <c r="O55" s="446"/>
      <c r="P55" s="140">
        <f t="shared" si="6"/>
        <v>0</v>
      </c>
      <c r="Q55" s="116"/>
      <c r="R55" s="116"/>
    </row>
    <row r="56" spans="1:19">
      <c r="A56" s="128">
        <v>46</v>
      </c>
      <c r="B56" s="117"/>
      <c r="C56" s="137" t="s">
        <v>372</v>
      </c>
      <c r="D56" s="144">
        <f>SUM(D38:D54)</f>
        <v>-18679</v>
      </c>
      <c r="E56" s="144">
        <f>SUM(E38:E54)</f>
        <v>91753</v>
      </c>
      <c r="F56" s="144">
        <f>SUM(F38:F54)</f>
        <v>30087.626042975422</v>
      </c>
      <c r="G56" s="144">
        <f>SUM(G38:G54)</f>
        <v>12192.942398762925</v>
      </c>
      <c r="H56" s="144">
        <f>SUM(H38:H54)</f>
        <v>42280.568441738353</v>
      </c>
      <c r="I56" s="126"/>
      <c r="J56" s="144">
        <f>SUM(J38:J55)+3</f>
        <v>-3760</v>
      </c>
      <c r="K56" s="144">
        <f>SUM(K38:K55)</f>
        <v>5173</v>
      </c>
      <c r="L56" s="615">
        <f>SUM(L38:L55)</f>
        <v>6061.3382300827943</v>
      </c>
      <c r="M56" s="615">
        <f>SUM(M38:M55)</f>
        <v>687.43355561998646</v>
      </c>
      <c r="N56" s="145">
        <f>SUM(N38:N55)</f>
        <v>6748.7717857027801</v>
      </c>
      <c r="P56" s="145">
        <f>SUM(P38:P55)</f>
        <v>-35532</v>
      </c>
      <c r="Q56" s="116"/>
      <c r="R56" s="116"/>
    </row>
    <row r="57" spans="1:19" s="136" customFormat="1">
      <c r="A57" s="128">
        <v>47</v>
      </c>
      <c r="B57" s="146"/>
      <c r="C57" s="147"/>
      <c r="D57" s="121"/>
      <c r="E57" s="121"/>
      <c r="F57" s="130"/>
      <c r="G57" s="130"/>
      <c r="H57" s="130"/>
      <c r="I57" s="148"/>
      <c r="J57" s="121"/>
      <c r="K57" s="121"/>
      <c r="L57" s="130"/>
      <c r="M57" s="130"/>
      <c r="N57" s="130"/>
      <c r="O57" s="130"/>
      <c r="P57" s="130"/>
      <c r="Q57" s="116"/>
      <c r="R57" s="116"/>
      <c r="S57" s="117"/>
    </row>
    <row r="58" spans="1:19">
      <c r="A58" s="128">
        <v>48</v>
      </c>
      <c r="B58" s="117"/>
      <c r="C58" s="117" t="s">
        <v>380</v>
      </c>
      <c r="D58" s="450">
        <f>+D35+D56</f>
        <v>75424</v>
      </c>
      <c r="E58" s="24">
        <f>+E35+E56</f>
        <v>1222625</v>
      </c>
      <c r="F58" s="450">
        <f>+F56+F35</f>
        <v>-121490.93134886118</v>
      </c>
      <c r="G58" s="450">
        <f>+G56+G35</f>
        <v>162473.12022808543</v>
      </c>
      <c r="H58" s="569">
        <f>+H56+H35</f>
        <v>40982.188879224283</v>
      </c>
      <c r="I58" s="148"/>
      <c r="J58" s="450">
        <f>+J35+J56</f>
        <v>93900.2</v>
      </c>
      <c r="K58" s="450">
        <f>+K35+K56</f>
        <v>1126100</v>
      </c>
      <c r="L58" s="450">
        <f>+L56+L35</f>
        <v>-151245.4495667021</v>
      </c>
      <c r="M58" s="450">
        <f>+M56+M35</f>
        <v>149646.03266647339</v>
      </c>
      <c r="N58" s="450">
        <f>+N56+N35</f>
        <v>-1599.4169002287181</v>
      </c>
      <c r="O58" s="136"/>
      <c r="P58" s="450">
        <f>+P56+P33</f>
        <v>-42580</v>
      </c>
      <c r="Q58" s="116"/>
      <c r="R58" s="116"/>
    </row>
    <row r="59" spans="1:19">
      <c r="A59" s="128">
        <v>49</v>
      </c>
      <c r="H59" s="117"/>
      <c r="I59" s="148"/>
      <c r="J59" s="563" t="s">
        <v>284</v>
      </c>
      <c r="K59" s="563"/>
      <c r="L59" s="148"/>
      <c r="M59" s="148"/>
      <c r="N59" s="175">
        <f>-N58+'RR Calculation'!G22</f>
        <v>-18778.792564672534</v>
      </c>
      <c r="O59" s="135"/>
      <c r="P59" s="174">
        <f>+N59</f>
        <v>-18778.792564672534</v>
      </c>
      <c r="Q59" s="123" t="s">
        <v>181</v>
      </c>
      <c r="R59" s="116"/>
    </row>
    <row r="60" spans="1:19">
      <c r="A60" s="128">
        <v>50</v>
      </c>
      <c r="H60" s="137"/>
      <c r="I60" s="149"/>
      <c r="J60" s="731" t="s">
        <v>283</v>
      </c>
      <c r="K60" s="731"/>
      <c r="L60" s="149"/>
      <c r="M60" s="150" t="s">
        <v>33</v>
      </c>
      <c r="N60" s="455">
        <f>+N58+N59</f>
        <v>-20378.209464901251</v>
      </c>
      <c r="O60" s="447"/>
      <c r="P60" s="618">
        <f>+P58+P59</f>
        <v>-61358.792564672534</v>
      </c>
      <c r="Q60" s="617">
        <f>+N60-H58</f>
        <v>-61360.398344125533</v>
      </c>
      <c r="R60" s="116"/>
    </row>
    <row r="61" spans="1:19" ht="13.5" thickBot="1">
      <c r="A61" s="128">
        <v>51</v>
      </c>
      <c r="H61" s="137"/>
      <c r="I61" s="149"/>
      <c r="J61" s="407"/>
      <c r="K61" s="407"/>
      <c r="L61" s="150"/>
      <c r="N61" s="447"/>
      <c r="O61" s="447"/>
      <c r="P61" s="447"/>
      <c r="Q61" s="116"/>
      <c r="R61" s="116"/>
    </row>
    <row r="62" spans="1:19" ht="16.5" thickBot="1">
      <c r="A62" s="128">
        <v>52</v>
      </c>
      <c r="I62" s="151"/>
      <c r="N62" s="459">
        <f>ROO!K9</f>
        <v>4.4857764321739116E-2</v>
      </c>
      <c r="O62" s="460"/>
      <c r="P62" s="461" t="s">
        <v>404</v>
      </c>
      <c r="Q62" s="116"/>
      <c r="R62" s="116"/>
    </row>
    <row r="63" spans="1:19">
      <c r="A63" s="128">
        <v>53</v>
      </c>
      <c r="I63" s="151"/>
      <c r="N63" s="166"/>
      <c r="O63" s="151"/>
      <c r="Q63" s="116"/>
      <c r="R63" s="116"/>
    </row>
    <row r="64" spans="1:19">
      <c r="A64" s="128">
        <v>54</v>
      </c>
      <c r="C64" s="152"/>
      <c r="E64" s="153" t="s">
        <v>201</v>
      </c>
      <c r="F64" s="153"/>
      <c r="G64" s="153"/>
      <c r="H64" s="153"/>
      <c r="O64" s="154" t="s">
        <v>202</v>
      </c>
      <c r="Q64" s="116"/>
      <c r="R64" s="116"/>
    </row>
    <row r="65" spans="1:18">
      <c r="A65" s="128">
        <v>55</v>
      </c>
      <c r="C65" s="117"/>
      <c r="H65" s="155"/>
      <c r="O65" s="123"/>
      <c r="Q65" s="116"/>
      <c r="R65" s="116"/>
    </row>
    <row r="66" spans="1:18">
      <c r="A66" s="128">
        <v>56</v>
      </c>
      <c r="C66" s="157"/>
      <c r="D66" s="158" t="s">
        <v>35</v>
      </c>
      <c r="E66" s="159"/>
      <c r="H66" s="158" t="s">
        <v>27</v>
      </c>
      <c r="M66" s="158" t="s">
        <v>35</v>
      </c>
      <c r="O66" s="159"/>
      <c r="P66" s="158" t="s">
        <v>27</v>
      </c>
      <c r="Q66" s="116"/>
      <c r="R66" s="116"/>
    </row>
    <row r="67" spans="1:18">
      <c r="A67" s="128">
        <v>57</v>
      </c>
      <c r="C67" s="117"/>
      <c r="D67" s="160" t="s">
        <v>138</v>
      </c>
      <c r="E67" s="160" t="s">
        <v>28</v>
      </c>
      <c r="H67" s="160" t="s">
        <v>28</v>
      </c>
      <c r="M67" s="160" t="s">
        <v>138</v>
      </c>
      <c r="N67" s="160" t="s">
        <v>28</v>
      </c>
      <c r="P67" s="160" t="s">
        <v>28</v>
      </c>
      <c r="Q67" s="116"/>
      <c r="R67" s="116"/>
    </row>
    <row r="68" spans="1:18">
      <c r="A68" s="128">
        <v>58</v>
      </c>
      <c r="C68" s="161" t="s">
        <v>97</v>
      </c>
      <c r="D68" s="162">
        <v>0.51600000000000001</v>
      </c>
      <c r="E68" s="163">
        <v>5.7599999999999998E-2</v>
      </c>
      <c r="H68" s="155">
        <f>ROUND(+D68*E68,4)</f>
        <v>2.9700000000000001E-2</v>
      </c>
      <c r="M68" s="164">
        <f>+' Capital '!F13</f>
        <v>0.54</v>
      </c>
      <c r="N68" s="163">
        <f>+' Capital '!H13</f>
        <v>5.7000000000000002E-2</v>
      </c>
      <c r="P68" s="164">
        <f>ROUND(+M68*N68,4)</f>
        <v>3.0800000000000001E-2</v>
      </c>
      <c r="Q68" s="116"/>
      <c r="R68" s="165"/>
    </row>
    <row r="69" spans="1:18">
      <c r="A69" s="128">
        <v>59</v>
      </c>
      <c r="C69" s="161" t="s">
        <v>142</v>
      </c>
      <c r="D69" s="166"/>
      <c r="E69" s="163"/>
      <c r="H69" s="155">
        <f>+D69*E69</f>
        <v>0</v>
      </c>
      <c r="M69" s="164">
        <f>+' Capital '!F14</f>
        <v>0</v>
      </c>
      <c r="N69" s="163">
        <f>+' Capital '!H14</f>
        <v>0</v>
      </c>
      <c r="P69" s="162">
        <f>+M69*N69</f>
        <v>0</v>
      </c>
      <c r="Q69" s="116"/>
      <c r="R69" s="116"/>
    </row>
    <row r="70" spans="1:18">
      <c r="A70" s="128">
        <v>60</v>
      </c>
      <c r="C70" s="161" t="s">
        <v>143</v>
      </c>
      <c r="D70" s="156">
        <v>0.48399999999999999</v>
      </c>
      <c r="E70" s="163">
        <v>0.109</v>
      </c>
      <c r="H70" s="155">
        <f>+D70*E70</f>
        <v>5.2755999999999997E-2</v>
      </c>
      <c r="J70" s="314"/>
      <c r="M70" s="431">
        <f>+' Capital '!F15</f>
        <v>0.45999999999999996</v>
      </c>
      <c r="N70" s="288">
        <f>+' Capital '!H15</f>
        <v>0.09</v>
      </c>
      <c r="P70" s="162">
        <f>+M70*N70</f>
        <v>4.1399999999999992E-2</v>
      </c>
      <c r="Q70" s="116"/>
      <c r="R70" s="85"/>
    </row>
    <row r="71" spans="1:18">
      <c r="A71" s="128">
        <v>61</v>
      </c>
      <c r="C71" s="167" t="s">
        <v>31</v>
      </c>
      <c r="D71" s="168">
        <f>+D68+D70</f>
        <v>1</v>
      </c>
      <c r="E71" s="159"/>
      <c r="H71" s="169">
        <f>ROUND(SUM(H68:H70),4)</f>
        <v>8.2500000000000004E-2</v>
      </c>
      <c r="M71" s="432">
        <f>SUM(M68:M70)</f>
        <v>1</v>
      </c>
      <c r="N71" s="117"/>
      <c r="O71" s="117"/>
      <c r="P71" s="433">
        <f>ROUND(SUM(P68:P70),4)</f>
        <v>7.22E-2</v>
      </c>
      <c r="Q71" s="116"/>
      <c r="R71" s="85"/>
    </row>
    <row r="72" spans="1:18">
      <c r="A72" s="128">
        <v>62</v>
      </c>
      <c r="C72" s="167"/>
      <c r="D72" s="170"/>
      <c r="E72" s="159"/>
      <c r="H72" s="171"/>
      <c r="K72" s="170"/>
      <c r="N72" s="159"/>
      <c r="O72" s="290"/>
      <c r="P72" s="171"/>
      <c r="Q72" s="116"/>
      <c r="R72" s="85"/>
    </row>
    <row r="73" spans="1:18">
      <c r="A73" s="128">
        <v>63</v>
      </c>
      <c r="B73" s="724" t="s">
        <v>228</v>
      </c>
      <c r="C73" s="725"/>
      <c r="D73" s="725"/>
      <c r="E73" s="725"/>
      <c r="F73" s="725"/>
      <c r="G73" s="725"/>
      <c r="H73" s="725"/>
      <c r="K73" s="170"/>
      <c r="N73" s="159"/>
      <c r="O73" s="290"/>
      <c r="P73" s="171"/>
      <c r="Q73" s="116"/>
      <c r="R73" s="85"/>
    </row>
    <row r="74" spans="1:18">
      <c r="A74" s="128">
        <v>64</v>
      </c>
      <c r="B74" s="724" t="s">
        <v>209</v>
      </c>
      <c r="C74" s="725"/>
      <c r="D74" s="725"/>
      <c r="E74" s="725"/>
      <c r="F74" s="725"/>
      <c r="G74" s="725"/>
      <c r="H74" s="725"/>
      <c r="L74" s="130"/>
      <c r="Q74" s="116"/>
      <c r="R74" s="116"/>
    </row>
    <row r="75" spans="1:18">
      <c r="A75" s="117"/>
      <c r="B75" s="117"/>
      <c r="C75" s="117"/>
      <c r="D75" s="117"/>
      <c r="E75" s="117"/>
      <c r="F75" s="117"/>
      <c r="G75" s="117"/>
      <c r="H75" s="136"/>
      <c r="I75" s="117"/>
      <c r="J75" s="117"/>
      <c r="K75" s="117"/>
      <c r="L75" s="117"/>
      <c r="M75" s="117"/>
      <c r="N75" s="117"/>
      <c r="O75" s="136"/>
      <c r="P75" s="117"/>
      <c r="Q75" s="116"/>
      <c r="R75" s="116"/>
    </row>
    <row r="76" spans="1:18" ht="15.75">
      <c r="A76" s="117"/>
      <c r="B76" s="117"/>
      <c r="C76" s="388" t="s">
        <v>235</v>
      </c>
      <c r="D76" s="117"/>
      <c r="E76" s="117"/>
      <c r="F76" s="117"/>
      <c r="G76" s="117"/>
      <c r="H76" s="136"/>
      <c r="I76" s="117"/>
      <c r="J76" s="117"/>
      <c r="K76" s="117"/>
      <c r="L76" s="117"/>
      <c r="M76" s="117"/>
      <c r="N76" s="117"/>
      <c r="O76" s="136"/>
      <c r="P76" s="117"/>
      <c r="Q76" s="116"/>
      <c r="R76" s="116"/>
    </row>
    <row r="77" spans="1:18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72"/>
      <c r="P77" s="116"/>
      <c r="Q77" s="116"/>
      <c r="R77" s="116"/>
    </row>
    <row r="78" spans="1:18" ht="15.75" customHeight="1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542"/>
      <c r="P78" s="718" t="s">
        <v>197</v>
      </c>
      <c r="Q78" s="718"/>
      <c r="R78" s="116"/>
    </row>
    <row r="79" spans="1:18" ht="15.75" customHeight="1">
      <c r="A79" s="116"/>
      <c r="B79" s="116"/>
      <c r="C79" s="116"/>
      <c r="D79" s="116"/>
      <c r="E79" s="116"/>
      <c r="F79" s="116"/>
      <c r="G79" s="116"/>
      <c r="H79" s="172"/>
      <c r="I79" s="116"/>
      <c r="J79" s="116"/>
      <c r="K79" s="116"/>
      <c r="L79" s="116"/>
      <c r="M79" s="116"/>
      <c r="N79" s="716" t="s">
        <v>203</v>
      </c>
      <c r="O79" s="716"/>
      <c r="P79" s="716"/>
      <c r="Q79" s="494">
        <f>+P71</f>
        <v>7.22E-2</v>
      </c>
      <c r="R79" s="116"/>
    </row>
    <row r="80" spans="1:18" ht="15.75" customHeight="1">
      <c r="A80" s="116"/>
      <c r="B80" s="116"/>
      <c r="C80" s="116"/>
      <c r="D80" s="116"/>
      <c r="E80" s="116"/>
      <c r="F80" s="116"/>
      <c r="G80" s="116"/>
      <c r="H80" s="172"/>
      <c r="I80" s="116"/>
      <c r="J80" s="116"/>
      <c r="K80" s="116"/>
      <c r="L80" s="116"/>
      <c r="M80" s="116"/>
      <c r="N80" s="716" t="s">
        <v>204</v>
      </c>
      <c r="O80" s="716"/>
      <c r="P80" s="716"/>
      <c r="Q80" s="495">
        <f>+H71</f>
        <v>8.2500000000000004E-2</v>
      </c>
      <c r="R80" s="116"/>
    </row>
    <row r="81" spans="1:18" ht="15.75" customHeight="1">
      <c r="A81" s="116"/>
      <c r="B81" s="116"/>
      <c r="C81" s="116"/>
      <c r="D81" s="116"/>
      <c r="E81" s="116"/>
      <c r="F81" s="116"/>
      <c r="G81" s="116"/>
      <c r="H81" s="172"/>
      <c r="I81" s="116"/>
      <c r="J81" s="116"/>
      <c r="K81" s="116"/>
      <c r="L81" s="116"/>
      <c r="M81" s="116"/>
      <c r="N81" s="716" t="s">
        <v>205</v>
      </c>
      <c r="O81" s="716"/>
      <c r="P81" s="716"/>
      <c r="Q81" s="496">
        <f>+Q79-Q80</f>
        <v>-1.0300000000000004E-2</v>
      </c>
      <c r="R81" s="116"/>
    </row>
    <row r="82" spans="1:18" ht="15.75" customHeight="1">
      <c r="A82" s="116"/>
      <c r="B82" s="116"/>
      <c r="C82" s="116"/>
      <c r="D82" s="116"/>
      <c r="E82" s="116"/>
      <c r="F82" s="116"/>
      <c r="G82" s="116"/>
      <c r="H82" s="172"/>
      <c r="I82" s="116"/>
      <c r="J82" s="116"/>
      <c r="K82" s="116"/>
      <c r="L82" s="116"/>
      <c r="M82" s="116"/>
      <c r="N82" s="717" t="s">
        <v>206</v>
      </c>
      <c r="O82" s="717"/>
      <c r="P82" s="717"/>
      <c r="Q82" s="497">
        <f>+K58</f>
        <v>1126100</v>
      </c>
      <c r="R82" s="116"/>
    </row>
    <row r="83" spans="1:18" ht="15.75" customHeight="1">
      <c r="A83" s="116"/>
      <c r="B83" s="116"/>
      <c r="C83" s="116"/>
      <c r="D83" s="116"/>
      <c r="E83" s="116"/>
      <c r="F83" s="116"/>
      <c r="G83" s="116"/>
      <c r="H83" s="172"/>
      <c r="I83" s="116"/>
      <c r="J83" s="116"/>
      <c r="K83" s="116"/>
      <c r="L83" s="116"/>
      <c r="M83" s="116"/>
      <c r="N83" s="717" t="s">
        <v>200</v>
      </c>
      <c r="O83" s="717"/>
      <c r="P83" s="717"/>
      <c r="Q83" s="116">
        <f>+Q81*Q82</f>
        <v>-11598.830000000004</v>
      </c>
      <c r="R83" s="116"/>
    </row>
    <row r="84" spans="1:18" ht="15.75" customHeight="1">
      <c r="A84" s="116"/>
      <c r="B84" s="116"/>
      <c r="C84" s="116"/>
      <c r="D84" s="116"/>
      <c r="E84" s="116"/>
      <c r="F84" s="116"/>
      <c r="G84" s="116"/>
      <c r="H84" s="172"/>
      <c r="I84" s="116"/>
      <c r="J84" s="116"/>
      <c r="K84" s="116"/>
      <c r="L84" s="116"/>
      <c r="M84" s="116"/>
      <c r="N84" s="717" t="s">
        <v>32</v>
      </c>
      <c r="O84" s="717"/>
      <c r="P84" s="717"/>
      <c r="Q84" s="494">
        <f>+Conv!G20</f>
        <v>0.62082000000000004</v>
      </c>
      <c r="R84" s="116"/>
    </row>
    <row r="85" spans="1:18" ht="16.5" customHeight="1" thickBot="1">
      <c r="A85" s="116"/>
      <c r="B85" s="116"/>
      <c r="C85" s="116"/>
      <c r="D85" s="116"/>
      <c r="E85" s="116"/>
      <c r="F85" s="116"/>
      <c r="G85" s="116"/>
      <c r="H85" s="172"/>
      <c r="I85" s="116"/>
      <c r="J85" s="116"/>
      <c r="K85" s="116"/>
      <c r="L85" s="116"/>
      <c r="M85" s="116"/>
      <c r="N85" s="717" t="s">
        <v>196</v>
      </c>
      <c r="O85" s="717"/>
      <c r="P85" s="717"/>
      <c r="Q85" s="498">
        <f>+Q83/Q84</f>
        <v>-18683.080441996073</v>
      </c>
      <c r="R85" s="116"/>
    </row>
    <row r="86" spans="1:18" ht="13.5" thickTop="1">
      <c r="A86" s="116"/>
      <c r="B86" s="116"/>
      <c r="C86" s="116"/>
      <c r="D86" s="116"/>
      <c r="E86" s="116"/>
      <c r="F86" s="116"/>
      <c r="G86" s="116"/>
      <c r="H86" s="172"/>
      <c r="I86" s="116"/>
      <c r="J86" s="116"/>
      <c r="K86" s="116"/>
      <c r="L86" s="116"/>
      <c r="M86" s="116"/>
      <c r="N86" s="116"/>
      <c r="O86" s="172"/>
      <c r="P86" s="116"/>
      <c r="Q86" s="116"/>
      <c r="R86" s="116"/>
    </row>
  </sheetData>
  <mergeCells count="22">
    <mergeCell ref="D7:H7"/>
    <mergeCell ref="B73:H73"/>
    <mergeCell ref="B74:H74"/>
    <mergeCell ref="L4:M4"/>
    <mergeCell ref="B1:C1"/>
    <mergeCell ref="F4:G4"/>
    <mergeCell ref="B8:C8"/>
    <mergeCell ref="J7:N7"/>
    <mergeCell ref="J6:K6"/>
    <mergeCell ref="J60:K60"/>
    <mergeCell ref="N84:P84"/>
    <mergeCell ref="N85:P85"/>
    <mergeCell ref="P78:Q78"/>
    <mergeCell ref="B37:C37"/>
    <mergeCell ref="B10:C10"/>
    <mergeCell ref="N79:P79"/>
    <mergeCell ref="N80:P80"/>
    <mergeCell ref="P8:Q8"/>
    <mergeCell ref="N8:O8"/>
    <mergeCell ref="N81:P81"/>
    <mergeCell ref="N82:P82"/>
    <mergeCell ref="N83:P83"/>
  </mergeCells>
  <phoneticPr fontId="11" type="noConversion"/>
  <printOptions horizontalCentered="1"/>
  <pageMargins left="0.5" right="0.5" top="1.2" bottom="0.3" header="0.5" footer="0.5"/>
  <pageSetup scale="50" fitToHeight="0" orientation="landscape" r:id="rId1"/>
  <headerFooter scaleWithDoc="0" alignWithMargins="0">
    <oddHeader>&amp;L&amp;"Arial,Regular"&amp;10Avista Corporation
Electric - Summary of Adjustments (Schedule 1.4)
Twelve Months Ended December 31, 2011(AMA)&amp;R&amp;"Arial,Regular"&amp;10Exhibit No. ___ (JH-2)
Dockets UE-120436 &amp;&amp; UG-120437
Page &amp;P+7 of  11</oddHeader>
  </headerFooter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5" zoomScaleNormal="75" workbookViewId="0">
      <pane xSplit="2" ySplit="12" topLeftCell="C13" activePane="bottomRight" state="frozen"/>
      <selection activeCell="G79" sqref="G79"/>
      <selection pane="topRight" activeCell="G79" sqref="G79"/>
      <selection pane="bottomLeft" activeCell="G79" sqref="G79"/>
      <selection pane="bottomRight" activeCell="G79" sqref="G79"/>
    </sheetView>
  </sheetViews>
  <sheetFormatPr defaultColWidth="10.625" defaultRowHeight="12.75"/>
  <cols>
    <col min="1" max="1" width="4.375" style="64" bestFit="1" customWidth="1"/>
    <col min="2" max="2" width="36.5" style="63" bestFit="1" customWidth="1"/>
    <col min="3" max="3" width="13.625" style="586" customWidth="1"/>
    <col min="4" max="9" width="9" style="101" customWidth="1"/>
    <col min="10" max="10" width="11.625" style="65" hidden="1" customWidth="1"/>
    <col min="11" max="11" width="5" style="14" customWidth="1"/>
    <col min="12" max="12" width="2.75" style="14" customWidth="1"/>
    <col min="13" max="13" width="11.75" style="14" customWidth="1"/>
    <col min="14" max="14" width="2.625" style="14" customWidth="1"/>
    <col min="15" max="15" width="10.875" style="14" customWidth="1"/>
    <col min="16" max="16" width="6.75" style="14" customWidth="1"/>
    <col min="17" max="18" width="9.625" style="14" customWidth="1"/>
    <col min="19" max="19" width="10.625" style="14" customWidth="1"/>
    <col min="20" max="20" width="6.75" style="14" customWidth="1"/>
    <col min="21" max="16384" width="10.625" style="14"/>
  </cols>
  <sheetData>
    <row r="1" spans="1:13">
      <c r="A1" s="56"/>
      <c r="B1" s="9" t="s">
        <v>281</v>
      </c>
      <c r="C1" s="572"/>
      <c r="D1" s="14"/>
      <c r="E1" s="14"/>
      <c r="F1" s="14"/>
      <c r="G1" s="14"/>
      <c r="H1" s="14"/>
      <c r="I1" s="14"/>
    </row>
    <row r="2" spans="1:13">
      <c r="A2" s="411"/>
      <c r="B2" s="14"/>
      <c r="C2" s="573" t="s">
        <v>252</v>
      </c>
      <c r="D2" s="14"/>
      <c r="E2" s="14"/>
      <c r="F2" s="14"/>
      <c r="G2" s="14"/>
      <c r="H2" s="14"/>
      <c r="I2" s="14"/>
    </row>
    <row r="3" spans="1:13">
      <c r="A3" s="411"/>
      <c r="B3" s="14"/>
      <c r="C3" s="573"/>
      <c r="D3" s="14"/>
      <c r="E3" s="14"/>
      <c r="F3" s="14"/>
      <c r="G3" s="14"/>
      <c r="H3" s="14"/>
      <c r="I3" s="14"/>
    </row>
    <row r="4" spans="1:13" ht="13.5" thickBot="1">
      <c r="A4" s="411"/>
      <c r="B4" s="14"/>
      <c r="C4" s="574"/>
      <c r="D4" s="14"/>
      <c r="E4" s="14"/>
      <c r="F4" s="14"/>
      <c r="G4" s="14"/>
      <c r="H4" s="14"/>
      <c r="I4" s="14"/>
    </row>
    <row r="5" spans="1:13" ht="13.5" thickTop="1">
      <c r="A5" s="402"/>
      <c r="B5" s="64" t="str">
        <f>+Restating!B5</f>
        <v>(000's of Dollars)</v>
      </c>
    </row>
    <row r="6" spans="1:13">
      <c r="A6" s="62"/>
    </row>
    <row r="7" spans="1:13">
      <c r="A7" s="403"/>
      <c r="B7" s="64" t="s">
        <v>100</v>
      </c>
      <c r="C7" s="601" t="s">
        <v>156</v>
      </c>
    </row>
    <row r="8" spans="1:13">
      <c r="A8" s="403"/>
      <c r="B8" s="64"/>
      <c r="C8" s="601"/>
    </row>
    <row r="9" spans="1:13">
      <c r="A9" s="62"/>
      <c r="C9" s="596">
        <v>3.07</v>
      </c>
    </row>
    <row r="10" spans="1:13" s="71" customFormat="1">
      <c r="A10" s="414"/>
      <c r="B10" s="420"/>
      <c r="C10" s="602" t="s">
        <v>3</v>
      </c>
      <c r="J10" s="68"/>
    </row>
    <row r="11" spans="1:13" s="71" customFormat="1">
      <c r="A11" s="414" t="s">
        <v>5</v>
      </c>
      <c r="B11" s="420"/>
      <c r="C11" s="610" t="s">
        <v>352</v>
      </c>
      <c r="J11" s="68"/>
    </row>
    <row r="12" spans="1:13" s="71" customFormat="1">
      <c r="A12" s="421" t="s">
        <v>10</v>
      </c>
      <c r="B12" s="422" t="s">
        <v>11</v>
      </c>
      <c r="C12" s="611" t="s">
        <v>241</v>
      </c>
      <c r="J12" s="68"/>
    </row>
    <row r="13" spans="1:13" s="72" customFormat="1">
      <c r="A13" s="418"/>
      <c r="B13" s="115" t="s">
        <v>155</v>
      </c>
      <c r="C13" s="607"/>
      <c r="J13" s="60"/>
    </row>
    <row r="14" spans="1:13">
      <c r="A14" s="73">
        <v>1</v>
      </c>
      <c r="B14" s="416" t="s">
        <v>98</v>
      </c>
      <c r="J14" s="61"/>
    </row>
    <row r="15" spans="1:13">
      <c r="A15" s="75">
        <v>2</v>
      </c>
      <c r="B15" s="63" t="s">
        <v>40</v>
      </c>
      <c r="C15" s="575"/>
      <c r="J15" s="61"/>
    </row>
    <row r="16" spans="1:13" s="15" customFormat="1">
      <c r="A16" s="75">
        <v>3</v>
      </c>
      <c r="B16" s="76" t="s">
        <v>41</v>
      </c>
      <c r="C16" s="580"/>
      <c r="J16" s="77"/>
      <c r="K16" s="104"/>
      <c r="L16" s="104"/>
      <c r="M16" s="104"/>
    </row>
    <row r="17" spans="1:10" s="20" customFormat="1">
      <c r="A17" s="73">
        <v>4</v>
      </c>
      <c r="B17" s="78" t="s">
        <v>42</v>
      </c>
      <c r="C17" s="581"/>
      <c r="J17" s="105"/>
    </row>
    <row r="18" spans="1:10" s="20" customFormat="1">
      <c r="A18" s="75">
        <v>5</v>
      </c>
      <c r="B18" s="78" t="s">
        <v>43</v>
      </c>
      <c r="C18" s="582"/>
      <c r="J18" s="107"/>
    </row>
    <row r="19" spans="1:10" s="20" customFormat="1">
      <c r="A19" s="75">
        <v>6</v>
      </c>
      <c r="B19" s="397" t="s">
        <v>44</v>
      </c>
      <c r="C19" s="581">
        <f>SUM(C18:C18)</f>
        <v>0</v>
      </c>
    </row>
    <row r="20" spans="1:10" s="20" customFormat="1">
      <c r="A20" s="73">
        <v>7</v>
      </c>
      <c r="B20" s="78" t="s">
        <v>45</v>
      </c>
      <c r="C20" s="582"/>
      <c r="J20" s="107"/>
    </row>
    <row r="21" spans="1:10" s="20" customFormat="1">
      <c r="A21" s="75">
        <v>8</v>
      </c>
      <c r="B21" s="397" t="s">
        <v>46</v>
      </c>
      <c r="C21" s="581">
        <f t="shared" ref="C21" si="0">SUM(C19:C20)</f>
        <v>0</v>
      </c>
    </row>
    <row r="22" spans="1:10" s="20" customFormat="1">
      <c r="A22" s="75">
        <v>9</v>
      </c>
      <c r="B22" s="78"/>
      <c r="C22" s="581"/>
      <c r="J22" s="105"/>
    </row>
    <row r="23" spans="1:10" s="20" customFormat="1">
      <c r="A23" s="73">
        <v>10</v>
      </c>
      <c r="B23" s="78" t="s">
        <v>20</v>
      </c>
      <c r="C23" s="581"/>
      <c r="J23" s="105"/>
    </row>
    <row r="24" spans="1:10" s="20" customFormat="1">
      <c r="A24" s="75">
        <v>11</v>
      </c>
      <c r="B24" s="78" t="s">
        <v>47</v>
      </c>
      <c r="C24" s="581"/>
      <c r="J24" s="105"/>
    </row>
    <row r="25" spans="1:10" s="20" customFormat="1">
      <c r="A25" s="75">
        <v>12</v>
      </c>
      <c r="B25" s="397" t="s">
        <v>48</v>
      </c>
      <c r="C25" s="581"/>
      <c r="J25" s="105"/>
    </row>
    <row r="26" spans="1:10" s="20" customFormat="1">
      <c r="A26" s="73">
        <v>13</v>
      </c>
      <c r="B26" s="397" t="s">
        <v>49</v>
      </c>
      <c r="C26" s="581"/>
      <c r="J26" s="105"/>
    </row>
    <row r="27" spans="1:10" s="20" customFormat="1">
      <c r="A27" s="75">
        <v>14</v>
      </c>
      <c r="B27" s="397" t="s">
        <v>50</v>
      </c>
      <c r="C27" s="581">
        <v>0</v>
      </c>
      <c r="J27" s="105"/>
    </row>
    <row r="28" spans="1:10" s="20" customFormat="1">
      <c r="A28" s="73">
        <v>15</v>
      </c>
      <c r="B28" s="393" t="s">
        <v>349</v>
      </c>
      <c r="C28" s="581"/>
      <c r="J28" s="105"/>
    </row>
    <row r="29" spans="1:10" s="20" customFormat="1">
      <c r="A29" s="75">
        <v>16</v>
      </c>
      <c r="B29" s="397" t="s">
        <v>51</v>
      </c>
      <c r="C29" s="582">
        <v>0</v>
      </c>
      <c r="J29" s="107"/>
    </row>
    <row r="30" spans="1:10" s="20" customFormat="1">
      <c r="A30" s="75">
        <v>17</v>
      </c>
      <c r="B30" s="398" t="s">
        <v>52</v>
      </c>
      <c r="C30" s="581">
        <f t="shared" ref="C30" si="1">SUM(C25:C29)</f>
        <v>0</v>
      </c>
    </row>
    <row r="31" spans="1:10" s="20" customFormat="1">
      <c r="A31" s="73">
        <v>18</v>
      </c>
      <c r="B31" s="78"/>
      <c r="C31" s="581"/>
      <c r="J31" s="105"/>
    </row>
    <row r="32" spans="1:10" s="20" customFormat="1">
      <c r="A32" s="75">
        <v>19</v>
      </c>
      <c r="B32" s="78" t="s">
        <v>53</v>
      </c>
      <c r="C32" s="581"/>
      <c r="J32" s="105"/>
    </row>
    <row r="33" spans="1:18" s="20" customFormat="1">
      <c r="A33" s="73">
        <v>20</v>
      </c>
      <c r="B33" s="397" t="s">
        <v>48</v>
      </c>
      <c r="C33" s="581">
        <v>0</v>
      </c>
      <c r="J33" s="105"/>
    </row>
    <row r="34" spans="1:18" s="20" customFormat="1">
      <c r="A34" s="75">
        <v>21</v>
      </c>
      <c r="B34" s="397" t="s">
        <v>54</v>
      </c>
      <c r="C34" s="581">
        <v>0</v>
      </c>
      <c r="J34" s="105"/>
    </row>
    <row r="35" spans="1:18" s="20" customFormat="1">
      <c r="A35" s="75">
        <v>22</v>
      </c>
      <c r="B35" s="397" t="s">
        <v>51</v>
      </c>
      <c r="C35" s="582"/>
      <c r="J35" s="107"/>
    </row>
    <row r="36" spans="1:18" s="20" customFormat="1">
      <c r="A36" s="73">
        <v>23</v>
      </c>
      <c r="B36" s="398" t="s">
        <v>55</v>
      </c>
      <c r="C36" s="581">
        <f t="shared" ref="C36" si="2">SUM(C33:C35)</f>
        <v>0</v>
      </c>
    </row>
    <row r="37" spans="1:18" s="20" customFormat="1">
      <c r="A37" s="75">
        <v>24</v>
      </c>
      <c r="B37" s="78"/>
      <c r="C37" s="581"/>
      <c r="J37" s="105"/>
    </row>
    <row r="38" spans="1:18" s="20" customFormat="1">
      <c r="A38" s="73">
        <v>25</v>
      </c>
      <c r="B38" s="78" t="s">
        <v>56</v>
      </c>
      <c r="C38" s="581"/>
      <c r="J38" s="105"/>
      <c r="K38" s="108"/>
      <c r="L38" s="101"/>
      <c r="O38" s="106"/>
      <c r="P38" s="109"/>
      <c r="Q38" s="109"/>
      <c r="R38" s="109"/>
    </row>
    <row r="39" spans="1:18" s="20" customFormat="1">
      <c r="A39" s="75">
        <v>26</v>
      </c>
      <c r="B39" s="78" t="s">
        <v>57</v>
      </c>
      <c r="C39" s="581"/>
      <c r="J39" s="105"/>
      <c r="M39" s="110"/>
      <c r="O39" s="81"/>
      <c r="P39" s="81"/>
      <c r="Q39" s="81"/>
      <c r="R39" s="109"/>
    </row>
    <row r="40" spans="1:18" s="20" customFormat="1">
      <c r="A40" s="75">
        <v>27</v>
      </c>
      <c r="B40" s="78" t="s">
        <v>58</v>
      </c>
      <c r="C40" s="581"/>
      <c r="J40" s="105"/>
      <c r="M40" s="110"/>
    </row>
    <row r="41" spans="1:18" s="20" customFormat="1">
      <c r="A41" s="73">
        <v>28</v>
      </c>
      <c r="B41" s="78"/>
      <c r="C41" s="581"/>
      <c r="J41" s="105"/>
    </row>
    <row r="42" spans="1:18" s="20" customFormat="1">
      <c r="A42" s="75">
        <v>29</v>
      </c>
      <c r="B42" s="78" t="s">
        <v>59</v>
      </c>
      <c r="C42" s="581"/>
      <c r="J42" s="105"/>
    </row>
    <row r="43" spans="1:18" s="20" customFormat="1">
      <c r="A43" s="73">
        <v>30</v>
      </c>
      <c r="B43" s="397" t="s">
        <v>48</v>
      </c>
      <c r="C43" s="581"/>
      <c r="J43" s="105"/>
    </row>
    <row r="44" spans="1:18" s="20" customFormat="1">
      <c r="A44" s="75">
        <v>31</v>
      </c>
      <c r="B44" s="397" t="s">
        <v>54</v>
      </c>
      <c r="C44" s="581">
        <v>0</v>
      </c>
      <c r="J44" s="105"/>
    </row>
    <row r="45" spans="1:18" s="20" customFormat="1">
      <c r="A45" s="75">
        <v>32</v>
      </c>
      <c r="B45" s="397" t="s">
        <v>51</v>
      </c>
      <c r="C45" s="582"/>
      <c r="J45" s="107"/>
    </row>
    <row r="46" spans="1:18" s="20" customFormat="1">
      <c r="A46" s="73">
        <v>33</v>
      </c>
      <c r="B46" s="398" t="s">
        <v>60</v>
      </c>
      <c r="C46" s="582">
        <f t="shared" ref="C46" si="3">SUM(C43:C45)</f>
        <v>0</v>
      </c>
      <c r="J46" s="111"/>
    </row>
    <row r="47" spans="1:18" s="20" customFormat="1">
      <c r="A47" s="75">
        <v>34</v>
      </c>
      <c r="B47" s="78" t="s">
        <v>61</v>
      </c>
      <c r="C47" s="582">
        <f t="shared" ref="C47" si="4">C46+C40+C39+C38+C36+C30</f>
        <v>0</v>
      </c>
      <c r="J47" s="111"/>
    </row>
    <row r="48" spans="1:18" s="20" customFormat="1">
      <c r="A48" s="73">
        <v>35</v>
      </c>
      <c r="B48" s="78"/>
      <c r="C48" s="581"/>
    </row>
    <row r="49" spans="1:18" s="20" customFormat="1">
      <c r="A49" s="75">
        <v>36</v>
      </c>
      <c r="B49" s="78" t="s">
        <v>62</v>
      </c>
      <c r="C49" s="581">
        <f t="shared" ref="C49" si="5">C21-C47</f>
        <v>0</v>
      </c>
    </row>
    <row r="50" spans="1:18" s="20" customFormat="1">
      <c r="A50" s="75">
        <v>37</v>
      </c>
      <c r="B50" s="78"/>
      <c r="C50" s="581"/>
      <c r="J50" s="105"/>
    </row>
    <row r="51" spans="1:18" s="20" customFormat="1">
      <c r="A51" s="73">
        <v>38</v>
      </c>
      <c r="B51" s="78" t="s">
        <v>63</v>
      </c>
      <c r="C51" s="581"/>
      <c r="J51" s="105"/>
    </row>
    <row r="52" spans="1:18" s="20" customFormat="1">
      <c r="A52" s="75">
        <v>39</v>
      </c>
      <c r="B52" s="78" t="s">
        <v>64</v>
      </c>
      <c r="C52" s="581">
        <f>+C104</f>
        <v>0</v>
      </c>
      <c r="J52" s="105"/>
      <c r="N52" s="15"/>
    </row>
    <row r="53" spans="1:18" s="20" customFormat="1">
      <c r="A53" s="75">
        <v>40</v>
      </c>
      <c r="B53" s="78" t="s">
        <v>366</v>
      </c>
      <c r="C53" s="581">
        <f>+(C77*' Capital '!$J$13)*-35%</f>
        <v>0</v>
      </c>
      <c r="J53" s="105"/>
      <c r="N53" s="15"/>
    </row>
    <row r="54" spans="1:18" s="20" customFormat="1">
      <c r="A54" s="73">
        <v>41</v>
      </c>
      <c r="B54" s="78" t="s">
        <v>65</v>
      </c>
      <c r="C54" s="581"/>
      <c r="J54" s="105"/>
      <c r="M54" s="15"/>
      <c r="N54" s="14"/>
    </row>
    <row r="55" spans="1:18" s="20" customFormat="1">
      <c r="A55" s="75">
        <v>42</v>
      </c>
      <c r="B55" s="78" t="s">
        <v>238</v>
      </c>
      <c r="C55" s="581">
        <v>0</v>
      </c>
      <c r="J55" s="105"/>
      <c r="M55" s="15"/>
      <c r="N55" s="14"/>
    </row>
    <row r="56" spans="1:18" s="20" customFormat="1">
      <c r="A56" s="75">
        <v>43</v>
      </c>
      <c r="B56" s="78"/>
      <c r="C56" s="581"/>
      <c r="J56" s="105"/>
      <c r="M56" s="15"/>
      <c r="N56" s="14"/>
    </row>
    <row r="57" spans="1:18">
      <c r="A57" s="73">
        <v>44</v>
      </c>
      <c r="C57" s="581"/>
      <c r="O57" s="15"/>
      <c r="P57" s="15"/>
      <c r="Q57" s="15"/>
      <c r="R57" s="15"/>
    </row>
    <row r="58" spans="1:18" s="15" customFormat="1" ht="13.5" thickBot="1">
      <c r="A58" s="75">
        <v>45</v>
      </c>
      <c r="B58" s="76" t="s">
        <v>66</v>
      </c>
      <c r="C58" s="598">
        <f t="shared" ref="C58" si="6">C49-SUM(C52:C56)</f>
        <v>0</v>
      </c>
      <c r="J58" s="112"/>
      <c r="M58" s="14"/>
      <c r="N58" s="14"/>
      <c r="O58" s="14"/>
      <c r="P58" s="14"/>
      <c r="Q58" s="14"/>
      <c r="R58" s="14"/>
    </row>
    <row r="59" spans="1:18" ht="13.5" thickTop="1">
      <c r="A59" s="75">
        <v>46</v>
      </c>
      <c r="B59" s="2"/>
      <c r="C59" s="575"/>
    </row>
    <row r="60" spans="1:18">
      <c r="A60" s="73">
        <v>47</v>
      </c>
      <c r="B60" s="416" t="s">
        <v>21</v>
      </c>
      <c r="C60" s="575"/>
    </row>
    <row r="61" spans="1:18">
      <c r="A61" s="75">
        <v>48</v>
      </c>
      <c r="B61" s="63" t="s">
        <v>67</v>
      </c>
      <c r="C61" s="581"/>
      <c r="O61" s="15"/>
      <c r="P61" s="15"/>
      <c r="Q61" s="15"/>
      <c r="R61" s="15"/>
    </row>
    <row r="62" spans="1:18" s="15" customFormat="1">
      <c r="A62" s="75">
        <v>49</v>
      </c>
      <c r="B62" s="396" t="s">
        <v>68</v>
      </c>
      <c r="C62" s="599">
        <v>0</v>
      </c>
      <c r="J62" s="113"/>
      <c r="M62" s="14"/>
      <c r="N62" s="14"/>
      <c r="O62" s="20"/>
      <c r="P62" s="20"/>
      <c r="Q62" s="20"/>
      <c r="R62" s="20"/>
    </row>
    <row r="63" spans="1:18" s="20" customFormat="1">
      <c r="A63" s="73">
        <v>50</v>
      </c>
      <c r="B63" s="397" t="s">
        <v>69</v>
      </c>
      <c r="C63" s="581">
        <v>0</v>
      </c>
      <c r="J63" s="105"/>
      <c r="M63" s="14"/>
      <c r="N63" s="14"/>
    </row>
    <row r="64" spans="1:18" s="20" customFormat="1">
      <c r="A64" s="75">
        <v>51</v>
      </c>
      <c r="B64" s="397" t="s">
        <v>70</v>
      </c>
      <c r="C64" s="581">
        <v>0</v>
      </c>
      <c r="J64" s="105"/>
      <c r="M64" s="14"/>
      <c r="N64" s="14"/>
    </row>
    <row r="65" spans="1:18" s="20" customFormat="1">
      <c r="A65" s="75">
        <v>52</v>
      </c>
      <c r="B65" s="397" t="s">
        <v>53</v>
      </c>
      <c r="C65" s="581">
        <v>0</v>
      </c>
      <c r="J65" s="105"/>
      <c r="M65" s="14"/>
      <c r="N65" s="14"/>
    </row>
    <row r="66" spans="1:18" s="20" customFormat="1">
      <c r="A66" s="73">
        <v>53</v>
      </c>
      <c r="B66" s="397" t="s">
        <v>71</v>
      </c>
      <c r="C66" s="582">
        <v>0</v>
      </c>
      <c r="J66" s="107"/>
      <c r="M66" s="14"/>
      <c r="N66" s="14"/>
    </row>
    <row r="67" spans="1:18" s="20" customFormat="1">
      <c r="A67" s="75">
        <v>54</v>
      </c>
      <c r="B67" s="398" t="s">
        <v>72</v>
      </c>
      <c r="C67" s="581">
        <f t="shared" ref="C67" si="7">SUM(C62:C66)</f>
        <v>0</v>
      </c>
      <c r="M67" s="14"/>
      <c r="N67" s="14"/>
    </row>
    <row r="68" spans="1:18" s="20" customFormat="1">
      <c r="A68" s="75">
        <v>55</v>
      </c>
      <c r="B68" s="78" t="s">
        <v>244</v>
      </c>
      <c r="C68" s="581">
        <v>0</v>
      </c>
      <c r="J68" s="105"/>
      <c r="M68" s="14"/>
      <c r="N68" s="14"/>
    </row>
    <row r="69" spans="1:18" s="20" customFormat="1">
      <c r="A69" s="73">
        <v>56</v>
      </c>
      <c r="B69" s="78" t="s">
        <v>245</v>
      </c>
      <c r="C69" s="582"/>
      <c r="J69" s="107"/>
      <c r="M69" s="14"/>
      <c r="N69" s="14"/>
    </row>
    <row r="70" spans="1:18" s="20" customFormat="1">
      <c r="A70" s="75">
        <v>57</v>
      </c>
      <c r="B70" s="397" t="s">
        <v>73</v>
      </c>
      <c r="C70" s="581">
        <f t="shared" ref="C70" si="8">SUM(C68:C69)</f>
        <v>0</v>
      </c>
      <c r="M70" s="14"/>
      <c r="N70" s="14"/>
    </row>
    <row r="71" spans="1:18" s="20" customFormat="1">
      <c r="A71" s="75">
        <v>58</v>
      </c>
      <c r="B71" s="78" t="s">
        <v>249</v>
      </c>
      <c r="C71" s="581"/>
      <c r="J71" s="105"/>
      <c r="M71" s="14"/>
      <c r="N71" s="14"/>
    </row>
    <row r="72" spans="1:18" s="20" customFormat="1">
      <c r="A72" s="73">
        <v>59</v>
      </c>
      <c r="B72" s="78" t="s">
        <v>351</v>
      </c>
      <c r="C72" s="581"/>
      <c r="J72" s="105"/>
      <c r="M72" s="14"/>
      <c r="N72" s="14"/>
    </row>
    <row r="73" spans="1:18" s="20" customFormat="1">
      <c r="A73" s="75">
        <v>60</v>
      </c>
      <c r="B73" s="78" t="s">
        <v>236</v>
      </c>
      <c r="C73" s="581"/>
      <c r="J73" s="105"/>
      <c r="M73" s="14"/>
      <c r="N73" s="14"/>
    </row>
    <row r="74" spans="1:18" s="20" customFormat="1">
      <c r="A74" s="75">
        <v>61</v>
      </c>
      <c r="B74" s="78" t="s">
        <v>247</v>
      </c>
      <c r="C74" s="581"/>
      <c r="J74" s="105"/>
      <c r="M74" s="14"/>
      <c r="N74" s="14"/>
    </row>
    <row r="75" spans="1:18" s="20" customFormat="1">
      <c r="A75" s="73">
        <v>62</v>
      </c>
      <c r="B75" s="78" t="s">
        <v>248</v>
      </c>
      <c r="C75" s="582">
        <v>0</v>
      </c>
      <c r="J75" s="107"/>
      <c r="M75" s="14"/>
      <c r="N75" s="14"/>
    </row>
    <row r="76" spans="1:18" s="20" customFormat="1">
      <c r="A76" s="75">
        <v>63</v>
      </c>
      <c r="B76" s="78"/>
      <c r="C76" s="581"/>
      <c r="M76" s="14"/>
      <c r="N76" s="14"/>
      <c r="O76" s="15"/>
      <c r="P76" s="15"/>
      <c r="Q76" s="15"/>
      <c r="R76" s="15"/>
    </row>
    <row r="77" spans="1:18" s="15" customFormat="1" ht="13.5" thickBot="1">
      <c r="A77" s="75">
        <v>64</v>
      </c>
      <c r="B77" s="425" t="s">
        <v>74</v>
      </c>
      <c r="C77" s="598">
        <f t="shared" ref="C77" si="9">C67-C70+C71+C75</f>
        <v>0</v>
      </c>
      <c r="J77" s="112"/>
      <c r="M77" s="14"/>
      <c r="N77" s="14"/>
      <c r="O77" s="14"/>
      <c r="P77" s="14"/>
      <c r="Q77" s="14"/>
      <c r="R77" s="14"/>
    </row>
    <row r="78" spans="1:18" ht="13.5" thickTop="1">
      <c r="B78" s="83"/>
    </row>
    <row r="79" spans="1:18">
      <c r="A79" s="84"/>
      <c r="B79" s="38"/>
      <c r="C79" s="587"/>
    </row>
    <row r="80" spans="1:18">
      <c r="A80" s="89"/>
      <c r="B80" s="86"/>
    </row>
    <row r="81" spans="1:3">
      <c r="A81" s="89">
        <v>1</v>
      </c>
      <c r="B81" s="392" t="s">
        <v>116</v>
      </c>
    </row>
    <row r="82" spans="1:3">
      <c r="A82" s="89">
        <v>2</v>
      </c>
      <c r="B82" s="87" t="s">
        <v>117</v>
      </c>
      <c r="C82" s="600">
        <f t="shared" ref="C82" si="10">+C21</f>
        <v>0</v>
      </c>
    </row>
    <row r="83" spans="1:3">
      <c r="A83" s="89">
        <v>3</v>
      </c>
      <c r="B83" s="87" t="s">
        <v>118</v>
      </c>
      <c r="C83" s="588">
        <f t="shared" ref="C83" si="11">-C47</f>
        <v>0</v>
      </c>
    </row>
    <row r="84" spans="1:3">
      <c r="A84" s="89">
        <v>4</v>
      </c>
      <c r="B84" s="87" t="s">
        <v>134</v>
      </c>
      <c r="C84" s="581"/>
    </row>
    <row r="85" spans="1:3">
      <c r="A85" s="89">
        <v>5</v>
      </c>
      <c r="B85" s="405" t="s">
        <v>119</v>
      </c>
      <c r="C85" s="589">
        <f t="shared" ref="C85" si="12">SUM(C82:C84)</f>
        <v>0</v>
      </c>
    </row>
    <row r="86" spans="1:3">
      <c r="A86" s="89">
        <v>6</v>
      </c>
      <c r="B86" s="86"/>
      <c r="C86" s="590"/>
    </row>
    <row r="87" spans="1:3">
      <c r="A87" s="89">
        <v>7</v>
      </c>
      <c r="B87" s="86" t="s">
        <v>120</v>
      </c>
      <c r="C87" s="590"/>
    </row>
    <row r="88" spans="1:3">
      <c r="A88" s="89">
        <v>8</v>
      </c>
      <c r="B88" s="404" t="s">
        <v>121</v>
      </c>
      <c r="C88" s="590"/>
    </row>
    <row r="89" spans="1:3">
      <c r="A89" s="89">
        <v>9</v>
      </c>
      <c r="B89" s="404" t="s">
        <v>130</v>
      </c>
      <c r="C89" s="590"/>
    </row>
    <row r="90" spans="1:3">
      <c r="A90" s="89">
        <v>10</v>
      </c>
      <c r="B90" s="404" t="s">
        <v>122</v>
      </c>
      <c r="C90" s="590"/>
    </row>
    <row r="91" spans="1:3">
      <c r="A91" s="89">
        <v>11</v>
      </c>
      <c r="B91" s="86"/>
      <c r="C91" s="590"/>
    </row>
    <row r="92" spans="1:3">
      <c r="A92" s="89">
        <v>12</v>
      </c>
      <c r="B92" s="406" t="s">
        <v>278</v>
      </c>
      <c r="C92" s="589">
        <f t="shared" ref="C92" si="13">SUM(C88:C90)</f>
        <v>0</v>
      </c>
    </row>
    <row r="93" spans="1:3">
      <c r="A93" s="89">
        <v>13</v>
      </c>
      <c r="B93" s="86"/>
      <c r="C93" s="590"/>
    </row>
    <row r="94" spans="1:3">
      <c r="A94" s="89">
        <v>14</v>
      </c>
      <c r="B94" s="86" t="s">
        <v>124</v>
      </c>
      <c r="C94" s="590"/>
    </row>
    <row r="95" spans="1:3">
      <c r="A95" s="89">
        <v>15</v>
      </c>
      <c r="B95" s="404" t="s">
        <v>178</v>
      </c>
      <c r="C95" s="590"/>
    </row>
    <row r="96" spans="1:3">
      <c r="A96" s="89">
        <v>16</v>
      </c>
      <c r="B96" s="404" t="s">
        <v>133</v>
      </c>
      <c r="C96" s="590"/>
    </row>
    <row r="97" spans="1:3">
      <c r="A97" s="89">
        <v>17</v>
      </c>
      <c r="B97" s="404" t="s">
        <v>122</v>
      </c>
      <c r="C97" s="590"/>
    </row>
    <row r="98" spans="1:3">
      <c r="A98" s="89">
        <v>18</v>
      </c>
      <c r="B98" s="406" t="s">
        <v>279</v>
      </c>
      <c r="C98" s="589">
        <f t="shared" ref="C98" si="14">SUM(C95:C97)</f>
        <v>0</v>
      </c>
    </row>
    <row r="99" spans="1:3">
      <c r="A99" s="89">
        <v>19</v>
      </c>
      <c r="B99" s="86"/>
      <c r="C99" s="590"/>
    </row>
    <row r="100" spans="1:3">
      <c r="A100" s="89">
        <v>20</v>
      </c>
      <c r="B100" s="87" t="s">
        <v>268</v>
      </c>
      <c r="C100" s="584">
        <f t="shared" ref="C100" si="15">+C82+C83+C84+C92-C98</f>
        <v>0</v>
      </c>
    </row>
    <row r="101" spans="1:3">
      <c r="A101" s="89">
        <v>21</v>
      </c>
      <c r="B101" s="404" t="s">
        <v>280</v>
      </c>
      <c r="C101" s="591">
        <v>0.35</v>
      </c>
    </row>
    <row r="102" spans="1:3">
      <c r="A102" s="89">
        <v>22</v>
      </c>
      <c r="B102" s="404" t="s">
        <v>127</v>
      </c>
      <c r="C102" s="592"/>
    </row>
    <row r="103" spans="1:3">
      <c r="A103" s="89">
        <v>23</v>
      </c>
      <c r="B103" s="404" t="s">
        <v>128</v>
      </c>
      <c r="C103" s="590">
        <f>+C100*C101</f>
        <v>0</v>
      </c>
    </row>
    <row r="104" spans="1:3" ht="13.5" thickBot="1">
      <c r="A104" s="89">
        <v>24</v>
      </c>
      <c r="B104" s="95" t="s">
        <v>129</v>
      </c>
      <c r="C104" s="593">
        <f t="shared" ref="C104" si="16">ROUND(+C102+C103,0)</f>
        <v>0</v>
      </c>
    </row>
    <row r="105" spans="1:3" ht="13.5" thickTop="1"/>
  </sheetData>
  <printOptions horizontalCentered="1"/>
  <pageMargins left="0.5" right="0.5" top="1.5" bottom="0.3" header="0.5" footer="0.5"/>
  <pageSetup scale="60" firstPageNumber="2" fitToWidth="0" orientation="portrait" r:id="rId1"/>
  <headerFooter scaleWithDoc="0" alignWithMargins="0">
    <oddHeader>&amp;L&amp;"Arial,Regular"&amp;10Avista Corporation
&amp;"Arial,Bold"Electric - Pro Forma Adjustments (Schedule 1.3)&amp;"Arial,Regular"
Twelve Months Ended December 31,2011&amp;R&amp;"Arial,Regular"&amp;10Exhibit No. ___ (JH-2)
Docket UE-120436 &amp; UG-120437
Page &amp;P of  &amp;N</oddHeader>
  </headerFooter>
  <colBreaks count="1" manualBreakCount="1">
    <brk id="9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5" zoomScaleNormal="75" workbookViewId="0">
      <pane xSplit="2" ySplit="12" topLeftCell="C34" activePane="bottomRight" state="frozen"/>
      <selection activeCell="G79" sqref="G79"/>
      <selection pane="topRight" activeCell="G79" sqref="G79"/>
      <selection pane="bottomLeft" activeCell="G79" sqref="G79"/>
      <selection pane="bottomRight" activeCell="C54" sqref="C54"/>
    </sheetView>
  </sheetViews>
  <sheetFormatPr defaultColWidth="10.625" defaultRowHeight="12.75"/>
  <cols>
    <col min="1" max="1" width="4.375" style="64" bestFit="1" customWidth="1"/>
    <col min="2" max="2" width="36.5" style="63" bestFit="1" customWidth="1"/>
    <col min="3" max="3" width="13.625" style="586" customWidth="1"/>
    <col min="4" max="9" width="9" style="101" customWidth="1"/>
    <col min="10" max="10" width="11.625" style="65" hidden="1" customWidth="1"/>
    <col min="11" max="11" width="5" style="14" customWidth="1"/>
    <col min="12" max="12" width="2.75" style="14" customWidth="1"/>
    <col min="13" max="13" width="11.75" style="14" customWidth="1"/>
    <col min="14" max="14" width="2.625" style="14" customWidth="1"/>
    <col min="15" max="15" width="10.875" style="14" customWidth="1"/>
    <col min="16" max="16" width="6.75" style="14" customWidth="1"/>
    <col min="17" max="18" width="9.625" style="14" customWidth="1"/>
    <col min="19" max="19" width="10.625" style="14" customWidth="1"/>
    <col min="20" max="20" width="6.75" style="14" customWidth="1"/>
    <col min="21" max="16384" width="10.625" style="14"/>
  </cols>
  <sheetData>
    <row r="1" spans="1:13">
      <c r="A1" s="56"/>
      <c r="B1" s="9" t="s">
        <v>281</v>
      </c>
      <c r="C1" s="575"/>
      <c r="D1" s="14"/>
      <c r="E1" s="14"/>
      <c r="F1" s="14"/>
      <c r="G1" s="14"/>
      <c r="H1" s="14"/>
      <c r="I1" s="14"/>
    </row>
    <row r="2" spans="1:13">
      <c r="A2" s="411"/>
      <c r="B2" s="14"/>
      <c r="C2" s="573" t="s">
        <v>252</v>
      </c>
      <c r="D2" s="14"/>
      <c r="E2" s="14"/>
      <c r="F2" s="14"/>
      <c r="G2" s="14"/>
      <c r="H2" s="14"/>
      <c r="I2" s="14"/>
    </row>
    <row r="3" spans="1:13">
      <c r="A3" s="411"/>
      <c r="B3" s="14"/>
      <c r="C3" s="575"/>
      <c r="D3" s="14"/>
      <c r="E3" s="14"/>
      <c r="F3" s="14"/>
      <c r="G3" s="14"/>
      <c r="H3" s="14"/>
      <c r="I3" s="14"/>
    </row>
    <row r="4" spans="1:13" ht="13.5" thickBot="1">
      <c r="A4" s="411"/>
      <c r="B4" s="14"/>
      <c r="C4" s="614"/>
      <c r="D4" s="14"/>
      <c r="E4" s="14"/>
      <c r="F4" s="14"/>
      <c r="G4" s="14"/>
      <c r="H4" s="14"/>
      <c r="I4" s="14"/>
    </row>
    <row r="5" spans="1:13">
      <c r="A5" s="402"/>
      <c r="B5" s="64" t="str">
        <f>+Restating!B5</f>
        <v>(000's of Dollars)</v>
      </c>
    </row>
    <row r="6" spans="1:13">
      <c r="A6" s="62"/>
    </row>
    <row r="7" spans="1:13">
      <c r="A7" s="403"/>
      <c r="B7" s="64" t="s">
        <v>100</v>
      </c>
      <c r="C7" s="601"/>
    </row>
    <row r="8" spans="1:13">
      <c r="A8" s="403"/>
      <c r="B8" s="64"/>
      <c r="C8" s="612"/>
    </row>
    <row r="9" spans="1:13">
      <c r="A9" s="62"/>
      <c r="C9" s="596">
        <v>3.08</v>
      </c>
    </row>
    <row r="10" spans="1:13" s="71" customFormat="1">
      <c r="A10" s="414"/>
      <c r="B10" s="420"/>
      <c r="C10" s="602"/>
      <c r="J10" s="68"/>
    </row>
    <row r="11" spans="1:13" s="71" customFormat="1">
      <c r="A11" s="414" t="s">
        <v>5</v>
      </c>
      <c r="B11" s="420"/>
      <c r="C11" s="578" t="s">
        <v>4</v>
      </c>
      <c r="J11" s="68"/>
    </row>
    <row r="12" spans="1:13" s="71" customFormat="1">
      <c r="A12" s="421" t="s">
        <v>10</v>
      </c>
      <c r="B12" s="422" t="s">
        <v>11</v>
      </c>
      <c r="C12" s="613" t="s">
        <v>360</v>
      </c>
      <c r="J12" s="68"/>
    </row>
    <row r="13" spans="1:13" s="72" customFormat="1">
      <c r="A13" s="418"/>
      <c r="B13" s="115" t="s">
        <v>155</v>
      </c>
      <c r="C13" s="605"/>
      <c r="J13" s="60"/>
    </row>
    <row r="14" spans="1:13">
      <c r="A14" s="73">
        <v>1</v>
      </c>
      <c r="B14" s="416" t="s">
        <v>98</v>
      </c>
      <c r="J14" s="61"/>
    </row>
    <row r="15" spans="1:13">
      <c r="A15" s="75">
        <v>2</v>
      </c>
      <c r="B15" s="63" t="s">
        <v>40</v>
      </c>
      <c r="C15" s="575"/>
      <c r="J15" s="61"/>
    </row>
    <row r="16" spans="1:13" s="15" customFormat="1">
      <c r="A16" s="75">
        <v>3</v>
      </c>
      <c r="B16" s="76" t="s">
        <v>41</v>
      </c>
      <c r="C16" s="580"/>
      <c r="J16" s="77"/>
      <c r="K16" s="104"/>
      <c r="L16" s="104"/>
      <c r="M16" s="104"/>
    </row>
    <row r="17" spans="1:10" s="20" customFormat="1">
      <c r="A17" s="73">
        <v>4</v>
      </c>
      <c r="B17" s="78" t="s">
        <v>42</v>
      </c>
      <c r="C17" s="581"/>
      <c r="J17" s="105"/>
    </row>
    <row r="18" spans="1:10" s="20" customFormat="1">
      <c r="A18" s="75">
        <v>5</v>
      </c>
      <c r="B18" s="78" t="s">
        <v>43</v>
      </c>
      <c r="C18" s="582"/>
      <c r="J18" s="107"/>
    </row>
    <row r="19" spans="1:10" s="20" customFormat="1">
      <c r="A19" s="75">
        <v>6</v>
      </c>
      <c r="B19" s="397" t="s">
        <v>44</v>
      </c>
      <c r="C19" s="581"/>
    </row>
    <row r="20" spans="1:10" s="20" customFormat="1">
      <c r="A20" s="73">
        <v>7</v>
      </c>
      <c r="B20" s="78" t="s">
        <v>45</v>
      </c>
      <c r="C20" s="582"/>
      <c r="J20" s="107"/>
    </row>
    <row r="21" spans="1:10" s="20" customFormat="1">
      <c r="A21" s="75">
        <v>8</v>
      </c>
      <c r="B21" s="397" t="s">
        <v>46</v>
      </c>
      <c r="C21" s="581"/>
    </row>
    <row r="22" spans="1:10" s="20" customFormat="1">
      <c r="A22" s="75">
        <v>9</v>
      </c>
      <c r="B22" s="78"/>
      <c r="C22" s="581"/>
      <c r="J22" s="105"/>
    </row>
    <row r="23" spans="1:10" s="20" customFormat="1">
      <c r="A23" s="73">
        <v>10</v>
      </c>
      <c r="B23" s="78" t="s">
        <v>20</v>
      </c>
      <c r="C23" s="581"/>
      <c r="J23" s="105"/>
    </row>
    <row r="24" spans="1:10" s="20" customFormat="1">
      <c r="A24" s="75">
        <v>11</v>
      </c>
      <c r="B24" s="78" t="s">
        <v>47</v>
      </c>
      <c r="C24" s="581"/>
      <c r="J24" s="105"/>
    </row>
    <row r="25" spans="1:10" s="20" customFormat="1">
      <c r="A25" s="75">
        <v>12</v>
      </c>
      <c r="B25" s="397" t="s">
        <v>48</v>
      </c>
      <c r="C25" s="581"/>
      <c r="J25" s="105"/>
    </row>
    <row r="26" spans="1:10" s="20" customFormat="1">
      <c r="A26" s="73">
        <v>13</v>
      </c>
      <c r="B26" s="397" t="s">
        <v>49</v>
      </c>
      <c r="C26" s="581"/>
      <c r="J26" s="105"/>
    </row>
    <row r="27" spans="1:10" s="20" customFormat="1">
      <c r="A27" s="75">
        <v>14</v>
      </c>
      <c r="B27" s="397" t="s">
        <v>50</v>
      </c>
      <c r="C27" s="581">
        <v>109</v>
      </c>
      <c r="J27" s="105"/>
    </row>
    <row r="28" spans="1:10" s="20" customFormat="1">
      <c r="A28" s="73">
        <v>15</v>
      </c>
      <c r="B28" s="393" t="s">
        <v>349</v>
      </c>
      <c r="C28" s="581"/>
      <c r="J28" s="105"/>
    </row>
    <row r="29" spans="1:10" s="20" customFormat="1">
      <c r="A29" s="75">
        <v>16</v>
      </c>
      <c r="B29" s="397" t="s">
        <v>51</v>
      </c>
      <c r="C29" s="582"/>
      <c r="J29" s="107"/>
    </row>
    <row r="30" spans="1:10" s="20" customFormat="1">
      <c r="A30" s="75">
        <v>17</v>
      </c>
      <c r="B30" s="398" t="s">
        <v>52</v>
      </c>
      <c r="C30" s="581">
        <f>SUM(C25:C29)</f>
        <v>109</v>
      </c>
    </row>
    <row r="31" spans="1:10" s="20" customFormat="1">
      <c r="A31" s="73">
        <v>18</v>
      </c>
      <c r="B31" s="78"/>
      <c r="C31" s="581"/>
      <c r="J31" s="105"/>
    </row>
    <row r="32" spans="1:10" s="20" customFormat="1">
      <c r="A32" s="75">
        <v>19</v>
      </c>
      <c r="B32" s="78" t="s">
        <v>53</v>
      </c>
      <c r="C32" s="581"/>
      <c r="J32" s="105"/>
    </row>
    <row r="33" spans="1:18" s="20" customFormat="1">
      <c r="A33" s="73">
        <v>20</v>
      </c>
      <c r="B33" s="397" t="s">
        <v>48</v>
      </c>
      <c r="C33" s="581"/>
      <c r="J33" s="105"/>
    </row>
    <row r="34" spans="1:18" s="20" customFormat="1">
      <c r="A34" s="75">
        <v>21</v>
      </c>
      <c r="B34" s="397" t="s">
        <v>54</v>
      </c>
      <c r="C34" s="581"/>
      <c r="J34" s="105"/>
    </row>
    <row r="35" spans="1:18" s="20" customFormat="1">
      <c r="A35" s="75">
        <v>22</v>
      </c>
      <c r="B35" s="397" t="s">
        <v>51</v>
      </c>
      <c r="C35" s="582"/>
      <c r="J35" s="107"/>
    </row>
    <row r="36" spans="1:18" s="20" customFormat="1">
      <c r="A36" s="73">
        <v>23</v>
      </c>
      <c r="B36" s="398" t="s">
        <v>55</v>
      </c>
      <c r="C36" s="581">
        <f>SUM(C33:C35)</f>
        <v>0</v>
      </c>
    </row>
    <row r="37" spans="1:18" s="20" customFormat="1">
      <c r="A37" s="75">
        <v>24</v>
      </c>
      <c r="B37" s="78"/>
      <c r="C37" s="581"/>
      <c r="J37" s="105"/>
    </row>
    <row r="38" spans="1:18" s="20" customFormat="1">
      <c r="A38" s="73">
        <v>25</v>
      </c>
      <c r="B38" s="78" t="s">
        <v>56</v>
      </c>
      <c r="C38" s="581">
        <v>0</v>
      </c>
      <c r="J38" s="105"/>
      <c r="K38" s="108"/>
      <c r="L38" s="101"/>
      <c r="O38" s="106"/>
      <c r="P38" s="109"/>
      <c r="Q38" s="109"/>
      <c r="R38" s="109"/>
    </row>
    <row r="39" spans="1:18" s="20" customFormat="1">
      <c r="A39" s="75">
        <v>26</v>
      </c>
      <c r="B39" s="78" t="s">
        <v>57</v>
      </c>
      <c r="C39" s="581"/>
      <c r="J39" s="105"/>
      <c r="M39" s="110"/>
      <c r="O39" s="81"/>
      <c r="P39" s="81"/>
      <c r="Q39" s="81"/>
      <c r="R39" s="109"/>
    </row>
    <row r="40" spans="1:18" s="20" customFormat="1">
      <c r="A40" s="75">
        <v>27</v>
      </c>
      <c r="B40" s="78" t="s">
        <v>58</v>
      </c>
      <c r="C40" s="581"/>
      <c r="J40" s="105"/>
      <c r="M40" s="110"/>
    </row>
    <row r="41" spans="1:18" s="20" customFormat="1">
      <c r="A41" s="73">
        <v>28</v>
      </c>
      <c r="B41" s="78"/>
      <c r="C41" s="581"/>
      <c r="J41" s="105"/>
    </row>
    <row r="42" spans="1:18" s="20" customFormat="1">
      <c r="A42" s="75">
        <v>29</v>
      </c>
      <c r="B42" s="78" t="s">
        <v>59</v>
      </c>
      <c r="C42" s="581"/>
      <c r="J42" s="105"/>
    </row>
    <row r="43" spans="1:18" s="20" customFormat="1">
      <c r="A43" s="73">
        <v>30</v>
      </c>
      <c r="B43" s="397" t="s">
        <v>48</v>
      </c>
      <c r="C43" s="581">
        <v>0</v>
      </c>
      <c r="J43" s="105"/>
    </row>
    <row r="44" spans="1:18" s="20" customFormat="1">
      <c r="A44" s="75">
        <v>31</v>
      </c>
      <c r="B44" s="397" t="s">
        <v>54</v>
      </c>
      <c r="C44" s="581"/>
      <c r="J44" s="105"/>
    </row>
    <row r="45" spans="1:18" s="20" customFormat="1">
      <c r="A45" s="75">
        <v>32</v>
      </c>
      <c r="B45" s="397" t="s">
        <v>51</v>
      </c>
      <c r="C45" s="582"/>
      <c r="J45" s="107"/>
    </row>
    <row r="46" spans="1:18" s="20" customFormat="1">
      <c r="A46" s="73">
        <v>33</v>
      </c>
      <c r="B46" s="398" t="s">
        <v>60</v>
      </c>
      <c r="C46" s="582">
        <f>SUM(C43:C45)</f>
        <v>0</v>
      </c>
      <c r="J46" s="111"/>
    </row>
    <row r="47" spans="1:18" s="20" customFormat="1">
      <c r="A47" s="75">
        <v>34</v>
      </c>
      <c r="B47" s="78" t="s">
        <v>61</v>
      </c>
      <c r="C47" s="582">
        <f>C46+C40+C39+C38+C36+C30</f>
        <v>109</v>
      </c>
      <c r="J47" s="111"/>
    </row>
    <row r="48" spans="1:18" s="20" customFormat="1">
      <c r="A48" s="73">
        <v>35</v>
      </c>
      <c r="B48" s="78"/>
      <c r="C48" s="581"/>
    </row>
    <row r="49" spans="1:18" s="20" customFormat="1">
      <c r="A49" s="75">
        <v>36</v>
      </c>
      <c r="B49" s="78" t="s">
        <v>62</v>
      </c>
      <c r="C49" s="581">
        <f>C21-C47</f>
        <v>-109</v>
      </c>
    </row>
    <row r="50" spans="1:18" s="20" customFormat="1">
      <c r="A50" s="75">
        <v>37</v>
      </c>
      <c r="B50" s="78"/>
      <c r="C50" s="581"/>
      <c r="J50" s="105"/>
    </row>
    <row r="51" spans="1:18" s="20" customFormat="1">
      <c r="A51" s="73">
        <v>38</v>
      </c>
      <c r="B51" s="78" t="s">
        <v>63</v>
      </c>
      <c r="C51" s="581"/>
      <c r="J51" s="105"/>
    </row>
    <row r="52" spans="1:18" s="20" customFormat="1">
      <c r="A52" s="75">
        <v>39</v>
      </c>
      <c r="B52" s="78" t="s">
        <v>64</v>
      </c>
      <c r="C52" s="581">
        <f>+ROUND(C104,0)</f>
        <v>-38</v>
      </c>
      <c r="J52" s="105"/>
      <c r="N52" s="15"/>
    </row>
    <row r="53" spans="1:18" s="20" customFormat="1">
      <c r="A53" s="75">
        <v>40</v>
      </c>
      <c r="B53" s="78" t="s">
        <v>366</v>
      </c>
      <c r="C53" s="581">
        <f>+ROUND((C77*' Capital '!$J$13)*-35%,0)</f>
        <v>-56</v>
      </c>
      <c r="J53" s="105"/>
      <c r="N53" s="15"/>
    </row>
    <row r="54" spans="1:18" s="20" customFormat="1">
      <c r="A54" s="73">
        <v>41</v>
      </c>
      <c r="B54" s="78" t="s">
        <v>65</v>
      </c>
      <c r="C54" s="581"/>
      <c r="J54" s="105"/>
      <c r="M54" s="15"/>
      <c r="N54" s="14"/>
    </row>
    <row r="55" spans="1:18" s="20" customFormat="1">
      <c r="A55" s="75">
        <v>42</v>
      </c>
      <c r="B55" s="78" t="s">
        <v>238</v>
      </c>
      <c r="C55" s="581"/>
      <c r="J55" s="105"/>
      <c r="M55" s="15"/>
      <c r="N55" s="14"/>
    </row>
    <row r="56" spans="1:18" s="20" customFormat="1">
      <c r="A56" s="75">
        <v>43</v>
      </c>
      <c r="B56" s="78"/>
      <c r="C56" s="581"/>
      <c r="J56" s="105"/>
      <c r="M56" s="15"/>
      <c r="N56" s="14"/>
    </row>
    <row r="57" spans="1:18">
      <c r="A57" s="73">
        <v>44</v>
      </c>
      <c r="C57" s="581"/>
      <c r="O57" s="15"/>
      <c r="P57" s="15"/>
      <c r="Q57" s="15"/>
      <c r="R57" s="15"/>
    </row>
    <row r="58" spans="1:18" s="15" customFormat="1" ht="13.5" thickBot="1">
      <c r="A58" s="75">
        <v>45</v>
      </c>
      <c r="B58" s="76" t="s">
        <v>66</v>
      </c>
      <c r="C58" s="598">
        <f>C49-SUM(C52:C56)</f>
        <v>-15</v>
      </c>
      <c r="J58" s="112"/>
      <c r="M58" s="14"/>
      <c r="N58" s="14"/>
      <c r="O58" s="14"/>
      <c r="P58" s="14"/>
      <c r="Q58" s="14"/>
      <c r="R58" s="14"/>
    </row>
    <row r="59" spans="1:18" ht="13.5" thickTop="1">
      <c r="A59" s="75">
        <v>46</v>
      </c>
      <c r="B59" s="2"/>
      <c r="C59" s="575"/>
    </row>
    <row r="60" spans="1:18">
      <c r="A60" s="73">
        <v>47</v>
      </c>
      <c r="B60" s="416" t="s">
        <v>21</v>
      </c>
      <c r="C60" s="575"/>
    </row>
    <row r="61" spans="1:18">
      <c r="A61" s="75">
        <v>48</v>
      </c>
      <c r="B61" s="63" t="s">
        <v>67</v>
      </c>
      <c r="C61" s="581"/>
      <c r="O61" s="15"/>
      <c r="P61" s="15"/>
      <c r="Q61" s="15"/>
      <c r="R61" s="15"/>
    </row>
    <row r="62" spans="1:18" s="15" customFormat="1">
      <c r="A62" s="75">
        <v>49</v>
      </c>
      <c r="B62" s="396" t="s">
        <v>68</v>
      </c>
      <c r="C62" s="599"/>
      <c r="J62" s="113"/>
      <c r="M62" s="14"/>
      <c r="N62" s="14"/>
      <c r="O62" s="20"/>
      <c r="P62" s="20"/>
      <c r="Q62" s="20"/>
      <c r="R62" s="20"/>
    </row>
    <row r="63" spans="1:18" s="20" customFormat="1">
      <c r="A63" s="73">
        <v>50</v>
      </c>
      <c r="B63" s="397" t="s">
        <v>69</v>
      </c>
      <c r="C63" s="581"/>
      <c r="J63" s="105"/>
      <c r="M63" s="14"/>
      <c r="N63" s="14"/>
    </row>
    <row r="64" spans="1:18" s="20" customFormat="1">
      <c r="A64" s="75">
        <v>51</v>
      </c>
      <c r="B64" s="397" t="s">
        <v>70</v>
      </c>
      <c r="C64" s="581">
        <v>5415</v>
      </c>
      <c r="J64" s="105"/>
      <c r="M64" s="14"/>
      <c r="N64" s="14"/>
    </row>
    <row r="65" spans="1:18" s="20" customFormat="1">
      <c r="A65" s="75">
        <v>52</v>
      </c>
      <c r="B65" s="397" t="s">
        <v>53</v>
      </c>
      <c r="C65" s="581"/>
      <c r="J65" s="105"/>
      <c r="M65" s="14"/>
      <c r="N65" s="14"/>
    </row>
    <row r="66" spans="1:18" s="20" customFormat="1">
      <c r="A66" s="73">
        <v>53</v>
      </c>
      <c r="B66" s="397" t="s">
        <v>71</v>
      </c>
      <c r="C66" s="582"/>
      <c r="J66" s="107"/>
      <c r="M66" s="14"/>
      <c r="N66" s="14"/>
    </row>
    <row r="67" spans="1:18" s="20" customFormat="1">
      <c r="A67" s="75">
        <v>54</v>
      </c>
      <c r="B67" s="398" t="s">
        <v>72</v>
      </c>
      <c r="C67" s="581">
        <f>SUM(C62:C66)</f>
        <v>5415</v>
      </c>
      <c r="M67" s="14"/>
      <c r="N67" s="14"/>
    </row>
    <row r="68" spans="1:18" s="20" customFormat="1">
      <c r="A68" s="75">
        <v>55</v>
      </c>
      <c r="B68" s="78" t="s">
        <v>244</v>
      </c>
      <c r="C68" s="581">
        <v>140</v>
      </c>
      <c r="J68" s="105"/>
      <c r="M68" s="14"/>
      <c r="N68" s="14"/>
    </row>
    <row r="69" spans="1:18" s="20" customFormat="1">
      <c r="A69" s="73">
        <v>56</v>
      </c>
      <c r="B69" s="78" t="s">
        <v>245</v>
      </c>
      <c r="C69" s="582"/>
      <c r="J69" s="107"/>
      <c r="M69" s="14"/>
      <c r="N69" s="14"/>
    </row>
    <row r="70" spans="1:18" s="20" customFormat="1">
      <c r="A70" s="75">
        <v>57</v>
      </c>
      <c r="B70" s="397" t="s">
        <v>73</v>
      </c>
      <c r="C70" s="581">
        <f>SUM(C68:C69)</f>
        <v>140</v>
      </c>
      <c r="M70" s="14"/>
      <c r="N70" s="14"/>
    </row>
    <row r="71" spans="1:18" s="20" customFormat="1">
      <c r="A71" s="75">
        <v>58</v>
      </c>
      <c r="B71" s="78" t="s">
        <v>249</v>
      </c>
      <c r="C71" s="581"/>
      <c r="J71" s="105"/>
      <c r="M71" s="14"/>
      <c r="N71" s="14"/>
    </row>
    <row r="72" spans="1:18" s="20" customFormat="1">
      <c r="A72" s="73">
        <v>59</v>
      </c>
      <c r="B72" s="78" t="s">
        <v>351</v>
      </c>
      <c r="C72" s="581"/>
      <c r="J72" s="105"/>
      <c r="M72" s="14"/>
      <c r="N72" s="14"/>
    </row>
    <row r="73" spans="1:18" s="20" customFormat="1">
      <c r="A73" s="75">
        <v>60</v>
      </c>
      <c r="B73" s="78" t="s">
        <v>236</v>
      </c>
      <c r="C73" s="581"/>
      <c r="J73" s="105"/>
      <c r="M73" s="14"/>
      <c r="N73" s="14"/>
    </row>
    <row r="74" spans="1:18" s="20" customFormat="1">
      <c r="A74" s="75">
        <v>61</v>
      </c>
      <c r="B74" s="78" t="s">
        <v>247</v>
      </c>
      <c r="C74" s="581"/>
      <c r="J74" s="105"/>
      <c r="M74" s="14"/>
      <c r="N74" s="14"/>
    </row>
    <row r="75" spans="1:18" s="20" customFormat="1">
      <c r="A75" s="73">
        <v>62</v>
      </c>
      <c r="B75" s="78" t="s">
        <v>248</v>
      </c>
      <c r="C75" s="582">
        <v>-102</v>
      </c>
      <c r="J75" s="107"/>
      <c r="M75" s="14"/>
      <c r="N75" s="14"/>
    </row>
    <row r="76" spans="1:18" s="20" customFormat="1">
      <c r="A76" s="75">
        <v>63</v>
      </c>
      <c r="B76" s="78"/>
      <c r="C76" s="581"/>
      <c r="M76" s="14"/>
      <c r="N76" s="14"/>
      <c r="O76" s="15"/>
      <c r="P76" s="15"/>
      <c r="Q76" s="15"/>
      <c r="R76" s="15"/>
    </row>
    <row r="77" spans="1:18" s="15" customFormat="1" ht="13.5" thickBot="1">
      <c r="A77" s="75">
        <v>64</v>
      </c>
      <c r="B77" s="425" t="s">
        <v>74</v>
      </c>
      <c r="C77" s="598">
        <f t="shared" ref="C77" si="0">C67-C70+C71+C75</f>
        <v>5173</v>
      </c>
      <c r="J77" s="112"/>
      <c r="M77" s="14"/>
      <c r="N77" s="14"/>
      <c r="O77" s="14"/>
      <c r="P77" s="14"/>
      <c r="Q77" s="14"/>
      <c r="R77" s="14"/>
    </row>
    <row r="78" spans="1:18" ht="13.5" thickTop="1">
      <c r="B78" s="83"/>
    </row>
    <row r="79" spans="1:18">
      <c r="A79" s="84"/>
      <c r="B79" s="38"/>
      <c r="C79" s="587"/>
    </row>
    <row r="80" spans="1:18">
      <c r="A80" s="89"/>
      <c r="B80" s="86"/>
    </row>
    <row r="81" spans="1:3">
      <c r="A81" s="89">
        <v>1</v>
      </c>
      <c r="B81" s="392" t="s">
        <v>116</v>
      </c>
    </row>
    <row r="82" spans="1:3">
      <c r="A82" s="89">
        <v>2</v>
      </c>
      <c r="B82" s="87" t="s">
        <v>117</v>
      </c>
      <c r="C82" s="600">
        <f t="shared" ref="C82" si="1">+C21</f>
        <v>0</v>
      </c>
    </row>
    <row r="83" spans="1:3">
      <c r="A83" s="89">
        <v>3</v>
      </c>
      <c r="B83" s="87" t="s">
        <v>118</v>
      </c>
      <c r="C83" s="588">
        <f t="shared" ref="C83" si="2">-C47</f>
        <v>-109</v>
      </c>
    </row>
    <row r="84" spans="1:3">
      <c r="A84" s="89">
        <v>4</v>
      </c>
      <c r="B84" s="87" t="s">
        <v>134</v>
      </c>
      <c r="C84" s="581"/>
    </row>
    <row r="85" spans="1:3">
      <c r="A85" s="89">
        <v>5</v>
      </c>
      <c r="B85" s="405" t="s">
        <v>119</v>
      </c>
      <c r="C85" s="589">
        <f>SUM(C82:C84)</f>
        <v>-109</v>
      </c>
    </row>
    <row r="86" spans="1:3">
      <c r="A86" s="89">
        <v>6</v>
      </c>
      <c r="B86" s="86"/>
      <c r="C86" s="590"/>
    </row>
    <row r="87" spans="1:3">
      <c r="A87" s="89">
        <v>7</v>
      </c>
      <c r="B87" s="86" t="s">
        <v>120</v>
      </c>
      <c r="C87" s="590"/>
    </row>
    <row r="88" spans="1:3">
      <c r="A88" s="89">
        <v>8</v>
      </c>
      <c r="B88" s="404" t="s">
        <v>121</v>
      </c>
      <c r="C88" s="590"/>
    </row>
    <row r="89" spans="1:3">
      <c r="A89" s="89">
        <v>9</v>
      </c>
      <c r="B89" s="404" t="s">
        <v>130</v>
      </c>
      <c r="C89" s="590"/>
    </row>
    <row r="90" spans="1:3">
      <c r="A90" s="89">
        <v>10</v>
      </c>
      <c r="B90" s="404" t="s">
        <v>122</v>
      </c>
      <c r="C90" s="590"/>
    </row>
    <row r="91" spans="1:3">
      <c r="A91" s="89">
        <v>11</v>
      </c>
      <c r="B91" s="86"/>
      <c r="C91" s="590"/>
    </row>
    <row r="92" spans="1:3">
      <c r="A92" s="89">
        <v>12</v>
      </c>
      <c r="B92" s="406" t="s">
        <v>278</v>
      </c>
      <c r="C92" s="589">
        <f>SUM(C88:C90)</f>
        <v>0</v>
      </c>
    </row>
    <row r="93" spans="1:3">
      <c r="A93" s="89">
        <v>13</v>
      </c>
      <c r="B93" s="86"/>
      <c r="C93" s="590"/>
    </row>
    <row r="94" spans="1:3">
      <c r="A94" s="89">
        <v>14</v>
      </c>
      <c r="B94" s="86" t="s">
        <v>124</v>
      </c>
      <c r="C94" s="590"/>
    </row>
    <row r="95" spans="1:3">
      <c r="A95" s="89">
        <v>15</v>
      </c>
      <c r="B95" s="404" t="s">
        <v>178</v>
      </c>
      <c r="C95" s="590"/>
    </row>
    <row r="96" spans="1:3">
      <c r="A96" s="89">
        <v>16</v>
      </c>
      <c r="B96" s="404" t="s">
        <v>133</v>
      </c>
      <c r="C96" s="590"/>
    </row>
    <row r="97" spans="1:3">
      <c r="A97" s="89">
        <v>17</v>
      </c>
      <c r="B97" s="404" t="s">
        <v>122</v>
      </c>
      <c r="C97" s="590"/>
    </row>
    <row r="98" spans="1:3">
      <c r="A98" s="89">
        <v>18</v>
      </c>
      <c r="B98" s="406" t="s">
        <v>279</v>
      </c>
      <c r="C98" s="589">
        <f>SUM(C95:C97)</f>
        <v>0</v>
      </c>
    </row>
    <row r="99" spans="1:3">
      <c r="A99" s="89">
        <v>19</v>
      </c>
      <c r="B99" s="86"/>
      <c r="C99" s="590"/>
    </row>
    <row r="100" spans="1:3">
      <c r="A100" s="89">
        <v>20</v>
      </c>
      <c r="B100" s="87" t="s">
        <v>268</v>
      </c>
      <c r="C100" s="584">
        <f>+C82+C83+C84+C92-C98</f>
        <v>-109</v>
      </c>
    </row>
    <row r="101" spans="1:3">
      <c r="A101" s="89">
        <v>21</v>
      </c>
      <c r="B101" s="404" t="s">
        <v>280</v>
      </c>
      <c r="C101" s="591">
        <v>0.35</v>
      </c>
    </row>
    <row r="102" spans="1:3">
      <c r="A102" s="89">
        <v>22</v>
      </c>
      <c r="B102" s="404" t="s">
        <v>127</v>
      </c>
      <c r="C102" s="592">
        <f>C100*C101</f>
        <v>-38.15</v>
      </c>
    </row>
    <row r="103" spans="1:3">
      <c r="A103" s="89">
        <v>23</v>
      </c>
      <c r="B103" s="404" t="s">
        <v>128</v>
      </c>
      <c r="C103" s="590">
        <f>+(C95-C88+C96)*C101</f>
        <v>0</v>
      </c>
    </row>
    <row r="104" spans="1:3" ht="13.5" thickBot="1">
      <c r="A104" s="89">
        <v>24</v>
      </c>
      <c r="B104" s="95" t="s">
        <v>129</v>
      </c>
      <c r="C104" s="593">
        <f>ROUND(+C102+C103,0)</f>
        <v>-38</v>
      </c>
    </row>
    <row r="105" spans="1:3" ht="13.5" thickTop="1"/>
  </sheetData>
  <printOptions horizontalCentered="1"/>
  <pageMargins left="0.5" right="0.5" top="1.5" bottom="0.3" header="0.5" footer="0.5"/>
  <pageSetup scale="60" firstPageNumber="2" fitToWidth="0" orientation="portrait" r:id="rId1"/>
  <headerFooter scaleWithDoc="0" alignWithMargins="0">
    <oddHeader>&amp;L&amp;"Arial,Regular"&amp;10Avista Corporation
&amp;"Arial,Bold"Electric - Pro Forma Adjustments (Schedule 1.3)&amp;"Arial,Regular"
Twelve Months Ended December 31,2011&amp;R&amp;"Arial,Regular"&amp;10Exhibit No. ___ (JH-2)
Docket UE-120436 &amp; UG-120437
Page &amp;P of  &amp;N</oddHeader>
  </headerFooter>
  <colBreaks count="1" manualBreakCount="1">
    <brk id="9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5" zoomScaleNormal="75" workbookViewId="0">
      <pane xSplit="2" ySplit="12" topLeftCell="C31" activePane="bottomRight" state="frozen"/>
      <selection activeCell="G79" sqref="G79"/>
      <selection pane="topRight" activeCell="G79" sqref="G79"/>
      <selection pane="bottomLeft" activeCell="G79" sqref="G79"/>
      <selection pane="bottomRight" activeCell="C54" sqref="C54"/>
    </sheetView>
  </sheetViews>
  <sheetFormatPr defaultColWidth="10.625" defaultRowHeight="12.75"/>
  <cols>
    <col min="1" max="1" width="4.375" style="64" bestFit="1" customWidth="1"/>
    <col min="2" max="2" width="36.5" style="63" bestFit="1" customWidth="1"/>
    <col min="3" max="3" width="13.625" style="586" customWidth="1"/>
    <col min="4" max="9" width="9" style="101" customWidth="1"/>
    <col min="10" max="10" width="11.625" style="65" hidden="1" customWidth="1"/>
    <col min="11" max="11" width="5" style="14" customWidth="1"/>
    <col min="12" max="12" width="2.75" style="14" customWidth="1"/>
    <col min="13" max="13" width="11.75" style="14" customWidth="1"/>
    <col min="14" max="14" width="2.625" style="14" customWidth="1"/>
    <col min="15" max="15" width="10.875" style="14" customWidth="1"/>
    <col min="16" max="16" width="6.75" style="14" customWidth="1"/>
    <col min="17" max="18" width="9.625" style="14" customWidth="1"/>
    <col min="19" max="19" width="10.625" style="14" customWidth="1"/>
    <col min="20" max="20" width="6.75" style="14" customWidth="1"/>
    <col min="21" max="16384" width="10.625" style="14"/>
  </cols>
  <sheetData>
    <row r="1" spans="1:13">
      <c r="A1" s="56"/>
      <c r="B1" s="9" t="s">
        <v>281</v>
      </c>
      <c r="C1" s="575"/>
      <c r="D1" s="14"/>
      <c r="E1" s="14"/>
      <c r="F1" s="14"/>
      <c r="G1" s="14"/>
      <c r="H1" s="14"/>
      <c r="I1" s="14"/>
    </row>
    <row r="2" spans="1:13">
      <c r="A2" s="411"/>
      <c r="B2" s="14"/>
      <c r="C2" s="573" t="s">
        <v>252</v>
      </c>
      <c r="D2" s="14"/>
      <c r="E2" s="14"/>
      <c r="F2" s="14"/>
      <c r="G2" s="14"/>
      <c r="H2" s="14"/>
      <c r="I2" s="14"/>
    </row>
    <row r="3" spans="1:13">
      <c r="A3" s="411"/>
      <c r="B3" s="14"/>
      <c r="C3" s="575"/>
      <c r="D3" s="14"/>
      <c r="E3" s="14"/>
      <c r="F3" s="14"/>
      <c r="G3" s="14"/>
      <c r="H3" s="14"/>
      <c r="I3" s="14"/>
    </row>
    <row r="4" spans="1:13" ht="13.5" thickBot="1">
      <c r="A4" s="411"/>
      <c r="B4" s="14"/>
      <c r="C4" s="614"/>
      <c r="D4" s="14"/>
      <c r="E4" s="14"/>
      <c r="F4" s="14"/>
      <c r="G4" s="14"/>
      <c r="H4" s="14"/>
      <c r="I4" s="14"/>
    </row>
    <row r="5" spans="1:13">
      <c r="A5" s="402"/>
      <c r="B5" s="64" t="str">
        <f>+Restating!B5</f>
        <v>(000's of Dollars)</v>
      </c>
    </row>
    <row r="6" spans="1:13">
      <c r="A6" s="62"/>
    </row>
    <row r="7" spans="1:13">
      <c r="A7" s="403"/>
      <c r="B7" s="64" t="s">
        <v>100</v>
      </c>
      <c r="C7" s="601"/>
    </row>
    <row r="8" spans="1:13">
      <c r="A8" s="403"/>
      <c r="B8" s="64"/>
      <c r="C8" s="612"/>
    </row>
    <row r="9" spans="1:13">
      <c r="A9" s="62"/>
      <c r="C9" s="596">
        <v>3.08</v>
      </c>
    </row>
    <row r="10" spans="1:13" s="71" customFormat="1">
      <c r="A10" s="414"/>
      <c r="B10" s="420"/>
      <c r="C10" s="602"/>
      <c r="J10" s="68"/>
    </row>
    <row r="11" spans="1:13" s="71" customFormat="1">
      <c r="A11" s="414" t="s">
        <v>5</v>
      </c>
      <c r="B11" s="420"/>
      <c r="C11" s="578" t="s">
        <v>402</v>
      </c>
      <c r="J11" s="68"/>
    </row>
    <row r="12" spans="1:13" s="71" customFormat="1">
      <c r="A12" s="421" t="s">
        <v>10</v>
      </c>
      <c r="B12" s="422" t="s">
        <v>11</v>
      </c>
      <c r="C12" s="613" t="s">
        <v>403</v>
      </c>
      <c r="J12" s="68"/>
    </row>
    <row r="13" spans="1:13" s="72" customFormat="1">
      <c r="A13" s="418"/>
      <c r="B13" s="115" t="s">
        <v>155</v>
      </c>
      <c r="C13" s="605"/>
      <c r="J13" s="60"/>
    </row>
    <row r="14" spans="1:13">
      <c r="A14" s="73">
        <v>1</v>
      </c>
      <c r="B14" s="416" t="s">
        <v>98</v>
      </c>
      <c r="J14" s="61"/>
    </row>
    <row r="15" spans="1:13">
      <c r="A15" s="75">
        <v>2</v>
      </c>
      <c r="B15" s="63" t="s">
        <v>40</v>
      </c>
      <c r="C15" s="575"/>
      <c r="J15" s="61"/>
    </row>
    <row r="16" spans="1:13" s="15" customFormat="1">
      <c r="A16" s="75">
        <v>3</v>
      </c>
      <c r="B16" s="76" t="s">
        <v>41</v>
      </c>
      <c r="C16" s="580"/>
      <c r="J16" s="77"/>
      <c r="K16" s="104"/>
      <c r="L16" s="104"/>
      <c r="M16" s="104"/>
    </row>
    <row r="17" spans="1:10" s="20" customFormat="1">
      <c r="A17" s="73">
        <v>4</v>
      </c>
      <c r="B17" s="78" t="s">
        <v>42</v>
      </c>
      <c r="C17" s="581"/>
      <c r="J17" s="105"/>
    </row>
    <row r="18" spans="1:10" s="20" customFormat="1">
      <c r="A18" s="75">
        <v>5</v>
      </c>
      <c r="B18" s="78" t="s">
        <v>43</v>
      </c>
      <c r="C18" s="582"/>
      <c r="J18" s="107"/>
    </row>
    <row r="19" spans="1:10" s="20" customFormat="1">
      <c r="A19" s="75">
        <v>6</v>
      </c>
      <c r="B19" s="397" t="s">
        <v>44</v>
      </c>
      <c r="C19" s="581"/>
    </row>
    <row r="20" spans="1:10" s="20" customFormat="1">
      <c r="A20" s="73">
        <v>7</v>
      </c>
      <c r="B20" s="78" t="s">
        <v>45</v>
      </c>
      <c r="C20" s="582"/>
      <c r="J20" s="107"/>
    </row>
    <row r="21" spans="1:10" s="20" customFormat="1">
      <c r="A21" s="75">
        <v>8</v>
      </c>
      <c r="B21" s="397" t="s">
        <v>46</v>
      </c>
      <c r="C21" s="581"/>
    </row>
    <row r="22" spans="1:10" s="20" customFormat="1">
      <c r="A22" s="75">
        <v>9</v>
      </c>
      <c r="B22" s="78"/>
      <c r="C22" s="581"/>
      <c r="J22" s="105"/>
    </row>
    <row r="23" spans="1:10" s="20" customFormat="1">
      <c r="A23" s="73">
        <v>10</v>
      </c>
      <c r="B23" s="78" t="s">
        <v>20</v>
      </c>
      <c r="C23" s="581"/>
      <c r="J23" s="105"/>
    </row>
    <row r="24" spans="1:10" s="20" customFormat="1">
      <c r="A24" s="75">
        <v>11</v>
      </c>
      <c r="B24" s="78" t="s">
        <v>47</v>
      </c>
      <c r="C24" s="581"/>
      <c r="J24" s="105"/>
    </row>
    <row r="25" spans="1:10" s="20" customFormat="1">
      <c r="A25" s="75">
        <v>12</v>
      </c>
      <c r="B25" s="397" t="s">
        <v>48</v>
      </c>
      <c r="C25" s="581"/>
      <c r="J25" s="105"/>
    </row>
    <row r="26" spans="1:10" s="20" customFormat="1">
      <c r="A26" s="73">
        <v>13</v>
      </c>
      <c r="B26" s="397" t="s">
        <v>49</v>
      </c>
      <c r="C26" s="581"/>
      <c r="J26" s="105"/>
    </row>
    <row r="27" spans="1:10" s="20" customFormat="1">
      <c r="A27" s="75">
        <v>14</v>
      </c>
      <c r="B27" s="397" t="s">
        <v>50</v>
      </c>
      <c r="C27" s="581">
        <v>0</v>
      </c>
      <c r="J27" s="105"/>
    </row>
    <row r="28" spans="1:10" s="20" customFormat="1">
      <c r="A28" s="73">
        <v>15</v>
      </c>
      <c r="B28" s="393" t="s">
        <v>349</v>
      </c>
      <c r="C28" s="581"/>
      <c r="J28" s="105"/>
    </row>
    <row r="29" spans="1:10" s="20" customFormat="1">
      <c r="A29" s="75">
        <v>16</v>
      </c>
      <c r="B29" s="397" t="s">
        <v>51</v>
      </c>
      <c r="C29" s="582"/>
      <c r="J29" s="107"/>
    </row>
    <row r="30" spans="1:10" s="20" customFormat="1">
      <c r="A30" s="75">
        <v>17</v>
      </c>
      <c r="B30" s="398" t="s">
        <v>52</v>
      </c>
      <c r="C30" s="581">
        <f>SUM(C25:C29)</f>
        <v>0</v>
      </c>
    </row>
    <row r="31" spans="1:10" s="20" customFormat="1">
      <c r="A31" s="73">
        <v>18</v>
      </c>
      <c r="B31" s="78"/>
      <c r="C31" s="581"/>
      <c r="J31" s="105"/>
    </row>
    <row r="32" spans="1:10" s="20" customFormat="1">
      <c r="A32" s="75">
        <v>19</v>
      </c>
      <c r="B32" s="78" t="s">
        <v>53</v>
      </c>
      <c r="C32" s="581"/>
      <c r="J32" s="105"/>
    </row>
    <row r="33" spans="1:18" s="20" customFormat="1">
      <c r="A33" s="73">
        <v>20</v>
      </c>
      <c r="B33" s="397" t="s">
        <v>48</v>
      </c>
      <c r="C33" s="581"/>
      <c r="J33" s="105"/>
    </row>
    <row r="34" spans="1:18" s="20" customFormat="1">
      <c r="A34" s="75">
        <v>21</v>
      </c>
      <c r="B34" s="397" t="s">
        <v>54</v>
      </c>
      <c r="C34" s="581"/>
      <c r="J34" s="105"/>
    </row>
    <row r="35" spans="1:18" s="20" customFormat="1">
      <c r="A35" s="75">
        <v>22</v>
      </c>
      <c r="B35" s="397" t="s">
        <v>51</v>
      </c>
      <c r="C35" s="582"/>
      <c r="J35" s="107"/>
    </row>
    <row r="36" spans="1:18" s="20" customFormat="1">
      <c r="A36" s="73">
        <v>23</v>
      </c>
      <c r="B36" s="398" t="s">
        <v>55</v>
      </c>
      <c r="C36" s="581">
        <f>SUM(C33:C35)</f>
        <v>0</v>
      </c>
    </row>
    <row r="37" spans="1:18" s="20" customFormat="1">
      <c r="A37" s="75">
        <v>24</v>
      </c>
      <c r="B37" s="78"/>
      <c r="C37" s="581"/>
      <c r="J37" s="105"/>
    </row>
    <row r="38" spans="1:18" s="20" customFormat="1">
      <c r="A38" s="73">
        <v>25</v>
      </c>
      <c r="B38" s="78" t="s">
        <v>56</v>
      </c>
      <c r="C38" s="581">
        <v>0</v>
      </c>
      <c r="J38" s="105"/>
      <c r="K38" s="108"/>
      <c r="L38" s="101"/>
      <c r="O38" s="106"/>
      <c r="P38" s="109"/>
      <c r="Q38" s="109"/>
      <c r="R38" s="109"/>
    </row>
    <row r="39" spans="1:18" s="20" customFormat="1">
      <c r="A39" s="75">
        <v>26</v>
      </c>
      <c r="B39" s="78" t="s">
        <v>57</v>
      </c>
      <c r="C39" s="581"/>
      <c r="J39" s="105"/>
      <c r="M39" s="110"/>
      <c r="O39" s="81"/>
      <c r="P39" s="81"/>
      <c r="Q39" s="81"/>
      <c r="R39" s="109"/>
    </row>
    <row r="40" spans="1:18" s="20" customFormat="1">
      <c r="A40" s="75">
        <v>27</v>
      </c>
      <c r="B40" s="78" t="s">
        <v>58</v>
      </c>
      <c r="C40" s="581"/>
      <c r="J40" s="105"/>
      <c r="M40" s="110"/>
    </row>
    <row r="41" spans="1:18" s="20" customFormat="1">
      <c r="A41" s="73">
        <v>28</v>
      </c>
      <c r="B41" s="78"/>
      <c r="C41" s="581"/>
      <c r="J41" s="105"/>
    </row>
    <row r="42" spans="1:18" s="20" customFormat="1">
      <c r="A42" s="75">
        <v>29</v>
      </c>
      <c r="B42" s="78" t="s">
        <v>59</v>
      </c>
      <c r="C42" s="581"/>
      <c r="J42" s="105"/>
    </row>
    <row r="43" spans="1:18" s="20" customFormat="1">
      <c r="A43" s="73">
        <v>30</v>
      </c>
      <c r="B43" s="397" t="s">
        <v>48</v>
      </c>
      <c r="C43" s="581">
        <v>0</v>
      </c>
      <c r="J43" s="105"/>
    </row>
    <row r="44" spans="1:18" s="20" customFormat="1">
      <c r="A44" s="75">
        <v>31</v>
      </c>
      <c r="B44" s="397" t="s">
        <v>54</v>
      </c>
      <c r="C44" s="581"/>
      <c r="J44" s="105"/>
    </row>
    <row r="45" spans="1:18" s="20" customFormat="1">
      <c r="A45" s="75">
        <v>32</v>
      </c>
      <c r="B45" s="397" t="s">
        <v>51</v>
      </c>
      <c r="C45" s="582"/>
      <c r="J45" s="107"/>
    </row>
    <row r="46" spans="1:18" s="20" customFormat="1">
      <c r="A46" s="73">
        <v>33</v>
      </c>
      <c r="B46" s="398" t="s">
        <v>60</v>
      </c>
      <c r="C46" s="582">
        <f>SUM(C43:C45)</f>
        <v>0</v>
      </c>
      <c r="J46" s="111"/>
    </row>
    <row r="47" spans="1:18" s="20" customFormat="1">
      <c r="A47" s="75">
        <v>34</v>
      </c>
      <c r="B47" s="78" t="s">
        <v>61</v>
      </c>
      <c r="C47" s="582">
        <f>C46+C40+C39+C38+C36+C30</f>
        <v>0</v>
      </c>
      <c r="J47" s="111"/>
    </row>
    <row r="48" spans="1:18" s="20" customFormat="1">
      <c r="A48" s="73">
        <v>35</v>
      </c>
      <c r="B48" s="78"/>
      <c r="C48" s="581"/>
    </row>
    <row r="49" spans="1:18" s="20" customFormat="1">
      <c r="A49" s="75">
        <v>36</v>
      </c>
      <c r="B49" s="78" t="s">
        <v>62</v>
      </c>
      <c r="C49" s="581">
        <f>C21-C47</f>
        <v>0</v>
      </c>
    </row>
    <row r="50" spans="1:18" s="20" customFormat="1">
      <c r="A50" s="75">
        <v>37</v>
      </c>
      <c r="B50" s="78"/>
      <c r="C50" s="581"/>
      <c r="J50" s="105"/>
    </row>
    <row r="51" spans="1:18" s="20" customFormat="1">
      <c r="A51" s="73">
        <v>38</v>
      </c>
      <c r="B51" s="78" t="s">
        <v>63</v>
      </c>
      <c r="C51" s="581"/>
      <c r="J51" s="105"/>
    </row>
    <row r="52" spans="1:18" s="20" customFormat="1">
      <c r="A52" s="75">
        <v>39</v>
      </c>
      <c r="B52" s="78" t="s">
        <v>64</v>
      </c>
      <c r="C52" s="581">
        <f>+C104</f>
        <v>0</v>
      </c>
      <c r="J52" s="105"/>
      <c r="N52" s="15"/>
    </row>
    <row r="53" spans="1:18" s="20" customFormat="1">
      <c r="A53" s="75">
        <v>40</v>
      </c>
      <c r="B53" s="78" t="s">
        <v>366</v>
      </c>
      <c r="C53" s="581">
        <f>+ROUND((C77*' Capital '!$J$13)*-35%,0)</f>
        <v>9</v>
      </c>
      <c r="J53" s="105"/>
      <c r="N53" s="15"/>
    </row>
    <row r="54" spans="1:18" s="20" customFormat="1">
      <c r="A54" s="73">
        <v>41</v>
      </c>
      <c r="B54" s="78" t="s">
        <v>65</v>
      </c>
      <c r="C54" s="581"/>
      <c r="J54" s="105"/>
      <c r="M54" s="15"/>
      <c r="N54" s="14"/>
    </row>
    <row r="55" spans="1:18" s="20" customFormat="1">
      <c r="A55" s="75">
        <v>42</v>
      </c>
      <c r="B55" s="78" t="s">
        <v>238</v>
      </c>
      <c r="C55" s="581"/>
      <c r="J55" s="105"/>
      <c r="M55" s="15"/>
      <c r="N55" s="14"/>
    </row>
    <row r="56" spans="1:18" s="20" customFormat="1">
      <c r="A56" s="75">
        <v>43</v>
      </c>
      <c r="B56" s="78"/>
      <c r="C56" s="581"/>
      <c r="J56" s="105"/>
      <c r="M56" s="15"/>
      <c r="N56" s="14"/>
    </row>
    <row r="57" spans="1:18">
      <c r="A57" s="73">
        <v>44</v>
      </c>
      <c r="C57" s="581"/>
      <c r="O57" s="15"/>
      <c r="P57" s="15"/>
      <c r="Q57" s="15"/>
      <c r="R57" s="15"/>
    </row>
    <row r="58" spans="1:18" s="15" customFormat="1" ht="13.5" thickBot="1">
      <c r="A58" s="75">
        <v>45</v>
      </c>
      <c r="B58" s="76" t="s">
        <v>66</v>
      </c>
      <c r="C58" s="598">
        <f>C49-SUM(C52:C56)</f>
        <v>-9</v>
      </c>
      <c r="J58" s="112"/>
      <c r="M58" s="14"/>
      <c r="N58" s="14"/>
      <c r="O58" s="14"/>
      <c r="P58" s="14"/>
      <c r="Q58" s="14"/>
      <c r="R58" s="14"/>
    </row>
    <row r="59" spans="1:18" ht="13.5" thickTop="1">
      <c r="A59" s="75">
        <v>46</v>
      </c>
      <c r="B59" s="2"/>
      <c r="C59" s="575"/>
    </row>
    <row r="60" spans="1:18">
      <c r="A60" s="73">
        <v>47</v>
      </c>
      <c r="B60" s="416" t="s">
        <v>21</v>
      </c>
      <c r="C60" s="575"/>
    </row>
    <row r="61" spans="1:18">
      <c r="A61" s="75">
        <v>48</v>
      </c>
      <c r="B61" s="63" t="s">
        <v>67</v>
      </c>
      <c r="C61" s="581"/>
      <c r="O61" s="15"/>
      <c r="P61" s="15"/>
      <c r="Q61" s="15"/>
      <c r="R61" s="15"/>
    </row>
    <row r="62" spans="1:18" s="15" customFormat="1">
      <c r="A62" s="75">
        <v>49</v>
      </c>
      <c r="B62" s="396" t="s">
        <v>68</v>
      </c>
      <c r="C62" s="599"/>
      <c r="J62" s="113"/>
      <c r="M62" s="14"/>
      <c r="N62" s="14"/>
      <c r="O62" s="20"/>
      <c r="P62" s="20"/>
      <c r="Q62" s="20"/>
      <c r="R62" s="20"/>
    </row>
    <row r="63" spans="1:18" s="20" customFormat="1">
      <c r="A63" s="73">
        <v>50</v>
      </c>
      <c r="B63" s="397" t="s">
        <v>69</v>
      </c>
      <c r="C63" s="581"/>
      <c r="J63" s="105"/>
      <c r="M63" s="14"/>
      <c r="N63" s="14"/>
    </row>
    <row r="64" spans="1:18" s="20" customFormat="1">
      <c r="A64" s="75">
        <v>51</v>
      </c>
      <c r="B64" s="397" t="s">
        <v>70</v>
      </c>
      <c r="C64" s="581"/>
      <c r="J64" s="105"/>
      <c r="M64" s="14"/>
      <c r="N64" s="14"/>
    </row>
    <row r="65" spans="1:18" s="20" customFormat="1">
      <c r="A65" s="75">
        <v>52</v>
      </c>
      <c r="B65" s="397" t="s">
        <v>53</v>
      </c>
      <c r="C65" s="581">
        <v>-896</v>
      </c>
      <c r="J65" s="105"/>
      <c r="M65" s="14"/>
      <c r="N65" s="14"/>
    </row>
    <row r="66" spans="1:18" s="20" customFormat="1">
      <c r="A66" s="73">
        <v>53</v>
      </c>
      <c r="B66" s="397" t="s">
        <v>71</v>
      </c>
      <c r="C66" s="582"/>
      <c r="J66" s="107"/>
      <c r="M66" s="14"/>
      <c r="N66" s="14"/>
    </row>
    <row r="67" spans="1:18" s="20" customFormat="1">
      <c r="A67" s="75">
        <v>54</v>
      </c>
      <c r="B67" s="398" t="s">
        <v>72</v>
      </c>
      <c r="C67" s="581">
        <f>SUM(C62:C66)</f>
        <v>-896</v>
      </c>
      <c r="M67" s="14"/>
      <c r="N67" s="14"/>
    </row>
    <row r="68" spans="1:18" s="20" customFormat="1">
      <c r="A68" s="75">
        <v>55</v>
      </c>
      <c r="B68" s="78" t="s">
        <v>244</v>
      </c>
      <c r="C68" s="581">
        <v>-88</v>
      </c>
      <c r="J68" s="105"/>
      <c r="M68" s="14"/>
      <c r="N68" s="14"/>
    </row>
    <row r="69" spans="1:18" s="20" customFormat="1">
      <c r="A69" s="73">
        <v>56</v>
      </c>
      <c r="B69" s="78" t="s">
        <v>245</v>
      </c>
      <c r="C69" s="582"/>
      <c r="J69" s="107"/>
      <c r="M69" s="14"/>
      <c r="N69" s="14"/>
    </row>
    <row r="70" spans="1:18" s="20" customFormat="1">
      <c r="A70" s="75">
        <v>57</v>
      </c>
      <c r="B70" s="397" t="s">
        <v>73</v>
      </c>
      <c r="C70" s="581">
        <f>SUM(C68:C69)</f>
        <v>-88</v>
      </c>
      <c r="M70" s="14"/>
      <c r="N70" s="14"/>
    </row>
    <row r="71" spans="1:18" s="20" customFormat="1">
      <c r="A71" s="75">
        <v>58</v>
      </c>
      <c r="B71" s="78" t="s">
        <v>249</v>
      </c>
      <c r="C71" s="581"/>
      <c r="J71" s="105"/>
      <c r="M71" s="14"/>
      <c r="N71" s="14"/>
    </row>
    <row r="72" spans="1:18" s="20" customFormat="1">
      <c r="A72" s="73">
        <v>59</v>
      </c>
      <c r="B72" s="78" t="s">
        <v>351</v>
      </c>
      <c r="C72" s="581"/>
      <c r="J72" s="105"/>
      <c r="M72" s="14"/>
      <c r="N72" s="14"/>
    </row>
    <row r="73" spans="1:18" s="20" customFormat="1">
      <c r="A73" s="75">
        <v>60</v>
      </c>
      <c r="B73" s="78" t="s">
        <v>236</v>
      </c>
      <c r="C73" s="581"/>
      <c r="J73" s="105"/>
      <c r="M73" s="14"/>
      <c r="N73" s="14"/>
    </row>
    <row r="74" spans="1:18" s="20" customFormat="1">
      <c r="A74" s="75">
        <v>61</v>
      </c>
      <c r="B74" s="78" t="s">
        <v>247</v>
      </c>
      <c r="C74" s="581">
        <v>-88</v>
      </c>
      <c r="J74" s="105"/>
      <c r="M74" s="14"/>
      <c r="N74" s="14"/>
    </row>
    <row r="75" spans="1:18" s="20" customFormat="1">
      <c r="A75" s="73">
        <v>62</v>
      </c>
      <c r="B75" s="78" t="s">
        <v>248</v>
      </c>
      <c r="C75" s="582">
        <v>-19</v>
      </c>
      <c r="J75" s="107"/>
      <c r="M75" s="14"/>
      <c r="N75" s="14"/>
    </row>
    <row r="76" spans="1:18" s="20" customFormat="1">
      <c r="A76" s="75">
        <v>63</v>
      </c>
      <c r="B76" s="78"/>
      <c r="C76" s="581"/>
      <c r="M76" s="14"/>
      <c r="N76" s="14"/>
      <c r="O76" s="15"/>
      <c r="P76" s="15"/>
      <c r="Q76" s="15"/>
      <c r="R76" s="15"/>
    </row>
    <row r="77" spans="1:18" s="15" customFormat="1" ht="13.5" thickBot="1">
      <c r="A77" s="75">
        <v>64</v>
      </c>
      <c r="B77" s="425" t="s">
        <v>74</v>
      </c>
      <c r="C77" s="598">
        <f t="shared" ref="C77" si="0">C67-C70+C71+C75</f>
        <v>-827</v>
      </c>
      <c r="J77" s="112"/>
      <c r="M77" s="14"/>
      <c r="N77" s="14"/>
      <c r="O77" s="14"/>
      <c r="P77" s="14"/>
      <c r="Q77" s="14"/>
      <c r="R77" s="14"/>
    </row>
    <row r="78" spans="1:18" ht="13.5" thickTop="1">
      <c r="B78" s="83"/>
    </row>
    <row r="79" spans="1:18">
      <c r="A79" s="84"/>
      <c r="B79" s="38"/>
      <c r="C79" s="587"/>
    </row>
    <row r="80" spans="1:18">
      <c r="A80" s="89"/>
      <c r="B80" s="86"/>
    </row>
    <row r="81" spans="1:3">
      <c r="A81" s="89">
        <v>1</v>
      </c>
      <c r="B81" s="392" t="s">
        <v>116</v>
      </c>
    </row>
    <row r="82" spans="1:3">
      <c r="A82" s="89">
        <v>2</v>
      </c>
      <c r="B82" s="87" t="s">
        <v>117</v>
      </c>
      <c r="C82" s="600">
        <f t="shared" ref="C82" si="1">+C21</f>
        <v>0</v>
      </c>
    </row>
    <row r="83" spans="1:3">
      <c r="A83" s="89">
        <v>3</v>
      </c>
      <c r="B83" s="87" t="s">
        <v>118</v>
      </c>
      <c r="C83" s="588">
        <f t="shared" ref="C83" si="2">-C47</f>
        <v>0</v>
      </c>
    </row>
    <row r="84" spans="1:3">
      <c r="A84" s="89">
        <v>4</v>
      </c>
      <c r="B84" s="87" t="s">
        <v>134</v>
      </c>
      <c r="C84" s="581"/>
    </row>
    <row r="85" spans="1:3">
      <c r="A85" s="89">
        <v>5</v>
      </c>
      <c r="B85" s="405" t="s">
        <v>119</v>
      </c>
      <c r="C85" s="589">
        <f>SUM(C82:C84)</f>
        <v>0</v>
      </c>
    </row>
    <row r="86" spans="1:3">
      <c r="A86" s="89">
        <v>6</v>
      </c>
      <c r="B86" s="86"/>
      <c r="C86" s="590"/>
    </row>
    <row r="87" spans="1:3">
      <c r="A87" s="89">
        <v>7</v>
      </c>
      <c r="B87" s="86" t="s">
        <v>120</v>
      </c>
      <c r="C87" s="590"/>
    </row>
    <row r="88" spans="1:3">
      <c r="A88" s="89">
        <v>8</v>
      </c>
      <c r="B88" s="404" t="s">
        <v>121</v>
      </c>
      <c r="C88" s="590"/>
    </row>
    <row r="89" spans="1:3">
      <c r="A89" s="89">
        <v>9</v>
      </c>
      <c r="B89" s="404" t="s">
        <v>130</v>
      </c>
      <c r="C89" s="590"/>
    </row>
    <row r="90" spans="1:3">
      <c r="A90" s="89">
        <v>10</v>
      </c>
      <c r="B90" s="404" t="s">
        <v>122</v>
      </c>
      <c r="C90" s="590"/>
    </row>
    <row r="91" spans="1:3">
      <c r="A91" s="89">
        <v>11</v>
      </c>
      <c r="B91" s="86"/>
      <c r="C91" s="590"/>
    </row>
    <row r="92" spans="1:3">
      <c r="A92" s="89">
        <v>12</v>
      </c>
      <c r="B92" s="406" t="s">
        <v>278</v>
      </c>
      <c r="C92" s="589">
        <f>SUM(C88:C90)</f>
        <v>0</v>
      </c>
    </row>
    <row r="93" spans="1:3">
      <c r="A93" s="89">
        <v>13</v>
      </c>
      <c r="B93" s="86"/>
      <c r="C93" s="590"/>
    </row>
    <row r="94" spans="1:3">
      <c r="A94" s="89">
        <v>14</v>
      </c>
      <c r="B94" s="86" t="s">
        <v>124</v>
      </c>
      <c r="C94" s="590"/>
    </row>
    <row r="95" spans="1:3">
      <c r="A95" s="89">
        <v>15</v>
      </c>
      <c r="B95" s="404" t="s">
        <v>178</v>
      </c>
      <c r="C95" s="590"/>
    </row>
    <row r="96" spans="1:3">
      <c r="A96" s="89">
        <v>16</v>
      </c>
      <c r="B96" s="404" t="s">
        <v>133</v>
      </c>
      <c r="C96" s="590"/>
    </row>
    <row r="97" spans="1:3">
      <c r="A97" s="89">
        <v>17</v>
      </c>
      <c r="B97" s="404" t="s">
        <v>122</v>
      </c>
      <c r="C97" s="590"/>
    </row>
    <row r="98" spans="1:3">
      <c r="A98" s="89">
        <v>18</v>
      </c>
      <c r="B98" s="406" t="s">
        <v>279</v>
      </c>
      <c r="C98" s="589">
        <f>SUM(C95:C97)</f>
        <v>0</v>
      </c>
    </row>
    <row r="99" spans="1:3">
      <c r="A99" s="89">
        <v>19</v>
      </c>
      <c r="B99" s="86"/>
      <c r="C99" s="590"/>
    </row>
    <row r="100" spans="1:3">
      <c r="A100" s="89">
        <v>20</v>
      </c>
      <c r="B100" s="87" t="s">
        <v>268</v>
      </c>
      <c r="C100" s="584">
        <f>+C82+C83+C84+C92-C98</f>
        <v>0</v>
      </c>
    </row>
    <row r="101" spans="1:3">
      <c r="A101" s="89">
        <v>21</v>
      </c>
      <c r="B101" s="404" t="s">
        <v>280</v>
      </c>
      <c r="C101" s="591">
        <v>0.35</v>
      </c>
    </row>
    <row r="102" spans="1:3">
      <c r="A102" s="89">
        <v>22</v>
      </c>
      <c r="B102" s="404" t="s">
        <v>127</v>
      </c>
      <c r="C102" s="592">
        <f>C100*C101</f>
        <v>0</v>
      </c>
    </row>
    <row r="103" spans="1:3">
      <c r="A103" s="89">
        <v>23</v>
      </c>
      <c r="B103" s="404" t="s">
        <v>128</v>
      </c>
      <c r="C103" s="590">
        <f>+(C95-C88+C96)*C101</f>
        <v>0</v>
      </c>
    </row>
    <row r="104" spans="1:3" ht="13.5" thickBot="1">
      <c r="A104" s="89">
        <v>24</v>
      </c>
      <c r="B104" s="95" t="s">
        <v>129</v>
      </c>
      <c r="C104" s="593">
        <f>ROUND(+C102+C103,0)</f>
        <v>0</v>
      </c>
    </row>
    <row r="105" spans="1:3" ht="13.5" thickTop="1"/>
  </sheetData>
  <printOptions horizontalCentered="1"/>
  <pageMargins left="0.5" right="0.5" top="1.5" bottom="0.3" header="0.5" footer="0.5"/>
  <pageSetup scale="60" firstPageNumber="2" fitToWidth="0" orientation="portrait" r:id="rId1"/>
  <headerFooter scaleWithDoc="0" alignWithMargins="0">
    <oddHeader>&amp;L&amp;"Arial,Regular"&amp;10Avista Corporation
&amp;"Arial,Bold"Electric - Pro Forma Adjustments (Schedule 1.3)&amp;"Arial,Regular"
Twelve Months Ended December 31,2011&amp;R&amp;"Arial,Regular"&amp;10Exhibit No. ___ (JH-2)
Docket UE-120436 &amp; UG-120437
Page &amp;P of  &amp;N</oddHeader>
  </headerFooter>
  <colBreaks count="1" manualBreakCount="1">
    <brk id="9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5" zoomScaleNormal="75" workbookViewId="0">
      <pane xSplit="2" ySplit="12" topLeftCell="C13" activePane="bottomRight" state="frozen"/>
      <selection activeCell="G79" sqref="G79"/>
      <selection pane="topRight" activeCell="G79" sqref="G79"/>
      <selection pane="bottomLeft" activeCell="G79" sqref="G79"/>
      <selection pane="bottomRight" activeCell="G79" sqref="G79"/>
    </sheetView>
  </sheetViews>
  <sheetFormatPr defaultColWidth="10.625" defaultRowHeight="12.75"/>
  <cols>
    <col min="1" max="1" width="4.375" style="64" bestFit="1" customWidth="1"/>
    <col min="2" max="2" width="36.5" style="63" bestFit="1" customWidth="1"/>
    <col min="3" max="3" width="18.25" style="586" customWidth="1"/>
    <col min="4" max="9" width="9" style="101" customWidth="1"/>
    <col min="10" max="10" width="11.625" style="65" hidden="1" customWidth="1"/>
    <col min="11" max="11" width="5" style="14" customWidth="1"/>
    <col min="12" max="12" width="2.75" style="14" customWidth="1"/>
    <col min="13" max="13" width="11.75" style="14" customWidth="1"/>
    <col min="14" max="14" width="2.625" style="14" customWidth="1"/>
    <col min="15" max="15" width="10.875" style="14" customWidth="1"/>
    <col min="16" max="16" width="6.75" style="14" customWidth="1"/>
    <col min="17" max="18" width="9.625" style="14" customWidth="1"/>
    <col min="19" max="19" width="10.625" style="14" customWidth="1"/>
    <col min="20" max="20" width="6.75" style="14" customWidth="1"/>
    <col min="21" max="16384" width="10.625" style="14"/>
  </cols>
  <sheetData>
    <row r="1" spans="1:13">
      <c r="A1" s="56"/>
      <c r="B1" s="9" t="s">
        <v>281</v>
      </c>
      <c r="C1" s="572"/>
      <c r="D1" s="14"/>
      <c r="E1" s="14"/>
      <c r="F1" s="14"/>
      <c r="G1" s="14"/>
      <c r="H1" s="14"/>
      <c r="I1" s="14"/>
    </row>
    <row r="2" spans="1:13">
      <c r="A2" s="411"/>
      <c r="B2" s="14"/>
      <c r="C2" s="573" t="s">
        <v>385</v>
      </c>
      <c r="D2" s="14"/>
      <c r="E2" s="14"/>
      <c r="F2" s="14"/>
      <c r="G2" s="14"/>
      <c r="H2" s="14"/>
      <c r="I2" s="14"/>
    </row>
    <row r="3" spans="1:13">
      <c r="A3" s="411"/>
      <c r="B3" s="14"/>
      <c r="C3" s="573"/>
      <c r="D3" s="14"/>
      <c r="E3" s="14"/>
      <c r="F3" s="14"/>
      <c r="G3" s="14"/>
      <c r="H3" s="14"/>
      <c r="I3" s="14"/>
    </row>
    <row r="4" spans="1:13" ht="13.5" thickBot="1">
      <c r="A4" s="411"/>
      <c r="B4" s="14"/>
      <c r="C4" s="574"/>
      <c r="D4" s="14"/>
      <c r="E4" s="14"/>
      <c r="F4" s="14"/>
      <c r="G4" s="14"/>
      <c r="H4" s="14"/>
      <c r="I4" s="14"/>
    </row>
    <row r="5" spans="1:13" ht="13.5" thickTop="1">
      <c r="A5" s="402"/>
      <c r="B5" s="64" t="str">
        <f>+Restating!B5</f>
        <v>(000's of Dollars)</v>
      </c>
    </row>
    <row r="6" spans="1:13">
      <c r="A6" s="62"/>
    </row>
    <row r="7" spans="1:13" ht="13.5" thickBot="1">
      <c r="A7" s="403"/>
      <c r="B7" s="64" t="s">
        <v>100</v>
      </c>
      <c r="C7" s="601" t="s">
        <v>157</v>
      </c>
    </row>
    <row r="8" spans="1:13" ht="13.5" thickBot="1">
      <c r="A8" s="403"/>
      <c r="B8" s="64"/>
      <c r="C8" s="626" t="s">
        <v>364</v>
      </c>
    </row>
    <row r="9" spans="1:13">
      <c r="A9" s="62"/>
      <c r="C9" s="627">
        <v>4</v>
      </c>
    </row>
    <row r="10" spans="1:13" s="71" customFormat="1">
      <c r="A10" s="414"/>
      <c r="B10" s="420"/>
      <c r="C10" s="602" t="s">
        <v>359</v>
      </c>
      <c r="J10" s="68"/>
    </row>
    <row r="11" spans="1:13" s="71" customFormat="1">
      <c r="A11" s="414" t="s">
        <v>5</v>
      </c>
      <c r="B11" s="420"/>
      <c r="C11" s="603" t="s">
        <v>360</v>
      </c>
      <c r="J11" s="68"/>
    </row>
    <row r="12" spans="1:13" s="71" customFormat="1">
      <c r="A12" s="421" t="s">
        <v>10</v>
      </c>
      <c r="B12" s="422" t="s">
        <v>11</v>
      </c>
      <c r="C12" s="611" t="s">
        <v>361</v>
      </c>
      <c r="J12" s="68"/>
    </row>
    <row r="13" spans="1:13" s="72" customFormat="1">
      <c r="A13" s="418"/>
      <c r="B13" s="115" t="s">
        <v>155</v>
      </c>
      <c r="C13" s="605"/>
      <c r="J13" s="60"/>
    </row>
    <row r="14" spans="1:13">
      <c r="A14" s="73">
        <v>1</v>
      </c>
      <c r="B14" s="416" t="s">
        <v>98</v>
      </c>
      <c r="J14" s="61"/>
    </row>
    <row r="15" spans="1:13">
      <c r="A15" s="75">
        <v>2</v>
      </c>
      <c r="B15" s="63" t="s">
        <v>40</v>
      </c>
      <c r="C15" s="575"/>
      <c r="J15" s="61"/>
    </row>
    <row r="16" spans="1:13" s="15" customFormat="1">
      <c r="A16" s="75">
        <v>3</v>
      </c>
      <c r="B16" s="76" t="s">
        <v>41</v>
      </c>
      <c r="C16" s="580"/>
      <c r="J16" s="77"/>
      <c r="K16" s="104"/>
      <c r="L16" s="104"/>
      <c r="M16" s="104"/>
    </row>
    <row r="17" spans="1:10" s="20" customFormat="1">
      <c r="A17" s="73">
        <v>4</v>
      </c>
      <c r="B17" s="78" t="s">
        <v>42</v>
      </c>
      <c r="C17" s="581"/>
      <c r="J17" s="105"/>
    </row>
    <row r="18" spans="1:10" s="20" customFormat="1">
      <c r="A18" s="75">
        <v>5</v>
      </c>
      <c r="B18" s="78" t="s">
        <v>43</v>
      </c>
      <c r="C18" s="582"/>
      <c r="J18" s="107"/>
    </row>
    <row r="19" spans="1:10" s="20" customFormat="1">
      <c r="A19" s="75">
        <v>6</v>
      </c>
      <c r="B19" s="397" t="s">
        <v>44</v>
      </c>
      <c r="C19" s="581">
        <f t="shared" ref="C19" si="0">SUM(C16:C18)</f>
        <v>0</v>
      </c>
    </row>
    <row r="20" spans="1:10" s="20" customFormat="1">
      <c r="A20" s="73">
        <v>7</v>
      </c>
      <c r="B20" s="78" t="s">
        <v>45</v>
      </c>
      <c r="C20" s="582"/>
      <c r="J20" s="107"/>
    </row>
    <row r="21" spans="1:10" s="20" customFormat="1">
      <c r="A21" s="75">
        <v>8</v>
      </c>
      <c r="B21" s="397" t="s">
        <v>46</v>
      </c>
      <c r="C21" s="581">
        <f t="shared" ref="C21" si="1">SUM(C19:C20)</f>
        <v>0</v>
      </c>
    </row>
    <row r="22" spans="1:10" s="20" customFormat="1">
      <c r="A22" s="75">
        <v>9</v>
      </c>
      <c r="B22" s="78"/>
      <c r="C22" s="581"/>
      <c r="J22" s="105"/>
    </row>
    <row r="23" spans="1:10" s="20" customFormat="1">
      <c r="A23" s="73">
        <v>10</v>
      </c>
      <c r="B23" s="78" t="s">
        <v>20</v>
      </c>
      <c r="C23" s="581"/>
      <c r="J23" s="105"/>
    </row>
    <row r="24" spans="1:10" s="20" customFormat="1">
      <c r="A24" s="75">
        <v>11</v>
      </c>
      <c r="B24" s="78" t="s">
        <v>47</v>
      </c>
      <c r="C24" s="581"/>
      <c r="J24" s="105"/>
    </row>
    <row r="25" spans="1:10" s="20" customFormat="1">
      <c r="A25" s="75">
        <v>12</v>
      </c>
      <c r="B25" s="397" t="s">
        <v>48</v>
      </c>
      <c r="C25" s="581"/>
      <c r="J25" s="105"/>
    </row>
    <row r="26" spans="1:10" s="20" customFormat="1">
      <c r="A26" s="73">
        <v>13</v>
      </c>
      <c r="B26" s="397" t="s">
        <v>49</v>
      </c>
      <c r="C26" s="581"/>
      <c r="J26" s="105"/>
    </row>
    <row r="27" spans="1:10" s="20" customFormat="1">
      <c r="A27" s="75">
        <v>14</v>
      </c>
      <c r="B27" s="397" t="s">
        <v>50</v>
      </c>
      <c r="C27" s="581">
        <v>0</v>
      </c>
      <c r="J27" s="105"/>
    </row>
    <row r="28" spans="1:10" s="20" customFormat="1">
      <c r="A28" s="73">
        <v>15</v>
      </c>
      <c r="B28" s="393" t="s">
        <v>349</v>
      </c>
      <c r="C28" s="581"/>
      <c r="J28" s="105"/>
    </row>
    <row r="29" spans="1:10" s="20" customFormat="1">
      <c r="A29" s="75">
        <v>16</v>
      </c>
      <c r="B29" s="397" t="s">
        <v>51</v>
      </c>
      <c r="C29" s="582"/>
      <c r="J29" s="107"/>
    </row>
    <row r="30" spans="1:10" s="20" customFormat="1">
      <c r="A30" s="75">
        <v>17</v>
      </c>
      <c r="B30" s="398" t="s">
        <v>52</v>
      </c>
      <c r="C30" s="581">
        <f t="shared" ref="C30" si="2">SUM(C25:C29)</f>
        <v>0</v>
      </c>
    </row>
    <row r="31" spans="1:10" s="20" customFormat="1">
      <c r="A31" s="73">
        <v>18</v>
      </c>
      <c r="B31" s="78"/>
      <c r="C31" s="581"/>
      <c r="J31" s="105"/>
    </row>
    <row r="32" spans="1:10" s="20" customFormat="1">
      <c r="A32" s="75">
        <v>19</v>
      </c>
      <c r="B32" s="78" t="s">
        <v>53</v>
      </c>
      <c r="C32" s="581"/>
      <c r="J32" s="105"/>
    </row>
    <row r="33" spans="1:18" s="20" customFormat="1">
      <c r="A33" s="73">
        <v>20</v>
      </c>
      <c r="B33" s="397" t="s">
        <v>48</v>
      </c>
      <c r="C33" s="581">
        <v>0</v>
      </c>
      <c r="J33" s="105"/>
    </row>
    <row r="34" spans="1:18" s="20" customFormat="1">
      <c r="A34" s="75">
        <v>21</v>
      </c>
      <c r="B34" s="397" t="s">
        <v>54</v>
      </c>
      <c r="C34" s="581">
        <v>0</v>
      </c>
      <c r="J34" s="105"/>
    </row>
    <row r="35" spans="1:18" s="20" customFormat="1">
      <c r="A35" s="75">
        <v>22</v>
      </c>
      <c r="B35" s="397" t="s">
        <v>51</v>
      </c>
      <c r="C35" s="582"/>
      <c r="J35" s="107"/>
    </row>
    <row r="36" spans="1:18" s="20" customFormat="1">
      <c r="A36" s="73">
        <v>23</v>
      </c>
      <c r="B36" s="398" t="s">
        <v>55</v>
      </c>
      <c r="C36" s="581">
        <f t="shared" ref="C36" si="3">SUM(C33:C35)</f>
        <v>0</v>
      </c>
    </row>
    <row r="37" spans="1:18" s="20" customFormat="1">
      <c r="A37" s="75">
        <v>24</v>
      </c>
      <c r="B37" s="78"/>
      <c r="C37" s="581"/>
      <c r="J37" s="105"/>
    </row>
    <row r="38" spans="1:18" s="20" customFormat="1">
      <c r="A38" s="73">
        <v>25</v>
      </c>
      <c r="B38" s="78" t="s">
        <v>56</v>
      </c>
      <c r="C38" s="581"/>
      <c r="J38" s="105"/>
      <c r="K38" s="108"/>
      <c r="L38" s="101"/>
      <c r="O38" s="106"/>
      <c r="P38" s="109"/>
      <c r="Q38" s="109"/>
      <c r="R38" s="109"/>
    </row>
    <row r="39" spans="1:18" s="20" customFormat="1">
      <c r="A39" s="75">
        <v>26</v>
      </c>
      <c r="B39" s="78" t="s">
        <v>57</v>
      </c>
      <c r="C39" s="581"/>
      <c r="J39" s="105"/>
      <c r="M39" s="110"/>
      <c r="O39" s="81"/>
      <c r="P39" s="81"/>
      <c r="Q39" s="81"/>
      <c r="R39" s="109"/>
    </row>
    <row r="40" spans="1:18" s="20" customFormat="1">
      <c r="A40" s="75">
        <v>27</v>
      </c>
      <c r="B40" s="78" t="s">
        <v>58</v>
      </c>
      <c r="C40" s="581"/>
      <c r="J40" s="105"/>
      <c r="M40" s="110"/>
    </row>
    <row r="41" spans="1:18" s="20" customFormat="1">
      <c r="A41" s="73">
        <v>28</v>
      </c>
      <c r="B41" s="78"/>
      <c r="C41" s="581"/>
      <c r="J41" s="105"/>
    </row>
    <row r="42" spans="1:18" s="20" customFormat="1">
      <c r="A42" s="75">
        <v>29</v>
      </c>
      <c r="B42" s="78" t="s">
        <v>59</v>
      </c>
      <c r="C42" s="581"/>
      <c r="J42" s="105"/>
    </row>
    <row r="43" spans="1:18" s="20" customFormat="1">
      <c r="A43" s="73">
        <v>30</v>
      </c>
      <c r="B43" s="397" t="s">
        <v>48</v>
      </c>
      <c r="C43" s="581"/>
      <c r="J43" s="105"/>
    </row>
    <row r="44" spans="1:18" s="20" customFormat="1">
      <c r="A44" s="75">
        <v>31</v>
      </c>
      <c r="B44" s="397" t="s">
        <v>54</v>
      </c>
      <c r="C44" s="581">
        <v>0</v>
      </c>
      <c r="J44" s="105"/>
    </row>
    <row r="45" spans="1:18" s="20" customFormat="1">
      <c r="A45" s="75">
        <v>32</v>
      </c>
      <c r="B45" s="397" t="s">
        <v>51</v>
      </c>
      <c r="C45" s="582"/>
      <c r="J45" s="107"/>
    </row>
    <row r="46" spans="1:18" s="20" customFormat="1">
      <c r="A46" s="73">
        <v>33</v>
      </c>
      <c r="B46" s="398" t="s">
        <v>60</v>
      </c>
      <c r="C46" s="582">
        <f t="shared" ref="C46" si="4">SUM(C43:C45)</f>
        <v>0</v>
      </c>
      <c r="J46" s="111"/>
    </row>
    <row r="47" spans="1:18" s="20" customFormat="1">
      <c r="A47" s="75">
        <v>34</v>
      </c>
      <c r="B47" s="78" t="s">
        <v>61</v>
      </c>
      <c r="C47" s="582">
        <f t="shared" ref="C47" si="5">C46+C40+C39+C38+C36+C30</f>
        <v>0</v>
      </c>
      <c r="J47" s="111"/>
    </row>
    <row r="48" spans="1:18" s="20" customFormat="1">
      <c r="A48" s="73">
        <v>35</v>
      </c>
      <c r="B48" s="78"/>
      <c r="C48" s="581"/>
    </row>
    <row r="49" spans="1:18" s="20" customFormat="1">
      <c r="A49" s="75">
        <v>36</v>
      </c>
      <c r="B49" s="78" t="s">
        <v>62</v>
      </c>
      <c r="C49" s="581">
        <f t="shared" ref="C49" si="6">C21-C47</f>
        <v>0</v>
      </c>
    </row>
    <row r="50" spans="1:18" s="20" customFormat="1">
      <c r="A50" s="75">
        <v>37</v>
      </c>
      <c r="B50" s="78"/>
      <c r="C50" s="581"/>
      <c r="J50" s="105"/>
    </row>
    <row r="51" spans="1:18" s="20" customFormat="1">
      <c r="A51" s="73">
        <v>38</v>
      </c>
      <c r="B51" s="78" t="s">
        <v>63</v>
      </c>
      <c r="C51" s="581"/>
      <c r="J51" s="105"/>
    </row>
    <row r="52" spans="1:18" s="20" customFormat="1">
      <c r="A52" s="75">
        <v>39</v>
      </c>
      <c r="B52" s="78" t="s">
        <v>64</v>
      </c>
      <c r="C52" s="581">
        <f>+C104</f>
        <v>0</v>
      </c>
      <c r="J52" s="105"/>
      <c r="N52" s="15"/>
    </row>
    <row r="53" spans="1:18" s="20" customFormat="1">
      <c r="A53" s="75">
        <v>40</v>
      </c>
      <c r="B53" s="78" t="s">
        <v>366</v>
      </c>
      <c r="C53" s="581">
        <f>+(C77*' Capital '!$J$13)*-35%</f>
        <v>0</v>
      </c>
      <c r="J53" s="105"/>
      <c r="N53" s="15"/>
    </row>
    <row r="54" spans="1:18" s="20" customFormat="1">
      <c r="A54" s="73">
        <v>41</v>
      </c>
      <c r="B54" s="78" t="s">
        <v>65</v>
      </c>
      <c r="C54" s="581"/>
      <c r="J54" s="105"/>
      <c r="M54" s="15"/>
      <c r="N54" s="14"/>
    </row>
    <row r="55" spans="1:18" s="20" customFormat="1">
      <c r="A55" s="75">
        <v>42</v>
      </c>
      <c r="B55" s="78" t="s">
        <v>238</v>
      </c>
      <c r="C55" s="581">
        <v>0</v>
      </c>
      <c r="J55" s="105"/>
      <c r="M55" s="15"/>
      <c r="N55" s="14"/>
    </row>
    <row r="56" spans="1:18" s="20" customFormat="1">
      <c r="A56" s="75">
        <v>43</v>
      </c>
      <c r="B56" s="78"/>
      <c r="C56" s="581"/>
      <c r="J56" s="105"/>
      <c r="M56" s="15"/>
      <c r="N56" s="14"/>
    </row>
    <row r="57" spans="1:18">
      <c r="A57" s="73">
        <v>44</v>
      </c>
      <c r="C57" s="581"/>
      <c r="O57" s="15"/>
      <c r="P57" s="15"/>
      <c r="Q57" s="15"/>
      <c r="R57" s="15"/>
    </row>
    <row r="58" spans="1:18" s="15" customFormat="1" ht="13.5" thickBot="1">
      <c r="A58" s="75">
        <v>45</v>
      </c>
      <c r="B58" s="76" t="s">
        <v>66</v>
      </c>
      <c r="C58" s="598">
        <f t="shared" ref="C58" si="7">C49-SUM(C52:C56)</f>
        <v>0</v>
      </c>
      <c r="J58" s="112"/>
      <c r="M58" s="14"/>
      <c r="N58" s="14"/>
      <c r="O58" s="14"/>
      <c r="P58" s="14"/>
      <c r="Q58" s="14"/>
      <c r="R58" s="14"/>
    </row>
    <row r="59" spans="1:18" ht="13.5" thickTop="1">
      <c r="A59" s="75">
        <v>46</v>
      </c>
      <c r="B59" s="2"/>
      <c r="C59" s="575"/>
    </row>
    <row r="60" spans="1:18">
      <c r="A60" s="73">
        <v>47</v>
      </c>
      <c r="B60" s="416" t="s">
        <v>21</v>
      </c>
      <c r="C60" s="575"/>
    </row>
    <row r="61" spans="1:18">
      <c r="A61" s="75">
        <v>48</v>
      </c>
      <c r="B61" s="63" t="s">
        <v>67</v>
      </c>
      <c r="C61" s="581"/>
      <c r="O61" s="15"/>
      <c r="P61" s="15"/>
      <c r="Q61" s="15"/>
      <c r="R61" s="15"/>
    </row>
    <row r="62" spans="1:18" s="15" customFormat="1">
      <c r="A62" s="75">
        <v>49</v>
      </c>
      <c r="B62" s="396" t="s">
        <v>68</v>
      </c>
      <c r="C62" s="599">
        <v>0</v>
      </c>
      <c r="J62" s="113"/>
      <c r="M62" s="14"/>
      <c r="N62" s="14"/>
      <c r="O62" s="20"/>
      <c r="P62" s="20"/>
      <c r="Q62" s="20"/>
      <c r="R62" s="20"/>
    </row>
    <row r="63" spans="1:18" s="20" customFormat="1">
      <c r="A63" s="73">
        <v>50</v>
      </c>
      <c r="B63" s="397" t="s">
        <v>69</v>
      </c>
      <c r="C63" s="581">
        <v>0</v>
      </c>
      <c r="J63" s="105"/>
      <c r="M63" s="14"/>
      <c r="N63" s="14"/>
    </row>
    <row r="64" spans="1:18" s="20" customFormat="1">
      <c r="A64" s="75">
        <v>51</v>
      </c>
      <c r="B64" s="397" t="s">
        <v>70</v>
      </c>
      <c r="C64" s="581">
        <v>0</v>
      </c>
      <c r="J64" s="105"/>
      <c r="M64" s="14"/>
      <c r="N64" s="14"/>
    </row>
    <row r="65" spans="1:18" s="20" customFormat="1">
      <c r="A65" s="75">
        <v>52</v>
      </c>
      <c r="B65" s="397" t="s">
        <v>53</v>
      </c>
      <c r="C65" s="581">
        <v>0</v>
      </c>
      <c r="J65" s="105"/>
      <c r="M65" s="14"/>
      <c r="N65" s="14"/>
    </row>
    <row r="66" spans="1:18" s="20" customFormat="1">
      <c r="A66" s="73">
        <v>53</v>
      </c>
      <c r="B66" s="397" t="s">
        <v>71</v>
      </c>
      <c r="C66" s="582">
        <v>0</v>
      </c>
      <c r="J66" s="107"/>
      <c r="M66" s="14"/>
      <c r="N66" s="14"/>
    </row>
    <row r="67" spans="1:18" s="20" customFormat="1">
      <c r="A67" s="75">
        <v>54</v>
      </c>
      <c r="B67" s="398" t="s">
        <v>72</v>
      </c>
      <c r="C67" s="581">
        <f t="shared" ref="C67" si="8">SUM(C62:C66)</f>
        <v>0</v>
      </c>
      <c r="M67" s="14"/>
      <c r="N67" s="14"/>
    </row>
    <row r="68" spans="1:18" s="20" customFormat="1">
      <c r="A68" s="75">
        <v>55</v>
      </c>
      <c r="B68" s="78" t="s">
        <v>244</v>
      </c>
      <c r="C68" s="581">
        <v>0</v>
      </c>
      <c r="J68" s="105"/>
      <c r="M68" s="14"/>
      <c r="N68" s="14"/>
    </row>
    <row r="69" spans="1:18" s="20" customFormat="1">
      <c r="A69" s="73">
        <v>56</v>
      </c>
      <c r="B69" s="78" t="s">
        <v>245</v>
      </c>
      <c r="C69" s="582"/>
      <c r="J69" s="107"/>
      <c r="M69" s="14"/>
      <c r="N69" s="14"/>
    </row>
    <row r="70" spans="1:18" s="20" customFormat="1">
      <c r="A70" s="75">
        <v>57</v>
      </c>
      <c r="B70" s="397" t="s">
        <v>73</v>
      </c>
      <c r="C70" s="581">
        <f t="shared" ref="C70" si="9">SUM(C68:C69)</f>
        <v>0</v>
      </c>
      <c r="M70" s="14"/>
      <c r="N70" s="14"/>
    </row>
    <row r="71" spans="1:18" s="20" customFormat="1">
      <c r="A71" s="75">
        <v>58</v>
      </c>
      <c r="B71" s="78" t="s">
        <v>249</v>
      </c>
      <c r="C71" s="581"/>
      <c r="J71" s="105"/>
      <c r="M71" s="14"/>
      <c r="N71" s="14"/>
    </row>
    <row r="72" spans="1:18" s="20" customFormat="1">
      <c r="A72" s="73">
        <v>59</v>
      </c>
      <c r="B72" s="78" t="s">
        <v>351</v>
      </c>
      <c r="C72" s="581"/>
      <c r="J72" s="105"/>
      <c r="M72" s="14"/>
      <c r="N72" s="14"/>
    </row>
    <row r="73" spans="1:18" s="20" customFormat="1">
      <c r="A73" s="75">
        <v>60</v>
      </c>
      <c r="B73" s="78" t="s">
        <v>236</v>
      </c>
      <c r="C73" s="581"/>
      <c r="J73" s="105"/>
      <c r="M73" s="14"/>
      <c r="N73" s="14"/>
    </row>
    <row r="74" spans="1:18" s="20" customFormat="1">
      <c r="A74" s="75">
        <v>61</v>
      </c>
      <c r="B74" s="78" t="s">
        <v>247</v>
      </c>
      <c r="C74" s="581"/>
      <c r="J74" s="105"/>
      <c r="M74" s="14"/>
      <c r="N74" s="14"/>
    </row>
    <row r="75" spans="1:18" s="20" customFormat="1">
      <c r="A75" s="73">
        <v>62</v>
      </c>
      <c r="B75" s="78" t="s">
        <v>248</v>
      </c>
      <c r="C75" s="582">
        <v>0</v>
      </c>
      <c r="J75" s="107"/>
      <c r="M75" s="14"/>
      <c r="N75" s="14"/>
    </row>
    <row r="76" spans="1:18" s="20" customFormat="1">
      <c r="A76" s="75">
        <v>63</v>
      </c>
      <c r="B76" s="78"/>
      <c r="C76" s="581"/>
      <c r="M76" s="14"/>
      <c r="N76" s="14"/>
      <c r="O76" s="15"/>
      <c r="P76" s="15"/>
      <c r="Q76" s="15"/>
      <c r="R76" s="15"/>
    </row>
    <row r="77" spans="1:18" s="15" customFormat="1" ht="13.5" thickBot="1">
      <c r="A77" s="75">
        <v>64</v>
      </c>
      <c r="B77" s="425" t="s">
        <v>74</v>
      </c>
      <c r="C77" s="598">
        <f t="shared" ref="C77" si="10">C67-C70+C71+C75</f>
        <v>0</v>
      </c>
      <c r="J77" s="112"/>
      <c r="M77" s="14"/>
      <c r="N77" s="14"/>
      <c r="O77" s="14"/>
      <c r="P77" s="14"/>
      <c r="Q77" s="14"/>
      <c r="R77" s="14"/>
    </row>
    <row r="78" spans="1:18" ht="13.5" thickTop="1">
      <c r="B78" s="83"/>
    </row>
    <row r="79" spans="1:18">
      <c r="A79" s="84"/>
      <c r="B79" s="38"/>
      <c r="C79" s="587"/>
    </row>
    <row r="80" spans="1:18">
      <c r="A80" s="89"/>
      <c r="B80" s="86"/>
    </row>
    <row r="81" spans="1:3">
      <c r="A81" s="89">
        <v>1</v>
      </c>
      <c r="B81" s="392" t="s">
        <v>116</v>
      </c>
    </row>
    <row r="82" spans="1:3">
      <c r="A82" s="89">
        <v>2</v>
      </c>
      <c r="B82" s="87" t="s">
        <v>117</v>
      </c>
      <c r="C82" s="600">
        <f t="shared" ref="C82" si="11">+C21</f>
        <v>0</v>
      </c>
    </row>
    <row r="83" spans="1:3">
      <c r="A83" s="89">
        <v>3</v>
      </c>
      <c r="B83" s="87" t="s">
        <v>118</v>
      </c>
      <c r="C83" s="588">
        <f t="shared" ref="C83" si="12">-C47</f>
        <v>0</v>
      </c>
    </row>
    <row r="84" spans="1:3">
      <c r="A84" s="89">
        <v>4</v>
      </c>
      <c r="B84" s="87" t="s">
        <v>134</v>
      </c>
      <c r="C84" s="581"/>
    </row>
    <row r="85" spans="1:3">
      <c r="A85" s="89">
        <v>5</v>
      </c>
      <c r="B85" s="405" t="s">
        <v>119</v>
      </c>
      <c r="C85" s="589">
        <f t="shared" ref="C85" si="13">SUM(C82:C84)</f>
        <v>0</v>
      </c>
    </row>
    <row r="86" spans="1:3">
      <c r="A86" s="89">
        <v>6</v>
      </c>
      <c r="B86" s="86"/>
      <c r="C86" s="590"/>
    </row>
    <row r="87" spans="1:3">
      <c r="A87" s="89">
        <v>7</v>
      </c>
      <c r="B87" s="86" t="s">
        <v>120</v>
      </c>
      <c r="C87" s="590"/>
    </row>
    <row r="88" spans="1:3">
      <c r="A88" s="89">
        <v>8</v>
      </c>
      <c r="B88" s="404" t="s">
        <v>121</v>
      </c>
      <c r="C88" s="590"/>
    </row>
    <row r="89" spans="1:3">
      <c r="A89" s="89">
        <v>9</v>
      </c>
      <c r="B89" s="404" t="s">
        <v>130</v>
      </c>
      <c r="C89" s="590"/>
    </row>
    <row r="90" spans="1:3">
      <c r="A90" s="89">
        <v>10</v>
      </c>
      <c r="B90" s="404" t="s">
        <v>122</v>
      </c>
      <c r="C90" s="590"/>
    </row>
    <row r="91" spans="1:3">
      <c r="A91" s="89">
        <v>11</v>
      </c>
      <c r="B91" s="86"/>
      <c r="C91" s="590"/>
    </row>
    <row r="92" spans="1:3">
      <c r="A92" s="89">
        <v>12</v>
      </c>
      <c r="B92" s="406" t="s">
        <v>278</v>
      </c>
      <c r="C92" s="589">
        <f t="shared" ref="C92" si="14">SUM(C88:C90)</f>
        <v>0</v>
      </c>
    </row>
    <row r="93" spans="1:3">
      <c r="A93" s="89">
        <v>13</v>
      </c>
      <c r="B93" s="86"/>
      <c r="C93" s="590"/>
    </row>
    <row r="94" spans="1:3">
      <c r="A94" s="89">
        <v>14</v>
      </c>
      <c r="B94" s="86" t="s">
        <v>124</v>
      </c>
      <c r="C94" s="590"/>
    </row>
    <row r="95" spans="1:3">
      <c r="A95" s="89">
        <v>15</v>
      </c>
      <c r="B95" s="404" t="s">
        <v>178</v>
      </c>
      <c r="C95" s="590"/>
    </row>
    <row r="96" spans="1:3">
      <c r="A96" s="89">
        <v>16</v>
      </c>
      <c r="B96" s="404" t="s">
        <v>133</v>
      </c>
      <c r="C96" s="590"/>
    </row>
    <row r="97" spans="1:3">
      <c r="A97" s="89">
        <v>17</v>
      </c>
      <c r="B97" s="404" t="s">
        <v>122</v>
      </c>
      <c r="C97" s="590"/>
    </row>
    <row r="98" spans="1:3">
      <c r="A98" s="89">
        <v>18</v>
      </c>
      <c r="B98" s="406" t="s">
        <v>279</v>
      </c>
      <c r="C98" s="589">
        <f t="shared" ref="C98" si="15">SUM(C95:C97)</f>
        <v>0</v>
      </c>
    </row>
    <row r="99" spans="1:3">
      <c r="A99" s="89">
        <v>19</v>
      </c>
      <c r="B99" s="86"/>
      <c r="C99" s="590"/>
    </row>
    <row r="100" spans="1:3">
      <c r="A100" s="89">
        <v>20</v>
      </c>
      <c r="B100" s="87" t="s">
        <v>268</v>
      </c>
      <c r="C100" s="584">
        <f t="shared" ref="C100" si="16">+C82+C83+C84+C92-C98</f>
        <v>0</v>
      </c>
    </row>
    <row r="101" spans="1:3">
      <c r="A101" s="89">
        <v>21</v>
      </c>
      <c r="B101" s="404" t="s">
        <v>280</v>
      </c>
      <c r="C101" s="591">
        <v>0.35</v>
      </c>
    </row>
    <row r="102" spans="1:3">
      <c r="A102" s="89">
        <v>22</v>
      </c>
      <c r="B102" s="404" t="s">
        <v>127</v>
      </c>
      <c r="C102" s="592">
        <f t="shared" ref="C102" si="17">C100*C101</f>
        <v>0</v>
      </c>
    </row>
    <row r="103" spans="1:3">
      <c r="A103" s="89">
        <v>23</v>
      </c>
      <c r="B103" s="404" t="s">
        <v>128</v>
      </c>
      <c r="C103" s="590">
        <f t="shared" ref="C103" si="18">+(C95-C88+C96)*C101</f>
        <v>0</v>
      </c>
    </row>
    <row r="104" spans="1:3" ht="13.5" thickBot="1">
      <c r="A104" s="89">
        <v>24</v>
      </c>
      <c r="B104" s="95" t="s">
        <v>129</v>
      </c>
      <c r="C104" s="593">
        <f t="shared" ref="C104" si="19">ROUND(+C102+C103,0)</f>
        <v>0</v>
      </c>
    </row>
    <row r="105" spans="1:3" ht="13.5" thickTop="1"/>
  </sheetData>
  <printOptions horizontalCentered="1"/>
  <pageMargins left="0.5" right="0.5" top="1.5" bottom="0.3" header="0.5" footer="0.5"/>
  <pageSetup scale="60" firstPageNumber="2" fitToWidth="0" orientation="portrait" r:id="rId1"/>
  <headerFooter scaleWithDoc="0" alignWithMargins="0">
    <oddHeader>&amp;L&amp;"Arial,Regular"&amp;10Avista Corporation
&amp;"Arial,Bold"Electric - Pro Forma Adjustments (Schedule 1.3)&amp;"Arial,Regular"
Twelve Months Ended December 31,2011&amp;R&amp;"Arial,Regular"&amp;10Exhibit No. ___ (JH-2)
Docket UE-120436 &amp; UG-120437
Page &amp;P of  &amp;N</oddHeader>
  </headerFooter>
  <colBreaks count="1" manualBreakCount="1">
    <brk id="9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5" zoomScaleNormal="75" workbookViewId="0">
      <pane xSplit="2" ySplit="12" topLeftCell="C19" activePane="bottomRight" state="frozen"/>
      <selection activeCell="G79" sqref="G79"/>
      <selection pane="topRight" activeCell="G79" sqref="G79"/>
      <selection pane="bottomLeft" activeCell="G79" sqref="G79"/>
      <selection pane="bottomRight" activeCell="G79" sqref="G79"/>
    </sheetView>
  </sheetViews>
  <sheetFormatPr defaultColWidth="10.625" defaultRowHeight="12.75"/>
  <cols>
    <col min="1" max="1" width="4.375" style="64" bestFit="1" customWidth="1"/>
    <col min="2" max="2" width="36.5" style="63" bestFit="1" customWidth="1"/>
    <col min="3" max="3" width="16.75" style="586" customWidth="1"/>
    <col min="4" max="9" width="9" style="101" customWidth="1"/>
    <col min="10" max="10" width="11.625" style="65" hidden="1" customWidth="1"/>
    <col min="11" max="11" width="5" style="14" customWidth="1"/>
    <col min="12" max="12" width="2.75" style="14" customWidth="1"/>
    <col min="13" max="13" width="11.75" style="14" customWidth="1"/>
    <col min="14" max="14" width="2.625" style="14" customWidth="1"/>
    <col min="15" max="15" width="10.875" style="14" customWidth="1"/>
    <col min="16" max="16" width="6.75" style="14" customWidth="1"/>
    <col min="17" max="18" width="9.625" style="14" customWidth="1"/>
    <col min="19" max="19" width="10.625" style="14" customWidth="1"/>
    <col min="20" max="20" width="6.75" style="14" customWidth="1"/>
    <col min="21" max="16384" width="10.625" style="14"/>
  </cols>
  <sheetData>
    <row r="1" spans="1:13">
      <c r="A1" s="56"/>
      <c r="B1" s="9" t="s">
        <v>281</v>
      </c>
      <c r="C1" s="572"/>
      <c r="D1" s="14"/>
      <c r="E1" s="14"/>
      <c r="F1" s="14"/>
      <c r="G1" s="14"/>
      <c r="H1" s="14"/>
      <c r="I1" s="14"/>
    </row>
    <row r="2" spans="1:13">
      <c r="A2" s="411"/>
      <c r="B2" s="14"/>
      <c r="C2" s="573" t="s">
        <v>252</v>
      </c>
      <c r="D2" s="14"/>
      <c r="E2" s="14"/>
      <c r="F2" s="14"/>
      <c r="G2" s="14"/>
      <c r="H2" s="14"/>
      <c r="I2" s="14"/>
    </row>
    <row r="3" spans="1:13">
      <c r="A3" s="411"/>
      <c r="B3" s="14"/>
      <c r="C3" s="573"/>
      <c r="D3" s="14"/>
      <c r="E3" s="14"/>
      <c r="F3" s="14"/>
      <c r="G3" s="14"/>
      <c r="H3" s="14"/>
      <c r="I3" s="14"/>
    </row>
    <row r="4" spans="1:13" ht="13.5" thickBot="1">
      <c r="A4" s="411"/>
      <c r="B4" s="14"/>
      <c r="C4" s="574"/>
      <c r="D4" s="14"/>
      <c r="E4" s="14"/>
      <c r="F4" s="14"/>
      <c r="G4" s="14"/>
      <c r="H4" s="14"/>
      <c r="I4" s="14"/>
    </row>
    <row r="5" spans="1:13" ht="13.5" thickTop="1">
      <c r="A5" s="402"/>
      <c r="B5" s="64" t="str">
        <f>+Restating!B5</f>
        <v>(000's of Dollars)</v>
      </c>
    </row>
    <row r="6" spans="1:13">
      <c r="A6" s="62"/>
    </row>
    <row r="7" spans="1:13" ht="13.5" thickBot="1">
      <c r="A7" s="403"/>
      <c r="B7" s="64" t="s">
        <v>100</v>
      </c>
      <c r="C7" s="601" t="s">
        <v>159</v>
      </c>
    </row>
    <row r="8" spans="1:13" ht="13.5" thickBot="1">
      <c r="A8" s="403"/>
      <c r="B8" s="64"/>
      <c r="C8" s="626" t="s">
        <v>364</v>
      </c>
    </row>
    <row r="9" spans="1:13">
      <c r="A9" s="62"/>
      <c r="C9" s="596">
        <v>4.01</v>
      </c>
    </row>
    <row r="10" spans="1:13" s="71" customFormat="1">
      <c r="A10" s="414"/>
      <c r="B10" s="420"/>
      <c r="C10" s="602" t="s">
        <v>359</v>
      </c>
      <c r="J10" s="68"/>
    </row>
    <row r="11" spans="1:13" s="71" customFormat="1">
      <c r="A11" s="414" t="s">
        <v>5</v>
      </c>
      <c r="B11" s="420"/>
      <c r="C11" s="603" t="s">
        <v>360</v>
      </c>
      <c r="J11" s="68"/>
    </row>
    <row r="12" spans="1:13" s="71" customFormat="1">
      <c r="A12" s="421" t="s">
        <v>10</v>
      </c>
      <c r="B12" s="422" t="s">
        <v>11</v>
      </c>
      <c r="C12" s="604" t="s">
        <v>362</v>
      </c>
      <c r="J12" s="68"/>
    </row>
    <row r="13" spans="1:13" s="72" customFormat="1">
      <c r="A13" s="418"/>
      <c r="B13" s="115" t="s">
        <v>155</v>
      </c>
      <c r="C13" s="605"/>
      <c r="J13" s="60"/>
    </row>
    <row r="14" spans="1:13">
      <c r="A14" s="73">
        <v>1</v>
      </c>
      <c r="B14" s="416" t="s">
        <v>98</v>
      </c>
      <c r="J14" s="61"/>
    </row>
    <row r="15" spans="1:13">
      <c r="A15" s="75">
        <v>2</v>
      </c>
      <c r="B15" s="63" t="s">
        <v>40</v>
      </c>
      <c r="C15" s="575"/>
      <c r="J15" s="61"/>
    </row>
    <row r="16" spans="1:13" s="15" customFormat="1">
      <c r="A16" s="75">
        <v>3</v>
      </c>
      <c r="B16" s="76" t="s">
        <v>41</v>
      </c>
      <c r="C16" s="580"/>
      <c r="J16" s="77"/>
      <c r="K16" s="104"/>
      <c r="L16" s="104"/>
      <c r="M16" s="104"/>
    </row>
    <row r="17" spans="1:10" s="20" customFormat="1">
      <c r="A17" s="73">
        <v>4</v>
      </c>
      <c r="B17" s="78" t="s">
        <v>42</v>
      </c>
      <c r="C17" s="581"/>
      <c r="J17" s="105"/>
    </row>
    <row r="18" spans="1:10" s="20" customFormat="1">
      <c r="A18" s="75">
        <v>5</v>
      </c>
      <c r="B18" s="78" t="s">
        <v>43</v>
      </c>
      <c r="C18" s="582"/>
      <c r="J18" s="107"/>
    </row>
    <row r="19" spans="1:10" s="20" customFormat="1">
      <c r="A19" s="75">
        <v>6</v>
      </c>
      <c r="B19" s="397" t="s">
        <v>44</v>
      </c>
      <c r="C19" s="581"/>
    </row>
    <row r="20" spans="1:10" s="20" customFormat="1">
      <c r="A20" s="73">
        <v>7</v>
      </c>
      <c r="B20" s="78" t="s">
        <v>45</v>
      </c>
      <c r="C20" s="582"/>
      <c r="J20" s="107"/>
    </row>
    <row r="21" spans="1:10" s="20" customFormat="1">
      <c r="A21" s="75">
        <v>8</v>
      </c>
      <c r="B21" s="397" t="s">
        <v>46</v>
      </c>
      <c r="C21" s="581"/>
    </row>
    <row r="22" spans="1:10" s="20" customFormat="1">
      <c r="A22" s="75">
        <v>9</v>
      </c>
      <c r="B22" s="78"/>
      <c r="C22" s="581"/>
      <c r="J22" s="105"/>
    </row>
    <row r="23" spans="1:10" s="20" customFormat="1">
      <c r="A23" s="73">
        <v>10</v>
      </c>
      <c r="B23" s="78" t="s">
        <v>20</v>
      </c>
      <c r="C23" s="581"/>
      <c r="J23" s="105"/>
    </row>
    <row r="24" spans="1:10" s="20" customFormat="1">
      <c r="A24" s="75">
        <v>11</v>
      </c>
      <c r="B24" s="78" t="s">
        <v>47</v>
      </c>
      <c r="C24" s="581"/>
      <c r="J24" s="105"/>
    </row>
    <row r="25" spans="1:10" s="20" customFormat="1">
      <c r="A25" s="75">
        <v>12</v>
      </c>
      <c r="B25" s="397" t="s">
        <v>48</v>
      </c>
      <c r="C25" s="581">
        <v>0</v>
      </c>
      <c r="J25" s="105"/>
    </row>
    <row r="26" spans="1:10" s="20" customFormat="1">
      <c r="A26" s="73">
        <v>13</v>
      </c>
      <c r="B26" s="397" t="s">
        <v>49</v>
      </c>
      <c r="C26" s="581"/>
      <c r="J26" s="105"/>
    </row>
    <row r="27" spans="1:10" s="20" customFormat="1">
      <c r="A27" s="75">
        <v>14</v>
      </c>
      <c r="B27" s="397" t="s">
        <v>50</v>
      </c>
      <c r="C27" s="581">
        <v>0</v>
      </c>
      <c r="J27" s="105"/>
    </row>
    <row r="28" spans="1:10" s="20" customFormat="1">
      <c r="A28" s="73">
        <v>15</v>
      </c>
      <c r="B28" s="393" t="s">
        <v>349</v>
      </c>
      <c r="C28" s="581"/>
      <c r="J28" s="105"/>
    </row>
    <row r="29" spans="1:10" s="20" customFormat="1">
      <c r="A29" s="75">
        <v>16</v>
      </c>
      <c r="B29" s="397" t="s">
        <v>51</v>
      </c>
      <c r="C29" s="582"/>
      <c r="J29" s="107"/>
    </row>
    <row r="30" spans="1:10" s="20" customFormat="1">
      <c r="A30" s="75">
        <v>17</v>
      </c>
      <c r="B30" s="398" t="s">
        <v>52</v>
      </c>
      <c r="C30" s="581">
        <f>SUM(C25:C29)</f>
        <v>0</v>
      </c>
    </row>
    <row r="31" spans="1:10" s="20" customFormat="1">
      <c r="A31" s="73">
        <v>18</v>
      </c>
      <c r="B31" s="78"/>
      <c r="C31" s="581"/>
      <c r="J31" s="105"/>
    </row>
    <row r="32" spans="1:10" s="20" customFormat="1">
      <c r="A32" s="75">
        <v>19</v>
      </c>
      <c r="B32" s="78" t="s">
        <v>53</v>
      </c>
      <c r="C32" s="581"/>
      <c r="J32" s="105"/>
    </row>
    <row r="33" spans="1:18" s="20" customFormat="1">
      <c r="A33" s="73">
        <v>20</v>
      </c>
      <c r="B33" s="397" t="s">
        <v>48</v>
      </c>
      <c r="C33" s="581">
        <v>0</v>
      </c>
      <c r="J33" s="105"/>
    </row>
    <row r="34" spans="1:18" s="20" customFormat="1">
      <c r="A34" s="75">
        <v>21</v>
      </c>
      <c r="B34" s="397" t="s">
        <v>54</v>
      </c>
      <c r="C34" s="581">
        <v>0</v>
      </c>
      <c r="J34" s="105"/>
    </row>
    <row r="35" spans="1:18" s="20" customFormat="1">
      <c r="A35" s="75">
        <v>22</v>
      </c>
      <c r="B35" s="397" t="s">
        <v>51</v>
      </c>
      <c r="C35" s="582"/>
      <c r="J35" s="107"/>
    </row>
    <row r="36" spans="1:18" s="20" customFormat="1">
      <c r="A36" s="73">
        <v>23</v>
      </c>
      <c r="B36" s="398" t="s">
        <v>55</v>
      </c>
      <c r="C36" s="581">
        <f>SUM(C33:C35)</f>
        <v>0</v>
      </c>
    </row>
    <row r="37" spans="1:18" s="20" customFormat="1">
      <c r="A37" s="75">
        <v>24</v>
      </c>
      <c r="B37" s="78"/>
      <c r="C37" s="581"/>
      <c r="J37" s="105"/>
    </row>
    <row r="38" spans="1:18" s="20" customFormat="1">
      <c r="A38" s="73">
        <v>25</v>
      </c>
      <c r="B38" s="78" t="s">
        <v>56</v>
      </c>
      <c r="C38" s="581">
        <v>0</v>
      </c>
      <c r="J38" s="105"/>
      <c r="K38" s="108"/>
      <c r="L38" s="101"/>
      <c r="O38" s="106"/>
      <c r="P38" s="109"/>
      <c r="Q38" s="109"/>
      <c r="R38" s="109"/>
    </row>
    <row r="39" spans="1:18" s="20" customFormat="1">
      <c r="A39" s="75">
        <v>26</v>
      </c>
      <c r="B39" s="78" t="s">
        <v>57</v>
      </c>
      <c r="C39" s="581">
        <v>0</v>
      </c>
      <c r="J39" s="105"/>
      <c r="M39" s="110"/>
      <c r="O39" s="81"/>
      <c r="P39" s="81"/>
      <c r="Q39" s="81"/>
      <c r="R39" s="109"/>
    </row>
    <row r="40" spans="1:18" s="20" customFormat="1">
      <c r="A40" s="75">
        <v>27</v>
      </c>
      <c r="B40" s="78" t="s">
        <v>58</v>
      </c>
      <c r="C40" s="581">
        <v>0</v>
      </c>
      <c r="J40" s="105"/>
      <c r="M40" s="110"/>
    </row>
    <row r="41" spans="1:18" s="20" customFormat="1">
      <c r="A41" s="73">
        <v>28</v>
      </c>
      <c r="B41" s="78"/>
      <c r="C41" s="581"/>
      <c r="J41" s="105"/>
    </row>
    <row r="42" spans="1:18" s="20" customFormat="1">
      <c r="A42" s="75">
        <v>29</v>
      </c>
      <c r="B42" s="78" t="s">
        <v>59</v>
      </c>
      <c r="C42" s="581"/>
      <c r="J42" s="105"/>
    </row>
    <row r="43" spans="1:18" s="20" customFormat="1">
      <c r="A43" s="73">
        <v>30</v>
      </c>
      <c r="B43" s="397" t="s">
        <v>48</v>
      </c>
      <c r="C43" s="581">
        <v>0</v>
      </c>
      <c r="J43" s="105"/>
    </row>
    <row r="44" spans="1:18" s="20" customFormat="1">
      <c r="A44" s="75">
        <v>31</v>
      </c>
      <c r="B44" s="397" t="s">
        <v>54</v>
      </c>
      <c r="C44" s="581">
        <v>0</v>
      </c>
      <c r="J44" s="105"/>
    </row>
    <row r="45" spans="1:18" s="20" customFormat="1">
      <c r="A45" s="75">
        <v>32</v>
      </c>
      <c r="B45" s="397" t="s">
        <v>51</v>
      </c>
      <c r="C45" s="582"/>
      <c r="J45" s="107"/>
    </row>
    <row r="46" spans="1:18" s="20" customFormat="1">
      <c r="A46" s="73">
        <v>33</v>
      </c>
      <c r="B46" s="398" t="s">
        <v>60</v>
      </c>
      <c r="C46" s="582">
        <f>SUM(C43:C45)</f>
        <v>0</v>
      </c>
      <c r="J46" s="111"/>
    </row>
    <row r="47" spans="1:18" s="20" customFormat="1">
      <c r="A47" s="75">
        <v>34</v>
      </c>
      <c r="B47" s="78" t="s">
        <v>61</v>
      </c>
      <c r="C47" s="582">
        <f>C46+C40+C39+C38+C36+C30</f>
        <v>0</v>
      </c>
      <c r="J47" s="111"/>
    </row>
    <row r="48" spans="1:18" s="20" customFormat="1">
      <c r="A48" s="73">
        <v>35</v>
      </c>
      <c r="B48" s="78"/>
      <c r="C48" s="581"/>
    </row>
    <row r="49" spans="1:18" s="20" customFormat="1">
      <c r="A49" s="75">
        <v>36</v>
      </c>
      <c r="B49" s="78" t="s">
        <v>62</v>
      </c>
      <c r="C49" s="581">
        <f>C21-C47</f>
        <v>0</v>
      </c>
    </row>
    <row r="50" spans="1:18" s="20" customFormat="1">
      <c r="A50" s="75">
        <v>37</v>
      </c>
      <c r="B50" s="78"/>
      <c r="C50" s="581"/>
      <c r="J50" s="105"/>
    </row>
    <row r="51" spans="1:18" s="20" customFormat="1">
      <c r="A51" s="73">
        <v>38</v>
      </c>
      <c r="B51" s="78" t="s">
        <v>63</v>
      </c>
      <c r="C51" s="581"/>
      <c r="J51" s="105"/>
    </row>
    <row r="52" spans="1:18" s="20" customFormat="1">
      <c r="A52" s="75">
        <v>39</v>
      </c>
      <c r="B52" s="78" t="s">
        <v>64</v>
      </c>
      <c r="C52" s="581">
        <f t="shared" ref="C52" si="0">+C104</f>
        <v>0</v>
      </c>
      <c r="J52" s="105"/>
      <c r="N52" s="15"/>
    </row>
    <row r="53" spans="1:18" s="20" customFormat="1">
      <c r="A53" s="75">
        <v>40</v>
      </c>
      <c r="B53" s="78" t="s">
        <v>366</v>
      </c>
      <c r="C53" s="581">
        <f>+(C77*' Capital '!$J$13)*-35%</f>
        <v>0</v>
      </c>
      <c r="J53" s="105"/>
      <c r="N53" s="15"/>
    </row>
    <row r="54" spans="1:18" s="20" customFormat="1">
      <c r="A54" s="73">
        <v>41</v>
      </c>
      <c r="B54" s="78" t="s">
        <v>65</v>
      </c>
      <c r="C54" s="581"/>
      <c r="J54" s="105"/>
      <c r="M54" s="15"/>
      <c r="N54" s="14"/>
    </row>
    <row r="55" spans="1:18" s="20" customFormat="1">
      <c r="A55" s="75">
        <v>42</v>
      </c>
      <c r="B55" s="78" t="s">
        <v>238</v>
      </c>
      <c r="C55" s="581"/>
      <c r="J55" s="105"/>
      <c r="M55" s="15"/>
      <c r="N55" s="14"/>
    </row>
    <row r="56" spans="1:18" s="20" customFormat="1">
      <c r="A56" s="75">
        <v>43</v>
      </c>
      <c r="B56" s="78"/>
      <c r="C56" s="581"/>
      <c r="J56" s="105"/>
      <c r="M56" s="15"/>
      <c r="N56" s="14"/>
    </row>
    <row r="57" spans="1:18">
      <c r="A57" s="73">
        <v>44</v>
      </c>
      <c r="C57" s="581"/>
      <c r="O57" s="15"/>
      <c r="P57" s="15"/>
      <c r="Q57" s="15"/>
      <c r="R57" s="15"/>
    </row>
    <row r="58" spans="1:18" s="15" customFormat="1" ht="13.5" thickBot="1">
      <c r="A58" s="75">
        <v>45</v>
      </c>
      <c r="B58" s="76" t="s">
        <v>66</v>
      </c>
      <c r="C58" s="598">
        <v>0</v>
      </c>
      <c r="J58" s="112"/>
      <c r="M58" s="14"/>
      <c r="N58" s="14"/>
      <c r="O58" s="14"/>
      <c r="P58" s="14"/>
      <c r="Q58" s="14"/>
      <c r="R58" s="14"/>
    </row>
    <row r="59" spans="1:18" ht="13.5" thickTop="1">
      <c r="A59" s="75">
        <v>46</v>
      </c>
      <c r="B59" s="2"/>
      <c r="C59" s="575"/>
    </row>
    <row r="60" spans="1:18">
      <c r="A60" s="73">
        <v>47</v>
      </c>
      <c r="B60" s="416" t="s">
        <v>21</v>
      </c>
      <c r="C60" s="575"/>
    </row>
    <row r="61" spans="1:18">
      <c r="A61" s="75">
        <v>48</v>
      </c>
      <c r="B61" s="63" t="s">
        <v>67</v>
      </c>
      <c r="C61" s="581"/>
      <c r="O61" s="15"/>
      <c r="P61" s="15"/>
      <c r="Q61" s="15"/>
      <c r="R61" s="15"/>
    </row>
    <row r="62" spans="1:18" s="15" customFormat="1">
      <c r="A62" s="75">
        <v>49</v>
      </c>
      <c r="B62" s="396" t="s">
        <v>68</v>
      </c>
      <c r="C62" s="599">
        <v>0</v>
      </c>
      <c r="J62" s="113"/>
      <c r="M62" s="14"/>
      <c r="N62" s="14"/>
      <c r="O62" s="20"/>
      <c r="P62" s="20"/>
      <c r="Q62" s="20"/>
      <c r="R62" s="20"/>
    </row>
    <row r="63" spans="1:18" s="20" customFormat="1">
      <c r="A63" s="73">
        <v>50</v>
      </c>
      <c r="B63" s="397" t="s">
        <v>69</v>
      </c>
      <c r="C63" s="581">
        <v>0</v>
      </c>
      <c r="J63" s="105"/>
      <c r="M63" s="14"/>
      <c r="N63" s="14"/>
    </row>
    <row r="64" spans="1:18" s="20" customFormat="1">
      <c r="A64" s="75">
        <v>51</v>
      </c>
      <c r="B64" s="397" t="s">
        <v>70</v>
      </c>
      <c r="C64" s="581">
        <v>0</v>
      </c>
      <c r="J64" s="105"/>
      <c r="M64" s="14"/>
      <c r="N64" s="14"/>
    </row>
    <row r="65" spans="1:18" s="20" customFormat="1">
      <c r="A65" s="75">
        <v>52</v>
      </c>
      <c r="B65" s="397" t="s">
        <v>53</v>
      </c>
      <c r="C65" s="581">
        <v>0</v>
      </c>
      <c r="J65" s="105"/>
      <c r="M65" s="14"/>
      <c r="N65" s="14"/>
    </row>
    <row r="66" spans="1:18" s="20" customFormat="1">
      <c r="A66" s="73">
        <v>53</v>
      </c>
      <c r="B66" s="397" t="s">
        <v>71</v>
      </c>
      <c r="C66" s="582">
        <v>0</v>
      </c>
      <c r="J66" s="107"/>
      <c r="M66" s="14"/>
      <c r="N66" s="14"/>
    </row>
    <row r="67" spans="1:18" s="20" customFormat="1">
      <c r="A67" s="75">
        <v>54</v>
      </c>
      <c r="B67" s="398" t="s">
        <v>72</v>
      </c>
      <c r="C67" s="581">
        <f>SUM(C62:C66)</f>
        <v>0</v>
      </c>
      <c r="M67" s="14"/>
      <c r="N67" s="14"/>
    </row>
    <row r="68" spans="1:18" s="20" customFormat="1">
      <c r="A68" s="75">
        <v>55</v>
      </c>
      <c r="B68" s="78" t="s">
        <v>244</v>
      </c>
      <c r="C68" s="581">
        <v>0</v>
      </c>
      <c r="J68" s="105"/>
      <c r="M68" s="14"/>
      <c r="N68" s="14"/>
    </row>
    <row r="69" spans="1:18" s="20" customFormat="1">
      <c r="A69" s="73">
        <v>56</v>
      </c>
      <c r="B69" s="78" t="s">
        <v>245</v>
      </c>
      <c r="C69" s="582"/>
      <c r="J69" s="107"/>
      <c r="M69" s="14"/>
      <c r="N69" s="14"/>
    </row>
    <row r="70" spans="1:18" s="20" customFormat="1">
      <c r="A70" s="75">
        <v>57</v>
      </c>
      <c r="B70" s="397" t="s">
        <v>73</v>
      </c>
      <c r="C70" s="581">
        <f>SUM(C68:C69)</f>
        <v>0</v>
      </c>
      <c r="M70" s="14"/>
      <c r="N70" s="14"/>
    </row>
    <row r="71" spans="1:18" s="20" customFormat="1">
      <c r="A71" s="75">
        <v>58</v>
      </c>
      <c r="B71" s="78" t="s">
        <v>249</v>
      </c>
      <c r="C71" s="581"/>
      <c r="J71" s="105"/>
      <c r="M71" s="14"/>
      <c r="N71" s="14"/>
    </row>
    <row r="72" spans="1:18" s="20" customFormat="1">
      <c r="A72" s="73">
        <v>59</v>
      </c>
      <c r="B72" s="78" t="s">
        <v>351</v>
      </c>
      <c r="C72" s="581"/>
      <c r="J72" s="105"/>
      <c r="M72" s="14"/>
      <c r="N72" s="14"/>
    </row>
    <row r="73" spans="1:18" s="20" customFormat="1">
      <c r="A73" s="75">
        <v>60</v>
      </c>
      <c r="B73" s="78" t="s">
        <v>236</v>
      </c>
      <c r="C73" s="581"/>
      <c r="J73" s="105"/>
      <c r="M73" s="14"/>
      <c r="N73" s="14"/>
    </row>
    <row r="74" spans="1:18" s="20" customFormat="1">
      <c r="A74" s="75">
        <v>61</v>
      </c>
      <c r="B74" s="78" t="s">
        <v>247</v>
      </c>
      <c r="C74" s="581"/>
      <c r="J74" s="105"/>
      <c r="M74" s="14"/>
      <c r="N74" s="14"/>
    </row>
    <row r="75" spans="1:18" s="20" customFormat="1">
      <c r="A75" s="73">
        <v>62</v>
      </c>
      <c r="B75" s="78" t="s">
        <v>248</v>
      </c>
      <c r="C75" s="582">
        <v>0</v>
      </c>
      <c r="J75" s="107"/>
      <c r="M75" s="14"/>
      <c r="N75" s="14"/>
    </row>
    <row r="76" spans="1:18" s="20" customFormat="1">
      <c r="A76" s="75">
        <v>63</v>
      </c>
      <c r="B76" s="78"/>
      <c r="C76" s="581"/>
      <c r="M76" s="14"/>
      <c r="N76" s="14"/>
      <c r="O76" s="15"/>
      <c r="P76" s="15"/>
      <c r="Q76" s="15"/>
      <c r="R76" s="15"/>
    </row>
    <row r="77" spans="1:18" s="15" customFormat="1" ht="13.5" thickBot="1">
      <c r="A77" s="75">
        <v>64</v>
      </c>
      <c r="B77" s="425" t="s">
        <v>74</v>
      </c>
      <c r="C77" s="598">
        <f t="shared" ref="C77" si="1">C67-C70+C71+C75</f>
        <v>0</v>
      </c>
      <c r="J77" s="112"/>
      <c r="M77" s="14"/>
      <c r="N77" s="14"/>
      <c r="O77" s="14"/>
      <c r="P77" s="14"/>
      <c r="Q77" s="14"/>
      <c r="R77" s="14"/>
    </row>
    <row r="78" spans="1:18" ht="13.5" thickTop="1">
      <c r="B78" s="83"/>
    </row>
    <row r="79" spans="1:18">
      <c r="A79" s="84"/>
      <c r="B79" s="38"/>
      <c r="C79" s="587"/>
    </row>
    <row r="80" spans="1:18">
      <c r="A80" s="89"/>
      <c r="B80" s="86"/>
    </row>
    <row r="81" spans="1:3">
      <c r="A81" s="89">
        <v>1</v>
      </c>
      <c r="B81" s="392" t="s">
        <v>116</v>
      </c>
    </row>
    <row r="82" spans="1:3">
      <c r="A82" s="89">
        <v>2</v>
      </c>
      <c r="B82" s="87" t="s">
        <v>117</v>
      </c>
      <c r="C82" s="600">
        <f t="shared" ref="C82" si="2">+C21</f>
        <v>0</v>
      </c>
    </row>
    <row r="83" spans="1:3">
      <c r="A83" s="89">
        <v>3</v>
      </c>
      <c r="B83" s="87" t="s">
        <v>118</v>
      </c>
      <c r="C83" s="588">
        <f t="shared" ref="C83" si="3">-C47</f>
        <v>0</v>
      </c>
    </row>
    <row r="84" spans="1:3">
      <c r="A84" s="89">
        <v>4</v>
      </c>
      <c r="B84" s="87" t="s">
        <v>134</v>
      </c>
      <c r="C84" s="581"/>
    </row>
    <row r="85" spans="1:3">
      <c r="A85" s="89">
        <v>5</v>
      </c>
      <c r="B85" s="405" t="s">
        <v>119</v>
      </c>
      <c r="C85" s="589">
        <f t="shared" ref="C85" si="4">SUM(C82:C84)</f>
        <v>0</v>
      </c>
    </row>
    <row r="86" spans="1:3">
      <c r="A86" s="89">
        <v>6</v>
      </c>
      <c r="B86" s="86"/>
      <c r="C86" s="590"/>
    </row>
    <row r="87" spans="1:3">
      <c r="A87" s="89">
        <v>7</v>
      </c>
      <c r="B87" s="86" t="s">
        <v>120</v>
      </c>
      <c r="C87" s="590"/>
    </row>
    <row r="88" spans="1:3">
      <c r="A88" s="89">
        <v>8</v>
      </c>
      <c r="B88" s="404" t="s">
        <v>121</v>
      </c>
      <c r="C88" s="590"/>
    </row>
    <row r="89" spans="1:3">
      <c r="A89" s="89">
        <v>9</v>
      </c>
      <c r="B89" s="404" t="s">
        <v>130</v>
      </c>
      <c r="C89" s="590"/>
    </row>
    <row r="90" spans="1:3">
      <c r="A90" s="89">
        <v>10</v>
      </c>
      <c r="B90" s="404" t="s">
        <v>122</v>
      </c>
      <c r="C90" s="590"/>
    </row>
    <row r="91" spans="1:3">
      <c r="A91" s="89">
        <v>11</v>
      </c>
      <c r="B91" s="86"/>
      <c r="C91" s="590"/>
    </row>
    <row r="92" spans="1:3">
      <c r="A92" s="89">
        <v>12</v>
      </c>
      <c r="B92" s="406" t="s">
        <v>278</v>
      </c>
      <c r="C92" s="589">
        <f t="shared" ref="C92" si="5">SUM(C88:C90)</f>
        <v>0</v>
      </c>
    </row>
    <row r="93" spans="1:3">
      <c r="A93" s="89">
        <v>13</v>
      </c>
      <c r="B93" s="86"/>
      <c r="C93" s="590"/>
    </row>
    <row r="94" spans="1:3">
      <c r="A94" s="89">
        <v>14</v>
      </c>
      <c r="B94" s="86" t="s">
        <v>124</v>
      </c>
      <c r="C94" s="590"/>
    </row>
    <row r="95" spans="1:3">
      <c r="A95" s="89">
        <v>15</v>
      </c>
      <c r="B95" s="404" t="s">
        <v>178</v>
      </c>
      <c r="C95" s="590"/>
    </row>
    <row r="96" spans="1:3">
      <c r="A96" s="89">
        <v>16</v>
      </c>
      <c r="B96" s="404" t="s">
        <v>133</v>
      </c>
      <c r="C96" s="590"/>
    </row>
    <row r="97" spans="1:3">
      <c r="A97" s="89">
        <v>17</v>
      </c>
      <c r="B97" s="404" t="s">
        <v>122</v>
      </c>
      <c r="C97" s="590"/>
    </row>
    <row r="98" spans="1:3">
      <c r="A98" s="89">
        <v>18</v>
      </c>
      <c r="B98" s="406" t="s">
        <v>279</v>
      </c>
      <c r="C98" s="589">
        <f t="shared" ref="C98" si="6">SUM(C95:C97)</f>
        <v>0</v>
      </c>
    </row>
    <row r="99" spans="1:3">
      <c r="A99" s="89">
        <v>19</v>
      </c>
      <c r="B99" s="86"/>
      <c r="C99" s="590"/>
    </row>
    <row r="100" spans="1:3">
      <c r="A100" s="89">
        <v>20</v>
      </c>
      <c r="B100" s="87" t="s">
        <v>268</v>
      </c>
      <c r="C100" s="584">
        <f t="shared" ref="C100" si="7">+C82+C83+C84+C92-C98</f>
        <v>0</v>
      </c>
    </row>
    <row r="101" spans="1:3">
      <c r="A101" s="89">
        <v>21</v>
      </c>
      <c r="B101" s="404" t="s">
        <v>280</v>
      </c>
      <c r="C101" s="591">
        <v>0.35</v>
      </c>
    </row>
    <row r="102" spans="1:3">
      <c r="A102" s="89">
        <v>22</v>
      </c>
      <c r="B102" s="404" t="s">
        <v>127</v>
      </c>
      <c r="C102" s="592">
        <f t="shared" ref="C102" si="8">C100*C101</f>
        <v>0</v>
      </c>
    </row>
    <row r="103" spans="1:3">
      <c r="A103" s="89">
        <v>23</v>
      </c>
      <c r="B103" s="404" t="s">
        <v>128</v>
      </c>
      <c r="C103" s="590">
        <f t="shared" ref="C103" si="9">+(C95-C88+C96)*C101</f>
        <v>0</v>
      </c>
    </row>
    <row r="104" spans="1:3" ht="13.5" thickBot="1">
      <c r="A104" s="89">
        <v>24</v>
      </c>
      <c r="B104" s="95" t="s">
        <v>129</v>
      </c>
      <c r="C104" s="593">
        <f t="shared" ref="C104" si="10">ROUND(+C102+C103,0)</f>
        <v>0</v>
      </c>
    </row>
    <row r="105" spans="1:3" ht="13.5" thickTop="1"/>
  </sheetData>
  <printOptions horizontalCentered="1"/>
  <pageMargins left="0.5" right="0.5" top="1.5" bottom="0.3" header="0.5" footer="0.5"/>
  <pageSetup scale="60" firstPageNumber="2" fitToWidth="0" orientation="portrait" r:id="rId1"/>
  <headerFooter scaleWithDoc="0" alignWithMargins="0">
    <oddHeader>&amp;L&amp;"Arial,Regular"&amp;10Avista Corporation
&amp;"Arial,Bold"Electric - Pro Forma Adjustments (Schedule 1.3)&amp;"Arial,Regular"
Twelve Months Ended December 31,2011&amp;R&amp;"Arial,Regular"&amp;10Exhibit No. ___ (JH-2)
Docket UE-120436 &amp; UG-120437
Page &amp;P of  &amp;N</oddHeader>
  </headerFooter>
  <colBreaks count="1" manualBreakCount="1">
    <brk id="9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5" zoomScaleNormal="75" workbookViewId="0">
      <pane xSplit="2" ySplit="12" topLeftCell="C13" activePane="bottomRight" state="frozen"/>
      <selection activeCell="G79" sqref="G79"/>
      <selection pane="topRight" activeCell="G79" sqref="G79"/>
      <selection pane="bottomLeft" activeCell="G79" sqref="G79"/>
      <selection pane="bottomRight" activeCell="G79" sqref="G79"/>
    </sheetView>
  </sheetViews>
  <sheetFormatPr defaultColWidth="10.625" defaultRowHeight="12.75"/>
  <cols>
    <col min="1" max="1" width="4.375" style="64" bestFit="1" customWidth="1"/>
    <col min="2" max="2" width="36.5" style="63" bestFit="1" customWidth="1"/>
    <col min="3" max="3" width="17.75" style="74" customWidth="1"/>
    <col min="4" max="9" width="9" style="101" customWidth="1"/>
    <col min="10" max="10" width="11.625" style="65" hidden="1" customWidth="1"/>
    <col min="11" max="11" width="5" style="14" customWidth="1"/>
    <col min="12" max="12" width="2.75" style="14" customWidth="1"/>
    <col min="13" max="13" width="11.75" style="14" customWidth="1"/>
    <col min="14" max="14" width="2.625" style="14" customWidth="1"/>
    <col min="15" max="15" width="10.875" style="14" customWidth="1"/>
    <col min="16" max="16" width="6.75" style="14" customWidth="1"/>
    <col min="17" max="18" width="9.625" style="14" customWidth="1"/>
    <col min="19" max="19" width="10.625" style="14" customWidth="1"/>
    <col min="20" max="20" width="6.75" style="14" customWidth="1"/>
    <col min="21" max="16384" width="10.625" style="14"/>
  </cols>
  <sheetData>
    <row r="1" spans="1:13">
      <c r="A1" s="56"/>
      <c r="B1" s="9" t="s">
        <v>281</v>
      </c>
      <c r="C1" s="58"/>
      <c r="D1" s="14"/>
      <c r="E1" s="14"/>
      <c r="F1" s="14"/>
      <c r="G1" s="14"/>
      <c r="H1" s="14"/>
      <c r="I1" s="14"/>
    </row>
    <row r="2" spans="1:13">
      <c r="A2" s="411"/>
      <c r="B2" s="14"/>
      <c r="C2" s="66" t="s">
        <v>252</v>
      </c>
      <c r="D2" s="14"/>
      <c r="E2" s="14"/>
      <c r="F2" s="14"/>
      <c r="G2" s="14"/>
      <c r="H2" s="14"/>
      <c r="I2" s="14"/>
    </row>
    <row r="3" spans="1:13">
      <c r="A3" s="411"/>
      <c r="B3" s="14"/>
      <c r="C3" s="66"/>
      <c r="D3" s="14"/>
      <c r="E3" s="14"/>
      <c r="F3" s="14"/>
      <c r="G3" s="14"/>
      <c r="H3" s="14"/>
      <c r="I3" s="14"/>
    </row>
    <row r="4" spans="1:13" ht="13.5" thickBot="1">
      <c r="A4" s="411"/>
      <c r="B4" s="14"/>
      <c r="C4" s="413"/>
      <c r="D4" s="14"/>
      <c r="E4" s="14"/>
      <c r="F4" s="14"/>
      <c r="G4" s="14"/>
      <c r="H4" s="14"/>
      <c r="I4" s="14"/>
    </row>
    <row r="5" spans="1:13" ht="13.5" thickTop="1">
      <c r="A5" s="402"/>
      <c r="B5" s="64" t="str">
        <f>+Restating!B5</f>
        <v>(000's of Dollars)</v>
      </c>
    </row>
    <row r="6" spans="1:13">
      <c r="A6" s="62"/>
    </row>
    <row r="7" spans="1:13" ht="13.5" thickBot="1">
      <c r="A7" s="403"/>
      <c r="B7" s="64" t="s">
        <v>100</v>
      </c>
      <c r="C7" s="102" t="s">
        <v>160</v>
      </c>
    </row>
    <row r="8" spans="1:13" ht="13.5" thickBot="1">
      <c r="A8" s="403"/>
      <c r="B8" s="64"/>
      <c r="C8" s="626" t="s">
        <v>364</v>
      </c>
    </row>
    <row r="9" spans="1:13">
      <c r="A9" s="62"/>
      <c r="C9" s="550">
        <v>4.0199999999999996</v>
      </c>
    </row>
    <row r="10" spans="1:13" s="71" customFormat="1">
      <c r="A10" s="414"/>
      <c r="B10" s="420"/>
      <c r="C10" s="426"/>
      <c r="J10" s="68"/>
    </row>
    <row r="11" spans="1:13" s="71" customFormat="1">
      <c r="A11" s="414" t="s">
        <v>5</v>
      </c>
      <c r="B11" s="420"/>
      <c r="C11" s="68" t="s">
        <v>363</v>
      </c>
      <c r="J11" s="68"/>
    </row>
    <row r="12" spans="1:13" s="71" customFormat="1">
      <c r="A12" s="421" t="s">
        <v>10</v>
      </c>
      <c r="B12" s="422" t="s">
        <v>11</v>
      </c>
      <c r="C12" s="423"/>
      <c r="J12" s="68"/>
    </row>
    <row r="13" spans="1:13" s="72" customFormat="1">
      <c r="A13" s="418"/>
      <c r="B13" s="115" t="s">
        <v>155</v>
      </c>
      <c r="C13" s="60"/>
      <c r="J13" s="60"/>
    </row>
    <row r="14" spans="1:13">
      <c r="A14" s="73">
        <v>1</v>
      </c>
      <c r="B14" s="416" t="s">
        <v>98</v>
      </c>
      <c r="J14" s="61"/>
    </row>
    <row r="15" spans="1:13">
      <c r="A15" s="75">
        <v>2</v>
      </c>
      <c r="B15" s="63" t="s">
        <v>40</v>
      </c>
      <c r="C15" s="65"/>
      <c r="J15" s="61"/>
    </row>
    <row r="16" spans="1:13" s="15" customFormat="1">
      <c r="A16" s="75">
        <v>3</v>
      </c>
      <c r="B16" s="76" t="s">
        <v>41</v>
      </c>
      <c r="C16" s="566"/>
      <c r="J16" s="77"/>
      <c r="K16" s="104"/>
      <c r="L16" s="104"/>
      <c r="M16" s="104"/>
    </row>
    <row r="17" spans="1:10" s="20" customFormat="1">
      <c r="A17" s="73">
        <v>4</v>
      </c>
      <c r="B17" s="78" t="s">
        <v>42</v>
      </c>
      <c r="C17" s="23"/>
      <c r="J17" s="105"/>
    </row>
    <row r="18" spans="1:10" s="20" customFormat="1">
      <c r="A18" s="75">
        <v>5</v>
      </c>
      <c r="B18" s="78" t="s">
        <v>43</v>
      </c>
      <c r="C18" s="24"/>
      <c r="J18" s="107"/>
    </row>
    <row r="19" spans="1:10" s="20" customFormat="1">
      <c r="A19" s="75">
        <v>6</v>
      </c>
      <c r="B19" s="397" t="s">
        <v>44</v>
      </c>
      <c r="C19" s="23"/>
    </row>
    <row r="20" spans="1:10" s="20" customFormat="1">
      <c r="A20" s="73">
        <v>7</v>
      </c>
      <c r="B20" s="78" t="s">
        <v>45</v>
      </c>
      <c r="C20" s="24"/>
      <c r="J20" s="107"/>
    </row>
    <row r="21" spans="1:10" s="20" customFormat="1">
      <c r="A21" s="75">
        <v>8</v>
      </c>
      <c r="B21" s="397" t="s">
        <v>46</v>
      </c>
      <c r="C21" s="23"/>
    </row>
    <row r="22" spans="1:10" s="20" customFormat="1">
      <c r="A22" s="75">
        <v>9</v>
      </c>
      <c r="B22" s="78"/>
      <c r="C22" s="23"/>
      <c r="J22" s="105"/>
    </row>
    <row r="23" spans="1:10" s="20" customFormat="1">
      <c r="A23" s="73">
        <v>10</v>
      </c>
      <c r="B23" s="78" t="s">
        <v>20</v>
      </c>
      <c r="C23" s="23"/>
      <c r="J23" s="105"/>
    </row>
    <row r="24" spans="1:10" s="20" customFormat="1">
      <c r="A24" s="75">
        <v>11</v>
      </c>
      <c r="B24" s="78" t="s">
        <v>47</v>
      </c>
      <c r="C24" s="23"/>
      <c r="J24" s="105"/>
    </row>
    <row r="25" spans="1:10" s="20" customFormat="1">
      <c r="A25" s="75">
        <v>12</v>
      </c>
      <c r="B25" s="397" t="s">
        <v>48</v>
      </c>
      <c r="C25" s="23"/>
      <c r="J25" s="105"/>
    </row>
    <row r="26" spans="1:10" s="20" customFormat="1">
      <c r="A26" s="73">
        <v>13</v>
      </c>
      <c r="B26" s="397" t="s">
        <v>49</v>
      </c>
      <c r="C26" s="23"/>
      <c r="J26" s="105"/>
    </row>
    <row r="27" spans="1:10" s="20" customFormat="1">
      <c r="A27" s="75">
        <v>14</v>
      </c>
      <c r="B27" s="397" t="s">
        <v>50</v>
      </c>
      <c r="C27" s="23"/>
      <c r="J27" s="105"/>
    </row>
    <row r="28" spans="1:10" s="20" customFormat="1">
      <c r="A28" s="73">
        <v>15</v>
      </c>
      <c r="B28" s="393" t="s">
        <v>349</v>
      </c>
      <c r="C28" s="23"/>
      <c r="J28" s="105"/>
    </row>
    <row r="29" spans="1:10" s="20" customFormat="1">
      <c r="A29" s="75">
        <v>16</v>
      </c>
      <c r="B29" s="397" t="s">
        <v>51</v>
      </c>
      <c r="C29" s="24"/>
      <c r="J29" s="107"/>
    </row>
    <row r="30" spans="1:10" s="20" customFormat="1">
      <c r="A30" s="75">
        <v>17</v>
      </c>
      <c r="B30" s="398" t="s">
        <v>52</v>
      </c>
      <c r="C30" s="23">
        <f>SUM(C25:C29)</f>
        <v>0</v>
      </c>
    </row>
    <row r="31" spans="1:10" s="20" customFormat="1">
      <c r="A31" s="73">
        <v>18</v>
      </c>
      <c r="B31" s="78"/>
      <c r="C31" s="23"/>
      <c r="J31" s="105"/>
    </row>
    <row r="32" spans="1:10" s="20" customFormat="1">
      <c r="A32" s="75">
        <v>19</v>
      </c>
      <c r="B32" s="78" t="s">
        <v>53</v>
      </c>
      <c r="C32" s="23"/>
      <c r="J32" s="105"/>
    </row>
    <row r="33" spans="1:18" s="20" customFormat="1">
      <c r="A33" s="73">
        <v>20</v>
      </c>
      <c r="B33" s="397" t="s">
        <v>48</v>
      </c>
      <c r="C33" s="23"/>
      <c r="J33" s="105"/>
    </row>
    <row r="34" spans="1:18" s="20" customFormat="1">
      <c r="A34" s="75">
        <v>21</v>
      </c>
      <c r="B34" s="397" t="s">
        <v>54</v>
      </c>
      <c r="C34" s="23"/>
      <c r="J34" s="105"/>
    </row>
    <row r="35" spans="1:18" s="20" customFormat="1">
      <c r="A35" s="75">
        <v>22</v>
      </c>
      <c r="B35" s="397" t="s">
        <v>51</v>
      </c>
      <c r="C35" s="24"/>
      <c r="J35" s="107"/>
    </row>
    <row r="36" spans="1:18" s="20" customFormat="1">
      <c r="A36" s="73">
        <v>23</v>
      </c>
      <c r="B36" s="398" t="s">
        <v>55</v>
      </c>
      <c r="C36" s="23">
        <f>SUM(C33:C35)</f>
        <v>0</v>
      </c>
    </row>
    <row r="37" spans="1:18" s="20" customFormat="1">
      <c r="A37" s="75">
        <v>24</v>
      </c>
      <c r="B37" s="78"/>
      <c r="C37" s="23"/>
      <c r="J37" s="105"/>
    </row>
    <row r="38" spans="1:18" s="20" customFormat="1">
      <c r="A38" s="73">
        <v>25</v>
      </c>
      <c r="B38" s="78" t="s">
        <v>56</v>
      </c>
      <c r="C38" s="23">
        <v>0</v>
      </c>
      <c r="J38" s="105"/>
      <c r="K38" s="108"/>
      <c r="L38" s="101"/>
      <c r="O38" s="106"/>
      <c r="P38" s="109"/>
      <c r="Q38" s="109"/>
      <c r="R38" s="109"/>
    </row>
    <row r="39" spans="1:18" s="20" customFormat="1">
      <c r="A39" s="75">
        <v>26</v>
      </c>
      <c r="B39" s="78" t="s">
        <v>57</v>
      </c>
      <c r="C39" s="23">
        <v>0</v>
      </c>
      <c r="J39" s="105"/>
      <c r="M39" s="110"/>
      <c r="O39" s="81"/>
      <c r="P39" s="81"/>
      <c r="Q39" s="81"/>
      <c r="R39" s="109"/>
    </row>
    <row r="40" spans="1:18" s="20" customFormat="1">
      <c r="A40" s="75">
        <v>27</v>
      </c>
      <c r="B40" s="78" t="s">
        <v>58</v>
      </c>
      <c r="C40" s="23"/>
      <c r="J40" s="105"/>
      <c r="M40" s="110"/>
    </row>
    <row r="41" spans="1:18" s="20" customFormat="1">
      <c r="A41" s="73">
        <v>28</v>
      </c>
      <c r="B41" s="78"/>
      <c r="C41" s="23"/>
      <c r="J41" s="105"/>
    </row>
    <row r="42" spans="1:18" s="20" customFormat="1">
      <c r="A42" s="75">
        <v>29</v>
      </c>
      <c r="B42" s="78" t="s">
        <v>59</v>
      </c>
      <c r="C42" s="23"/>
      <c r="J42" s="105"/>
    </row>
    <row r="43" spans="1:18" s="20" customFormat="1">
      <c r="A43" s="73">
        <v>30</v>
      </c>
      <c r="B43" s="397" t="s">
        <v>48</v>
      </c>
      <c r="C43" s="23">
        <v>0</v>
      </c>
      <c r="J43" s="105"/>
    </row>
    <row r="44" spans="1:18" s="20" customFormat="1">
      <c r="A44" s="75">
        <v>31</v>
      </c>
      <c r="B44" s="397" t="s">
        <v>54</v>
      </c>
      <c r="C44" s="23"/>
      <c r="J44" s="105"/>
    </row>
    <row r="45" spans="1:18" s="20" customFormat="1">
      <c r="A45" s="75">
        <v>32</v>
      </c>
      <c r="B45" s="397" t="s">
        <v>51</v>
      </c>
      <c r="C45" s="24"/>
      <c r="J45" s="107"/>
    </row>
    <row r="46" spans="1:18" s="20" customFormat="1">
      <c r="A46" s="73">
        <v>33</v>
      </c>
      <c r="B46" s="398" t="s">
        <v>60</v>
      </c>
      <c r="C46" s="24">
        <f>SUM(C43:C45)</f>
        <v>0</v>
      </c>
      <c r="J46" s="111"/>
    </row>
    <row r="47" spans="1:18" s="20" customFormat="1">
      <c r="A47" s="75">
        <v>34</v>
      </c>
      <c r="B47" s="78" t="s">
        <v>61</v>
      </c>
      <c r="C47" s="24">
        <f>C46+C40+C39+C38+C36+C30</f>
        <v>0</v>
      </c>
      <c r="J47" s="111"/>
    </row>
    <row r="48" spans="1:18" s="20" customFormat="1">
      <c r="A48" s="73">
        <v>35</v>
      </c>
      <c r="B48" s="78"/>
      <c r="C48" s="23"/>
    </row>
    <row r="49" spans="1:18" s="20" customFormat="1">
      <c r="A49" s="75">
        <v>36</v>
      </c>
      <c r="B49" s="78" t="s">
        <v>62</v>
      </c>
      <c r="C49" s="23">
        <f>C21-C47</f>
        <v>0</v>
      </c>
    </row>
    <row r="50" spans="1:18" s="20" customFormat="1">
      <c r="A50" s="75">
        <v>37</v>
      </c>
      <c r="B50" s="78"/>
      <c r="C50" s="23"/>
      <c r="J50" s="105"/>
    </row>
    <row r="51" spans="1:18" s="20" customFormat="1">
      <c r="A51" s="73">
        <v>38</v>
      </c>
      <c r="B51" s="78" t="s">
        <v>63</v>
      </c>
      <c r="C51" s="23"/>
      <c r="J51" s="105"/>
    </row>
    <row r="52" spans="1:18" s="20" customFormat="1">
      <c r="A52" s="75">
        <v>39</v>
      </c>
      <c r="B52" s="78" t="s">
        <v>64</v>
      </c>
      <c r="C52" s="23">
        <f t="shared" ref="C52" si="0">+C104</f>
        <v>0</v>
      </c>
      <c r="J52" s="105"/>
      <c r="N52" s="15"/>
    </row>
    <row r="53" spans="1:18" s="20" customFormat="1">
      <c r="A53" s="75">
        <v>40</v>
      </c>
      <c r="B53" s="78" t="s">
        <v>366</v>
      </c>
      <c r="C53" s="581">
        <f>+(C77*' Capital '!$J$13)*-35%</f>
        <v>0</v>
      </c>
      <c r="J53" s="105"/>
      <c r="N53" s="15"/>
    </row>
    <row r="54" spans="1:18" s="20" customFormat="1">
      <c r="A54" s="73">
        <v>41</v>
      </c>
      <c r="B54" s="78" t="s">
        <v>65</v>
      </c>
      <c r="C54" s="23"/>
      <c r="J54" s="105"/>
      <c r="M54" s="15"/>
      <c r="N54" s="14"/>
    </row>
    <row r="55" spans="1:18" s="20" customFormat="1">
      <c r="A55" s="75">
        <v>42</v>
      </c>
      <c r="B55" s="78" t="s">
        <v>238</v>
      </c>
      <c r="C55" s="23"/>
      <c r="J55" s="105"/>
      <c r="M55" s="15"/>
      <c r="N55" s="14"/>
    </row>
    <row r="56" spans="1:18" s="20" customFormat="1">
      <c r="A56" s="75">
        <v>43</v>
      </c>
      <c r="B56" s="78"/>
      <c r="C56" s="23"/>
      <c r="J56" s="105"/>
      <c r="M56" s="15"/>
      <c r="N56" s="14"/>
    </row>
    <row r="57" spans="1:18">
      <c r="A57" s="73">
        <v>44</v>
      </c>
      <c r="C57" s="23"/>
      <c r="O57" s="15"/>
      <c r="P57" s="15"/>
      <c r="Q57" s="15"/>
      <c r="R57" s="15"/>
    </row>
    <row r="58" spans="1:18" s="15" customFormat="1" ht="13.5" thickBot="1">
      <c r="A58" s="75">
        <v>45</v>
      </c>
      <c r="B58" s="76" t="s">
        <v>66</v>
      </c>
      <c r="C58" s="112">
        <f t="shared" ref="C58" si="1">C49-SUM(C52:C56)</f>
        <v>0</v>
      </c>
      <c r="J58" s="112"/>
      <c r="M58" s="14"/>
      <c r="N58" s="14"/>
      <c r="O58" s="14"/>
      <c r="P58" s="14"/>
      <c r="Q58" s="14"/>
      <c r="R58" s="14"/>
    </row>
    <row r="59" spans="1:18" ht="13.5" thickTop="1">
      <c r="A59" s="75">
        <v>46</v>
      </c>
      <c r="B59" s="2"/>
      <c r="C59" s="65"/>
    </row>
    <row r="60" spans="1:18">
      <c r="A60" s="73">
        <v>47</v>
      </c>
      <c r="B60" s="416" t="s">
        <v>21</v>
      </c>
      <c r="C60" s="65"/>
    </row>
    <row r="61" spans="1:18">
      <c r="A61" s="75">
        <v>48</v>
      </c>
      <c r="B61" s="63" t="s">
        <v>67</v>
      </c>
      <c r="C61" s="23"/>
      <c r="O61" s="15"/>
      <c r="P61" s="15"/>
      <c r="Q61" s="15"/>
      <c r="R61" s="15"/>
    </row>
    <row r="62" spans="1:18" s="15" customFormat="1">
      <c r="A62" s="75">
        <v>49</v>
      </c>
      <c r="B62" s="396" t="s">
        <v>68</v>
      </c>
      <c r="C62" s="36"/>
      <c r="J62" s="113"/>
      <c r="M62" s="14"/>
      <c r="N62" s="14"/>
      <c r="O62" s="20"/>
      <c r="P62" s="20"/>
      <c r="Q62" s="20"/>
      <c r="R62" s="20"/>
    </row>
    <row r="63" spans="1:18" s="20" customFormat="1">
      <c r="A63" s="73">
        <v>50</v>
      </c>
      <c r="B63" s="397" t="s">
        <v>69</v>
      </c>
      <c r="C63" s="23"/>
      <c r="J63" s="105"/>
      <c r="M63" s="14"/>
      <c r="N63" s="14"/>
    </row>
    <row r="64" spans="1:18" s="20" customFormat="1">
      <c r="A64" s="75">
        <v>51</v>
      </c>
      <c r="B64" s="397" t="s">
        <v>70</v>
      </c>
      <c r="C64" s="23"/>
      <c r="J64" s="105"/>
      <c r="M64" s="14"/>
      <c r="N64" s="14"/>
    </row>
    <row r="65" spans="1:18" s="20" customFormat="1">
      <c r="A65" s="75">
        <v>52</v>
      </c>
      <c r="B65" s="397" t="s">
        <v>53</v>
      </c>
      <c r="C65" s="23"/>
      <c r="J65" s="105"/>
      <c r="M65" s="14"/>
      <c r="N65" s="14"/>
    </row>
    <row r="66" spans="1:18" s="20" customFormat="1">
      <c r="A66" s="73">
        <v>53</v>
      </c>
      <c r="B66" s="397" t="s">
        <v>71</v>
      </c>
      <c r="C66" s="24"/>
      <c r="J66" s="107"/>
      <c r="M66" s="14"/>
      <c r="N66" s="14"/>
    </row>
    <row r="67" spans="1:18" s="20" customFormat="1">
      <c r="A67" s="75">
        <v>54</v>
      </c>
      <c r="B67" s="398" t="s">
        <v>72</v>
      </c>
      <c r="C67" s="23">
        <f>SUM(C62:C66)</f>
        <v>0</v>
      </c>
      <c r="M67" s="14"/>
      <c r="N67" s="14"/>
    </row>
    <row r="68" spans="1:18" s="20" customFormat="1">
      <c r="A68" s="75">
        <v>55</v>
      </c>
      <c r="B68" s="78" t="s">
        <v>244</v>
      </c>
      <c r="C68" s="23"/>
      <c r="J68" s="105"/>
      <c r="M68" s="14"/>
      <c r="N68" s="14"/>
    </row>
    <row r="69" spans="1:18" s="20" customFormat="1">
      <c r="A69" s="73">
        <v>56</v>
      </c>
      <c r="B69" s="78" t="s">
        <v>245</v>
      </c>
      <c r="C69" s="24"/>
      <c r="J69" s="107"/>
      <c r="M69" s="14"/>
      <c r="N69" s="14"/>
    </row>
    <row r="70" spans="1:18" s="20" customFormat="1">
      <c r="A70" s="75">
        <v>57</v>
      </c>
      <c r="B70" s="397" t="s">
        <v>73</v>
      </c>
      <c r="C70" s="23">
        <f>SUM(C68:C69)</f>
        <v>0</v>
      </c>
      <c r="M70" s="14"/>
      <c r="N70" s="14"/>
    </row>
    <row r="71" spans="1:18" s="20" customFormat="1">
      <c r="A71" s="75">
        <v>58</v>
      </c>
      <c r="B71" s="78" t="s">
        <v>249</v>
      </c>
      <c r="C71" s="23"/>
      <c r="J71" s="105"/>
      <c r="M71" s="14"/>
      <c r="N71" s="14"/>
    </row>
    <row r="72" spans="1:18" s="20" customFormat="1">
      <c r="A72" s="73">
        <v>59</v>
      </c>
      <c r="B72" s="78" t="s">
        <v>351</v>
      </c>
      <c r="C72" s="23"/>
      <c r="J72" s="105"/>
      <c r="M72" s="14"/>
      <c r="N72" s="14"/>
    </row>
    <row r="73" spans="1:18" s="20" customFormat="1">
      <c r="A73" s="75">
        <v>60</v>
      </c>
      <c r="B73" s="78" t="s">
        <v>236</v>
      </c>
      <c r="C73" s="23"/>
      <c r="J73" s="105"/>
      <c r="M73" s="14"/>
      <c r="N73" s="14"/>
    </row>
    <row r="74" spans="1:18" s="20" customFormat="1">
      <c r="A74" s="75">
        <v>61</v>
      </c>
      <c r="B74" s="78" t="s">
        <v>247</v>
      </c>
      <c r="C74" s="23"/>
      <c r="J74" s="105"/>
      <c r="M74" s="14"/>
      <c r="N74" s="14"/>
    </row>
    <row r="75" spans="1:18" s="20" customFormat="1">
      <c r="A75" s="73">
        <v>62</v>
      </c>
      <c r="B75" s="78" t="s">
        <v>248</v>
      </c>
      <c r="C75" s="24"/>
      <c r="J75" s="107"/>
      <c r="M75" s="14"/>
      <c r="N75" s="14"/>
    </row>
    <row r="76" spans="1:18" s="20" customFormat="1">
      <c r="A76" s="75">
        <v>63</v>
      </c>
      <c r="B76" s="78"/>
      <c r="C76" s="23"/>
      <c r="M76" s="14"/>
      <c r="N76" s="14"/>
      <c r="O76" s="15"/>
      <c r="P76" s="15"/>
      <c r="Q76" s="15"/>
      <c r="R76" s="15"/>
    </row>
    <row r="77" spans="1:18" s="15" customFormat="1" ht="13.5" thickBot="1">
      <c r="A77" s="75">
        <v>64</v>
      </c>
      <c r="B77" s="425" t="s">
        <v>74</v>
      </c>
      <c r="C77" s="112">
        <f t="shared" ref="C77" si="2">C67-C70+C71+C75</f>
        <v>0</v>
      </c>
      <c r="J77" s="112"/>
      <c r="M77" s="14"/>
      <c r="N77" s="14"/>
      <c r="O77" s="14"/>
      <c r="P77" s="14"/>
      <c r="Q77" s="14"/>
      <c r="R77" s="14"/>
    </row>
    <row r="78" spans="1:18" ht="13.5" thickTop="1">
      <c r="B78" s="83"/>
    </row>
    <row r="79" spans="1:18">
      <c r="A79" s="84"/>
      <c r="B79" s="38"/>
      <c r="C79" s="57"/>
    </row>
    <row r="80" spans="1:18">
      <c r="A80" s="89"/>
      <c r="B80" s="86"/>
    </row>
    <row r="81" spans="1:3">
      <c r="A81" s="89">
        <v>1</v>
      </c>
      <c r="B81" s="392" t="s">
        <v>116</v>
      </c>
    </row>
    <row r="82" spans="1:3">
      <c r="A82" s="89">
        <v>2</v>
      </c>
      <c r="B82" s="87" t="s">
        <v>117</v>
      </c>
      <c r="C82" s="114">
        <f t="shared" ref="C82" si="3">+C21</f>
        <v>0</v>
      </c>
    </row>
    <row r="83" spans="1:3">
      <c r="A83" s="89">
        <v>3</v>
      </c>
      <c r="B83" s="87" t="s">
        <v>118</v>
      </c>
      <c r="C83" s="82">
        <f t="shared" ref="C83" si="4">-C47</f>
        <v>0</v>
      </c>
    </row>
    <row r="84" spans="1:3">
      <c r="A84" s="89">
        <v>4</v>
      </c>
      <c r="B84" s="87" t="s">
        <v>134</v>
      </c>
      <c r="C84" s="23"/>
    </row>
    <row r="85" spans="1:3">
      <c r="A85" s="89">
        <v>5</v>
      </c>
      <c r="B85" s="405" t="s">
        <v>119</v>
      </c>
      <c r="C85" s="27">
        <f t="shared" ref="C85" si="5">SUM(C82:C84)</f>
        <v>0</v>
      </c>
    </row>
    <row r="86" spans="1:3">
      <c r="A86" s="89">
        <v>6</v>
      </c>
      <c r="B86" s="86"/>
      <c r="C86" s="80"/>
    </row>
    <row r="87" spans="1:3">
      <c r="A87" s="89">
        <v>7</v>
      </c>
      <c r="B87" s="86" t="s">
        <v>120</v>
      </c>
      <c r="C87" s="80"/>
    </row>
    <row r="88" spans="1:3">
      <c r="A88" s="89">
        <v>8</v>
      </c>
      <c r="B88" s="404" t="s">
        <v>121</v>
      </c>
      <c r="C88" s="80"/>
    </row>
    <row r="89" spans="1:3">
      <c r="A89" s="89">
        <v>9</v>
      </c>
      <c r="B89" s="404" t="s">
        <v>130</v>
      </c>
      <c r="C89" s="80"/>
    </row>
    <row r="90" spans="1:3">
      <c r="A90" s="89">
        <v>10</v>
      </c>
      <c r="B90" s="404" t="s">
        <v>122</v>
      </c>
      <c r="C90" s="80"/>
    </row>
    <row r="91" spans="1:3">
      <c r="A91" s="89">
        <v>11</v>
      </c>
      <c r="B91" s="86"/>
      <c r="C91" s="80"/>
    </row>
    <row r="92" spans="1:3">
      <c r="A92" s="89">
        <v>12</v>
      </c>
      <c r="B92" s="406" t="s">
        <v>278</v>
      </c>
      <c r="C92" s="27">
        <f t="shared" ref="C92" si="6">SUM(C88:C90)</f>
        <v>0</v>
      </c>
    </row>
    <row r="93" spans="1:3">
      <c r="A93" s="89">
        <v>13</v>
      </c>
      <c r="B93" s="86"/>
      <c r="C93" s="80"/>
    </row>
    <row r="94" spans="1:3">
      <c r="A94" s="89">
        <v>14</v>
      </c>
      <c r="B94" s="86" t="s">
        <v>124</v>
      </c>
      <c r="C94" s="80"/>
    </row>
    <row r="95" spans="1:3">
      <c r="A95" s="89">
        <v>15</v>
      </c>
      <c r="B95" s="404" t="s">
        <v>178</v>
      </c>
      <c r="C95" s="80"/>
    </row>
    <row r="96" spans="1:3">
      <c r="A96" s="89">
        <v>16</v>
      </c>
      <c r="B96" s="404" t="s">
        <v>133</v>
      </c>
      <c r="C96" s="80"/>
    </row>
    <row r="97" spans="1:3">
      <c r="A97" s="89">
        <v>17</v>
      </c>
      <c r="B97" s="404" t="s">
        <v>122</v>
      </c>
      <c r="C97" s="80"/>
    </row>
    <row r="98" spans="1:3">
      <c r="A98" s="89">
        <v>18</v>
      </c>
      <c r="B98" s="406" t="s">
        <v>279</v>
      </c>
      <c r="C98" s="27">
        <f t="shared" ref="C98" si="7">SUM(C95:C97)</f>
        <v>0</v>
      </c>
    </row>
    <row r="99" spans="1:3">
      <c r="A99" s="89">
        <v>19</v>
      </c>
      <c r="B99" s="86"/>
      <c r="C99" s="80"/>
    </row>
    <row r="100" spans="1:3">
      <c r="A100" s="89">
        <v>20</v>
      </c>
      <c r="B100" s="87" t="s">
        <v>268</v>
      </c>
      <c r="C100" s="28">
        <f t="shared" ref="C100" si="8">+C82+C83+C84+C92-C98</f>
        <v>0</v>
      </c>
    </row>
    <row r="101" spans="1:3">
      <c r="A101" s="89">
        <v>21</v>
      </c>
      <c r="B101" s="404" t="s">
        <v>280</v>
      </c>
      <c r="C101" s="94">
        <v>0.35</v>
      </c>
    </row>
    <row r="102" spans="1:3">
      <c r="A102" s="89">
        <v>22</v>
      </c>
      <c r="B102" s="404" t="s">
        <v>127</v>
      </c>
      <c r="C102" s="93">
        <f t="shared" ref="C102" si="9">C100*C101</f>
        <v>0</v>
      </c>
    </row>
    <row r="103" spans="1:3">
      <c r="A103" s="89">
        <v>23</v>
      </c>
      <c r="B103" s="404" t="s">
        <v>128</v>
      </c>
      <c r="C103" s="80">
        <f t="shared" ref="C103" si="10">+(C95-C88+C96)*C101</f>
        <v>0</v>
      </c>
    </row>
    <row r="104" spans="1:3" ht="13.5" thickBot="1">
      <c r="A104" s="89">
        <v>24</v>
      </c>
      <c r="B104" s="95" t="s">
        <v>129</v>
      </c>
      <c r="C104" s="96">
        <f t="shared" ref="C104" si="11">ROUND(+C102+C103,0)</f>
        <v>0</v>
      </c>
    </row>
    <row r="105" spans="1:3" ht="13.5" thickTop="1"/>
  </sheetData>
  <printOptions horizontalCentered="1"/>
  <pageMargins left="0.5" right="0.5" top="1.5" bottom="0.3" header="0.5" footer="0.5"/>
  <pageSetup scale="60" firstPageNumber="2" fitToWidth="0" orientation="portrait" r:id="rId1"/>
  <headerFooter scaleWithDoc="0" alignWithMargins="0">
    <oddHeader>&amp;L&amp;"Arial,Regular"&amp;10Avista Corporation
&amp;"Arial,Bold"Electric - Pro Forma Adjustments (Schedule 1.3)&amp;"Arial,Regular"
Twelve Months Ended December 31,2011&amp;R&amp;"Arial,Regular"&amp;10Exhibit No. ___ (JH-2)
Docket UE-120436 &amp; UG-120437
Page &amp;P of  &amp;N</oddHeader>
  </headerFooter>
  <colBreaks count="1" manualBreakCount="1">
    <brk id="9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5" zoomScaleNormal="75" workbookViewId="0">
      <pane xSplit="2" ySplit="12" topLeftCell="C94" activePane="bottomRight" state="frozen"/>
      <selection activeCell="G79" sqref="G79"/>
      <selection pane="topRight" activeCell="G79" sqref="G79"/>
      <selection pane="bottomLeft" activeCell="G79" sqref="G79"/>
      <selection pane="bottomRight" activeCell="E31" sqref="E31"/>
    </sheetView>
  </sheetViews>
  <sheetFormatPr defaultColWidth="10.625" defaultRowHeight="12.75"/>
  <cols>
    <col min="1" max="1" width="4.375" style="64" bestFit="1" customWidth="1"/>
    <col min="2" max="2" width="36.5" style="63" bestFit="1" customWidth="1"/>
    <col min="3" max="3" width="17.125" style="74" customWidth="1"/>
    <col min="4" max="9" width="9" style="101" customWidth="1"/>
    <col min="10" max="10" width="11.625" style="65" hidden="1" customWidth="1"/>
    <col min="11" max="11" width="5" style="14" customWidth="1"/>
    <col min="12" max="12" width="2.75" style="14" customWidth="1"/>
    <col min="13" max="13" width="11.75" style="14" customWidth="1"/>
    <col min="14" max="14" width="2.625" style="14" customWidth="1"/>
    <col min="15" max="15" width="10.875" style="14" customWidth="1"/>
    <col min="16" max="16" width="6.75" style="14" customWidth="1"/>
    <col min="17" max="18" width="9.625" style="14" customWidth="1"/>
    <col min="19" max="19" width="10.625" style="14" customWidth="1"/>
    <col min="20" max="20" width="6.75" style="14" customWidth="1"/>
    <col min="21" max="16384" width="10.625" style="14"/>
  </cols>
  <sheetData>
    <row r="1" spans="1:13">
      <c r="A1" s="56"/>
      <c r="B1" s="9" t="s">
        <v>281</v>
      </c>
      <c r="C1" s="58"/>
      <c r="D1" s="14"/>
      <c r="E1" s="14"/>
      <c r="F1" s="14"/>
      <c r="G1" s="14"/>
      <c r="H1" s="14"/>
      <c r="I1" s="14"/>
    </row>
    <row r="2" spans="1:13">
      <c r="A2" s="411"/>
      <c r="B2" s="14"/>
      <c r="C2" s="66"/>
      <c r="D2" s="14"/>
      <c r="E2" s="14"/>
      <c r="F2" s="14"/>
      <c r="G2" s="14"/>
      <c r="H2" s="14"/>
      <c r="I2" s="14"/>
    </row>
    <row r="3" spans="1:13">
      <c r="A3" s="411"/>
      <c r="B3" s="14"/>
      <c r="C3" s="66"/>
      <c r="D3" s="14"/>
      <c r="E3" s="14"/>
      <c r="F3" s="14"/>
      <c r="G3" s="14"/>
      <c r="H3" s="14"/>
      <c r="I3" s="14"/>
    </row>
    <row r="4" spans="1:13">
      <c r="A4" s="411"/>
      <c r="B4" s="14"/>
      <c r="C4" s="60"/>
      <c r="D4" s="14"/>
      <c r="E4" s="14"/>
      <c r="F4" s="14"/>
      <c r="G4" s="14"/>
      <c r="H4" s="14"/>
      <c r="I4" s="14"/>
    </row>
    <row r="5" spans="1:13">
      <c r="A5" s="402"/>
      <c r="B5" s="64" t="str">
        <f>+Restating!B5</f>
        <v>(000's of Dollars)</v>
      </c>
    </row>
    <row r="6" spans="1:13">
      <c r="A6" s="62"/>
    </row>
    <row r="7" spans="1:13" ht="13.5" thickBot="1">
      <c r="A7" s="403"/>
      <c r="B7" s="64" t="s">
        <v>100</v>
      </c>
      <c r="C7" s="102"/>
    </row>
    <row r="8" spans="1:13" ht="13.5" thickBot="1">
      <c r="A8" s="403"/>
      <c r="B8" s="64"/>
      <c r="C8" s="626" t="s">
        <v>364</v>
      </c>
    </row>
    <row r="9" spans="1:13">
      <c r="A9" s="62"/>
      <c r="C9" s="550">
        <v>4.03</v>
      </c>
    </row>
    <row r="10" spans="1:13" s="71" customFormat="1">
      <c r="A10" s="414"/>
      <c r="B10" s="420"/>
      <c r="C10" s="426"/>
      <c r="J10" s="68"/>
    </row>
    <row r="11" spans="1:13" s="71" customFormat="1">
      <c r="A11" s="414" t="s">
        <v>5</v>
      </c>
      <c r="B11" s="420"/>
      <c r="C11" s="68" t="s">
        <v>122</v>
      </c>
      <c r="J11" s="68"/>
    </row>
    <row r="12" spans="1:13" s="71" customFormat="1">
      <c r="A12" s="421" t="s">
        <v>10</v>
      </c>
      <c r="B12" s="422" t="s">
        <v>11</v>
      </c>
      <c r="C12" s="68"/>
      <c r="J12" s="68"/>
    </row>
    <row r="13" spans="1:13" s="72" customFormat="1">
      <c r="A13" s="418"/>
      <c r="B13" s="115" t="s">
        <v>155</v>
      </c>
      <c r="C13" s="60"/>
      <c r="J13" s="60"/>
    </row>
    <row r="14" spans="1:13">
      <c r="A14" s="73">
        <v>1</v>
      </c>
      <c r="B14" s="416" t="s">
        <v>98</v>
      </c>
      <c r="J14" s="61"/>
    </row>
    <row r="15" spans="1:13">
      <c r="A15" s="75">
        <v>2</v>
      </c>
      <c r="B15" s="63" t="s">
        <v>40</v>
      </c>
      <c r="C15" s="65"/>
      <c r="J15" s="61"/>
    </row>
    <row r="16" spans="1:13" s="15" customFormat="1">
      <c r="A16" s="75">
        <v>3</v>
      </c>
      <c r="B16" s="76" t="s">
        <v>41</v>
      </c>
      <c r="C16" s="566"/>
      <c r="J16" s="77"/>
      <c r="K16" s="104"/>
      <c r="L16" s="104"/>
      <c r="M16" s="104"/>
    </row>
    <row r="17" spans="1:10" s="20" customFormat="1">
      <c r="A17" s="73">
        <v>4</v>
      </c>
      <c r="B17" s="78" t="s">
        <v>42</v>
      </c>
      <c r="C17" s="23"/>
      <c r="J17" s="105"/>
    </row>
    <row r="18" spans="1:10" s="20" customFormat="1">
      <c r="A18" s="75">
        <v>5</v>
      </c>
      <c r="B18" s="78" t="s">
        <v>43</v>
      </c>
      <c r="C18" s="24"/>
      <c r="J18" s="107"/>
    </row>
    <row r="19" spans="1:10" s="20" customFormat="1">
      <c r="A19" s="75">
        <v>6</v>
      </c>
      <c r="B19" s="397" t="s">
        <v>44</v>
      </c>
      <c r="C19" s="23"/>
    </row>
    <row r="20" spans="1:10" s="20" customFormat="1">
      <c r="A20" s="73">
        <v>7</v>
      </c>
      <c r="B20" s="78" t="s">
        <v>45</v>
      </c>
      <c r="C20" s="24"/>
      <c r="J20" s="107"/>
    </row>
    <row r="21" spans="1:10" s="20" customFormat="1">
      <c r="A21" s="75">
        <v>8</v>
      </c>
      <c r="B21" s="397" t="s">
        <v>46</v>
      </c>
      <c r="C21" s="23"/>
    </row>
    <row r="22" spans="1:10" s="20" customFormat="1">
      <c r="A22" s="75">
        <v>9</v>
      </c>
      <c r="B22" s="78"/>
      <c r="C22" s="23"/>
      <c r="J22" s="105"/>
    </row>
    <row r="23" spans="1:10" s="20" customFormat="1">
      <c r="A23" s="73">
        <v>10</v>
      </c>
      <c r="B23" s="78" t="s">
        <v>20</v>
      </c>
      <c r="C23" s="23"/>
      <c r="J23" s="105"/>
    </row>
    <row r="24" spans="1:10" s="20" customFormat="1">
      <c r="A24" s="75">
        <v>11</v>
      </c>
      <c r="B24" s="78" t="s">
        <v>47</v>
      </c>
      <c r="C24" s="23"/>
      <c r="J24" s="105"/>
    </row>
    <row r="25" spans="1:10" s="20" customFormat="1">
      <c r="A25" s="75">
        <v>12</v>
      </c>
      <c r="B25" s="397" t="s">
        <v>48</v>
      </c>
      <c r="C25" s="23"/>
      <c r="J25" s="105"/>
    </row>
    <row r="26" spans="1:10" s="20" customFormat="1">
      <c r="A26" s="73">
        <v>13</v>
      </c>
      <c r="B26" s="397" t="s">
        <v>49</v>
      </c>
      <c r="C26" s="23"/>
      <c r="J26" s="105"/>
    </row>
    <row r="27" spans="1:10" s="20" customFormat="1">
      <c r="A27" s="75">
        <v>14</v>
      </c>
      <c r="B27" s="397" t="s">
        <v>50</v>
      </c>
      <c r="C27" s="23"/>
      <c r="J27" s="105"/>
    </row>
    <row r="28" spans="1:10" s="20" customFormat="1">
      <c r="A28" s="73">
        <v>15</v>
      </c>
      <c r="B28" s="393" t="s">
        <v>349</v>
      </c>
      <c r="C28" s="23"/>
      <c r="J28" s="105"/>
    </row>
    <row r="29" spans="1:10" s="20" customFormat="1">
      <c r="A29" s="75">
        <v>16</v>
      </c>
      <c r="B29" s="397" t="s">
        <v>51</v>
      </c>
      <c r="C29" s="24"/>
      <c r="J29" s="107"/>
    </row>
    <row r="30" spans="1:10" s="20" customFormat="1">
      <c r="A30" s="75">
        <v>17</v>
      </c>
      <c r="B30" s="398" t="s">
        <v>52</v>
      </c>
      <c r="C30" s="23">
        <f>SUM(C25:C29)</f>
        <v>0</v>
      </c>
    </row>
    <row r="31" spans="1:10" s="20" customFormat="1">
      <c r="A31" s="73">
        <v>18</v>
      </c>
      <c r="B31" s="78"/>
      <c r="C31" s="23"/>
      <c r="J31" s="105"/>
    </row>
    <row r="32" spans="1:10" s="20" customFormat="1">
      <c r="A32" s="75">
        <v>19</v>
      </c>
      <c r="B32" s="78" t="s">
        <v>53</v>
      </c>
      <c r="C32" s="23"/>
      <c r="J32" s="105"/>
    </row>
    <row r="33" spans="1:18" s="20" customFormat="1">
      <c r="A33" s="73">
        <v>20</v>
      </c>
      <c r="B33" s="397" t="s">
        <v>48</v>
      </c>
      <c r="C33" s="23"/>
      <c r="J33" s="105"/>
    </row>
    <row r="34" spans="1:18" s="20" customFormat="1">
      <c r="A34" s="75">
        <v>21</v>
      </c>
      <c r="B34" s="397" t="s">
        <v>54</v>
      </c>
      <c r="C34" s="23"/>
      <c r="J34" s="105"/>
    </row>
    <row r="35" spans="1:18" s="20" customFormat="1">
      <c r="A35" s="75">
        <v>22</v>
      </c>
      <c r="B35" s="397" t="s">
        <v>51</v>
      </c>
      <c r="C35" s="24"/>
      <c r="J35" s="107"/>
    </row>
    <row r="36" spans="1:18" s="20" customFormat="1">
      <c r="A36" s="73">
        <v>23</v>
      </c>
      <c r="B36" s="398" t="s">
        <v>55</v>
      </c>
      <c r="C36" s="23">
        <f>SUM(C33:C35)</f>
        <v>0</v>
      </c>
    </row>
    <row r="37" spans="1:18" s="20" customFormat="1">
      <c r="A37" s="75">
        <v>24</v>
      </c>
      <c r="B37" s="78"/>
      <c r="C37" s="23"/>
      <c r="J37" s="105"/>
    </row>
    <row r="38" spans="1:18" s="20" customFormat="1">
      <c r="A38" s="73">
        <v>25</v>
      </c>
      <c r="B38" s="78" t="s">
        <v>56</v>
      </c>
      <c r="C38" s="23">
        <v>0</v>
      </c>
      <c r="J38" s="105"/>
      <c r="K38" s="108"/>
      <c r="L38" s="101"/>
      <c r="O38" s="106"/>
      <c r="P38" s="109"/>
      <c r="Q38" s="109"/>
      <c r="R38" s="109"/>
    </row>
    <row r="39" spans="1:18" s="20" customFormat="1">
      <c r="A39" s="75">
        <v>26</v>
      </c>
      <c r="B39" s="78" t="s">
        <v>57</v>
      </c>
      <c r="C39" s="23">
        <v>0</v>
      </c>
      <c r="J39" s="105"/>
      <c r="M39" s="110"/>
      <c r="O39" s="81"/>
      <c r="P39" s="81"/>
      <c r="Q39" s="81"/>
      <c r="R39" s="109"/>
    </row>
    <row r="40" spans="1:18" s="20" customFormat="1">
      <c r="A40" s="75">
        <v>27</v>
      </c>
      <c r="B40" s="78" t="s">
        <v>58</v>
      </c>
      <c r="C40" s="23"/>
      <c r="J40" s="105"/>
      <c r="M40" s="110"/>
    </row>
    <row r="41" spans="1:18" s="20" customFormat="1">
      <c r="A41" s="73">
        <v>28</v>
      </c>
      <c r="B41" s="78"/>
      <c r="C41" s="23"/>
      <c r="J41" s="105"/>
    </row>
    <row r="42" spans="1:18" s="20" customFormat="1">
      <c r="A42" s="75">
        <v>29</v>
      </c>
      <c r="B42" s="78" t="s">
        <v>59</v>
      </c>
      <c r="C42" s="23"/>
      <c r="J42" s="105"/>
    </row>
    <row r="43" spans="1:18" s="20" customFormat="1">
      <c r="A43" s="73">
        <v>30</v>
      </c>
      <c r="B43" s="397" t="s">
        <v>48</v>
      </c>
      <c r="C43" s="23">
        <v>0</v>
      </c>
      <c r="J43" s="105"/>
    </row>
    <row r="44" spans="1:18" s="20" customFormat="1">
      <c r="A44" s="75">
        <v>31</v>
      </c>
      <c r="B44" s="397" t="s">
        <v>54</v>
      </c>
      <c r="C44" s="23"/>
      <c r="J44" s="105"/>
    </row>
    <row r="45" spans="1:18" s="20" customFormat="1">
      <c r="A45" s="75">
        <v>32</v>
      </c>
      <c r="B45" s="397" t="s">
        <v>51</v>
      </c>
      <c r="C45" s="24"/>
      <c r="J45" s="107"/>
    </row>
    <row r="46" spans="1:18" s="20" customFormat="1">
      <c r="A46" s="73">
        <v>33</v>
      </c>
      <c r="B46" s="398" t="s">
        <v>60</v>
      </c>
      <c r="C46" s="24">
        <f>SUM(C43:C45)</f>
        <v>0</v>
      </c>
      <c r="J46" s="111"/>
    </row>
    <row r="47" spans="1:18" s="20" customFormat="1">
      <c r="A47" s="75">
        <v>34</v>
      </c>
      <c r="B47" s="78" t="s">
        <v>61</v>
      </c>
      <c r="C47" s="24">
        <f>C46+C40+C39+C38+C36+C30</f>
        <v>0</v>
      </c>
      <c r="J47" s="111"/>
    </row>
    <row r="48" spans="1:18" s="20" customFormat="1">
      <c r="A48" s="73">
        <v>35</v>
      </c>
      <c r="B48" s="78"/>
      <c r="C48" s="23"/>
    </row>
    <row r="49" spans="1:18" s="20" customFormat="1">
      <c r="A49" s="75">
        <v>36</v>
      </c>
      <c r="B49" s="78" t="s">
        <v>62</v>
      </c>
      <c r="C49" s="23">
        <f>C21-C47</f>
        <v>0</v>
      </c>
    </row>
    <row r="50" spans="1:18" s="20" customFormat="1">
      <c r="A50" s="75">
        <v>37</v>
      </c>
      <c r="B50" s="78"/>
      <c r="C50" s="23"/>
      <c r="J50" s="105"/>
    </row>
    <row r="51" spans="1:18" s="20" customFormat="1">
      <c r="A51" s="73">
        <v>38</v>
      </c>
      <c r="B51" s="78" t="s">
        <v>63</v>
      </c>
      <c r="C51" s="23"/>
      <c r="J51" s="105"/>
    </row>
    <row r="52" spans="1:18" s="20" customFormat="1">
      <c r="A52" s="75">
        <v>39</v>
      </c>
      <c r="B52" s="78" t="s">
        <v>64</v>
      </c>
      <c r="C52" s="23">
        <f t="shared" ref="C52" si="0">+C104</f>
        <v>0</v>
      </c>
      <c r="J52" s="105"/>
      <c r="N52" s="15"/>
    </row>
    <row r="53" spans="1:18" s="20" customFormat="1">
      <c r="A53" s="75">
        <v>40</v>
      </c>
      <c r="B53" s="78" t="s">
        <v>366</v>
      </c>
      <c r="C53" s="581">
        <f>+(C77*' Capital '!$J$13)*-35%</f>
        <v>0</v>
      </c>
      <c r="J53" s="105"/>
      <c r="N53" s="15"/>
    </row>
    <row r="54" spans="1:18" s="20" customFormat="1">
      <c r="A54" s="73">
        <v>41</v>
      </c>
      <c r="B54" s="78" t="s">
        <v>65</v>
      </c>
      <c r="C54" s="23"/>
      <c r="J54" s="105"/>
      <c r="M54" s="15"/>
      <c r="N54" s="14"/>
    </row>
    <row r="55" spans="1:18" s="20" customFormat="1">
      <c r="A55" s="75">
        <v>42</v>
      </c>
      <c r="B55" s="78" t="s">
        <v>238</v>
      </c>
      <c r="C55" s="23"/>
      <c r="J55" s="105"/>
      <c r="M55" s="15"/>
      <c r="N55" s="14"/>
    </row>
    <row r="56" spans="1:18" s="20" customFormat="1">
      <c r="A56" s="75">
        <v>43</v>
      </c>
      <c r="B56" s="78"/>
      <c r="C56" s="23"/>
      <c r="J56" s="105"/>
      <c r="M56" s="15"/>
      <c r="N56" s="14"/>
    </row>
    <row r="57" spans="1:18">
      <c r="A57" s="73">
        <v>44</v>
      </c>
      <c r="C57" s="23"/>
      <c r="O57" s="15"/>
      <c r="P57" s="15"/>
      <c r="Q57" s="15"/>
      <c r="R57" s="15"/>
    </row>
    <row r="58" spans="1:18" s="15" customFormat="1" ht="13.5" thickBot="1">
      <c r="A58" s="75">
        <v>45</v>
      </c>
      <c r="B58" s="76" t="s">
        <v>66</v>
      </c>
      <c r="C58" s="112">
        <f t="shared" ref="C58" si="1">C49-SUM(C52:C56)</f>
        <v>0</v>
      </c>
      <c r="J58" s="112"/>
      <c r="M58" s="14"/>
      <c r="N58" s="14"/>
      <c r="O58" s="14"/>
      <c r="P58" s="14"/>
      <c r="Q58" s="14"/>
      <c r="R58" s="14"/>
    </row>
    <row r="59" spans="1:18" ht="13.5" thickTop="1">
      <c r="A59" s="75">
        <v>46</v>
      </c>
      <c r="B59" s="2"/>
      <c r="C59" s="65"/>
    </row>
    <row r="60" spans="1:18">
      <c r="A60" s="73">
        <v>47</v>
      </c>
      <c r="B60" s="416" t="s">
        <v>21</v>
      </c>
      <c r="C60" s="65"/>
    </row>
    <row r="61" spans="1:18">
      <c r="A61" s="75">
        <v>48</v>
      </c>
      <c r="B61" s="63" t="s">
        <v>67</v>
      </c>
      <c r="C61" s="23"/>
      <c r="O61" s="15"/>
      <c r="P61" s="15"/>
      <c r="Q61" s="15"/>
      <c r="R61" s="15"/>
    </row>
    <row r="62" spans="1:18" s="15" customFormat="1">
      <c r="A62" s="75">
        <v>49</v>
      </c>
      <c r="B62" s="396" t="s">
        <v>68</v>
      </c>
      <c r="C62" s="36"/>
      <c r="J62" s="113"/>
      <c r="M62" s="14"/>
      <c r="N62" s="14"/>
      <c r="O62" s="20"/>
      <c r="P62" s="20"/>
      <c r="Q62" s="20"/>
      <c r="R62" s="20"/>
    </row>
    <row r="63" spans="1:18" s="20" customFormat="1">
      <c r="A63" s="73">
        <v>50</v>
      </c>
      <c r="B63" s="397" t="s">
        <v>69</v>
      </c>
      <c r="C63" s="23"/>
      <c r="J63" s="105"/>
      <c r="M63" s="14"/>
      <c r="N63" s="14"/>
    </row>
    <row r="64" spans="1:18" s="20" customFormat="1">
      <c r="A64" s="75">
        <v>51</v>
      </c>
      <c r="B64" s="397" t="s">
        <v>70</v>
      </c>
      <c r="C64" s="23"/>
      <c r="J64" s="105"/>
      <c r="M64" s="14"/>
      <c r="N64" s="14"/>
    </row>
    <row r="65" spans="1:18" s="20" customFormat="1">
      <c r="A65" s="75">
        <v>52</v>
      </c>
      <c r="B65" s="397" t="s">
        <v>53</v>
      </c>
      <c r="C65" s="23"/>
      <c r="J65" s="105"/>
      <c r="M65" s="14"/>
      <c r="N65" s="14"/>
    </row>
    <row r="66" spans="1:18" s="20" customFormat="1">
      <c r="A66" s="73">
        <v>53</v>
      </c>
      <c r="B66" s="397" t="s">
        <v>71</v>
      </c>
      <c r="C66" s="24"/>
      <c r="J66" s="107"/>
      <c r="M66" s="14"/>
      <c r="N66" s="14"/>
    </row>
    <row r="67" spans="1:18" s="20" customFormat="1">
      <c r="A67" s="75">
        <v>54</v>
      </c>
      <c r="B67" s="398" t="s">
        <v>72</v>
      </c>
      <c r="C67" s="23">
        <f>SUM(C62:C66)</f>
        <v>0</v>
      </c>
      <c r="M67" s="14"/>
      <c r="N67" s="14"/>
    </row>
    <row r="68" spans="1:18" s="20" customFormat="1">
      <c r="A68" s="75">
        <v>55</v>
      </c>
      <c r="B68" s="78" t="s">
        <v>244</v>
      </c>
      <c r="C68" s="23"/>
      <c r="J68" s="105"/>
      <c r="M68" s="14"/>
      <c r="N68" s="14"/>
    </row>
    <row r="69" spans="1:18" s="20" customFormat="1">
      <c r="A69" s="73">
        <v>56</v>
      </c>
      <c r="B69" s="78" t="s">
        <v>245</v>
      </c>
      <c r="C69" s="24"/>
      <c r="J69" s="107"/>
      <c r="M69" s="14"/>
      <c r="N69" s="14"/>
    </row>
    <row r="70" spans="1:18" s="20" customFormat="1">
      <c r="A70" s="75">
        <v>57</v>
      </c>
      <c r="B70" s="397" t="s">
        <v>73</v>
      </c>
      <c r="C70" s="23">
        <f>SUM(C68:C69)</f>
        <v>0</v>
      </c>
      <c r="M70" s="14"/>
      <c r="N70" s="14"/>
    </row>
    <row r="71" spans="1:18" s="20" customFormat="1">
      <c r="A71" s="75">
        <v>58</v>
      </c>
      <c r="B71" s="78" t="s">
        <v>249</v>
      </c>
      <c r="C71" s="23"/>
      <c r="J71" s="105"/>
      <c r="M71" s="14"/>
      <c r="N71" s="14"/>
    </row>
    <row r="72" spans="1:18" s="20" customFormat="1">
      <c r="A72" s="73">
        <v>59</v>
      </c>
      <c r="B72" s="78" t="s">
        <v>351</v>
      </c>
      <c r="C72" s="23"/>
      <c r="J72" s="105"/>
      <c r="M72" s="14"/>
      <c r="N72" s="14"/>
    </row>
    <row r="73" spans="1:18" s="20" customFormat="1">
      <c r="A73" s="75">
        <v>60</v>
      </c>
      <c r="B73" s="78" t="s">
        <v>236</v>
      </c>
      <c r="C73" s="23"/>
      <c r="J73" s="105"/>
      <c r="M73" s="14"/>
      <c r="N73" s="14"/>
    </row>
    <row r="74" spans="1:18" s="20" customFormat="1">
      <c r="A74" s="75">
        <v>61</v>
      </c>
      <c r="B74" s="78" t="s">
        <v>247</v>
      </c>
      <c r="C74" s="23"/>
      <c r="J74" s="105"/>
      <c r="M74" s="14"/>
      <c r="N74" s="14"/>
    </row>
    <row r="75" spans="1:18" s="20" customFormat="1">
      <c r="A75" s="73">
        <v>62</v>
      </c>
      <c r="B75" s="78" t="s">
        <v>248</v>
      </c>
      <c r="C75" s="24"/>
      <c r="J75" s="107"/>
      <c r="M75" s="14"/>
      <c r="N75" s="14"/>
    </row>
    <row r="76" spans="1:18" s="20" customFormat="1">
      <c r="A76" s="75">
        <v>63</v>
      </c>
      <c r="B76" s="78"/>
      <c r="C76" s="23"/>
      <c r="M76" s="14"/>
      <c r="N76" s="14"/>
      <c r="O76" s="15"/>
      <c r="P76" s="15"/>
      <c r="Q76" s="15"/>
      <c r="R76" s="15"/>
    </row>
    <row r="77" spans="1:18" s="15" customFormat="1" ht="13.5" thickBot="1">
      <c r="A77" s="75">
        <v>64</v>
      </c>
      <c r="B77" s="425" t="s">
        <v>74</v>
      </c>
      <c r="C77" s="112">
        <f t="shared" ref="C77" si="2">C67-C70+C71+C75</f>
        <v>0</v>
      </c>
      <c r="J77" s="112"/>
      <c r="M77" s="14"/>
      <c r="N77" s="14"/>
      <c r="O77" s="14"/>
      <c r="P77" s="14"/>
      <c r="Q77" s="14"/>
      <c r="R77" s="14"/>
    </row>
    <row r="78" spans="1:18" ht="13.5" thickTop="1">
      <c r="B78" s="83"/>
    </row>
    <row r="79" spans="1:18">
      <c r="A79" s="84"/>
      <c r="B79" s="38"/>
      <c r="C79" s="57"/>
    </row>
    <row r="80" spans="1:18">
      <c r="A80" s="89"/>
      <c r="B80" s="86"/>
    </row>
    <row r="81" spans="1:3">
      <c r="A81" s="89">
        <v>1</v>
      </c>
      <c r="B81" s="392" t="s">
        <v>116</v>
      </c>
    </row>
    <row r="82" spans="1:3">
      <c r="A82" s="89">
        <v>2</v>
      </c>
      <c r="B82" s="87" t="s">
        <v>117</v>
      </c>
      <c r="C82" s="114">
        <f t="shared" ref="C82" si="3">+C21</f>
        <v>0</v>
      </c>
    </row>
    <row r="83" spans="1:3">
      <c r="A83" s="89">
        <v>3</v>
      </c>
      <c r="B83" s="87" t="s">
        <v>118</v>
      </c>
      <c r="C83" s="82">
        <f t="shared" ref="C83" si="4">-C47</f>
        <v>0</v>
      </c>
    </row>
    <row r="84" spans="1:3">
      <c r="A84" s="89">
        <v>4</v>
      </c>
      <c r="B84" s="87" t="s">
        <v>134</v>
      </c>
      <c r="C84" s="23"/>
    </row>
    <row r="85" spans="1:3">
      <c r="A85" s="89">
        <v>5</v>
      </c>
      <c r="B85" s="405" t="s">
        <v>119</v>
      </c>
      <c r="C85" s="27">
        <f t="shared" ref="C85" si="5">SUM(C82:C84)</f>
        <v>0</v>
      </c>
    </row>
    <row r="86" spans="1:3">
      <c r="A86" s="89">
        <v>6</v>
      </c>
      <c r="B86" s="86"/>
      <c r="C86" s="80"/>
    </row>
    <row r="87" spans="1:3">
      <c r="A87" s="89">
        <v>7</v>
      </c>
      <c r="B87" s="86" t="s">
        <v>120</v>
      </c>
      <c r="C87" s="80"/>
    </row>
    <row r="88" spans="1:3">
      <c r="A88" s="89">
        <v>8</v>
      </c>
      <c r="B88" s="404" t="s">
        <v>121</v>
      </c>
      <c r="C88" s="80"/>
    </row>
    <row r="89" spans="1:3">
      <c r="A89" s="89">
        <v>9</v>
      </c>
      <c r="B89" s="404" t="s">
        <v>130</v>
      </c>
      <c r="C89" s="80"/>
    </row>
    <row r="90" spans="1:3">
      <c r="A90" s="89">
        <v>10</v>
      </c>
      <c r="B90" s="404" t="s">
        <v>122</v>
      </c>
      <c r="C90" s="80"/>
    </row>
    <row r="91" spans="1:3">
      <c r="A91" s="89">
        <v>11</v>
      </c>
      <c r="B91" s="86"/>
      <c r="C91" s="80"/>
    </row>
    <row r="92" spans="1:3">
      <c r="A92" s="89">
        <v>12</v>
      </c>
      <c r="B92" s="406" t="s">
        <v>278</v>
      </c>
      <c r="C92" s="27">
        <f t="shared" ref="C92" si="6">SUM(C88:C90)</f>
        <v>0</v>
      </c>
    </row>
    <row r="93" spans="1:3">
      <c r="A93" s="89">
        <v>13</v>
      </c>
      <c r="B93" s="86"/>
      <c r="C93" s="80"/>
    </row>
    <row r="94" spans="1:3">
      <c r="A94" s="89">
        <v>14</v>
      </c>
      <c r="B94" s="86" t="s">
        <v>124</v>
      </c>
      <c r="C94" s="80"/>
    </row>
    <row r="95" spans="1:3">
      <c r="A95" s="89">
        <v>15</v>
      </c>
      <c r="B95" s="404" t="s">
        <v>178</v>
      </c>
      <c r="C95" s="80"/>
    </row>
    <row r="96" spans="1:3">
      <c r="A96" s="89">
        <v>16</v>
      </c>
      <c r="B96" s="404" t="s">
        <v>133</v>
      </c>
      <c r="C96" s="80"/>
    </row>
    <row r="97" spans="1:3">
      <c r="A97" s="89">
        <v>17</v>
      </c>
      <c r="B97" s="404" t="s">
        <v>122</v>
      </c>
      <c r="C97" s="80"/>
    </row>
    <row r="98" spans="1:3">
      <c r="A98" s="89">
        <v>18</v>
      </c>
      <c r="B98" s="406" t="s">
        <v>279</v>
      </c>
      <c r="C98" s="27">
        <f t="shared" ref="C98" si="7">SUM(C95:C97)</f>
        <v>0</v>
      </c>
    </row>
    <row r="99" spans="1:3">
      <c r="A99" s="89">
        <v>19</v>
      </c>
      <c r="B99" s="86"/>
      <c r="C99" s="80"/>
    </row>
    <row r="100" spans="1:3">
      <c r="A100" s="89">
        <v>20</v>
      </c>
      <c r="B100" s="87" t="s">
        <v>268</v>
      </c>
      <c r="C100" s="28">
        <f t="shared" ref="C100" si="8">+C82+C83+C84+C92-C98</f>
        <v>0</v>
      </c>
    </row>
    <row r="101" spans="1:3">
      <c r="A101" s="89">
        <v>21</v>
      </c>
      <c r="B101" s="404" t="s">
        <v>280</v>
      </c>
      <c r="C101" s="94">
        <v>0.35</v>
      </c>
    </row>
    <row r="102" spans="1:3">
      <c r="A102" s="89">
        <v>22</v>
      </c>
      <c r="B102" s="404" t="s">
        <v>127</v>
      </c>
      <c r="C102" s="93">
        <f t="shared" ref="C102" si="9">C100*C101</f>
        <v>0</v>
      </c>
    </row>
    <row r="103" spans="1:3">
      <c r="A103" s="89">
        <v>23</v>
      </c>
      <c r="B103" s="404" t="s">
        <v>128</v>
      </c>
      <c r="C103" s="80">
        <f t="shared" ref="C103" si="10">+(C95-C88+C96)*C101</f>
        <v>0</v>
      </c>
    </row>
    <row r="104" spans="1:3" ht="13.5" thickBot="1">
      <c r="A104" s="89">
        <v>24</v>
      </c>
      <c r="B104" s="95" t="s">
        <v>129</v>
      </c>
      <c r="C104" s="96">
        <f t="shared" ref="C104" si="11">ROUND(+C102+C103,0)</f>
        <v>0</v>
      </c>
    </row>
    <row r="105" spans="1:3" ht="13.5" thickTop="1"/>
  </sheetData>
  <printOptions horizontalCentered="1"/>
  <pageMargins left="0.5" right="0.5" top="1.5" bottom="0.3" header="0.5" footer="0.5"/>
  <pageSetup scale="60" firstPageNumber="2" fitToWidth="0" orientation="portrait" r:id="rId1"/>
  <headerFooter scaleWithDoc="0" alignWithMargins="0">
    <oddHeader>&amp;L&amp;"Arial,Regular"&amp;10Avista Corporation
&amp;"Arial,Bold"Electric - Pro Forma Adjustments (Schedule 1.3)&amp;"Arial,Regular"
Twelve Months Ended December 31,2011&amp;R&amp;"Arial,Regular"&amp;10Exhibit No. ___ (JH-2)
Docket UE-120436 &amp; UG-120437
Page &amp;P of  &amp;N</oddHeader>
  </headerFooter>
  <colBreaks count="1" manualBreakCount="1">
    <brk id="9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5" zoomScaleNormal="75" workbookViewId="0">
      <pane xSplit="2" ySplit="12" topLeftCell="C91" activePane="bottomRight" state="frozen"/>
      <selection activeCell="C77" sqref="A2:C77"/>
      <selection pane="topRight" activeCell="C77" sqref="A2:C77"/>
      <selection pane="bottomLeft" activeCell="C77" sqref="A2:C77"/>
      <selection pane="bottomRight" activeCell="C77" sqref="A2:C77"/>
    </sheetView>
  </sheetViews>
  <sheetFormatPr defaultColWidth="10.625" defaultRowHeight="12.75"/>
  <cols>
    <col min="1" max="1" width="4.375" style="64" bestFit="1" customWidth="1"/>
    <col min="2" max="2" width="36.5" style="63" bestFit="1" customWidth="1"/>
    <col min="3" max="3" width="13.625" style="595" customWidth="1"/>
    <col min="4" max="9" width="9" style="101" customWidth="1"/>
    <col min="10" max="10" width="11.625" style="65" hidden="1" customWidth="1"/>
    <col min="11" max="11" width="5" style="14" customWidth="1"/>
    <col min="12" max="12" width="2.75" style="14" customWidth="1"/>
    <col min="13" max="13" width="11.75" style="14" customWidth="1"/>
    <col min="14" max="14" width="2.625" style="14" customWidth="1"/>
    <col min="15" max="15" width="10.875" style="14" customWidth="1"/>
    <col min="16" max="16" width="6.75" style="14" customWidth="1"/>
    <col min="17" max="18" width="9.625" style="14" customWidth="1"/>
    <col min="19" max="19" width="10.625" style="14" customWidth="1"/>
    <col min="20" max="20" width="6.75" style="14" customWidth="1"/>
    <col min="21" max="16384" width="10.625" style="14"/>
  </cols>
  <sheetData>
    <row r="1" spans="1:13">
      <c r="A1" s="56"/>
      <c r="B1" s="9" t="s">
        <v>281</v>
      </c>
      <c r="C1" s="594"/>
      <c r="D1" s="14"/>
      <c r="E1" s="14"/>
      <c r="F1" s="14"/>
      <c r="G1" s="14"/>
      <c r="H1" s="14"/>
      <c r="I1" s="14"/>
    </row>
    <row r="2" spans="1:13">
      <c r="A2" s="411"/>
      <c r="B2" s="14"/>
      <c r="C2" s="573" t="s">
        <v>252</v>
      </c>
      <c r="D2" s="14"/>
      <c r="E2" s="14"/>
      <c r="F2" s="14"/>
      <c r="G2" s="14"/>
      <c r="H2" s="14"/>
      <c r="I2" s="14"/>
    </row>
    <row r="3" spans="1:13">
      <c r="A3" s="411"/>
      <c r="B3" s="14"/>
      <c r="C3" s="594"/>
      <c r="D3" s="14"/>
      <c r="E3" s="14"/>
      <c r="F3" s="14"/>
      <c r="G3" s="14"/>
      <c r="H3" s="14"/>
      <c r="I3" s="14"/>
    </row>
    <row r="4" spans="1:13">
      <c r="A4" s="411"/>
      <c r="B4" s="14"/>
      <c r="C4" s="594"/>
      <c r="D4" s="14"/>
      <c r="E4" s="14"/>
      <c r="F4" s="14"/>
      <c r="G4" s="14"/>
      <c r="H4" s="14"/>
      <c r="I4" s="14"/>
    </row>
    <row r="5" spans="1:13">
      <c r="A5" s="402"/>
      <c r="B5" s="64" t="str">
        <f>+Restating!B5</f>
        <v>(000's of Dollars)</v>
      </c>
    </row>
    <row r="6" spans="1:13">
      <c r="A6" s="62"/>
    </row>
    <row r="7" spans="1:13">
      <c r="A7" s="403"/>
      <c r="B7" s="64" t="s">
        <v>100</v>
      </c>
    </row>
    <row r="8" spans="1:13">
      <c r="A8" s="403"/>
      <c r="B8" s="64"/>
    </row>
    <row r="9" spans="1:13">
      <c r="A9" s="62"/>
      <c r="C9" s="596">
        <v>4.04</v>
      </c>
    </row>
    <row r="10" spans="1:13" s="71" customFormat="1">
      <c r="A10" s="414"/>
      <c r="B10" s="420"/>
      <c r="C10" s="578"/>
      <c r="J10" s="68"/>
    </row>
    <row r="11" spans="1:13" s="71" customFormat="1">
      <c r="A11" s="414" t="s">
        <v>5</v>
      </c>
      <c r="B11" s="420"/>
      <c r="C11" s="602" t="s">
        <v>357</v>
      </c>
      <c r="J11" s="68"/>
    </row>
    <row r="12" spans="1:13" s="71" customFormat="1">
      <c r="A12" s="421" t="s">
        <v>10</v>
      </c>
      <c r="B12" s="422" t="s">
        <v>11</v>
      </c>
      <c r="C12" s="603" t="s">
        <v>358</v>
      </c>
      <c r="J12" s="68"/>
    </row>
    <row r="13" spans="1:13" s="72" customFormat="1">
      <c r="A13" s="418"/>
      <c r="B13" s="115" t="s">
        <v>155</v>
      </c>
      <c r="C13" s="578"/>
      <c r="J13" s="60"/>
    </row>
    <row r="14" spans="1:13">
      <c r="A14" s="73">
        <v>1</v>
      </c>
      <c r="B14" s="416" t="s">
        <v>98</v>
      </c>
      <c r="C14" s="628"/>
      <c r="J14" s="61"/>
    </row>
    <row r="15" spans="1:13">
      <c r="A15" s="75">
        <v>2</v>
      </c>
      <c r="B15" s="63" t="s">
        <v>40</v>
      </c>
      <c r="C15" s="575"/>
      <c r="J15" s="61"/>
    </row>
    <row r="16" spans="1:13" s="15" customFormat="1">
      <c r="A16" s="75">
        <v>3</v>
      </c>
      <c r="B16" s="76" t="s">
        <v>41</v>
      </c>
      <c r="C16" s="580"/>
      <c r="J16" s="77"/>
      <c r="K16" s="104"/>
      <c r="L16" s="104"/>
      <c r="M16" s="104"/>
    </row>
    <row r="17" spans="1:10" s="20" customFormat="1">
      <c r="A17" s="73">
        <v>4</v>
      </c>
      <c r="B17" s="78" t="s">
        <v>42</v>
      </c>
      <c r="C17" s="581"/>
      <c r="J17" s="105"/>
    </row>
    <row r="18" spans="1:10" s="20" customFormat="1">
      <c r="A18" s="75">
        <v>5</v>
      </c>
      <c r="B18" s="78" t="s">
        <v>43</v>
      </c>
      <c r="C18" s="582"/>
      <c r="J18" s="107"/>
    </row>
    <row r="19" spans="1:10" s="20" customFormat="1">
      <c r="A19" s="75">
        <v>6</v>
      </c>
      <c r="B19" s="397" t="s">
        <v>44</v>
      </c>
      <c r="C19" s="581"/>
    </row>
    <row r="20" spans="1:10" s="20" customFormat="1">
      <c r="A20" s="73">
        <v>7</v>
      </c>
      <c r="B20" s="78" t="s">
        <v>45</v>
      </c>
      <c r="C20" s="582"/>
      <c r="J20" s="107"/>
    </row>
    <row r="21" spans="1:10" s="20" customFormat="1">
      <c r="A21" s="75">
        <v>8</v>
      </c>
      <c r="B21" s="397" t="s">
        <v>46</v>
      </c>
      <c r="C21" s="581"/>
    </row>
    <row r="22" spans="1:10" s="20" customFormat="1">
      <c r="A22" s="75">
        <v>9</v>
      </c>
      <c r="B22" s="78"/>
      <c r="C22" s="581"/>
      <c r="J22" s="105"/>
    </row>
    <row r="23" spans="1:10" s="20" customFormat="1">
      <c r="A23" s="73">
        <v>10</v>
      </c>
      <c r="B23" s="78" t="s">
        <v>20</v>
      </c>
      <c r="C23" s="581"/>
      <c r="J23" s="105"/>
    </row>
    <row r="24" spans="1:10" s="20" customFormat="1">
      <c r="A24" s="75">
        <v>11</v>
      </c>
      <c r="B24" s="78" t="s">
        <v>47</v>
      </c>
      <c r="C24" s="581"/>
      <c r="J24" s="105"/>
    </row>
    <row r="25" spans="1:10" s="20" customFormat="1">
      <c r="A25" s="75">
        <v>12</v>
      </c>
      <c r="B25" s="397" t="s">
        <v>48</v>
      </c>
      <c r="C25" s="581">
        <v>0</v>
      </c>
      <c r="J25" s="105"/>
    </row>
    <row r="26" spans="1:10" s="20" customFormat="1">
      <c r="A26" s="73">
        <v>13</v>
      </c>
      <c r="B26" s="397" t="s">
        <v>49</v>
      </c>
      <c r="C26" s="581">
        <v>0</v>
      </c>
      <c r="J26" s="105"/>
    </row>
    <row r="27" spans="1:10" s="20" customFormat="1">
      <c r="A27" s="75">
        <v>14</v>
      </c>
      <c r="B27" s="397" t="s">
        <v>50</v>
      </c>
      <c r="C27" s="581"/>
      <c r="J27" s="105"/>
    </row>
    <row r="28" spans="1:10" s="20" customFormat="1">
      <c r="A28" s="73">
        <v>15</v>
      </c>
      <c r="B28" s="393" t="s">
        <v>349</v>
      </c>
      <c r="C28" s="581"/>
      <c r="J28" s="105"/>
    </row>
    <row r="29" spans="1:10" s="20" customFormat="1">
      <c r="A29" s="75">
        <v>16</v>
      </c>
      <c r="B29" s="397" t="s">
        <v>51</v>
      </c>
      <c r="C29" s="582"/>
      <c r="J29" s="107"/>
    </row>
    <row r="30" spans="1:10" s="20" customFormat="1">
      <c r="A30" s="75">
        <v>17</v>
      </c>
      <c r="B30" s="398" t="s">
        <v>52</v>
      </c>
      <c r="C30" s="581">
        <f t="shared" ref="C30" si="0">SUM(C25:C29)</f>
        <v>0</v>
      </c>
    </row>
    <row r="31" spans="1:10" s="20" customFormat="1">
      <c r="A31" s="73">
        <v>18</v>
      </c>
      <c r="B31" s="78"/>
      <c r="C31" s="581"/>
      <c r="J31" s="105"/>
    </row>
    <row r="32" spans="1:10" s="20" customFormat="1">
      <c r="A32" s="75">
        <v>19</v>
      </c>
      <c r="B32" s="78" t="s">
        <v>53</v>
      </c>
      <c r="C32" s="581"/>
      <c r="J32" s="105"/>
    </row>
    <row r="33" spans="1:18" s="20" customFormat="1">
      <c r="A33" s="73">
        <v>20</v>
      </c>
      <c r="B33" s="397" t="s">
        <v>48</v>
      </c>
      <c r="C33" s="581"/>
      <c r="J33" s="105"/>
    </row>
    <row r="34" spans="1:18" s="20" customFormat="1">
      <c r="A34" s="75">
        <v>21</v>
      </c>
      <c r="B34" s="397" t="s">
        <v>54</v>
      </c>
      <c r="C34" s="581"/>
      <c r="J34" s="105"/>
    </row>
    <row r="35" spans="1:18" s="20" customFormat="1">
      <c r="A35" s="75">
        <v>22</v>
      </c>
      <c r="B35" s="397" t="s">
        <v>51</v>
      </c>
      <c r="C35" s="582"/>
      <c r="J35" s="107"/>
    </row>
    <row r="36" spans="1:18" s="20" customFormat="1">
      <c r="A36" s="73">
        <v>23</v>
      </c>
      <c r="B36" s="398" t="s">
        <v>55</v>
      </c>
      <c r="C36" s="581">
        <f t="shared" ref="C36" si="1">SUM(C33:C35)</f>
        <v>0</v>
      </c>
    </row>
    <row r="37" spans="1:18" s="20" customFormat="1">
      <c r="A37" s="75">
        <v>24</v>
      </c>
      <c r="B37" s="78"/>
      <c r="C37" s="581"/>
      <c r="J37" s="105"/>
    </row>
    <row r="38" spans="1:18" s="20" customFormat="1">
      <c r="A38" s="73">
        <v>25</v>
      </c>
      <c r="B38" s="78" t="s">
        <v>56</v>
      </c>
      <c r="C38" s="581">
        <v>0</v>
      </c>
      <c r="J38" s="105"/>
      <c r="K38" s="108"/>
      <c r="L38" s="101"/>
      <c r="O38" s="106"/>
      <c r="P38" s="109"/>
      <c r="Q38" s="109"/>
      <c r="R38" s="109"/>
    </row>
    <row r="39" spans="1:18" s="20" customFormat="1">
      <c r="A39" s="75">
        <v>26</v>
      </c>
      <c r="B39" s="78" t="s">
        <v>57</v>
      </c>
      <c r="C39" s="581"/>
      <c r="J39" s="105"/>
      <c r="M39" s="110"/>
      <c r="O39" s="81"/>
      <c r="P39" s="81"/>
      <c r="Q39" s="81"/>
      <c r="R39" s="109"/>
    </row>
    <row r="40" spans="1:18" s="20" customFormat="1">
      <c r="A40" s="75">
        <v>27</v>
      </c>
      <c r="B40" s="78" t="s">
        <v>58</v>
      </c>
      <c r="C40" s="581"/>
      <c r="J40" s="105"/>
      <c r="M40" s="110"/>
    </row>
    <row r="41" spans="1:18" s="20" customFormat="1">
      <c r="A41" s="73">
        <v>28</v>
      </c>
      <c r="B41" s="78"/>
      <c r="C41" s="581"/>
      <c r="J41" s="105"/>
    </row>
    <row r="42" spans="1:18" s="20" customFormat="1">
      <c r="A42" s="75">
        <v>29</v>
      </c>
      <c r="B42" s="78" t="s">
        <v>59</v>
      </c>
      <c r="C42" s="581"/>
      <c r="J42" s="105"/>
    </row>
    <row r="43" spans="1:18" s="20" customFormat="1">
      <c r="A43" s="73">
        <v>30</v>
      </c>
      <c r="B43" s="397" t="s">
        <v>48</v>
      </c>
      <c r="C43" s="581">
        <v>0</v>
      </c>
      <c r="J43" s="105"/>
    </row>
    <row r="44" spans="1:18" s="20" customFormat="1">
      <c r="A44" s="75">
        <v>31</v>
      </c>
      <c r="B44" s="397" t="s">
        <v>54</v>
      </c>
      <c r="C44" s="581"/>
      <c r="J44" s="105"/>
    </row>
    <row r="45" spans="1:18" s="20" customFormat="1">
      <c r="A45" s="75">
        <v>32</v>
      </c>
      <c r="B45" s="397" t="s">
        <v>51</v>
      </c>
      <c r="C45" s="582"/>
      <c r="J45" s="107"/>
    </row>
    <row r="46" spans="1:18" s="20" customFormat="1">
      <c r="A46" s="73">
        <v>33</v>
      </c>
      <c r="B46" s="398" t="s">
        <v>60</v>
      </c>
      <c r="C46" s="582">
        <f t="shared" ref="C46" si="2">SUM(C43:C45)</f>
        <v>0</v>
      </c>
      <c r="J46" s="111"/>
    </row>
    <row r="47" spans="1:18" s="20" customFormat="1">
      <c r="A47" s="75">
        <v>34</v>
      </c>
      <c r="B47" s="78" t="s">
        <v>61</v>
      </c>
      <c r="C47" s="582">
        <f t="shared" ref="C47" si="3">C46+C40+C39+C38+C36+C30</f>
        <v>0</v>
      </c>
      <c r="J47" s="111"/>
    </row>
    <row r="48" spans="1:18" s="20" customFormat="1">
      <c r="A48" s="73">
        <v>35</v>
      </c>
      <c r="B48" s="78"/>
      <c r="C48" s="581"/>
    </row>
    <row r="49" spans="1:18" s="20" customFormat="1">
      <c r="A49" s="75">
        <v>36</v>
      </c>
      <c r="B49" s="78" t="s">
        <v>62</v>
      </c>
      <c r="C49" s="581">
        <f t="shared" ref="C49" si="4">C21-C47</f>
        <v>0</v>
      </c>
    </row>
    <row r="50" spans="1:18" s="20" customFormat="1">
      <c r="A50" s="75">
        <v>37</v>
      </c>
      <c r="B50" s="78"/>
      <c r="C50" s="581"/>
      <c r="J50" s="105"/>
    </row>
    <row r="51" spans="1:18" s="20" customFormat="1">
      <c r="A51" s="73">
        <v>38</v>
      </c>
      <c r="B51" s="78" t="s">
        <v>63</v>
      </c>
      <c r="C51" s="581"/>
      <c r="J51" s="105"/>
    </row>
    <row r="52" spans="1:18" s="20" customFormat="1">
      <c r="A52" s="75">
        <v>39</v>
      </c>
      <c r="B52" s="78" t="s">
        <v>64</v>
      </c>
      <c r="C52" s="581">
        <f t="shared" ref="C52" si="5">+C104</f>
        <v>0</v>
      </c>
      <c r="J52" s="105"/>
      <c r="N52" s="15"/>
    </row>
    <row r="53" spans="1:18" s="20" customFormat="1">
      <c r="A53" s="75">
        <v>40</v>
      </c>
      <c r="B53" s="78" t="s">
        <v>366</v>
      </c>
      <c r="C53" s="581">
        <f>+(C77*' Capital '!$J$13)*-35%</f>
        <v>0</v>
      </c>
      <c r="J53" s="105"/>
      <c r="N53" s="15"/>
    </row>
    <row r="54" spans="1:18" s="20" customFormat="1">
      <c r="A54" s="73">
        <v>41</v>
      </c>
      <c r="B54" s="78" t="s">
        <v>65</v>
      </c>
      <c r="C54" s="581"/>
      <c r="J54" s="105"/>
      <c r="M54" s="15"/>
      <c r="N54" s="14"/>
    </row>
    <row r="55" spans="1:18" s="20" customFormat="1">
      <c r="A55" s="75">
        <v>42</v>
      </c>
      <c r="B55" s="78" t="s">
        <v>238</v>
      </c>
      <c r="C55" s="581"/>
      <c r="J55" s="105"/>
      <c r="M55" s="15"/>
      <c r="N55" s="14"/>
    </row>
    <row r="56" spans="1:18" s="20" customFormat="1">
      <c r="A56" s="75">
        <v>43</v>
      </c>
      <c r="B56" s="78"/>
      <c r="C56" s="581"/>
      <c r="J56" s="105"/>
      <c r="M56" s="15"/>
      <c r="N56" s="14"/>
    </row>
    <row r="57" spans="1:18">
      <c r="A57" s="73">
        <v>44</v>
      </c>
      <c r="C57" s="581"/>
      <c r="O57" s="15"/>
      <c r="P57" s="15"/>
      <c r="Q57" s="15"/>
      <c r="R57" s="15"/>
    </row>
    <row r="58" spans="1:18" s="15" customFormat="1" ht="13.5" thickBot="1">
      <c r="A58" s="75">
        <v>45</v>
      </c>
      <c r="B58" s="76" t="s">
        <v>66</v>
      </c>
      <c r="C58" s="598">
        <f t="shared" ref="C58" si="6">C49-SUM(C52:C56)</f>
        <v>0</v>
      </c>
      <c r="J58" s="112"/>
      <c r="M58" s="14"/>
      <c r="N58" s="14"/>
      <c r="O58" s="14"/>
      <c r="P58" s="14"/>
      <c r="Q58" s="14"/>
      <c r="R58" s="14"/>
    </row>
    <row r="59" spans="1:18" ht="13.5" thickTop="1">
      <c r="A59" s="75">
        <v>46</v>
      </c>
      <c r="B59" s="2"/>
      <c r="C59" s="575"/>
    </row>
    <row r="60" spans="1:18">
      <c r="A60" s="73">
        <v>47</v>
      </c>
      <c r="B60" s="416" t="s">
        <v>21</v>
      </c>
      <c r="C60" s="575"/>
    </row>
    <row r="61" spans="1:18">
      <c r="A61" s="75">
        <v>48</v>
      </c>
      <c r="B61" s="63" t="s">
        <v>67</v>
      </c>
      <c r="C61" s="581"/>
      <c r="O61" s="15"/>
      <c r="P61" s="15"/>
      <c r="Q61" s="15"/>
      <c r="R61" s="15"/>
    </row>
    <row r="62" spans="1:18" s="15" customFormat="1">
      <c r="A62" s="75">
        <v>49</v>
      </c>
      <c r="B62" s="396" t="s">
        <v>68</v>
      </c>
      <c r="C62" s="599"/>
      <c r="J62" s="113"/>
      <c r="M62" s="14"/>
      <c r="N62" s="14"/>
      <c r="O62" s="20"/>
      <c r="P62" s="20"/>
      <c r="Q62" s="20"/>
      <c r="R62" s="20"/>
    </row>
    <row r="63" spans="1:18" s="20" customFormat="1">
      <c r="A63" s="73">
        <v>50</v>
      </c>
      <c r="B63" s="397" t="s">
        <v>69</v>
      </c>
      <c r="C63" s="581"/>
      <c r="J63" s="105"/>
      <c r="M63" s="14"/>
      <c r="N63" s="14"/>
    </row>
    <row r="64" spans="1:18" s="20" customFormat="1">
      <c r="A64" s="75">
        <v>51</v>
      </c>
      <c r="B64" s="397" t="s">
        <v>70</v>
      </c>
      <c r="C64" s="581"/>
      <c r="J64" s="105"/>
      <c r="M64" s="14"/>
      <c r="N64" s="14"/>
    </row>
    <row r="65" spans="1:18" s="20" customFormat="1">
      <c r="A65" s="75">
        <v>52</v>
      </c>
      <c r="B65" s="397" t="s">
        <v>53</v>
      </c>
      <c r="C65" s="581"/>
      <c r="J65" s="105"/>
      <c r="M65" s="14"/>
      <c r="N65" s="14"/>
    </row>
    <row r="66" spans="1:18" s="20" customFormat="1">
      <c r="A66" s="73">
        <v>53</v>
      </c>
      <c r="B66" s="397" t="s">
        <v>71</v>
      </c>
      <c r="C66" s="582"/>
      <c r="J66" s="107"/>
      <c r="M66" s="14"/>
      <c r="N66" s="14"/>
    </row>
    <row r="67" spans="1:18" s="20" customFormat="1">
      <c r="A67" s="75">
        <v>54</v>
      </c>
      <c r="B67" s="398" t="s">
        <v>72</v>
      </c>
      <c r="C67" s="581">
        <f t="shared" ref="C67" si="7">SUM(C62:C66)</f>
        <v>0</v>
      </c>
      <c r="M67" s="14"/>
      <c r="N67" s="14"/>
    </row>
    <row r="68" spans="1:18" s="20" customFormat="1">
      <c r="A68" s="75">
        <v>55</v>
      </c>
      <c r="B68" s="78" t="s">
        <v>244</v>
      </c>
      <c r="C68" s="581"/>
      <c r="J68" s="105"/>
      <c r="M68" s="14"/>
      <c r="N68" s="14"/>
    </row>
    <row r="69" spans="1:18" s="20" customFormat="1">
      <c r="A69" s="73">
        <v>56</v>
      </c>
      <c r="B69" s="78" t="s">
        <v>245</v>
      </c>
      <c r="C69" s="582"/>
      <c r="J69" s="107"/>
      <c r="M69" s="14"/>
      <c r="N69" s="14"/>
    </row>
    <row r="70" spans="1:18" s="20" customFormat="1">
      <c r="A70" s="75">
        <v>57</v>
      </c>
      <c r="B70" s="397" t="s">
        <v>73</v>
      </c>
      <c r="C70" s="581">
        <f t="shared" ref="C70" si="8">SUM(C68:C69)</f>
        <v>0</v>
      </c>
      <c r="M70" s="14"/>
      <c r="N70" s="14"/>
    </row>
    <row r="71" spans="1:18" s="20" customFormat="1">
      <c r="A71" s="75">
        <v>58</v>
      </c>
      <c r="B71" s="78" t="s">
        <v>249</v>
      </c>
      <c r="C71" s="581"/>
      <c r="J71" s="105"/>
      <c r="M71" s="14"/>
      <c r="N71" s="14"/>
    </row>
    <row r="72" spans="1:18" s="20" customFormat="1">
      <c r="A72" s="73">
        <v>59</v>
      </c>
      <c r="B72" s="78" t="s">
        <v>351</v>
      </c>
      <c r="C72" s="581"/>
      <c r="J72" s="105"/>
      <c r="M72" s="14"/>
      <c r="N72" s="14"/>
    </row>
    <row r="73" spans="1:18" s="20" customFormat="1">
      <c r="A73" s="75">
        <v>60</v>
      </c>
      <c r="B73" s="78" t="s">
        <v>236</v>
      </c>
      <c r="C73" s="581"/>
      <c r="J73" s="105"/>
      <c r="M73" s="14"/>
      <c r="N73" s="14"/>
    </row>
    <row r="74" spans="1:18" s="20" customFormat="1">
      <c r="A74" s="75">
        <v>61</v>
      </c>
      <c r="B74" s="78" t="s">
        <v>247</v>
      </c>
      <c r="C74" s="581"/>
      <c r="J74" s="105"/>
      <c r="M74" s="14"/>
      <c r="N74" s="14"/>
    </row>
    <row r="75" spans="1:18" s="20" customFormat="1">
      <c r="A75" s="73">
        <v>62</v>
      </c>
      <c r="B75" s="78" t="s">
        <v>248</v>
      </c>
      <c r="C75" s="582"/>
      <c r="J75" s="107"/>
      <c r="M75" s="14"/>
      <c r="N75" s="14"/>
    </row>
    <row r="76" spans="1:18" s="20" customFormat="1">
      <c r="A76" s="75">
        <v>63</v>
      </c>
      <c r="B76" s="78"/>
      <c r="C76" s="581"/>
      <c r="M76" s="14"/>
      <c r="N76" s="14"/>
      <c r="O76" s="15"/>
      <c r="P76" s="15"/>
      <c r="Q76" s="15"/>
      <c r="R76" s="15"/>
    </row>
    <row r="77" spans="1:18" s="15" customFormat="1" ht="13.5" thickBot="1">
      <c r="A77" s="75">
        <v>64</v>
      </c>
      <c r="B77" s="425" t="s">
        <v>74</v>
      </c>
      <c r="C77" s="598">
        <f t="shared" ref="C77" si="9">C67-C70+C71+C75</f>
        <v>0</v>
      </c>
      <c r="J77" s="112"/>
      <c r="M77" s="14"/>
      <c r="N77" s="14"/>
      <c r="O77" s="14"/>
      <c r="P77" s="14"/>
      <c r="Q77" s="14"/>
      <c r="R77" s="14"/>
    </row>
    <row r="78" spans="1:18" ht="13.5" thickTop="1">
      <c r="B78" s="83"/>
    </row>
    <row r="79" spans="1:18">
      <c r="A79" s="84"/>
      <c r="B79" s="38"/>
    </row>
    <row r="80" spans="1:18">
      <c r="A80" s="89"/>
      <c r="B80" s="86"/>
    </row>
    <row r="81" spans="1:3">
      <c r="A81" s="89">
        <v>1</v>
      </c>
      <c r="B81" s="392" t="s">
        <v>116</v>
      </c>
      <c r="C81" s="586"/>
    </row>
    <row r="82" spans="1:3">
      <c r="A82" s="89">
        <v>2</v>
      </c>
      <c r="B82" s="87" t="s">
        <v>117</v>
      </c>
      <c r="C82" s="600">
        <f t="shared" ref="C82" si="10">+C21</f>
        <v>0</v>
      </c>
    </row>
    <row r="83" spans="1:3">
      <c r="A83" s="89">
        <v>3</v>
      </c>
      <c r="B83" s="87" t="s">
        <v>118</v>
      </c>
      <c r="C83" s="588">
        <f t="shared" ref="C83" si="11">-C47</f>
        <v>0</v>
      </c>
    </row>
    <row r="84" spans="1:3">
      <c r="A84" s="89">
        <v>4</v>
      </c>
      <c r="B84" s="87" t="s">
        <v>134</v>
      </c>
      <c r="C84" s="581"/>
    </row>
    <row r="85" spans="1:3">
      <c r="A85" s="89">
        <v>5</v>
      </c>
      <c r="B85" s="405" t="s">
        <v>119</v>
      </c>
      <c r="C85" s="589">
        <f t="shared" ref="C85" si="12">SUM(C82:C84)</f>
        <v>0</v>
      </c>
    </row>
    <row r="86" spans="1:3">
      <c r="A86" s="89">
        <v>6</v>
      </c>
      <c r="B86" s="86"/>
      <c r="C86" s="590"/>
    </row>
    <row r="87" spans="1:3">
      <c r="A87" s="89">
        <v>7</v>
      </c>
      <c r="B87" s="86" t="s">
        <v>120</v>
      </c>
      <c r="C87" s="590"/>
    </row>
    <row r="88" spans="1:3">
      <c r="A88" s="89">
        <v>8</v>
      </c>
      <c r="B88" s="404" t="s">
        <v>121</v>
      </c>
      <c r="C88" s="590"/>
    </row>
    <row r="89" spans="1:3">
      <c r="A89" s="89">
        <v>9</v>
      </c>
      <c r="B89" s="404" t="s">
        <v>130</v>
      </c>
      <c r="C89" s="590"/>
    </row>
    <row r="90" spans="1:3">
      <c r="A90" s="89">
        <v>10</v>
      </c>
      <c r="B90" s="404" t="s">
        <v>122</v>
      </c>
      <c r="C90" s="590"/>
    </row>
    <row r="91" spans="1:3">
      <c r="A91" s="89">
        <v>11</v>
      </c>
      <c r="B91" s="86"/>
      <c r="C91" s="590"/>
    </row>
    <row r="92" spans="1:3">
      <c r="A92" s="89">
        <v>12</v>
      </c>
      <c r="B92" s="406" t="s">
        <v>278</v>
      </c>
      <c r="C92" s="589">
        <f t="shared" ref="C92" si="13">SUM(C88:C90)</f>
        <v>0</v>
      </c>
    </row>
    <row r="93" spans="1:3">
      <c r="A93" s="89">
        <v>13</v>
      </c>
      <c r="B93" s="86"/>
      <c r="C93" s="590"/>
    </row>
    <row r="94" spans="1:3">
      <c r="A94" s="89">
        <v>14</v>
      </c>
      <c r="B94" s="86" t="s">
        <v>124</v>
      </c>
      <c r="C94" s="590"/>
    </row>
    <row r="95" spans="1:3">
      <c r="A95" s="89">
        <v>15</v>
      </c>
      <c r="B95" s="404" t="s">
        <v>178</v>
      </c>
      <c r="C95" s="590"/>
    </row>
    <row r="96" spans="1:3">
      <c r="A96" s="89">
        <v>16</v>
      </c>
      <c r="B96" s="404" t="s">
        <v>133</v>
      </c>
      <c r="C96" s="590"/>
    </row>
    <row r="97" spans="1:3">
      <c r="A97" s="89">
        <v>17</v>
      </c>
      <c r="B97" s="404" t="s">
        <v>122</v>
      </c>
      <c r="C97" s="590"/>
    </row>
    <row r="98" spans="1:3">
      <c r="A98" s="89">
        <v>18</v>
      </c>
      <c r="B98" s="406" t="s">
        <v>279</v>
      </c>
      <c r="C98" s="589">
        <f t="shared" ref="C98" si="14">SUM(C95:C97)</f>
        <v>0</v>
      </c>
    </row>
    <row r="99" spans="1:3">
      <c r="A99" s="89">
        <v>19</v>
      </c>
      <c r="B99" s="86"/>
      <c r="C99" s="590"/>
    </row>
    <row r="100" spans="1:3">
      <c r="A100" s="89">
        <v>20</v>
      </c>
      <c r="B100" s="87" t="s">
        <v>268</v>
      </c>
      <c r="C100" s="584">
        <f t="shared" ref="C100" si="15">+C82+C83+C84+C92-C98</f>
        <v>0</v>
      </c>
    </row>
    <row r="101" spans="1:3">
      <c r="A101" s="89">
        <v>21</v>
      </c>
      <c r="B101" s="404" t="s">
        <v>280</v>
      </c>
      <c r="C101" s="591">
        <v>0.35</v>
      </c>
    </row>
    <row r="102" spans="1:3">
      <c r="A102" s="89">
        <v>22</v>
      </c>
      <c r="B102" s="404" t="s">
        <v>127</v>
      </c>
      <c r="C102" s="592">
        <f t="shared" ref="C102" si="16">C100*C101</f>
        <v>0</v>
      </c>
    </row>
    <row r="103" spans="1:3">
      <c r="A103" s="89">
        <v>23</v>
      </c>
      <c r="B103" s="404" t="s">
        <v>128</v>
      </c>
      <c r="C103" s="590">
        <f t="shared" ref="C103" si="17">+(C95-C88+C96)*C101</f>
        <v>0</v>
      </c>
    </row>
    <row r="104" spans="1:3" ht="13.5" thickBot="1">
      <c r="A104" s="89">
        <v>24</v>
      </c>
      <c r="B104" s="95" t="s">
        <v>129</v>
      </c>
      <c r="C104" s="593">
        <f t="shared" ref="C104" si="18">ROUND(+C102+C103,0)</f>
        <v>0</v>
      </c>
    </row>
    <row r="105" spans="1:3" ht="13.5" thickTop="1"/>
  </sheetData>
  <printOptions horizontalCentered="1"/>
  <pageMargins left="0.5" right="0.5" top="1.5" bottom="0.3" header="0.5" footer="0.5"/>
  <pageSetup scale="60" firstPageNumber="2" fitToWidth="0" orientation="portrait" r:id="rId1"/>
  <headerFooter scaleWithDoc="0" alignWithMargins="0">
    <oddHeader>&amp;L&amp;"Arial,Regular"&amp;10Avista Corporation
&amp;"Arial,Bold"Electric - Pro Forma Adjustments (Schedule 1.3)&amp;"Arial,Regular"
Twelve Months Ended December 31,2011&amp;R&amp;"Arial,Regular"&amp;10Exhibit No. ___ (JH-2)
Docket UE-120436 &amp; UG-120437
Page &amp;P of  &amp;N</oddHeader>
  </headerFooter>
  <colBreaks count="1" manualBreakCount="1">
    <brk id="9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5" zoomScaleNormal="75" workbookViewId="0">
      <pane xSplit="2" ySplit="12" topLeftCell="C37" activePane="bottomRight" state="frozen"/>
      <selection activeCell="C77" sqref="A2:C77"/>
      <selection pane="topRight" activeCell="C77" sqref="A2:C77"/>
      <selection pane="bottomLeft" activeCell="C77" sqref="A2:C77"/>
      <selection pane="bottomRight" activeCell="C52" sqref="C52"/>
    </sheetView>
  </sheetViews>
  <sheetFormatPr defaultColWidth="10.625" defaultRowHeight="12.75"/>
  <cols>
    <col min="1" max="1" width="4.375" style="64" bestFit="1" customWidth="1"/>
    <col min="2" max="2" width="36.5" style="63" bestFit="1" customWidth="1"/>
    <col min="3" max="3" width="13.625" style="595" customWidth="1"/>
    <col min="4" max="9" width="9" style="101" customWidth="1"/>
    <col min="10" max="10" width="11.625" style="65" hidden="1" customWidth="1"/>
    <col min="11" max="11" width="5" style="14" customWidth="1"/>
    <col min="12" max="12" width="2.75" style="14" customWidth="1"/>
    <col min="13" max="13" width="11.75" style="14" customWidth="1"/>
    <col min="14" max="14" width="2.625" style="14" customWidth="1"/>
    <col min="15" max="15" width="10.875" style="14" customWidth="1"/>
    <col min="16" max="16" width="6.75" style="14" customWidth="1"/>
    <col min="17" max="18" width="9.625" style="14" customWidth="1"/>
    <col min="19" max="19" width="10.625" style="14" customWidth="1"/>
    <col min="20" max="20" width="6.75" style="14" customWidth="1"/>
    <col min="21" max="16384" width="10.625" style="14"/>
  </cols>
  <sheetData>
    <row r="1" spans="1:13">
      <c r="A1" s="56"/>
      <c r="B1" s="9" t="s">
        <v>281</v>
      </c>
      <c r="C1" s="594"/>
      <c r="D1" s="14"/>
      <c r="E1" s="14"/>
      <c r="F1" s="14"/>
      <c r="G1" s="14"/>
      <c r="H1" s="14"/>
      <c r="I1" s="14"/>
    </row>
    <row r="2" spans="1:13">
      <c r="A2" s="411"/>
      <c r="B2" s="14"/>
      <c r="C2" s="573" t="s">
        <v>382</v>
      </c>
      <c r="D2" s="14"/>
      <c r="E2" s="14"/>
      <c r="F2" s="14"/>
      <c r="G2" s="14"/>
      <c r="H2" s="14"/>
      <c r="I2" s="14"/>
    </row>
    <row r="3" spans="1:13">
      <c r="A3" s="411"/>
      <c r="B3" s="14"/>
      <c r="C3" s="594"/>
      <c r="D3" s="14"/>
      <c r="E3" s="14"/>
      <c r="F3" s="14"/>
      <c r="G3" s="14"/>
      <c r="H3" s="14"/>
      <c r="I3" s="14"/>
    </row>
    <row r="4" spans="1:13">
      <c r="A4" s="411"/>
      <c r="B4" s="14"/>
      <c r="C4" s="594"/>
      <c r="D4" s="14"/>
      <c r="E4" s="14"/>
      <c r="F4" s="14"/>
      <c r="G4" s="14"/>
      <c r="H4" s="14"/>
      <c r="I4" s="14"/>
    </row>
    <row r="5" spans="1:13">
      <c r="A5" s="402"/>
      <c r="B5" s="64" t="str">
        <f>+Restating!B5</f>
        <v>(000's of Dollars)</v>
      </c>
    </row>
    <row r="6" spans="1:13">
      <c r="A6" s="62"/>
    </row>
    <row r="7" spans="1:13">
      <c r="A7" s="403"/>
      <c r="B7" s="64" t="s">
        <v>100</v>
      </c>
    </row>
    <row r="8" spans="1:13">
      <c r="A8" s="403"/>
      <c r="B8" s="64"/>
    </row>
    <row r="9" spans="1:13">
      <c r="A9" s="62"/>
      <c r="C9" s="596">
        <v>4.05</v>
      </c>
    </row>
    <row r="10" spans="1:13" s="71" customFormat="1">
      <c r="A10" s="414"/>
      <c r="B10" s="420"/>
      <c r="C10" s="597"/>
      <c r="J10" s="68"/>
    </row>
    <row r="11" spans="1:13" s="71" customFormat="1">
      <c r="A11" s="414" t="s">
        <v>5</v>
      </c>
      <c r="B11" s="420"/>
      <c r="C11" s="578" t="s">
        <v>355</v>
      </c>
      <c r="J11" s="68"/>
    </row>
    <row r="12" spans="1:13" s="71" customFormat="1">
      <c r="A12" s="421" t="s">
        <v>10</v>
      </c>
      <c r="B12" s="422" t="s">
        <v>11</v>
      </c>
      <c r="C12" s="578" t="s">
        <v>356</v>
      </c>
      <c r="J12" s="68"/>
    </row>
    <row r="13" spans="1:13" s="72" customFormat="1">
      <c r="A13" s="418"/>
      <c r="B13" s="115" t="s">
        <v>155</v>
      </c>
      <c r="C13" s="597"/>
      <c r="J13" s="60"/>
    </row>
    <row r="14" spans="1:13">
      <c r="A14" s="73">
        <v>1</v>
      </c>
      <c r="B14" s="416" t="s">
        <v>98</v>
      </c>
      <c r="J14" s="61"/>
    </row>
    <row r="15" spans="1:13">
      <c r="A15" s="75">
        <v>2</v>
      </c>
      <c r="B15" s="63" t="s">
        <v>40</v>
      </c>
      <c r="C15" s="575"/>
      <c r="J15" s="61"/>
    </row>
    <row r="16" spans="1:13" s="15" customFormat="1">
      <c r="A16" s="75">
        <v>3</v>
      </c>
      <c r="B16" s="76" t="s">
        <v>41</v>
      </c>
      <c r="C16" s="580"/>
      <c r="J16" s="77"/>
      <c r="K16" s="104"/>
      <c r="L16" s="104"/>
      <c r="M16" s="104"/>
    </row>
    <row r="17" spans="1:10" s="20" customFormat="1">
      <c r="A17" s="73">
        <v>4</v>
      </c>
      <c r="B17" s="78" t="s">
        <v>42</v>
      </c>
      <c r="C17" s="581"/>
      <c r="J17" s="105"/>
    </row>
    <row r="18" spans="1:10" s="20" customFormat="1">
      <c r="A18" s="75">
        <v>5</v>
      </c>
      <c r="B18" s="78" t="s">
        <v>43</v>
      </c>
      <c r="C18" s="582"/>
      <c r="J18" s="107"/>
    </row>
    <row r="19" spans="1:10" s="20" customFormat="1">
      <c r="A19" s="75">
        <v>6</v>
      </c>
      <c r="B19" s="397" t="s">
        <v>44</v>
      </c>
      <c r="C19" s="581"/>
    </row>
    <row r="20" spans="1:10" s="20" customFormat="1">
      <c r="A20" s="73">
        <v>7</v>
      </c>
      <c r="B20" s="78" t="s">
        <v>45</v>
      </c>
      <c r="C20" s="582"/>
      <c r="J20" s="107"/>
    </row>
    <row r="21" spans="1:10" s="20" customFormat="1">
      <c r="A21" s="75">
        <v>8</v>
      </c>
      <c r="B21" s="397" t="s">
        <v>46</v>
      </c>
      <c r="C21" s="581"/>
    </row>
    <row r="22" spans="1:10" s="20" customFormat="1">
      <c r="A22" s="75">
        <v>9</v>
      </c>
      <c r="B22" s="78"/>
      <c r="C22" s="581"/>
      <c r="J22" s="105"/>
    </row>
    <row r="23" spans="1:10" s="20" customFormat="1">
      <c r="A23" s="73">
        <v>10</v>
      </c>
      <c r="B23" s="78" t="s">
        <v>20</v>
      </c>
      <c r="C23" s="581"/>
      <c r="J23" s="105"/>
    </row>
    <row r="24" spans="1:10" s="20" customFormat="1">
      <c r="A24" s="75">
        <v>11</v>
      </c>
      <c r="B24" s="78" t="s">
        <v>47</v>
      </c>
      <c r="C24" s="581"/>
      <c r="J24" s="105"/>
    </row>
    <row r="25" spans="1:10" s="20" customFormat="1">
      <c r="A25" s="75">
        <v>12</v>
      </c>
      <c r="B25" s="397" t="s">
        <v>48</v>
      </c>
      <c r="C25" s="581"/>
      <c r="J25" s="105"/>
    </row>
    <row r="26" spans="1:10" s="20" customFormat="1">
      <c r="A26" s="73">
        <v>13</v>
      </c>
      <c r="B26" s="397" t="s">
        <v>49</v>
      </c>
      <c r="C26" s="581"/>
      <c r="J26" s="105"/>
    </row>
    <row r="27" spans="1:10" s="20" customFormat="1">
      <c r="A27" s="75">
        <v>14</v>
      </c>
      <c r="B27" s="397" t="s">
        <v>50</v>
      </c>
      <c r="C27" s="581">
        <f>ROUND((-(2514407+727446)/1000),0)</f>
        <v>-3242</v>
      </c>
      <c r="J27" s="105"/>
    </row>
    <row r="28" spans="1:10" s="20" customFormat="1">
      <c r="A28" s="73">
        <v>15</v>
      </c>
      <c r="B28" s="393" t="s">
        <v>349</v>
      </c>
      <c r="C28" s="581"/>
      <c r="J28" s="105"/>
    </row>
    <row r="29" spans="1:10" s="20" customFormat="1">
      <c r="A29" s="75">
        <v>16</v>
      </c>
      <c r="B29" s="397" t="s">
        <v>51</v>
      </c>
      <c r="C29" s="582"/>
      <c r="J29" s="107"/>
    </row>
    <row r="30" spans="1:10" s="20" customFormat="1">
      <c r="A30" s="75">
        <v>17</v>
      </c>
      <c r="B30" s="398" t="s">
        <v>52</v>
      </c>
      <c r="C30" s="581">
        <f t="shared" ref="C30" si="0">SUM(C25:C29)</f>
        <v>-3242</v>
      </c>
    </row>
    <row r="31" spans="1:10" s="20" customFormat="1">
      <c r="A31" s="73">
        <v>18</v>
      </c>
      <c r="B31" s="78"/>
      <c r="C31" s="581"/>
      <c r="J31" s="105"/>
    </row>
    <row r="32" spans="1:10" s="20" customFormat="1">
      <c r="A32" s="75">
        <v>19</v>
      </c>
      <c r="B32" s="78" t="s">
        <v>53</v>
      </c>
      <c r="C32" s="581"/>
      <c r="J32" s="105"/>
    </row>
    <row r="33" spans="1:18" s="20" customFormat="1">
      <c r="A33" s="73">
        <v>20</v>
      </c>
      <c r="B33" s="397" t="s">
        <v>48</v>
      </c>
      <c r="C33" s="581"/>
      <c r="J33" s="105"/>
    </row>
    <row r="34" spans="1:18" s="20" customFormat="1">
      <c r="A34" s="75">
        <v>21</v>
      </c>
      <c r="B34" s="397" t="s">
        <v>54</v>
      </c>
      <c r="C34" s="581">
        <v>468</v>
      </c>
      <c r="J34" s="105"/>
    </row>
    <row r="35" spans="1:18" s="20" customFormat="1">
      <c r="A35" s="75">
        <v>22</v>
      </c>
      <c r="B35" s="397" t="s">
        <v>51</v>
      </c>
      <c r="C35" s="582"/>
      <c r="J35" s="107"/>
    </row>
    <row r="36" spans="1:18" s="20" customFormat="1">
      <c r="A36" s="73">
        <v>23</v>
      </c>
      <c r="B36" s="398" t="s">
        <v>55</v>
      </c>
      <c r="C36" s="581">
        <f t="shared" ref="C36" si="1">SUM(C33:C35)</f>
        <v>468</v>
      </c>
    </row>
    <row r="37" spans="1:18" s="20" customFormat="1">
      <c r="A37" s="75">
        <v>24</v>
      </c>
      <c r="B37" s="78"/>
      <c r="C37" s="581"/>
      <c r="J37" s="105"/>
    </row>
    <row r="38" spans="1:18" s="20" customFormat="1">
      <c r="A38" s="73">
        <v>25</v>
      </c>
      <c r="B38" s="78" t="s">
        <v>56</v>
      </c>
      <c r="C38" s="581">
        <v>0</v>
      </c>
      <c r="J38" s="105"/>
      <c r="K38" s="108"/>
      <c r="L38" s="101"/>
      <c r="O38" s="106"/>
      <c r="P38" s="109"/>
      <c r="Q38" s="109"/>
      <c r="R38" s="109"/>
    </row>
    <row r="39" spans="1:18" s="20" customFormat="1">
      <c r="A39" s="75">
        <v>26</v>
      </c>
      <c r="B39" s="78" t="s">
        <v>57</v>
      </c>
      <c r="C39" s="581"/>
      <c r="J39" s="105"/>
      <c r="M39" s="110"/>
      <c r="O39" s="81"/>
      <c r="P39" s="81"/>
      <c r="Q39" s="81"/>
      <c r="R39" s="109"/>
    </row>
    <row r="40" spans="1:18" s="20" customFormat="1">
      <c r="A40" s="75">
        <v>27</v>
      </c>
      <c r="B40" s="78" t="s">
        <v>58</v>
      </c>
      <c r="C40" s="581"/>
      <c r="J40" s="105"/>
      <c r="M40" s="110"/>
    </row>
    <row r="41" spans="1:18" s="20" customFormat="1">
      <c r="A41" s="73">
        <v>28</v>
      </c>
      <c r="B41" s="78"/>
      <c r="C41" s="581"/>
      <c r="J41" s="105"/>
    </row>
    <row r="42" spans="1:18" s="20" customFormat="1">
      <c r="A42" s="75">
        <v>29</v>
      </c>
      <c r="B42" s="78" t="s">
        <v>59</v>
      </c>
      <c r="C42" s="581"/>
      <c r="J42" s="105"/>
    </row>
    <row r="43" spans="1:18" s="20" customFormat="1">
      <c r="A43" s="73">
        <v>30</v>
      </c>
      <c r="B43" s="397" t="s">
        <v>48</v>
      </c>
      <c r="C43" s="581">
        <v>0</v>
      </c>
      <c r="J43" s="105"/>
    </row>
    <row r="44" spans="1:18" s="20" customFormat="1">
      <c r="A44" s="75">
        <v>31</v>
      </c>
      <c r="B44" s="397" t="s">
        <v>54</v>
      </c>
      <c r="C44" s="581">
        <f>ROUND(((-558602+1272212)/1000),0)</f>
        <v>714</v>
      </c>
      <c r="J44" s="105"/>
    </row>
    <row r="45" spans="1:18" s="20" customFormat="1">
      <c r="A45" s="75">
        <v>32</v>
      </c>
      <c r="B45" s="397" t="s">
        <v>51</v>
      </c>
      <c r="C45" s="582"/>
      <c r="J45" s="107"/>
    </row>
    <row r="46" spans="1:18" s="20" customFormat="1">
      <c r="A46" s="73">
        <v>33</v>
      </c>
      <c r="B46" s="398" t="s">
        <v>60</v>
      </c>
      <c r="C46" s="582">
        <f t="shared" ref="C46" si="2">SUM(C43:C45)</f>
        <v>714</v>
      </c>
      <c r="J46" s="111"/>
    </row>
    <row r="47" spans="1:18" s="20" customFormat="1">
      <c r="A47" s="75">
        <v>34</v>
      </c>
      <c r="B47" s="78" t="s">
        <v>61</v>
      </c>
      <c r="C47" s="582">
        <f t="shared" ref="C47" si="3">C46+C40+C39+C38+C36+C30</f>
        <v>-2060</v>
      </c>
      <c r="J47" s="111"/>
    </row>
    <row r="48" spans="1:18" s="20" customFormat="1">
      <c r="A48" s="73">
        <v>35</v>
      </c>
      <c r="B48" s="78"/>
      <c r="C48" s="581"/>
    </row>
    <row r="49" spans="1:18" s="20" customFormat="1">
      <c r="A49" s="75">
        <v>36</v>
      </c>
      <c r="B49" s="78" t="s">
        <v>62</v>
      </c>
      <c r="C49" s="581">
        <f t="shared" ref="C49" si="4">C21-C47</f>
        <v>2060</v>
      </c>
    </row>
    <row r="50" spans="1:18" s="20" customFormat="1">
      <c r="A50" s="75">
        <v>37</v>
      </c>
      <c r="B50" s="78"/>
      <c r="C50" s="581"/>
      <c r="J50" s="105"/>
    </row>
    <row r="51" spans="1:18" s="20" customFormat="1">
      <c r="A51" s="73">
        <v>38</v>
      </c>
      <c r="B51" s="78" t="s">
        <v>63</v>
      </c>
      <c r="C51" s="581"/>
      <c r="J51" s="105"/>
    </row>
    <row r="52" spans="1:18" s="20" customFormat="1">
      <c r="A52" s="75">
        <v>39</v>
      </c>
      <c r="B52" s="78" t="s">
        <v>64</v>
      </c>
      <c r="C52" s="581">
        <f>+ROUND(C104,0)</f>
        <v>721</v>
      </c>
      <c r="J52" s="105"/>
      <c r="N52" s="15"/>
    </row>
    <row r="53" spans="1:18" s="20" customFormat="1">
      <c r="A53" s="75">
        <v>40</v>
      </c>
      <c r="B53" s="78" t="s">
        <v>366</v>
      </c>
      <c r="C53" s="581">
        <f>+(C77*' Capital '!$J$13)*-35%</f>
        <v>0</v>
      </c>
      <c r="J53" s="105"/>
      <c r="N53" s="15"/>
    </row>
    <row r="54" spans="1:18" s="20" customFormat="1">
      <c r="A54" s="73">
        <v>41</v>
      </c>
      <c r="B54" s="78" t="s">
        <v>65</v>
      </c>
      <c r="C54" s="581"/>
      <c r="J54" s="105"/>
      <c r="M54" s="15"/>
      <c r="N54" s="14"/>
    </row>
    <row r="55" spans="1:18" s="20" customFormat="1">
      <c r="A55" s="75">
        <v>42</v>
      </c>
      <c r="B55" s="78" t="s">
        <v>238</v>
      </c>
      <c r="C55" s="581"/>
      <c r="J55" s="105"/>
      <c r="M55" s="15"/>
      <c r="N55" s="14"/>
    </row>
    <row r="56" spans="1:18" s="20" customFormat="1">
      <c r="A56" s="75">
        <v>43</v>
      </c>
      <c r="B56" s="78"/>
      <c r="C56" s="581"/>
      <c r="J56" s="105"/>
      <c r="M56" s="15"/>
      <c r="N56" s="14"/>
    </row>
    <row r="57" spans="1:18">
      <c r="A57" s="73">
        <v>44</v>
      </c>
      <c r="C57" s="581"/>
      <c r="O57" s="15"/>
      <c r="P57" s="15"/>
      <c r="Q57" s="15"/>
      <c r="R57" s="15"/>
    </row>
    <row r="58" spans="1:18" s="15" customFormat="1" ht="13.5" thickBot="1">
      <c r="A58" s="75">
        <v>45</v>
      </c>
      <c r="B58" s="76" t="s">
        <v>66</v>
      </c>
      <c r="C58" s="585">
        <f>C49-SUM(C52:C56)</f>
        <v>1339</v>
      </c>
      <c r="J58" s="112"/>
      <c r="M58" s="14"/>
      <c r="N58" s="14"/>
      <c r="O58" s="14"/>
      <c r="P58" s="14"/>
      <c r="Q58" s="14"/>
      <c r="R58" s="14"/>
    </row>
    <row r="59" spans="1:18" ht="13.5" thickTop="1">
      <c r="A59" s="75">
        <v>46</v>
      </c>
      <c r="B59" s="2"/>
      <c r="C59" s="575"/>
    </row>
    <row r="60" spans="1:18">
      <c r="A60" s="73">
        <v>47</v>
      </c>
      <c r="B60" s="416" t="s">
        <v>21</v>
      </c>
      <c r="C60" s="575"/>
    </row>
    <row r="61" spans="1:18">
      <c r="A61" s="75">
        <v>48</v>
      </c>
      <c r="B61" s="63" t="s">
        <v>67</v>
      </c>
      <c r="C61" s="581"/>
      <c r="O61" s="15"/>
      <c r="P61" s="15"/>
      <c r="Q61" s="15"/>
      <c r="R61" s="15"/>
    </row>
    <row r="62" spans="1:18" s="15" customFormat="1">
      <c r="A62" s="75">
        <v>49</v>
      </c>
      <c r="B62" s="396" t="s">
        <v>68</v>
      </c>
      <c r="C62" s="599"/>
      <c r="J62" s="113"/>
      <c r="M62" s="14"/>
      <c r="N62" s="14"/>
      <c r="O62" s="20"/>
      <c r="P62" s="20"/>
      <c r="Q62" s="20"/>
      <c r="R62" s="20"/>
    </row>
    <row r="63" spans="1:18" s="20" customFormat="1">
      <c r="A63" s="73">
        <v>50</v>
      </c>
      <c r="B63" s="397" t="s">
        <v>69</v>
      </c>
      <c r="C63" s="581"/>
      <c r="J63" s="105"/>
      <c r="M63" s="14"/>
      <c r="N63" s="14"/>
    </row>
    <row r="64" spans="1:18" s="20" customFormat="1">
      <c r="A64" s="75">
        <v>51</v>
      </c>
      <c r="B64" s="397" t="s">
        <v>70</v>
      </c>
      <c r="C64" s="581"/>
      <c r="J64" s="105"/>
      <c r="M64" s="14"/>
      <c r="N64" s="14"/>
    </row>
    <row r="65" spans="1:18" s="20" customFormat="1">
      <c r="A65" s="75">
        <v>52</v>
      </c>
      <c r="B65" s="397" t="s">
        <v>53</v>
      </c>
      <c r="C65" s="581"/>
      <c r="J65" s="105"/>
      <c r="M65" s="14"/>
      <c r="N65" s="14"/>
    </row>
    <row r="66" spans="1:18" s="20" customFormat="1">
      <c r="A66" s="73">
        <v>53</v>
      </c>
      <c r="B66" s="397" t="s">
        <v>71</v>
      </c>
      <c r="C66" s="582"/>
      <c r="J66" s="107"/>
      <c r="M66" s="14"/>
      <c r="N66" s="14"/>
    </row>
    <row r="67" spans="1:18" s="20" customFormat="1">
      <c r="A67" s="75">
        <v>54</v>
      </c>
      <c r="B67" s="398" t="s">
        <v>72</v>
      </c>
      <c r="C67" s="581">
        <f t="shared" ref="C67" si="5">SUM(C62:C66)</f>
        <v>0</v>
      </c>
      <c r="M67" s="14"/>
      <c r="N67" s="14"/>
    </row>
    <row r="68" spans="1:18" s="20" customFormat="1">
      <c r="A68" s="75">
        <v>55</v>
      </c>
      <c r="B68" s="78" t="s">
        <v>244</v>
      </c>
      <c r="C68" s="581"/>
      <c r="J68" s="105"/>
      <c r="M68" s="14"/>
      <c r="N68" s="14"/>
    </row>
    <row r="69" spans="1:18" s="20" customFormat="1">
      <c r="A69" s="73">
        <v>56</v>
      </c>
      <c r="B69" s="78" t="s">
        <v>245</v>
      </c>
      <c r="C69" s="582"/>
      <c r="J69" s="107"/>
      <c r="M69" s="14"/>
      <c r="N69" s="14"/>
    </row>
    <row r="70" spans="1:18" s="20" customFormat="1">
      <c r="A70" s="75">
        <v>57</v>
      </c>
      <c r="B70" s="397" t="s">
        <v>73</v>
      </c>
      <c r="C70" s="581">
        <f t="shared" ref="C70" si="6">SUM(C68:C69)</f>
        <v>0</v>
      </c>
      <c r="M70" s="14"/>
      <c r="N70" s="14"/>
    </row>
    <row r="71" spans="1:18" s="20" customFormat="1">
      <c r="A71" s="75">
        <v>58</v>
      </c>
      <c r="B71" s="78" t="s">
        <v>249</v>
      </c>
      <c r="C71" s="581"/>
      <c r="J71" s="105"/>
      <c r="M71" s="14"/>
      <c r="N71" s="14"/>
    </row>
    <row r="72" spans="1:18" s="20" customFormat="1">
      <c r="A72" s="73">
        <v>59</v>
      </c>
      <c r="B72" s="78" t="s">
        <v>351</v>
      </c>
      <c r="C72" s="581"/>
      <c r="J72" s="105"/>
      <c r="M72" s="14"/>
      <c r="N72" s="14"/>
    </row>
    <row r="73" spans="1:18" s="20" customFormat="1">
      <c r="A73" s="75">
        <v>60</v>
      </c>
      <c r="B73" s="78" t="s">
        <v>236</v>
      </c>
      <c r="C73" s="581"/>
      <c r="J73" s="105"/>
      <c r="M73" s="14"/>
      <c r="N73" s="14"/>
    </row>
    <row r="74" spans="1:18" s="20" customFormat="1">
      <c r="A74" s="75">
        <v>61</v>
      </c>
      <c r="B74" s="78" t="s">
        <v>247</v>
      </c>
      <c r="C74" s="581"/>
      <c r="J74" s="105"/>
      <c r="M74" s="14"/>
      <c r="N74" s="14"/>
    </row>
    <row r="75" spans="1:18" s="20" customFormat="1">
      <c r="A75" s="73">
        <v>62</v>
      </c>
      <c r="B75" s="78" t="s">
        <v>248</v>
      </c>
      <c r="C75" s="582"/>
      <c r="J75" s="107"/>
      <c r="M75" s="14"/>
      <c r="N75" s="14"/>
    </row>
    <row r="76" spans="1:18" s="20" customFormat="1">
      <c r="A76" s="75">
        <v>63</v>
      </c>
      <c r="B76" s="78"/>
      <c r="C76" s="581"/>
      <c r="M76" s="14"/>
      <c r="N76" s="14"/>
      <c r="O76" s="15"/>
      <c r="P76" s="15"/>
      <c r="Q76" s="15"/>
      <c r="R76" s="15"/>
    </row>
    <row r="77" spans="1:18" s="15" customFormat="1" ht="13.5" thickBot="1">
      <c r="A77" s="75">
        <v>64</v>
      </c>
      <c r="B77" s="425" t="s">
        <v>74</v>
      </c>
      <c r="C77" s="598">
        <f t="shared" ref="C77" si="7">C67-C70+C71+C75</f>
        <v>0</v>
      </c>
      <c r="J77" s="112"/>
      <c r="M77" s="14"/>
      <c r="N77" s="14"/>
      <c r="O77" s="14"/>
      <c r="P77" s="14"/>
      <c r="Q77" s="14"/>
      <c r="R77" s="14"/>
    </row>
    <row r="78" spans="1:18" ht="13.5" thickTop="1">
      <c r="B78" s="83"/>
    </row>
    <row r="79" spans="1:18">
      <c r="A79" s="84"/>
      <c r="B79" s="38"/>
    </row>
    <row r="80" spans="1:18">
      <c r="A80" s="89"/>
      <c r="B80" s="86"/>
    </row>
    <row r="81" spans="1:3">
      <c r="A81" s="89">
        <v>1</v>
      </c>
      <c r="B81" s="392" t="s">
        <v>116</v>
      </c>
      <c r="C81" s="586"/>
    </row>
    <row r="82" spans="1:3">
      <c r="A82" s="89">
        <v>2</v>
      </c>
      <c r="B82" s="87" t="s">
        <v>117</v>
      </c>
      <c r="C82" s="600">
        <f t="shared" ref="C82" si="8">+C21</f>
        <v>0</v>
      </c>
    </row>
    <row r="83" spans="1:3">
      <c r="A83" s="89">
        <v>3</v>
      </c>
      <c r="B83" s="87" t="s">
        <v>118</v>
      </c>
      <c r="C83" s="588">
        <f t="shared" ref="C83" si="9">-C47</f>
        <v>2060</v>
      </c>
    </row>
    <row r="84" spans="1:3">
      <c r="A84" s="89">
        <v>4</v>
      </c>
      <c r="B84" s="87" t="s">
        <v>134</v>
      </c>
      <c r="C84" s="581"/>
    </row>
    <row r="85" spans="1:3">
      <c r="A85" s="89">
        <v>5</v>
      </c>
      <c r="B85" s="405" t="s">
        <v>119</v>
      </c>
      <c r="C85" s="589">
        <f t="shared" ref="C85" si="10">SUM(C82:C84)</f>
        <v>2060</v>
      </c>
    </row>
    <row r="86" spans="1:3">
      <c r="A86" s="89">
        <v>6</v>
      </c>
      <c r="B86" s="86"/>
      <c r="C86" s="590"/>
    </row>
    <row r="87" spans="1:3">
      <c r="A87" s="89">
        <v>7</v>
      </c>
      <c r="B87" s="86" t="s">
        <v>120</v>
      </c>
      <c r="C87" s="590"/>
    </row>
    <row r="88" spans="1:3">
      <c r="A88" s="89">
        <v>8</v>
      </c>
      <c r="B88" s="404" t="s">
        <v>121</v>
      </c>
      <c r="C88" s="590"/>
    </row>
    <row r="89" spans="1:3">
      <c r="A89" s="89">
        <v>9</v>
      </c>
      <c r="B89" s="404" t="s">
        <v>130</v>
      </c>
      <c r="C89" s="590"/>
    </row>
    <row r="90" spans="1:3">
      <c r="A90" s="89">
        <v>10</v>
      </c>
      <c r="B90" s="404" t="s">
        <v>122</v>
      </c>
      <c r="C90" s="590"/>
    </row>
    <row r="91" spans="1:3">
      <c r="A91" s="89">
        <v>11</v>
      </c>
      <c r="B91" s="86"/>
      <c r="C91" s="590"/>
    </row>
    <row r="92" spans="1:3">
      <c r="A92" s="89">
        <v>12</v>
      </c>
      <c r="B92" s="406" t="s">
        <v>278</v>
      </c>
      <c r="C92" s="589">
        <f t="shared" ref="C92" si="11">SUM(C88:C90)</f>
        <v>0</v>
      </c>
    </row>
    <row r="93" spans="1:3">
      <c r="A93" s="89">
        <v>13</v>
      </c>
      <c r="B93" s="86"/>
      <c r="C93" s="590"/>
    </row>
    <row r="94" spans="1:3">
      <c r="A94" s="89">
        <v>14</v>
      </c>
      <c r="B94" s="86" t="s">
        <v>124</v>
      </c>
      <c r="C94" s="590"/>
    </row>
    <row r="95" spans="1:3">
      <c r="A95" s="89">
        <v>15</v>
      </c>
      <c r="B95" s="404" t="s">
        <v>178</v>
      </c>
      <c r="C95" s="590"/>
    </row>
    <row r="96" spans="1:3">
      <c r="A96" s="89">
        <v>16</v>
      </c>
      <c r="B96" s="404" t="s">
        <v>133</v>
      </c>
      <c r="C96" s="590"/>
    </row>
    <row r="97" spans="1:3">
      <c r="A97" s="89">
        <v>17</v>
      </c>
      <c r="B97" s="404" t="s">
        <v>122</v>
      </c>
      <c r="C97" s="590"/>
    </row>
    <row r="98" spans="1:3">
      <c r="A98" s="89">
        <v>18</v>
      </c>
      <c r="B98" s="406" t="s">
        <v>279</v>
      </c>
      <c r="C98" s="589">
        <f t="shared" ref="C98" si="12">SUM(C95:C97)</f>
        <v>0</v>
      </c>
    </row>
    <row r="99" spans="1:3">
      <c r="A99" s="89">
        <v>19</v>
      </c>
      <c r="B99" s="86"/>
      <c r="C99" s="590"/>
    </row>
    <row r="100" spans="1:3">
      <c r="A100" s="89">
        <v>20</v>
      </c>
      <c r="B100" s="87" t="s">
        <v>268</v>
      </c>
      <c r="C100" s="584">
        <f t="shared" ref="C100" si="13">+C82+C83+C84+C92-C98</f>
        <v>2060</v>
      </c>
    </row>
    <row r="101" spans="1:3">
      <c r="A101" s="89">
        <v>21</v>
      </c>
      <c r="B101" s="404" t="s">
        <v>280</v>
      </c>
      <c r="C101" s="591">
        <v>0.35</v>
      </c>
    </row>
    <row r="102" spans="1:3">
      <c r="A102" s="89">
        <v>22</v>
      </c>
      <c r="B102" s="404" t="s">
        <v>127</v>
      </c>
      <c r="C102" s="592">
        <f t="shared" ref="C102" si="14">C100*C101</f>
        <v>721</v>
      </c>
    </row>
    <row r="103" spans="1:3">
      <c r="A103" s="89">
        <v>23</v>
      </c>
      <c r="B103" s="404" t="s">
        <v>128</v>
      </c>
      <c r="C103" s="590">
        <f t="shared" ref="C103" si="15">+(C95-C88+C96)*C101</f>
        <v>0</v>
      </c>
    </row>
    <row r="104" spans="1:3" ht="13.5" thickBot="1">
      <c r="A104" s="89">
        <v>24</v>
      </c>
      <c r="B104" s="95" t="s">
        <v>129</v>
      </c>
      <c r="C104" s="593">
        <f t="shared" ref="C104" si="16">ROUND(+C102+C103,0)</f>
        <v>721</v>
      </c>
    </row>
    <row r="105" spans="1:3" ht="13.5" thickTop="1"/>
  </sheetData>
  <printOptions horizontalCentered="1"/>
  <pageMargins left="0.5" right="0.5" top="1.5" bottom="0.3" header="0.5" footer="0.5"/>
  <pageSetup scale="59" firstPageNumber="2" fitToWidth="0" orientation="portrait" r:id="rId1"/>
  <headerFooter scaleWithDoc="0" alignWithMargins="0">
    <oddHeader>&amp;L&amp;"Arial,Regular"&amp;10Avista Corporation
&amp;"Arial,Bold"Electric - Pro Forma Adjustments (Schedule 1.3)&amp;"Arial,Regular"
Twelve Months Ended December 31,2011&amp;R&amp;"Arial,Regular"&amp;10Exhibit No. ___ (JH-2)
Docket UE-120436 &amp; UG-120437
Page &amp;P of  &amp;N</oddHeader>
  </headerFooter>
  <colBreaks count="1" manualBreakCount="1">
    <brk id="9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5" zoomScaleNormal="75" workbookViewId="0">
      <pane xSplit="2" ySplit="12" topLeftCell="C19" activePane="bottomRight" state="frozen"/>
      <selection activeCell="C77" sqref="A2:C77"/>
      <selection pane="topRight" activeCell="C77" sqref="A2:C77"/>
      <selection pane="bottomLeft" activeCell="C77" sqref="A2:C77"/>
      <selection pane="bottomRight" activeCell="C77" sqref="A2:C77"/>
    </sheetView>
  </sheetViews>
  <sheetFormatPr defaultColWidth="10.625" defaultRowHeight="12.75"/>
  <cols>
    <col min="1" max="1" width="4.375" style="64" bestFit="1" customWidth="1"/>
    <col min="2" max="2" width="36.5" style="63" bestFit="1" customWidth="1"/>
    <col min="3" max="9" width="9" style="101" customWidth="1"/>
    <col min="10" max="10" width="11.625" style="65" hidden="1" customWidth="1"/>
    <col min="11" max="11" width="5" style="14" customWidth="1"/>
    <col min="12" max="12" width="2.75" style="14" customWidth="1"/>
    <col min="13" max="13" width="11.75" style="14" customWidth="1"/>
    <col min="14" max="14" width="2.625" style="14" customWidth="1"/>
    <col min="15" max="15" width="10.875" style="14" customWidth="1"/>
    <col min="16" max="16" width="6.75" style="14" customWidth="1"/>
    <col min="17" max="18" width="9.625" style="14" customWidth="1"/>
    <col min="19" max="19" width="10.625" style="14" customWidth="1"/>
    <col min="20" max="20" width="6.75" style="14" customWidth="1"/>
    <col min="21" max="16384" width="10.625" style="14"/>
  </cols>
  <sheetData>
    <row r="1" spans="1:13">
      <c r="A1" s="56"/>
      <c r="B1" s="9" t="s">
        <v>281</v>
      </c>
      <c r="C1" s="14"/>
      <c r="D1" s="14"/>
      <c r="E1" s="14"/>
      <c r="F1" s="14"/>
      <c r="G1" s="14"/>
      <c r="H1" s="14"/>
      <c r="I1" s="14"/>
    </row>
    <row r="2" spans="1:13">
      <c r="A2" s="411"/>
      <c r="B2" s="14"/>
      <c r="C2" s="66" t="s">
        <v>252</v>
      </c>
      <c r="D2" s="14"/>
      <c r="E2" s="14"/>
      <c r="F2" s="14"/>
      <c r="G2" s="14"/>
      <c r="H2" s="14"/>
      <c r="I2" s="14"/>
    </row>
    <row r="3" spans="1:13">
      <c r="A3" s="411"/>
      <c r="B3" s="14"/>
      <c r="C3" s="14"/>
      <c r="D3" s="14"/>
      <c r="E3" s="14"/>
      <c r="F3" s="14"/>
      <c r="G3" s="14"/>
      <c r="H3" s="14"/>
      <c r="I3" s="14"/>
    </row>
    <row r="4" spans="1:13">
      <c r="A4" s="411"/>
      <c r="B4" s="14"/>
      <c r="C4" s="14"/>
      <c r="D4" s="14"/>
      <c r="E4" s="14"/>
      <c r="F4" s="14"/>
      <c r="G4" s="14"/>
      <c r="H4" s="14"/>
      <c r="I4" s="14"/>
    </row>
    <row r="5" spans="1:13">
      <c r="A5" s="402"/>
      <c r="B5" s="64" t="str">
        <f>+Restating!B5</f>
        <v>(000's of Dollars)</v>
      </c>
    </row>
    <row r="6" spans="1:13">
      <c r="A6" s="62"/>
    </row>
    <row r="7" spans="1:13">
      <c r="A7" s="403"/>
      <c r="B7" s="64" t="s">
        <v>100</v>
      </c>
    </row>
    <row r="8" spans="1:13">
      <c r="A8" s="403"/>
      <c r="B8" s="64"/>
    </row>
    <row r="9" spans="1:13">
      <c r="A9" s="62"/>
      <c r="C9" s="550">
        <v>4.0599999999999996</v>
      </c>
    </row>
    <row r="10" spans="1:13" s="71" customFormat="1">
      <c r="A10" s="414"/>
      <c r="B10" s="420"/>
      <c r="J10" s="68"/>
    </row>
    <row r="11" spans="1:13" s="71" customFormat="1">
      <c r="A11" s="414" t="s">
        <v>5</v>
      </c>
      <c r="B11" s="420"/>
      <c r="C11" s="551" t="s">
        <v>353</v>
      </c>
      <c r="J11" s="68"/>
    </row>
    <row r="12" spans="1:13" s="71" customFormat="1">
      <c r="A12" s="421" t="s">
        <v>10</v>
      </c>
      <c r="B12" s="422" t="s">
        <v>11</v>
      </c>
      <c r="C12" s="551" t="s">
        <v>354</v>
      </c>
      <c r="J12" s="68"/>
    </row>
    <row r="13" spans="1:13" s="72" customFormat="1">
      <c r="A13" s="418"/>
      <c r="B13" s="115" t="s">
        <v>155</v>
      </c>
      <c r="J13" s="60"/>
    </row>
    <row r="14" spans="1:13">
      <c r="A14" s="73">
        <v>1</v>
      </c>
      <c r="B14" s="416" t="s">
        <v>98</v>
      </c>
      <c r="J14" s="61"/>
    </row>
    <row r="15" spans="1:13">
      <c r="A15" s="75">
        <v>2</v>
      </c>
      <c r="B15" s="63" t="s">
        <v>40</v>
      </c>
      <c r="C15" s="65"/>
      <c r="J15" s="61"/>
    </row>
    <row r="16" spans="1:13" s="15" customFormat="1">
      <c r="A16" s="75">
        <v>3</v>
      </c>
      <c r="B16" s="76" t="s">
        <v>41</v>
      </c>
      <c r="C16" s="566"/>
      <c r="J16" s="77"/>
      <c r="K16" s="104"/>
      <c r="L16" s="104"/>
      <c r="M16" s="104"/>
    </row>
    <row r="17" spans="1:10" s="20" customFormat="1">
      <c r="A17" s="73">
        <v>4</v>
      </c>
      <c r="B17" s="78" t="s">
        <v>42</v>
      </c>
      <c r="C17" s="23"/>
      <c r="J17" s="105"/>
    </row>
    <row r="18" spans="1:10" s="20" customFormat="1">
      <c r="A18" s="75">
        <v>5</v>
      </c>
      <c r="B18" s="78" t="s">
        <v>43</v>
      </c>
      <c r="C18" s="24"/>
      <c r="J18" s="107"/>
    </row>
    <row r="19" spans="1:10" s="20" customFormat="1">
      <c r="A19" s="75">
        <v>6</v>
      </c>
      <c r="B19" s="397" t="s">
        <v>44</v>
      </c>
      <c r="C19" s="23"/>
    </row>
    <row r="20" spans="1:10" s="20" customFormat="1">
      <c r="A20" s="73">
        <v>7</v>
      </c>
      <c r="B20" s="78" t="s">
        <v>45</v>
      </c>
      <c r="C20" s="24"/>
      <c r="J20" s="107"/>
    </row>
    <row r="21" spans="1:10" s="20" customFormat="1">
      <c r="A21" s="75">
        <v>8</v>
      </c>
      <c r="B21" s="397" t="s">
        <v>46</v>
      </c>
      <c r="C21" s="23"/>
    </row>
    <row r="22" spans="1:10" s="20" customFormat="1">
      <c r="A22" s="75">
        <v>9</v>
      </c>
      <c r="B22" s="78"/>
      <c r="C22" s="23"/>
      <c r="J22" s="105"/>
    </row>
    <row r="23" spans="1:10" s="20" customFormat="1">
      <c r="A23" s="73">
        <v>10</v>
      </c>
      <c r="B23" s="78" t="s">
        <v>20</v>
      </c>
      <c r="C23" s="23"/>
      <c r="J23" s="105"/>
    </row>
    <row r="24" spans="1:10" s="20" customFormat="1">
      <c r="A24" s="75">
        <v>11</v>
      </c>
      <c r="B24" s="78" t="s">
        <v>47</v>
      </c>
      <c r="C24" s="23"/>
      <c r="J24" s="105"/>
    </row>
    <row r="25" spans="1:10" s="20" customFormat="1">
      <c r="A25" s="75">
        <v>12</v>
      </c>
      <c r="B25" s="397" t="s">
        <v>48</v>
      </c>
      <c r="C25" s="23">
        <v>0</v>
      </c>
      <c r="J25" s="105"/>
    </row>
    <row r="26" spans="1:10" s="20" customFormat="1">
      <c r="A26" s="73">
        <v>13</v>
      </c>
      <c r="B26" s="397" t="s">
        <v>49</v>
      </c>
      <c r="C26" s="23"/>
      <c r="J26" s="105"/>
    </row>
    <row r="27" spans="1:10" s="20" customFormat="1">
      <c r="A27" s="75">
        <v>14</v>
      </c>
      <c r="B27" s="397" t="s">
        <v>50</v>
      </c>
      <c r="C27" s="23"/>
      <c r="J27" s="105"/>
    </row>
    <row r="28" spans="1:10" s="20" customFormat="1">
      <c r="A28" s="73">
        <v>15</v>
      </c>
      <c r="B28" s="393" t="s">
        <v>349</v>
      </c>
      <c r="C28" s="23"/>
      <c r="J28" s="105"/>
    </row>
    <row r="29" spans="1:10" s="20" customFormat="1">
      <c r="A29" s="75">
        <v>16</v>
      </c>
      <c r="B29" s="397" t="s">
        <v>51</v>
      </c>
      <c r="C29" s="24"/>
      <c r="J29" s="107"/>
    </row>
    <row r="30" spans="1:10" s="20" customFormat="1">
      <c r="A30" s="75">
        <v>17</v>
      </c>
      <c r="B30" s="398" t="s">
        <v>52</v>
      </c>
      <c r="C30" s="23">
        <f t="shared" ref="C30" si="0">SUM(C25:C29)</f>
        <v>0</v>
      </c>
    </row>
    <row r="31" spans="1:10" s="20" customFormat="1">
      <c r="A31" s="73">
        <v>18</v>
      </c>
      <c r="B31" s="78"/>
      <c r="C31" s="23"/>
      <c r="J31" s="105"/>
    </row>
    <row r="32" spans="1:10" s="20" customFormat="1">
      <c r="A32" s="75">
        <v>19</v>
      </c>
      <c r="B32" s="78" t="s">
        <v>53</v>
      </c>
      <c r="C32" s="23"/>
      <c r="J32" s="105"/>
    </row>
    <row r="33" spans="1:18" s="20" customFormat="1">
      <c r="A33" s="73">
        <v>20</v>
      </c>
      <c r="B33" s="397" t="s">
        <v>48</v>
      </c>
      <c r="C33" s="23">
        <v>0</v>
      </c>
      <c r="J33" s="105"/>
    </row>
    <row r="34" spans="1:18" s="20" customFormat="1">
      <c r="A34" s="75">
        <v>21</v>
      </c>
      <c r="B34" s="397" t="s">
        <v>54</v>
      </c>
      <c r="C34" s="23"/>
      <c r="J34" s="105"/>
    </row>
    <row r="35" spans="1:18" s="20" customFormat="1">
      <c r="A35" s="75">
        <v>22</v>
      </c>
      <c r="B35" s="397" t="s">
        <v>51</v>
      </c>
      <c r="C35" s="24"/>
      <c r="J35" s="107"/>
    </row>
    <row r="36" spans="1:18" s="20" customFormat="1">
      <c r="A36" s="73">
        <v>23</v>
      </c>
      <c r="B36" s="398" t="s">
        <v>55</v>
      </c>
      <c r="C36" s="23">
        <f t="shared" ref="C36" si="1">SUM(C33:C35)</f>
        <v>0</v>
      </c>
    </row>
    <row r="37" spans="1:18" s="20" customFormat="1">
      <c r="A37" s="75">
        <v>24</v>
      </c>
      <c r="B37" s="78"/>
      <c r="C37" s="23"/>
      <c r="J37" s="105"/>
    </row>
    <row r="38" spans="1:18" s="20" customFormat="1">
      <c r="A38" s="73">
        <v>25</v>
      </c>
      <c r="B38" s="78" t="s">
        <v>56</v>
      </c>
      <c r="C38" s="23">
        <v>0</v>
      </c>
      <c r="J38" s="105"/>
      <c r="K38" s="108"/>
      <c r="L38" s="101"/>
      <c r="O38" s="106"/>
      <c r="P38" s="109"/>
      <c r="Q38" s="109"/>
      <c r="R38" s="109"/>
    </row>
    <row r="39" spans="1:18" s="20" customFormat="1">
      <c r="A39" s="75">
        <v>26</v>
      </c>
      <c r="B39" s="78" t="s">
        <v>57</v>
      </c>
      <c r="C39" s="23"/>
      <c r="J39" s="105"/>
      <c r="M39" s="110"/>
      <c r="O39" s="81"/>
      <c r="P39" s="81"/>
      <c r="Q39" s="81"/>
      <c r="R39" s="109"/>
    </row>
    <row r="40" spans="1:18" s="20" customFormat="1">
      <c r="A40" s="75">
        <v>27</v>
      </c>
      <c r="B40" s="78" t="s">
        <v>58</v>
      </c>
      <c r="C40" s="23"/>
      <c r="J40" s="105"/>
      <c r="M40" s="110"/>
    </row>
    <row r="41" spans="1:18" s="20" customFormat="1">
      <c r="A41" s="73">
        <v>28</v>
      </c>
      <c r="B41" s="78"/>
      <c r="C41" s="23"/>
      <c r="J41" s="105"/>
    </row>
    <row r="42" spans="1:18" s="20" customFormat="1">
      <c r="A42" s="75">
        <v>29</v>
      </c>
      <c r="B42" s="78" t="s">
        <v>59</v>
      </c>
      <c r="C42" s="23"/>
      <c r="J42" s="105"/>
    </row>
    <row r="43" spans="1:18" s="20" customFormat="1">
      <c r="A43" s="73">
        <v>30</v>
      </c>
      <c r="B43" s="397" t="s">
        <v>48</v>
      </c>
      <c r="C43" s="23">
        <v>0</v>
      </c>
      <c r="J43" s="105"/>
    </row>
    <row r="44" spans="1:18" s="20" customFormat="1">
      <c r="A44" s="75">
        <v>31</v>
      </c>
      <c r="B44" s="397" t="s">
        <v>54</v>
      </c>
      <c r="C44" s="23"/>
      <c r="J44" s="105"/>
    </row>
    <row r="45" spans="1:18" s="20" customFormat="1">
      <c r="A45" s="75">
        <v>32</v>
      </c>
      <c r="B45" s="397" t="s">
        <v>51</v>
      </c>
      <c r="C45" s="24"/>
      <c r="J45" s="107"/>
    </row>
    <row r="46" spans="1:18" s="20" customFormat="1">
      <c r="A46" s="73">
        <v>33</v>
      </c>
      <c r="B46" s="398" t="s">
        <v>60</v>
      </c>
      <c r="C46" s="24">
        <f t="shared" ref="C46" si="2">SUM(C43:C45)</f>
        <v>0</v>
      </c>
      <c r="J46" s="111"/>
    </row>
    <row r="47" spans="1:18" s="20" customFormat="1">
      <c r="A47" s="75">
        <v>34</v>
      </c>
      <c r="B47" s="78" t="s">
        <v>61</v>
      </c>
      <c r="C47" s="24">
        <f t="shared" ref="C47" si="3">C46+C40+C39+C38+C36+C30</f>
        <v>0</v>
      </c>
      <c r="J47" s="111"/>
    </row>
    <row r="48" spans="1:18" s="20" customFormat="1">
      <c r="A48" s="73">
        <v>35</v>
      </c>
      <c r="B48" s="78"/>
      <c r="C48" s="23"/>
    </row>
    <row r="49" spans="1:18" s="20" customFormat="1">
      <c r="A49" s="75">
        <v>36</v>
      </c>
      <c r="B49" s="78" t="s">
        <v>62</v>
      </c>
      <c r="C49" s="23">
        <f t="shared" ref="C49" si="4">C21-C47</f>
        <v>0</v>
      </c>
    </row>
    <row r="50" spans="1:18" s="20" customFormat="1">
      <c r="A50" s="75">
        <v>37</v>
      </c>
      <c r="B50" s="78"/>
      <c r="C50" s="23"/>
      <c r="J50" s="105"/>
    </row>
    <row r="51" spans="1:18" s="20" customFormat="1">
      <c r="A51" s="73">
        <v>38</v>
      </c>
      <c r="B51" s="78" t="s">
        <v>63</v>
      </c>
      <c r="C51" s="23"/>
      <c r="J51" s="105"/>
    </row>
    <row r="52" spans="1:18" s="20" customFormat="1">
      <c r="A52" s="75">
        <v>39</v>
      </c>
      <c r="B52" s="78" t="s">
        <v>64</v>
      </c>
      <c r="C52" s="23">
        <f t="shared" ref="C52" si="5">+C104</f>
        <v>0</v>
      </c>
      <c r="J52" s="105"/>
      <c r="N52" s="15"/>
    </row>
    <row r="53" spans="1:18" s="20" customFormat="1">
      <c r="A53" s="75">
        <v>40</v>
      </c>
      <c r="B53" s="78" t="s">
        <v>366</v>
      </c>
      <c r="C53" s="581">
        <f>+(C77*' Capital '!$J$13)*-35%</f>
        <v>0</v>
      </c>
      <c r="J53" s="105"/>
      <c r="N53" s="15"/>
    </row>
    <row r="54" spans="1:18" s="20" customFormat="1">
      <c r="A54" s="73">
        <v>41</v>
      </c>
      <c r="B54" s="78" t="s">
        <v>65</v>
      </c>
      <c r="C54" s="23"/>
      <c r="J54" s="105"/>
      <c r="M54" s="15"/>
      <c r="N54" s="14"/>
    </row>
    <row r="55" spans="1:18" s="20" customFormat="1">
      <c r="A55" s="75">
        <v>42</v>
      </c>
      <c r="B55" s="78" t="s">
        <v>238</v>
      </c>
      <c r="C55" s="23"/>
      <c r="J55" s="105"/>
      <c r="M55" s="15"/>
      <c r="N55" s="14"/>
    </row>
    <row r="56" spans="1:18" s="20" customFormat="1">
      <c r="A56" s="75">
        <v>43</v>
      </c>
      <c r="B56" s="78"/>
      <c r="C56" s="23"/>
      <c r="J56" s="105"/>
      <c r="M56" s="15"/>
      <c r="N56" s="14"/>
    </row>
    <row r="57" spans="1:18">
      <c r="A57" s="73">
        <v>44</v>
      </c>
      <c r="C57" s="23"/>
      <c r="O57" s="15"/>
      <c r="P57" s="15"/>
      <c r="Q57" s="15"/>
      <c r="R57" s="15"/>
    </row>
    <row r="58" spans="1:18" s="15" customFormat="1" ht="13.5" thickBot="1">
      <c r="A58" s="75">
        <v>45</v>
      </c>
      <c r="B58" s="76" t="s">
        <v>66</v>
      </c>
      <c r="C58" s="112">
        <f t="shared" ref="C58" si="6">C49-SUM(C52:C56)</f>
        <v>0</v>
      </c>
      <c r="J58" s="112"/>
      <c r="M58" s="14"/>
      <c r="N58" s="14"/>
      <c r="O58" s="14"/>
      <c r="P58" s="14"/>
      <c r="Q58" s="14"/>
      <c r="R58" s="14"/>
    </row>
    <row r="59" spans="1:18" ht="13.5" thickTop="1">
      <c r="A59" s="75">
        <v>46</v>
      </c>
      <c r="B59" s="2"/>
      <c r="C59" s="65"/>
    </row>
    <row r="60" spans="1:18">
      <c r="A60" s="73">
        <v>47</v>
      </c>
      <c r="B60" s="416" t="s">
        <v>21</v>
      </c>
      <c r="C60" s="65"/>
    </row>
    <row r="61" spans="1:18">
      <c r="A61" s="75">
        <v>48</v>
      </c>
      <c r="B61" s="63" t="s">
        <v>67</v>
      </c>
      <c r="C61" s="23"/>
      <c r="O61" s="15"/>
      <c r="P61" s="15"/>
      <c r="Q61" s="15"/>
      <c r="R61" s="15"/>
    </row>
    <row r="62" spans="1:18" s="15" customFormat="1">
      <c r="A62" s="75">
        <v>49</v>
      </c>
      <c r="B62" s="396" t="s">
        <v>68</v>
      </c>
      <c r="C62" s="36"/>
      <c r="J62" s="113"/>
      <c r="M62" s="14"/>
      <c r="N62" s="14"/>
      <c r="O62" s="20"/>
      <c r="P62" s="20"/>
      <c r="Q62" s="20"/>
      <c r="R62" s="20"/>
    </row>
    <row r="63" spans="1:18" s="20" customFormat="1">
      <c r="A63" s="73">
        <v>50</v>
      </c>
      <c r="B63" s="397" t="s">
        <v>69</v>
      </c>
      <c r="C63" s="23"/>
      <c r="J63" s="105"/>
      <c r="M63" s="14"/>
      <c r="N63" s="14"/>
    </row>
    <row r="64" spans="1:18" s="20" customFormat="1">
      <c r="A64" s="75">
        <v>51</v>
      </c>
      <c r="B64" s="397" t="s">
        <v>70</v>
      </c>
      <c r="C64" s="23"/>
      <c r="J64" s="105"/>
      <c r="M64" s="14"/>
      <c r="N64" s="14"/>
    </row>
    <row r="65" spans="1:18" s="20" customFormat="1">
      <c r="A65" s="75">
        <v>52</v>
      </c>
      <c r="B65" s="397" t="s">
        <v>53</v>
      </c>
      <c r="C65" s="23"/>
      <c r="J65" s="105"/>
      <c r="M65" s="14"/>
      <c r="N65" s="14"/>
    </row>
    <row r="66" spans="1:18" s="20" customFormat="1">
      <c r="A66" s="73">
        <v>53</v>
      </c>
      <c r="B66" s="397" t="s">
        <v>71</v>
      </c>
      <c r="C66" s="24"/>
      <c r="J66" s="107"/>
      <c r="M66" s="14"/>
      <c r="N66" s="14"/>
    </row>
    <row r="67" spans="1:18" s="20" customFormat="1">
      <c r="A67" s="75">
        <v>54</v>
      </c>
      <c r="B67" s="398" t="s">
        <v>72</v>
      </c>
      <c r="C67" s="23">
        <f t="shared" ref="C67" si="7">SUM(C62:C66)</f>
        <v>0</v>
      </c>
      <c r="M67" s="14"/>
      <c r="N67" s="14"/>
    </row>
    <row r="68" spans="1:18" s="20" customFormat="1">
      <c r="A68" s="75">
        <v>55</v>
      </c>
      <c r="B68" s="78" t="s">
        <v>244</v>
      </c>
      <c r="C68" s="23"/>
      <c r="J68" s="105"/>
      <c r="M68" s="14"/>
      <c r="N68" s="14"/>
    </row>
    <row r="69" spans="1:18" s="20" customFormat="1">
      <c r="A69" s="73">
        <v>56</v>
      </c>
      <c r="B69" s="78" t="s">
        <v>245</v>
      </c>
      <c r="C69" s="24"/>
      <c r="J69" s="107"/>
      <c r="M69" s="14"/>
      <c r="N69" s="14"/>
    </row>
    <row r="70" spans="1:18" s="20" customFormat="1">
      <c r="A70" s="75">
        <v>57</v>
      </c>
      <c r="B70" s="397" t="s">
        <v>73</v>
      </c>
      <c r="C70" s="23">
        <f t="shared" ref="C70" si="8">SUM(C68:C69)</f>
        <v>0</v>
      </c>
      <c r="M70" s="14"/>
      <c r="N70" s="14"/>
    </row>
    <row r="71" spans="1:18" s="20" customFormat="1">
      <c r="A71" s="75">
        <v>58</v>
      </c>
      <c r="B71" s="78" t="s">
        <v>249</v>
      </c>
      <c r="C71" s="23"/>
      <c r="J71" s="105"/>
      <c r="M71" s="14"/>
      <c r="N71" s="14"/>
    </row>
    <row r="72" spans="1:18" s="20" customFormat="1">
      <c r="A72" s="73">
        <v>59</v>
      </c>
      <c r="B72" s="78" t="s">
        <v>351</v>
      </c>
      <c r="C72" s="23"/>
      <c r="J72" s="105"/>
      <c r="M72" s="14"/>
      <c r="N72" s="14"/>
    </row>
    <row r="73" spans="1:18" s="20" customFormat="1">
      <c r="A73" s="75">
        <v>60</v>
      </c>
      <c r="B73" s="78" t="s">
        <v>236</v>
      </c>
      <c r="C73" s="23"/>
      <c r="J73" s="105"/>
      <c r="M73" s="14"/>
      <c r="N73" s="14"/>
    </row>
    <row r="74" spans="1:18" s="20" customFormat="1">
      <c r="A74" s="75">
        <v>61</v>
      </c>
      <c r="B74" s="78" t="s">
        <v>247</v>
      </c>
      <c r="C74" s="23"/>
      <c r="J74" s="105"/>
      <c r="M74" s="14"/>
      <c r="N74" s="14"/>
    </row>
    <row r="75" spans="1:18" s="20" customFormat="1">
      <c r="A75" s="73">
        <v>62</v>
      </c>
      <c r="B75" s="78" t="s">
        <v>248</v>
      </c>
      <c r="C75" s="24"/>
      <c r="J75" s="107"/>
      <c r="M75" s="14"/>
      <c r="N75" s="14"/>
    </row>
    <row r="76" spans="1:18" s="20" customFormat="1">
      <c r="A76" s="75">
        <v>63</v>
      </c>
      <c r="B76" s="78"/>
      <c r="C76" s="23"/>
      <c r="M76" s="14"/>
      <c r="N76" s="14"/>
      <c r="O76" s="15"/>
      <c r="P76" s="15"/>
      <c r="Q76" s="15"/>
      <c r="R76" s="15"/>
    </row>
    <row r="77" spans="1:18" s="15" customFormat="1" ht="13.5" thickBot="1">
      <c r="A77" s="75">
        <v>64</v>
      </c>
      <c r="B77" s="425" t="s">
        <v>74</v>
      </c>
      <c r="C77" s="112">
        <f t="shared" ref="C77" si="9">C67-C70+C71+C75</f>
        <v>0</v>
      </c>
      <c r="J77" s="112"/>
      <c r="M77" s="14"/>
      <c r="N77" s="14"/>
      <c r="O77" s="14"/>
      <c r="P77" s="14"/>
      <c r="Q77" s="14"/>
      <c r="R77" s="14"/>
    </row>
    <row r="78" spans="1:18" ht="13.5" thickTop="1">
      <c r="B78" s="83"/>
    </row>
    <row r="79" spans="1:18">
      <c r="A79" s="84"/>
      <c r="B79" s="38"/>
    </row>
    <row r="80" spans="1:18">
      <c r="A80" s="89"/>
      <c r="B80" s="86"/>
    </row>
    <row r="81" spans="1:3">
      <c r="A81" s="89">
        <v>1</v>
      </c>
      <c r="B81" s="392" t="s">
        <v>116</v>
      </c>
      <c r="C81" s="74"/>
    </row>
    <row r="82" spans="1:3">
      <c r="A82" s="89">
        <v>2</v>
      </c>
      <c r="B82" s="87" t="s">
        <v>117</v>
      </c>
      <c r="C82" s="114">
        <f t="shared" ref="C82" si="10">+C21</f>
        <v>0</v>
      </c>
    </row>
    <row r="83" spans="1:3">
      <c r="A83" s="89">
        <v>3</v>
      </c>
      <c r="B83" s="87" t="s">
        <v>118</v>
      </c>
      <c r="C83" s="82">
        <f t="shared" ref="C83" si="11">-C47</f>
        <v>0</v>
      </c>
    </row>
    <row r="84" spans="1:3">
      <c r="A84" s="89">
        <v>4</v>
      </c>
      <c r="B84" s="87" t="s">
        <v>134</v>
      </c>
      <c r="C84" s="23"/>
    </row>
    <row r="85" spans="1:3">
      <c r="A85" s="89">
        <v>5</v>
      </c>
      <c r="B85" s="405" t="s">
        <v>119</v>
      </c>
      <c r="C85" s="27">
        <f t="shared" ref="C85" si="12">SUM(C82:C84)</f>
        <v>0</v>
      </c>
    </row>
    <row r="86" spans="1:3">
      <c r="A86" s="89">
        <v>6</v>
      </c>
      <c r="B86" s="86"/>
      <c r="C86" s="80"/>
    </row>
    <row r="87" spans="1:3">
      <c r="A87" s="89">
        <v>7</v>
      </c>
      <c r="B87" s="86" t="s">
        <v>120</v>
      </c>
      <c r="C87" s="80"/>
    </row>
    <row r="88" spans="1:3">
      <c r="A88" s="89">
        <v>8</v>
      </c>
      <c r="B88" s="404" t="s">
        <v>121</v>
      </c>
      <c r="C88" s="80"/>
    </row>
    <row r="89" spans="1:3">
      <c r="A89" s="89">
        <v>9</v>
      </c>
      <c r="B89" s="404" t="s">
        <v>130</v>
      </c>
      <c r="C89" s="80"/>
    </row>
    <row r="90" spans="1:3">
      <c r="A90" s="89">
        <v>10</v>
      </c>
      <c r="B90" s="404" t="s">
        <v>122</v>
      </c>
      <c r="C90" s="80"/>
    </row>
    <row r="91" spans="1:3">
      <c r="A91" s="89">
        <v>11</v>
      </c>
      <c r="B91" s="86"/>
      <c r="C91" s="80"/>
    </row>
    <row r="92" spans="1:3">
      <c r="A92" s="89">
        <v>12</v>
      </c>
      <c r="B92" s="406" t="s">
        <v>278</v>
      </c>
      <c r="C92" s="27">
        <f t="shared" ref="C92" si="13">SUM(C88:C90)</f>
        <v>0</v>
      </c>
    </row>
    <row r="93" spans="1:3">
      <c r="A93" s="89">
        <v>13</v>
      </c>
      <c r="B93" s="86"/>
      <c r="C93" s="80"/>
    </row>
    <row r="94" spans="1:3">
      <c r="A94" s="89">
        <v>14</v>
      </c>
      <c r="B94" s="86" t="s">
        <v>124</v>
      </c>
      <c r="C94" s="80"/>
    </row>
    <row r="95" spans="1:3">
      <c r="A95" s="89">
        <v>15</v>
      </c>
      <c r="B95" s="404" t="s">
        <v>178</v>
      </c>
      <c r="C95" s="80"/>
    </row>
    <row r="96" spans="1:3">
      <c r="A96" s="89">
        <v>16</v>
      </c>
      <c r="B96" s="404" t="s">
        <v>133</v>
      </c>
      <c r="C96" s="80"/>
    </row>
    <row r="97" spans="1:3">
      <c r="A97" s="89">
        <v>17</v>
      </c>
      <c r="B97" s="404" t="s">
        <v>122</v>
      </c>
      <c r="C97" s="80"/>
    </row>
    <row r="98" spans="1:3">
      <c r="A98" s="89">
        <v>18</v>
      </c>
      <c r="B98" s="406" t="s">
        <v>279</v>
      </c>
      <c r="C98" s="27">
        <f t="shared" ref="C98" si="14">SUM(C95:C97)</f>
        <v>0</v>
      </c>
    </row>
    <row r="99" spans="1:3">
      <c r="A99" s="89">
        <v>19</v>
      </c>
      <c r="B99" s="86"/>
      <c r="C99" s="80"/>
    </row>
    <row r="100" spans="1:3">
      <c r="A100" s="89">
        <v>20</v>
      </c>
      <c r="B100" s="87" t="s">
        <v>268</v>
      </c>
      <c r="C100" s="28">
        <f t="shared" ref="C100" si="15">+C82+C83+C84+C92-C98</f>
        <v>0</v>
      </c>
    </row>
    <row r="101" spans="1:3">
      <c r="A101" s="89">
        <v>21</v>
      </c>
      <c r="B101" s="404" t="s">
        <v>280</v>
      </c>
      <c r="C101" s="94">
        <v>0.35</v>
      </c>
    </row>
    <row r="102" spans="1:3">
      <c r="A102" s="89">
        <v>22</v>
      </c>
      <c r="B102" s="404" t="s">
        <v>127</v>
      </c>
      <c r="C102" s="93">
        <f t="shared" ref="C102" si="16">C100*C101</f>
        <v>0</v>
      </c>
    </row>
    <row r="103" spans="1:3">
      <c r="A103" s="89">
        <v>23</v>
      </c>
      <c r="B103" s="404" t="s">
        <v>128</v>
      </c>
      <c r="C103" s="80">
        <f t="shared" ref="C103" si="17">+(C95-C88+C96)*C101</f>
        <v>0</v>
      </c>
    </row>
    <row r="104" spans="1:3" ht="13.5" thickBot="1">
      <c r="A104" s="89">
        <v>24</v>
      </c>
      <c r="B104" s="95" t="s">
        <v>129</v>
      </c>
      <c r="C104" s="96">
        <f t="shared" ref="C104" si="18">ROUND(+C102+C103,0)</f>
        <v>0</v>
      </c>
    </row>
    <row r="105" spans="1:3" ht="13.5" thickTop="1"/>
  </sheetData>
  <printOptions horizontalCentered="1"/>
  <pageMargins left="0.5" right="0.5" top="1.5" bottom="0.3" header="0.5" footer="0.5"/>
  <pageSetup scale="60" firstPageNumber="2" fitToWidth="0" orientation="portrait" r:id="rId1"/>
  <headerFooter scaleWithDoc="0" alignWithMargins="0">
    <oddHeader>&amp;L&amp;"Arial,Regular"&amp;10Avista Corporation
&amp;"Arial,Bold"Electric - Pro Forma Adjustments (Schedule 1.3)&amp;"Arial,Regular"
Twelve Months Ended December 31,2011&amp;R&amp;"Arial,Regular"&amp;10Exhibit No. ___ (JH-2)
Docket UE-120436 &amp; UG-120437
Page &amp;P of  &amp;N</oddHeader>
  </headerFooter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 enableFormatConditionsCalculation="0">
    <tabColor theme="0" tint="-0.34998626667073579"/>
    <pageSetUpPr fitToPage="1"/>
  </sheetPr>
  <dimension ref="A1:Q61"/>
  <sheetViews>
    <sheetView workbookViewId="0">
      <selection activeCell="G15" sqref="G15"/>
    </sheetView>
  </sheetViews>
  <sheetFormatPr defaultColWidth="9" defaultRowHeight="15.75" customHeight="1"/>
  <cols>
    <col min="1" max="1" width="5.375" style="185" bestFit="1" customWidth="1"/>
    <col min="2" max="2" width="2.125" style="67" customWidth="1"/>
    <col min="3" max="3" width="32.75" style="67" bestFit="1" customWidth="1"/>
    <col min="4" max="4" width="2.125" style="67" customWidth="1"/>
    <col min="5" max="5" width="9.125" style="67" bestFit="1" customWidth="1"/>
    <col min="6" max="6" width="2.125" style="67" customWidth="1"/>
    <col min="7" max="7" width="12.625" style="67" customWidth="1"/>
    <col min="8" max="8" width="2.125" style="67" customWidth="1"/>
    <col min="9" max="9" width="6" style="67" customWidth="1"/>
    <col min="10" max="10" width="18.75" style="507" bestFit="1" customWidth="1"/>
    <col min="11" max="11" width="18.75" style="67" customWidth="1"/>
    <col min="12" max="12" width="13.375" style="67" customWidth="1"/>
    <col min="13" max="16384" width="9" style="67"/>
  </cols>
  <sheetData>
    <row r="1" spans="1:17" ht="15.75" customHeight="1">
      <c r="B1" s="186"/>
      <c r="C1" s="187" t="str">
        <f>+ROO!B2</f>
        <v>(000's of Dollars)</v>
      </c>
      <c r="D1" s="186"/>
      <c r="E1" s="186"/>
      <c r="F1" s="186"/>
      <c r="G1" s="186"/>
      <c r="H1" s="186"/>
      <c r="I1" s="474"/>
      <c r="J1" s="479"/>
      <c r="K1" s="474"/>
      <c r="L1" s="100"/>
    </row>
    <row r="2" spans="1:17" ht="15.75" customHeight="1">
      <c r="A2" s="188"/>
      <c r="B2" s="186"/>
      <c r="C2" s="189"/>
      <c r="D2" s="189"/>
      <c r="E2" s="189"/>
      <c r="F2" s="189"/>
      <c r="G2" s="186"/>
      <c r="H2" s="186"/>
      <c r="I2" s="474"/>
      <c r="J2" s="480" t="s">
        <v>271</v>
      </c>
      <c r="K2" s="216"/>
      <c r="L2" s="100"/>
    </row>
    <row r="3" spans="1:17" ht="15.75" customHeight="1">
      <c r="B3" s="190"/>
      <c r="C3" s="189"/>
      <c r="D3" s="189"/>
      <c r="E3" s="189"/>
      <c r="F3" s="189"/>
      <c r="G3" s="186"/>
      <c r="H3" s="186"/>
      <c r="I3" s="474"/>
      <c r="J3" s="479"/>
      <c r="K3" s="474"/>
      <c r="L3" s="100"/>
    </row>
    <row r="4" spans="1:17" ht="15.75" customHeight="1">
      <c r="A4" s="468" t="s">
        <v>5</v>
      </c>
      <c r="B4" s="192"/>
      <c r="C4" s="186"/>
      <c r="D4" s="186"/>
      <c r="E4" s="186"/>
      <c r="F4" s="186"/>
      <c r="G4" s="186"/>
      <c r="H4" s="186"/>
      <c r="I4" s="474"/>
      <c r="J4" s="479"/>
      <c r="K4" s="474"/>
      <c r="L4" s="100"/>
    </row>
    <row r="5" spans="1:17" ht="15.75" customHeight="1">
      <c r="A5" s="198" t="s">
        <v>10</v>
      </c>
      <c r="B5" s="186"/>
      <c r="C5" s="186"/>
      <c r="D5" s="186"/>
      <c r="E5" s="186"/>
      <c r="F5" s="186"/>
      <c r="G5" s="186"/>
      <c r="H5" s="186"/>
      <c r="I5" s="474"/>
      <c r="J5" s="479"/>
      <c r="K5" s="474"/>
      <c r="L5" s="100"/>
    </row>
    <row r="6" spans="1:17" ht="15.75" customHeight="1">
      <c r="A6" s="193">
        <v>1</v>
      </c>
      <c r="B6" s="186"/>
      <c r="C6" s="732" t="s">
        <v>146</v>
      </c>
      <c r="D6" s="732"/>
      <c r="E6" s="732"/>
      <c r="F6" s="732"/>
      <c r="G6" s="732"/>
      <c r="H6" s="194"/>
      <c r="I6" s="508"/>
      <c r="J6" s="481"/>
      <c r="K6" s="475"/>
      <c r="L6" s="100"/>
    </row>
    <row r="7" spans="1:17" ht="15.75" customHeight="1">
      <c r="A7" s="193">
        <f t="shared" ref="A7:A33" si="0">+A6+1</f>
        <v>2</v>
      </c>
      <c r="B7" s="186"/>
      <c r="C7" s="195"/>
      <c r="D7" s="195"/>
      <c r="E7" s="195"/>
      <c r="F7" s="195"/>
      <c r="G7" s="196"/>
      <c r="H7" s="196"/>
      <c r="I7" s="509"/>
      <c r="J7" s="482"/>
      <c r="K7" s="476"/>
      <c r="L7" s="100"/>
    </row>
    <row r="8" spans="1:17" ht="15.75" customHeight="1" thickBot="1">
      <c r="A8" s="193">
        <f t="shared" si="0"/>
        <v>3</v>
      </c>
      <c r="B8" s="186"/>
      <c r="C8" s="195"/>
      <c r="D8" s="195"/>
      <c r="E8" s="195"/>
      <c r="F8" s="195"/>
      <c r="G8" s="194" t="s">
        <v>147</v>
      </c>
      <c r="H8" s="194"/>
      <c r="I8" s="508"/>
      <c r="J8" s="481"/>
      <c r="K8" s="475"/>
      <c r="L8" s="100"/>
      <c r="N8" s="735" t="s">
        <v>364</v>
      </c>
      <c r="O8" s="735"/>
      <c r="P8" s="734" t="s">
        <v>364</v>
      </c>
      <c r="Q8" s="734"/>
    </row>
    <row r="9" spans="1:17" ht="15.75" customHeight="1">
      <c r="A9" s="193">
        <f t="shared" si="0"/>
        <v>4</v>
      </c>
      <c r="B9" s="186"/>
      <c r="C9" s="195"/>
      <c r="D9" s="195"/>
      <c r="E9" s="195"/>
      <c r="F9" s="195"/>
      <c r="G9" s="197" t="s">
        <v>4</v>
      </c>
      <c r="H9" s="194"/>
      <c r="I9" s="508"/>
      <c r="J9" s="733" t="s">
        <v>112</v>
      </c>
      <c r="K9" s="733"/>
      <c r="L9" s="100"/>
    </row>
    <row r="10" spans="1:17" ht="15.75" customHeight="1">
      <c r="A10" s="193">
        <f t="shared" si="0"/>
        <v>5</v>
      </c>
      <c r="B10" s="186"/>
      <c r="C10" s="195"/>
      <c r="D10" s="195"/>
      <c r="E10" s="195"/>
      <c r="F10" s="195"/>
      <c r="G10" s="198" t="s">
        <v>108</v>
      </c>
      <c r="H10" s="194"/>
      <c r="I10" s="508"/>
      <c r="J10" s="517" t="s">
        <v>291</v>
      </c>
      <c r="K10" s="518" t="s">
        <v>292</v>
      </c>
      <c r="L10" s="100"/>
    </row>
    <row r="11" spans="1:17" ht="15.75" customHeight="1">
      <c r="A11" s="193">
        <f t="shared" si="0"/>
        <v>6</v>
      </c>
      <c r="B11" s="186"/>
      <c r="C11" s="186"/>
      <c r="D11" s="186"/>
      <c r="E11" s="186"/>
      <c r="F11" s="186"/>
      <c r="G11" s="186"/>
      <c r="H11" s="194"/>
      <c r="I11" s="508"/>
      <c r="J11" s="298"/>
      <c r="K11" s="487"/>
      <c r="L11" s="100"/>
    </row>
    <row r="12" spans="1:17" ht="15.75" customHeight="1">
      <c r="A12" s="193">
        <f t="shared" si="0"/>
        <v>7</v>
      </c>
      <c r="B12" s="186"/>
      <c r="C12" s="199" t="s">
        <v>148</v>
      </c>
      <c r="D12" s="199"/>
      <c r="E12" s="199"/>
      <c r="F12" s="199"/>
      <c r="G12" s="200">
        <f>+ROO!G75</f>
        <v>1125273</v>
      </c>
      <c r="H12" s="200"/>
      <c r="I12" s="510"/>
      <c r="J12" s="298" t="s">
        <v>288</v>
      </c>
      <c r="K12" s="487"/>
      <c r="L12" s="100"/>
    </row>
    <row r="13" spans="1:17" ht="15.75" customHeight="1">
      <c r="A13" s="193">
        <f t="shared" si="0"/>
        <v>8</v>
      </c>
      <c r="B13" s="186"/>
      <c r="C13" s="199" t="s">
        <v>149</v>
      </c>
      <c r="D13" s="199"/>
      <c r="E13" s="199"/>
      <c r="F13" s="199"/>
      <c r="G13" s="201">
        <f>+' Capital '!J16</f>
        <v>7.22E-2</v>
      </c>
      <c r="H13" s="201"/>
      <c r="I13" s="511"/>
      <c r="J13" s="298" t="s">
        <v>289</v>
      </c>
      <c r="K13" s="487"/>
      <c r="L13" s="100"/>
    </row>
    <row r="14" spans="1:17" ht="15.75" customHeight="1">
      <c r="A14" s="193">
        <f t="shared" si="0"/>
        <v>9</v>
      </c>
      <c r="B14" s="186"/>
      <c r="C14" s="199" t="s">
        <v>150</v>
      </c>
      <c r="D14" s="199"/>
      <c r="E14" s="202" t="s">
        <v>260</v>
      </c>
      <c r="F14" s="199"/>
      <c r="G14" s="203">
        <f>+ROUND(G12*G13,0)</f>
        <v>81245</v>
      </c>
      <c r="H14" s="204"/>
      <c r="I14" s="512"/>
      <c r="J14" s="298" t="s">
        <v>290</v>
      </c>
      <c r="K14" s="487"/>
      <c r="L14" s="100"/>
    </row>
    <row r="15" spans="1:17" ht="15.75" customHeight="1">
      <c r="A15" s="193">
        <f t="shared" si="0"/>
        <v>10</v>
      </c>
      <c r="B15" s="186"/>
      <c r="C15" s="205"/>
      <c r="D15" s="205"/>
      <c r="E15" s="202"/>
      <c r="F15" s="205"/>
      <c r="G15" s="186"/>
      <c r="H15" s="186"/>
      <c r="I15" s="474"/>
      <c r="J15" s="298"/>
      <c r="K15" s="487"/>
      <c r="L15" s="543"/>
    </row>
    <row r="16" spans="1:17" ht="15.75" customHeight="1">
      <c r="A16" s="193">
        <f t="shared" si="0"/>
        <v>11</v>
      </c>
      <c r="B16" s="186"/>
      <c r="C16" s="199" t="s">
        <v>151</v>
      </c>
      <c r="D16" s="199"/>
      <c r="E16" s="202"/>
      <c r="F16" s="199"/>
      <c r="G16" s="206">
        <f>+ROO!G56</f>
        <v>93896.2</v>
      </c>
      <c r="H16" s="206"/>
      <c r="I16" s="513"/>
      <c r="J16" s="298" t="s">
        <v>293</v>
      </c>
      <c r="K16" s="487"/>
      <c r="L16" s="543"/>
    </row>
    <row r="17" spans="1:12" ht="15.75" customHeight="1">
      <c r="A17" s="193">
        <f t="shared" si="0"/>
        <v>12</v>
      </c>
      <c r="B17" s="186"/>
      <c r="C17" s="186"/>
      <c r="D17" s="186"/>
      <c r="E17" s="207"/>
      <c r="F17" s="186"/>
      <c r="G17" s="186"/>
      <c r="H17" s="186"/>
      <c r="I17" s="474"/>
      <c r="J17" s="485"/>
      <c r="K17" s="487"/>
      <c r="L17" s="543"/>
    </row>
    <row r="18" spans="1:12" ht="15.75" customHeight="1">
      <c r="A18" s="193">
        <f t="shared" si="0"/>
        <v>13</v>
      </c>
      <c r="B18" s="186"/>
      <c r="C18" s="199" t="s">
        <v>152</v>
      </c>
      <c r="D18" s="199"/>
      <c r="E18" s="202" t="s">
        <v>261</v>
      </c>
      <c r="F18" s="199"/>
      <c r="G18" s="192">
        <f>+G14-G16</f>
        <v>-12651.199999999997</v>
      </c>
      <c r="H18" s="208"/>
      <c r="I18" s="514"/>
      <c r="J18" s="298" t="s">
        <v>290</v>
      </c>
      <c r="K18" s="487"/>
      <c r="L18" s="544"/>
    </row>
    <row r="19" spans="1:12" ht="15.75" customHeight="1">
      <c r="A19" s="193">
        <f t="shared" si="0"/>
        <v>14</v>
      </c>
      <c r="B19" s="186"/>
      <c r="C19" s="199"/>
      <c r="D19" s="199"/>
      <c r="E19" s="202"/>
      <c r="F19" s="199"/>
      <c r="G19" s="186"/>
      <c r="H19" s="186"/>
      <c r="I19" s="474"/>
      <c r="J19" s="298"/>
      <c r="K19" s="487"/>
      <c r="L19" s="543"/>
    </row>
    <row r="20" spans="1:12" ht="15.75" customHeight="1">
      <c r="A20" s="193">
        <f t="shared" si="0"/>
        <v>15</v>
      </c>
      <c r="B20" s="186"/>
      <c r="C20" s="199" t="s">
        <v>36</v>
      </c>
      <c r="D20" s="199"/>
      <c r="E20" s="202"/>
      <c r="F20" s="199"/>
      <c r="G20" s="209">
        <f>+Conv!G20</f>
        <v>0.62082000000000004</v>
      </c>
      <c r="H20" s="209"/>
      <c r="I20" s="515"/>
      <c r="J20" s="298" t="s">
        <v>294</v>
      </c>
      <c r="K20" s="487"/>
      <c r="L20" s="543"/>
    </row>
    <row r="21" spans="1:12" ht="15.75" customHeight="1">
      <c r="A21" s="193">
        <f t="shared" si="0"/>
        <v>16</v>
      </c>
      <c r="B21" s="186"/>
      <c r="C21" s="186"/>
      <c r="D21" s="186"/>
      <c r="E21" s="207"/>
      <c r="F21" s="186"/>
      <c r="G21" s="186"/>
      <c r="H21" s="186"/>
      <c r="I21" s="474"/>
      <c r="J21" s="485"/>
      <c r="K21" s="487"/>
      <c r="L21" s="100"/>
    </row>
    <row r="22" spans="1:12" ht="15.75" customHeight="1">
      <c r="A22" s="193">
        <f t="shared" si="0"/>
        <v>17</v>
      </c>
      <c r="B22" s="186"/>
      <c r="C22" s="199" t="s">
        <v>153</v>
      </c>
      <c r="D22" s="199"/>
      <c r="E22" s="202" t="s">
        <v>262</v>
      </c>
      <c r="F22" s="199"/>
      <c r="G22" s="203">
        <f>+G18/G20</f>
        <v>-20378.209464901254</v>
      </c>
      <c r="H22" s="204"/>
      <c r="I22" s="512"/>
      <c r="J22" s="298" t="s">
        <v>290</v>
      </c>
      <c r="K22" s="487" t="s">
        <v>295</v>
      </c>
      <c r="L22" s="100"/>
    </row>
    <row r="23" spans="1:12" ht="15.75" customHeight="1">
      <c r="A23" s="193">
        <f t="shared" si="0"/>
        <v>18</v>
      </c>
      <c r="B23" s="186"/>
      <c r="C23" s="186"/>
      <c r="D23" s="186"/>
      <c r="E23" s="207"/>
      <c r="F23" s="186"/>
      <c r="G23" s="186"/>
      <c r="H23" s="186"/>
      <c r="I23" s="474"/>
      <c r="J23" s="485"/>
      <c r="K23" s="487"/>
      <c r="L23" s="100"/>
    </row>
    <row r="24" spans="1:12" ht="15.75" customHeight="1">
      <c r="A24" s="193">
        <f t="shared" si="0"/>
        <v>19</v>
      </c>
      <c r="B24" s="186"/>
      <c r="C24" s="210" t="s">
        <v>195</v>
      </c>
      <c r="D24" s="186"/>
      <c r="E24" s="202"/>
      <c r="F24" s="186"/>
      <c r="G24" s="211">
        <f>+'RR Summary'!H58</f>
        <v>40982.188879224283</v>
      </c>
      <c r="H24" s="211"/>
      <c r="I24" s="516"/>
      <c r="J24" s="486" t="s">
        <v>296</v>
      </c>
      <c r="K24" s="488"/>
      <c r="L24" s="100"/>
    </row>
    <row r="25" spans="1:12" ht="15.75" customHeight="1" thickBot="1">
      <c r="A25" s="193">
        <f t="shared" si="0"/>
        <v>20</v>
      </c>
      <c r="B25" s="186"/>
      <c r="C25" s="210" t="s">
        <v>181</v>
      </c>
      <c r="D25" s="186"/>
      <c r="E25" s="202" t="s">
        <v>263</v>
      </c>
      <c r="F25" s="186"/>
      <c r="G25" s="212">
        <f>+G22-G24</f>
        <v>-61360.39834412554</v>
      </c>
      <c r="H25" s="211"/>
      <c r="I25" s="516"/>
      <c r="J25" s="298" t="s">
        <v>290</v>
      </c>
      <c r="K25" s="487"/>
      <c r="L25" s="100"/>
    </row>
    <row r="26" spans="1:12" ht="15.75" customHeight="1" thickTop="1">
      <c r="A26" s="193">
        <f t="shared" si="0"/>
        <v>21</v>
      </c>
      <c r="B26" s="191"/>
      <c r="C26" s="210"/>
      <c r="D26" s="186"/>
      <c r="E26" s="186"/>
      <c r="F26" s="186"/>
      <c r="G26" s="166"/>
      <c r="H26" s="186"/>
      <c r="I26" s="474"/>
      <c r="J26" s="482"/>
      <c r="K26" s="482"/>
      <c r="L26" s="100"/>
    </row>
    <row r="27" spans="1:12" ht="15.75" customHeight="1">
      <c r="A27" s="193">
        <f t="shared" si="0"/>
        <v>22</v>
      </c>
      <c r="B27" s="191"/>
      <c r="C27" s="186"/>
      <c r="D27" s="186"/>
      <c r="E27" s="186"/>
      <c r="F27" s="186"/>
      <c r="G27" s="560"/>
      <c r="I27" s="100"/>
      <c r="J27" s="484"/>
      <c r="K27" s="477"/>
      <c r="L27" s="100"/>
    </row>
    <row r="28" spans="1:12" ht="15.75" customHeight="1">
      <c r="A28" s="193">
        <f t="shared" si="0"/>
        <v>23</v>
      </c>
      <c r="B28" s="191"/>
      <c r="C28" s="186"/>
      <c r="D28" s="186"/>
      <c r="E28" s="186"/>
      <c r="F28" s="186"/>
      <c r="G28" s="186"/>
      <c r="H28" s="186"/>
      <c r="I28" s="474"/>
      <c r="J28" s="479"/>
      <c r="K28" s="474"/>
      <c r="L28" s="100"/>
    </row>
    <row r="29" spans="1:12" ht="15.75" customHeight="1">
      <c r="A29" s="193">
        <f t="shared" si="0"/>
        <v>24</v>
      </c>
      <c r="B29" s="213"/>
      <c r="C29" s="186"/>
      <c r="D29" s="186"/>
      <c r="E29" s="186"/>
      <c r="F29" s="186"/>
      <c r="G29" s="186"/>
      <c r="H29" s="186"/>
      <c r="I29" s="474"/>
      <c r="J29" s="479"/>
      <c r="K29" s="474"/>
      <c r="L29" s="100"/>
    </row>
    <row r="30" spans="1:12" ht="15.75" customHeight="1">
      <c r="A30" s="193">
        <f t="shared" si="0"/>
        <v>25</v>
      </c>
      <c r="B30" s="191"/>
      <c r="C30" s="186"/>
      <c r="D30" s="186"/>
      <c r="E30" s="186"/>
      <c r="F30" s="186"/>
      <c r="G30" s="186"/>
      <c r="H30" s="186"/>
      <c r="I30" s="474"/>
      <c r="J30" s="479"/>
      <c r="K30" s="474"/>
      <c r="L30" s="100"/>
    </row>
    <row r="31" spans="1:12" ht="15.75" customHeight="1">
      <c r="A31" s="193">
        <f t="shared" si="0"/>
        <v>26</v>
      </c>
      <c r="B31" s="191"/>
      <c r="C31" s="186"/>
      <c r="D31" s="186"/>
      <c r="E31" s="186"/>
      <c r="F31" s="186"/>
      <c r="G31" s="186"/>
      <c r="H31" s="186"/>
      <c r="I31" s="474"/>
      <c r="J31" s="479"/>
      <c r="K31" s="474"/>
      <c r="L31" s="100"/>
    </row>
    <row r="32" spans="1:12" ht="15.75" customHeight="1">
      <c r="A32" s="193">
        <f t="shared" si="0"/>
        <v>27</v>
      </c>
      <c r="B32" s="191"/>
      <c r="C32" s="186"/>
      <c r="D32" s="186"/>
      <c r="E32" s="186"/>
      <c r="F32" s="186"/>
      <c r="G32" s="186"/>
      <c r="H32" s="186"/>
      <c r="I32" s="474"/>
      <c r="J32" s="479"/>
      <c r="K32" s="474"/>
      <c r="L32" s="100"/>
    </row>
    <row r="33" spans="1:12" ht="15.75" customHeight="1">
      <c r="A33" s="193">
        <f t="shared" si="0"/>
        <v>28</v>
      </c>
      <c r="B33" s="191"/>
      <c r="C33" s="186"/>
      <c r="D33" s="186"/>
      <c r="E33" s="186"/>
      <c r="F33" s="186"/>
      <c r="G33" s="186"/>
      <c r="H33" s="186"/>
      <c r="I33" s="474"/>
      <c r="J33" s="479"/>
      <c r="K33" s="474"/>
      <c r="L33" s="100"/>
    </row>
    <row r="34" spans="1:12" ht="15.75" customHeight="1">
      <c r="A34" s="214"/>
      <c r="I34" s="100"/>
      <c r="J34" s="483"/>
      <c r="K34" s="478"/>
      <c r="L34" s="100"/>
    </row>
    <row r="35" spans="1:12" ht="15.75" customHeight="1">
      <c r="I35" s="100"/>
      <c r="J35" s="483"/>
      <c r="K35" s="478"/>
      <c r="L35" s="100"/>
    </row>
    <row r="36" spans="1:12" ht="15.75" customHeight="1">
      <c r="I36" s="101"/>
      <c r="K36" s="101"/>
      <c r="L36" s="101"/>
    </row>
    <row r="37" spans="1:12" ht="15.75" customHeight="1">
      <c r="I37" s="101"/>
      <c r="K37" s="101"/>
      <c r="L37" s="101"/>
    </row>
    <row r="38" spans="1:12" ht="15.75" customHeight="1">
      <c r="I38" s="101"/>
      <c r="K38" s="101"/>
      <c r="L38" s="101"/>
    </row>
    <row r="39" spans="1:12" ht="15.75" customHeight="1">
      <c r="I39" s="101"/>
      <c r="K39" s="101"/>
      <c r="L39" s="101"/>
    </row>
    <row r="61" spans="16:16" ht="15.75" customHeight="1">
      <c r="P61" s="67" t="s">
        <v>404</v>
      </c>
    </row>
  </sheetData>
  <mergeCells count="4">
    <mergeCell ref="C6:G6"/>
    <mergeCell ref="J9:K9"/>
    <mergeCell ref="P8:Q8"/>
    <mergeCell ref="N8:O8"/>
  </mergeCells>
  <phoneticPr fontId="11" type="noConversion"/>
  <printOptions horizontalCentered="1"/>
  <pageMargins left="0.5" right="0.5" top="1.2" bottom="0.3" header="0.5" footer="0.5"/>
  <pageSetup fitToWidth="0" orientation="portrait" r:id="rId1"/>
  <headerFooter scaleWithDoc="0" alignWithMargins="0">
    <oddHeader>&amp;L&amp;"Arial,Regular"&amp;10Avista Corporation
Electric - Revenue Requirement (Schedule 2.0)
Twelve Months Ended December 31, 2011&amp;R&amp;"Arial,Regular"&amp;10Exhibit No. ___ (JH-2)
Dockets UE-120436 &amp;&amp; UG-120437
Page &amp;P+8 of  11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theme="5" tint="0.59999389629810485"/>
    <pageSetUpPr fitToPage="1"/>
  </sheetPr>
  <dimension ref="A1:S101"/>
  <sheetViews>
    <sheetView topLeftCell="A4" workbookViewId="0">
      <selection activeCell="F45" sqref="F45"/>
    </sheetView>
  </sheetViews>
  <sheetFormatPr defaultColWidth="9" defaultRowHeight="12"/>
  <cols>
    <col min="1" max="1" width="3.875" style="315" bestFit="1" customWidth="1"/>
    <col min="2" max="2" width="2.125" style="315" customWidth="1"/>
    <col min="3" max="3" width="7.375" style="315" bestFit="1" customWidth="1"/>
    <col min="4" max="4" width="33.875" style="315" bestFit="1" customWidth="1"/>
    <col min="5" max="5" width="9.875" style="315" customWidth="1"/>
    <col min="6" max="6" width="10.375" style="315" bestFit="1" customWidth="1"/>
    <col min="7" max="7" width="8.75" style="315" bestFit="1" customWidth="1"/>
    <col min="8" max="8" width="12.625" style="315" bestFit="1" customWidth="1"/>
    <col min="9" max="9" width="13.125" style="315" bestFit="1" customWidth="1"/>
    <col min="10" max="10" width="10.125" style="315" bestFit="1" customWidth="1"/>
    <col min="11" max="11" width="23.75" style="316" bestFit="1" customWidth="1"/>
    <col min="12" max="12" width="10.625" style="387" customWidth="1"/>
    <col min="13" max="13" width="11.375" style="315" customWidth="1"/>
    <col min="14" max="14" width="1.375" style="315" bestFit="1" customWidth="1"/>
    <col min="15" max="15" width="8.875" style="315" customWidth="1"/>
    <col min="16" max="18" width="11.375" style="315" customWidth="1"/>
    <col min="19" max="19" width="2.875" style="315" customWidth="1"/>
    <col min="20" max="16384" width="9" style="315"/>
  </cols>
  <sheetData>
    <row r="1" spans="1:19">
      <c r="C1" s="755" t="str">
        <f>+ROO!B2</f>
        <v>(000's of Dollars)</v>
      </c>
      <c r="D1" s="755"/>
      <c r="L1" s="317"/>
      <c r="M1" s="318"/>
      <c r="N1" s="319"/>
      <c r="O1" s="318"/>
      <c r="P1" s="318"/>
      <c r="Q1" s="318"/>
      <c r="R1" s="318"/>
      <c r="S1" s="320"/>
    </row>
    <row r="2" spans="1:19">
      <c r="C2" s="463"/>
      <c r="D2" s="463"/>
      <c r="L2" s="317"/>
      <c r="M2" s="318"/>
      <c r="N2" s="319"/>
      <c r="O2" s="318"/>
      <c r="P2" s="318"/>
      <c r="Q2" s="318"/>
      <c r="R2" s="318"/>
      <c r="S2" s="320"/>
    </row>
    <row r="3" spans="1:19">
      <c r="C3" s="463"/>
      <c r="D3" s="463"/>
      <c r="L3" s="317"/>
      <c r="M3" s="318"/>
      <c r="N3" s="319"/>
      <c r="O3" s="318"/>
      <c r="P3" s="318"/>
      <c r="Q3" s="318"/>
      <c r="R3" s="318"/>
      <c r="S3" s="320"/>
    </row>
    <row r="4" spans="1:19">
      <c r="A4" s="320" t="s">
        <v>5</v>
      </c>
      <c r="B4" s="320"/>
      <c r="C4" s="470"/>
      <c r="E4" s="470"/>
      <c r="F4" s="470"/>
      <c r="G4" s="470"/>
      <c r="H4" s="470"/>
      <c r="I4" s="470"/>
      <c r="J4" s="470"/>
      <c r="L4" s="317"/>
      <c r="M4" s="318"/>
      <c r="N4" s="319"/>
      <c r="O4" s="318"/>
      <c r="P4" s="318"/>
      <c r="Q4" s="318"/>
      <c r="R4" s="318"/>
      <c r="S4" s="320"/>
    </row>
    <row r="5" spans="1:19">
      <c r="A5" s="325" t="s">
        <v>10</v>
      </c>
      <c r="B5" s="409"/>
      <c r="C5" s="471"/>
      <c r="E5" s="471"/>
      <c r="F5" s="471"/>
      <c r="G5" s="471"/>
      <c r="H5" s="471"/>
      <c r="I5" s="471"/>
      <c r="J5" s="471"/>
      <c r="L5" s="317"/>
      <c r="M5" s="318"/>
      <c r="N5" s="321"/>
      <c r="O5" s="318"/>
      <c r="P5" s="318"/>
      <c r="Q5" s="318"/>
      <c r="R5" s="318"/>
      <c r="S5" s="320"/>
    </row>
    <row r="6" spans="1:19">
      <c r="A6" s="464">
        <v>1</v>
      </c>
      <c r="B6" s="319"/>
      <c r="C6" s="756" t="s">
        <v>265</v>
      </c>
      <c r="D6" s="756"/>
      <c r="E6" s="756"/>
      <c r="F6" s="756"/>
      <c r="G6" s="756"/>
      <c r="H6" s="756"/>
      <c r="I6" s="756"/>
      <c r="J6" s="756"/>
      <c r="L6" s="317"/>
      <c r="M6" s="318"/>
      <c r="N6" s="321"/>
      <c r="O6" s="318"/>
      <c r="P6" s="318"/>
      <c r="Q6" s="318"/>
      <c r="R6" s="318"/>
      <c r="S6" s="320"/>
    </row>
    <row r="7" spans="1:19">
      <c r="A7" s="465">
        <v>2</v>
      </c>
      <c r="B7" s="319"/>
      <c r="C7" s="757" t="s">
        <v>286</v>
      </c>
      <c r="D7" s="757"/>
      <c r="E7" s="757"/>
      <c r="F7" s="757"/>
      <c r="G7" s="757"/>
      <c r="H7" s="757"/>
      <c r="I7" s="757"/>
      <c r="J7" s="757"/>
      <c r="L7" s="317"/>
      <c r="M7" s="318"/>
      <c r="N7" s="321"/>
      <c r="O7" s="318"/>
      <c r="P7" s="318"/>
      <c r="Q7" s="318"/>
      <c r="R7" s="318"/>
      <c r="S7" s="320"/>
    </row>
    <row r="8" spans="1:19">
      <c r="A8" s="465">
        <v>3</v>
      </c>
      <c r="B8" s="319"/>
      <c r="C8" s="410"/>
      <c r="D8" s="410"/>
      <c r="E8" s="410"/>
      <c r="F8" s="410"/>
      <c r="G8" s="410"/>
      <c r="H8" s="410"/>
      <c r="I8" s="410"/>
      <c r="J8" s="410"/>
      <c r="L8" s="317"/>
      <c r="M8" s="318"/>
      <c r="N8" s="321"/>
      <c r="O8" s="318"/>
      <c r="P8" s="318"/>
      <c r="Q8" s="318"/>
      <c r="R8" s="318"/>
      <c r="S8" s="320"/>
    </row>
    <row r="9" spans="1:19">
      <c r="A9" s="465">
        <v>4</v>
      </c>
      <c r="B9" s="319"/>
      <c r="C9" s="758" t="s">
        <v>13</v>
      </c>
      <c r="D9" s="758"/>
      <c r="F9" s="409" t="s">
        <v>75</v>
      </c>
      <c r="G9" s="409" t="s">
        <v>16</v>
      </c>
      <c r="H9" s="409" t="s">
        <v>287</v>
      </c>
      <c r="I9" s="409" t="s">
        <v>230</v>
      </c>
      <c r="J9" s="409" t="s">
        <v>128</v>
      </c>
      <c r="L9" s="317"/>
      <c r="M9" s="318"/>
      <c r="N9" s="318"/>
      <c r="O9" s="318"/>
      <c r="P9" s="318"/>
      <c r="Q9" s="318"/>
      <c r="R9" s="318"/>
      <c r="S9" s="320"/>
    </row>
    <row r="10" spans="1:19">
      <c r="A10" s="465">
        <v>5</v>
      </c>
      <c r="B10" s="319"/>
      <c r="F10" s="472"/>
      <c r="G10" s="472"/>
      <c r="H10" s="472"/>
      <c r="I10" s="472"/>
      <c r="J10" s="472"/>
      <c r="K10" s="323"/>
      <c r="L10" s="317"/>
      <c r="M10" s="318"/>
      <c r="N10" s="318"/>
      <c r="O10" s="318"/>
      <c r="P10" s="318"/>
      <c r="Q10" s="319"/>
      <c r="R10" s="318"/>
      <c r="S10" s="320"/>
    </row>
    <row r="11" spans="1:19" s="318" customFormat="1">
      <c r="A11" s="465">
        <v>6</v>
      </c>
      <c r="B11" s="319"/>
      <c r="E11" s="499" t="s">
        <v>301</v>
      </c>
      <c r="F11" s="491">
        <f>ROO!C17</f>
        <v>679123</v>
      </c>
      <c r="G11" s="500">
        <f>+ROO!C26</f>
        <v>414020</v>
      </c>
      <c r="H11" s="492">
        <f>ROO!C65-ROO!C60</f>
        <v>1871206</v>
      </c>
      <c r="I11" s="329">
        <v>-358552</v>
      </c>
      <c r="J11" s="356"/>
      <c r="K11" s="323"/>
      <c r="L11" s="317"/>
      <c r="M11" s="319"/>
      <c r="N11" s="319"/>
      <c r="P11" s="319"/>
      <c r="Q11" s="319"/>
      <c r="R11" s="319"/>
      <c r="S11" s="409"/>
    </row>
    <row r="12" spans="1:19">
      <c r="A12" s="465">
        <v>7</v>
      </c>
      <c r="B12" s="319"/>
      <c r="C12" s="331"/>
      <c r="D12" s="327"/>
      <c r="E12" s="328"/>
      <c r="F12" s="491"/>
      <c r="G12" s="329"/>
      <c r="H12" s="491"/>
      <c r="I12" s="329"/>
      <c r="J12" s="356"/>
      <c r="L12" s="317"/>
      <c r="M12" s="318"/>
      <c r="N12" s="318"/>
      <c r="O12" s="318"/>
      <c r="P12" s="330"/>
      <c r="Q12" s="330"/>
      <c r="R12" s="318"/>
      <c r="S12" s="320"/>
    </row>
    <row r="13" spans="1:19" s="328" customFormat="1">
      <c r="A13" s="465">
        <v>8</v>
      </c>
      <c r="B13" s="319"/>
      <c r="C13" s="326" t="e">
        <f>+'RR Summary'!#REF!</f>
        <v>#REF!</v>
      </c>
      <c r="D13" s="327" t="str">
        <f>+'RR Summary'!C11</f>
        <v>Deferred  FIT Rate Base</v>
      </c>
      <c r="F13" s="329">
        <f>Restating!D21</f>
        <v>0</v>
      </c>
      <c r="G13" s="329">
        <f>Restating!D30</f>
        <v>0</v>
      </c>
      <c r="H13" s="329">
        <f>Restating!D66</f>
        <v>0</v>
      </c>
      <c r="I13" s="329">
        <f>Restating!D69</f>
        <v>0</v>
      </c>
      <c r="J13" s="329">
        <v>-94771</v>
      </c>
      <c r="K13" s="316"/>
      <c r="L13" s="317"/>
      <c r="M13" s="334"/>
      <c r="N13" s="334"/>
      <c r="O13" s="334"/>
      <c r="P13" s="335"/>
      <c r="Q13" s="335"/>
      <c r="R13" s="334"/>
      <c r="S13" s="336"/>
    </row>
    <row r="14" spans="1:19" s="328" customFormat="1">
      <c r="A14" s="465">
        <v>9</v>
      </c>
      <c r="B14" s="319"/>
      <c r="C14" s="326">
        <f>+'RR Summary'!B11</f>
        <v>1.01</v>
      </c>
      <c r="D14" s="327" t="str">
        <f>+'RR Summary'!C12</f>
        <v>Deferred Debits and Credits</v>
      </c>
      <c r="F14" s="332">
        <f>Restating!E21</f>
        <v>0</v>
      </c>
      <c r="G14" s="332">
        <f>Restating!E30</f>
        <v>-15</v>
      </c>
      <c r="H14" s="332">
        <f>Restating!E66</f>
        <v>0</v>
      </c>
      <c r="I14" s="332">
        <f>Restating!E69</f>
        <v>0</v>
      </c>
      <c r="J14" s="332">
        <v>0</v>
      </c>
      <c r="K14" s="316"/>
      <c r="L14" s="317"/>
      <c r="M14" s="334"/>
      <c r="N14" s="334"/>
      <c r="O14" s="334"/>
      <c r="P14" s="335"/>
      <c r="Q14" s="335"/>
      <c r="R14" s="334"/>
      <c r="S14" s="336"/>
    </row>
    <row r="15" spans="1:19" s="328" customFormat="1">
      <c r="A15" s="465">
        <v>10</v>
      </c>
      <c r="B15" s="319"/>
      <c r="C15" s="326">
        <f>+'RR Summary'!B12</f>
        <v>1.02</v>
      </c>
      <c r="D15" s="327" t="str">
        <f>+'RR Summary'!C13</f>
        <v>Working Capital</v>
      </c>
      <c r="F15" s="332">
        <f>Restating!F21</f>
        <v>0</v>
      </c>
      <c r="G15" s="332">
        <f>Restating!F30</f>
        <v>0</v>
      </c>
      <c r="H15" s="332">
        <f>Restating!F66</f>
        <v>0</v>
      </c>
      <c r="I15" s="332">
        <f>-Restating!F69</f>
        <v>0</v>
      </c>
      <c r="J15" s="332">
        <f>Restating!F74</f>
        <v>0</v>
      </c>
      <c r="K15" s="316"/>
      <c r="L15" s="317"/>
      <c r="M15" s="334"/>
      <c r="N15" s="334"/>
      <c r="O15" s="334"/>
      <c r="P15" s="335"/>
      <c r="Q15" s="335"/>
      <c r="R15" s="334"/>
      <c r="S15" s="336"/>
    </row>
    <row r="16" spans="1:19" s="328" customFormat="1">
      <c r="A16" s="465">
        <v>11</v>
      </c>
      <c r="B16" s="319"/>
      <c r="C16" s="326">
        <f>+'RR Summary'!B13</f>
        <v>1.03</v>
      </c>
      <c r="D16" s="327" t="str">
        <f>+'RR Summary'!C15</f>
        <v>Eliminate B &amp; O Taxes</v>
      </c>
      <c r="F16" s="332">
        <f>Restating!H21</f>
        <v>-16378</v>
      </c>
      <c r="G16" s="332">
        <f>Restating!H30</f>
        <v>0</v>
      </c>
      <c r="H16" s="332">
        <f>Restating!H66</f>
        <v>0</v>
      </c>
      <c r="I16" s="332">
        <f>Restating!H69</f>
        <v>0</v>
      </c>
      <c r="J16" s="332">
        <f>Restating!H74</f>
        <v>0</v>
      </c>
      <c r="K16" s="316"/>
      <c r="L16" s="317"/>
      <c r="M16" s="334"/>
      <c r="N16" s="334"/>
      <c r="O16" s="334"/>
      <c r="P16" s="335"/>
      <c r="Q16" s="335"/>
      <c r="R16" s="334"/>
      <c r="S16" s="336"/>
    </row>
    <row r="17" spans="1:19" s="328" customFormat="1">
      <c r="A17" s="465">
        <v>12</v>
      </c>
      <c r="B17" s="319"/>
      <c r="C17" s="326">
        <f>+'RR Summary'!B15</f>
        <v>2.0099999999999998</v>
      </c>
      <c r="D17" s="327" t="str">
        <f>+'RR Summary'!C16</f>
        <v>Uncollect. Expense</v>
      </c>
      <c r="F17" s="332">
        <f>Restating!I21</f>
        <v>0</v>
      </c>
      <c r="G17" s="332">
        <f>Restating!I30</f>
        <v>0</v>
      </c>
      <c r="H17" s="332">
        <f>Restating!I66</f>
        <v>0</v>
      </c>
      <c r="I17" s="332">
        <f>-Restating!I69</f>
        <v>0</v>
      </c>
      <c r="J17" s="332">
        <f>Restating!I74</f>
        <v>0</v>
      </c>
      <c r="K17" s="316"/>
      <c r="L17" s="317"/>
      <c r="M17" s="334"/>
      <c r="N17" s="334"/>
      <c r="O17" s="334"/>
      <c r="P17" s="335"/>
      <c r="Q17" s="335"/>
      <c r="R17" s="334"/>
      <c r="S17" s="336"/>
    </row>
    <row r="18" spans="1:19" s="328" customFormat="1">
      <c r="A18" s="465">
        <v>13</v>
      </c>
      <c r="B18" s="319"/>
      <c r="C18" s="326">
        <f>+'RR Summary'!B16</f>
        <v>2.02</v>
      </c>
      <c r="D18" s="327" t="str">
        <f>+'RR Summary'!C17</f>
        <v>Regulatory Expense</v>
      </c>
      <c r="F18" s="332">
        <f>Restating!J21</f>
        <v>0</v>
      </c>
      <c r="G18" s="332">
        <f>Restating!J30</f>
        <v>0</v>
      </c>
      <c r="H18" s="332">
        <v>0</v>
      </c>
      <c r="I18" s="332">
        <f>Restating!J69</f>
        <v>0</v>
      </c>
      <c r="J18" s="332">
        <f>Restating!J74</f>
        <v>0</v>
      </c>
      <c r="K18" s="316"/>
      <c r="L18" s="317"/>
      <c r="M18" s="334"/>
      <c r="N18" s="334"/>
      <c r="O18" s="334"/>
      <c r="P18" s="335"/>
      <c r="Q18" s="335"/>
      <c r="R18" s="334"/>
      <c r="S18" s="336"/>
    </row>
    <row r="19" spans="1:19" s="328" customFormat="1">
      <c r="A19" s="465">
        <v>14</v>
      </c>
      <c r="B19" s="319"/>
      <c r="C19" s="326">
        <f>+'RR Summary'!B17</f>
        <v>2.0299999999999998</v>
      </c>
      <c r="D19" s="327" t="str">
        <f>+'RR Summary'!C18</f>
        <v>Injuries and  Damages</v>
      </c>
      <c r="F19" s="332">
        <f>Restating!K21</f>
        <v>0</v>
      </c>
      <c r="G19" s="332">
        <f>Restating!K30</f>
        <v>0</v>
      </c>
      <c r="H19" s="332">
        <f>Restating!K66</f>
        <v>0</v>
      </c>
      <c r="I19" s="332">
        <f>Restating!K69</f>
        <v>0</v>
      </c>
      <c r="J19" s="332">
        <f>Restating!K74</f>
        <v>0</v>
      </c>
      <c r="K19" s="316"/>
      <c r="L19" s="317"/>
      <c r="M19" s="334"/>
      <c r="N19" s="334"/>
      <c r="O19" s="334"/>
      <c r="P19" s="335"/>
      <c r="Q19" s="335"/>
      <c r="R19" s="334"/>
      <c r="S19" s="336"/>
    </row>
    <row r="20" spans="1:19" s="328" customFormat="1">
      <c r="A20" s="465">
        <v>15</v>
      </c>
      <c r="B20" s="319"/>
      <c r="C20" s="326">
        <f>+'RR Summary'!B18</f>
        <v>2.04</v>
      </c>
      <c r="D20" s="327" t="str">
        <f>+'RR Summary'!C19</f>
        <v>FIT/DFIT/ITC/PTC eXPENSE</v>
      </c>
      <c r="F20" s="332">
        <f>Restating!L21</f>
        <v>0</v>
      </c>
      <c r="G20" s="332">
        <f>Restating!L30</f>
        <v>0</v>
      </c>
      <c r="H20" s="332">
        <f>Restating!L66</f>
        <v>0</v>
      </c>
      <c r="I20" s="332">
        <f>-Restating!L69</f>
        <v>0</v>
      </c>
      <c r="J20" s="332">
        <f>Restating!L74</f>
        <v>0</v>
      </c>
      <c r="K20" s="316"/>
      <c r="L20" s="317"/>
      <c r="M20" s="334"/>
      <c r="N20" s="334"/>
      <c r="O20" s="334"/>
      <c r="P20" s="335"/>
      <c r="Q20" s="335"/>
      <c r="R20" s="334"/>
      <c r="S20" s="336"/>
    </row>
    <row r="21" spans="1:19" s="340" customFormat="1">
      <c r="A21" s="465">
        <v>16</v>
      </c>
      <c r="B21" s="319"/>
      <c r="C21" s="326">
        <f>+'RR Summary'!B19</f>
        <v>2.0499999999999998</v>
      </c>
      <c r="D21" s="327" t="str">
        <f>+'RR Summary'!C20</f>
        <v>Eliminate WA Power Cost Defer</v>
      </c>
      <c r="E21" s="328"/>
      <c r="F21" s="332">
        <f>Restating!M21</f>
        <v>0</v>
      </c>
      <c r="G21" s="332">
        <f>Restating!M30</f>
        <v>-12788</v>
      </c>
      <c r="H21" s="332">
        <f>Restating!M66</f>
        <v>0</v>
      </c>
      <c r="I21" s="332">
        <f>-Restating!M69</f>
        <v>0</v>
      </c>
      <c r="J21" s="332">
        <f>Restating!M74</f>
        <v>0</v>
      </c>
      <c r="K21" s="316"/>
      <c r="L21" s="317"/>
      <c r="M21" s="337"/>
      <c r="N21" s="337"/>
      <c r="O21" s="337"/>
      <c r="P21" s="338"/>
      <c r="Q21" s="338"/>
      <c r="R21" s="337"/>
      <c r="S21" s="339"/>
    </row>
    <row r="22" spans="1:19" s="340" customFormat="1">
      <c r="A22" s="465">
        <v>17</v>
      </c>
      <c r="B22" s="319"/>
      <c r="C22" s="326">
        <f>+'RR Summary'!B20</f>
        <v>2.06</v>
      </c>
      <c r="D22" s="327" t="str">
        <f>+'RR Summary'!C21</f>
        <v>Nez Perce Settlement Adjustment</v>
      </c>
      <c r="E22" s="328"/>
      <c r="F22" s="332">
        <f>Restating!N21</f>
        <v>0</v>
      </c>
      <c r="G22" s="332">
        <f>Restating!N30</f>
        <v>14</v>
      </c>
      <c r="H22" s="332">
        <f>Restating!N66</f>
        <v>0</v>
      </c>
      <c r="I22" s="332">
        <f>-Restating!N69</f>
        <v>0</v>
      </c>
      <c r="J22" s="332">
        <f>Restating!N74</f>
        <v>0</v>
      </c>
      <c r="K22" s="316"/>
      <c r="L22" s="317"/>
      <c r="M22" s="337"/>
      <c r="N22" s="337"/>
      <c r="O22" s="337"/>
      <c r="P22" s="338"/>
      <c r="Q22" s="338"/>
      <c r="R22" s="337"/>
      <c r="S22" s="339"/>
    </row>
    <row r="23" spans="1:19" s="340" customFormat="1">
      <c r="A23" s="465">
        <v>18</v>
      </c>
      <c r="B23" s="319"/>
      <c r="C23" s="326">
        <f>+'RR Summary'!B21</f>
        <v>2.0699999999999998</v>
      </c>
      <c r="D23" s="327" t="str">
        <f>+'RR Summary'!C22</f>
        <v>Eliminate A/R Expense</v>
      </c>
      <c r="E23" s="328"/>
      <c r="F23" s="332">
        <f>Restating!O21</f>
        <v>0</v>
      </c>
      <c r="G23" s="332">
        <f>Restating!O30</f>
        <v>0</v>
      </c>
      <c r="H23" s="332">
        <f>Restating!O66</f>
        <v>0</v>
      </c>
      <c r="I23" s="332">
        <f>-Restating!O69</f>
        <v>0</v>
      </c>
      <c r="J23" s="332">
        <f>Restating!O74</f>
        <v>0</v>
      </c>
      <c r="K23" s="316"/>
      <c r="L23" s="317"/>
      <c r="M23" s="337"/>
      <c r="N23" s="337"/>
      <c r="O23" s="337"/>
      <c r="P23" s="338"/>
      <c r="Q23" s="338"/>
      <c r="R23" s="337"/>
      <c r="S23" s="339"/>
    </row>
    <row r="24" spans="1:19" s="340" customFormat="1">
      <c r="A24" s="465">
        <v>20</v>
      </c>
      <c r="B24" s="319"/>
      <c r="C24" s="326">
        <f>+'RR Summary'!B22</f>
        <v>2.08</v>
      </c>
      <c r="D24" s="327" t="str">
        <f>+'RR Summary'!C23</f>
        <v>Office Space Charges to Subsidiaries</v>
      </c>
      <c r="E24" s="328"/>
      <c r="F24" s="332">
        <f>Restating!P21</f>
        <v>0</v>
      </c>
      <c r="G24" s="332">
        <f>Restating!P30</f>
        <v>0</v>
      </c>
      <c r="H24" s="332">
        <f>Restating!P66</f>
        <v>0</v>
      </c>
      <c r="I24" s="332">
        <f>-Restating!P69</f>
        <v>0</v>
      </c>
      <c r="J24" s="332">
        <f>Restating!P74</f>
        <v>0</v>
      </c>
      <c r="K24" s="316"/>
      <c r="L24" s="317"/>
      <c r="M24" s="337"/>
      <c r="N24" s="337"/>
      <c r="O24" s="337"/>
      <c r="P24" s="338"/>
      <c r="Q24" s="338"/>
      <c r="R24" s="337"/>
      <c r="S24" s="339"/>
    </row>
    <row r="25" spans="1:19" s="341" customFormat="1">
      <c r="A25" s="465">
        <v>21</v>
      </c>
      <c r="B25" s="319"/>
      <c r="C25" s="326">
        <f>+'RR Summary'!B23</f>
        <v>2.09</v>
      </c>
      <c r="D25" s="327" t="str">
        <f>+'RR Summary'!C24</f>
        <v>Restate Excise Taxes</v>
      </c>
      <c r="E25" s="328"/>
      <c r="F25" s="332">
        <f>Restating!Q21</f>
        <v>0</v>
      </c>
      <c r="G25" s="332">
        <f>Restating!Q30</f>
        <v>0</v>
      </c>
      <c r="H25" s="332">
        <f>Restating!Q66</f>
        <v>0</v>
      </c>
      <c r="I25" s="332">
        <f>-Restating!Q69</f>
        <v>0</v>
      </c>
      <c r="J25" s="332">
        <f>Restating!Q74</f>
        <v>0</v>
      </c>
      <c r="K25" s="316"/>
      <c r="L25" s="317"/>
      <c r="M25" s="342"/>
      <c r="N25" s="342"/>
      <c r="O25" s="342"/>
      <c r="P25" s="343"/>
      <c r="Q25" s="343"/>
      <c r="R25" s="342"/>
      <c r="S25" s="344"/>
    </row>
    <row r="26" spans="1:19" s="340" customFormat="1">
      <c r="A26" s="465">
        <v>22</v>
      </c>
      <c r="B26" s="319"/>
      <c r="C26" s="326">
        <f>+'RR Summary'!B24</f>
        <v>2.1</v>
      </c>
      <c r="D26" s="327" t="str">
        <f>+'RR Summary'!C25</f>
        <v>Net Gain / Losses</v>
      </c>
      <c r="E26" s="328"/>
      <c r="F26" s="332">
        <f>Restating!R21</f>
        <v>0</v>
      </c>
      <c r="G26" s="332">
        <f>Restating!R30</f>
        <v>0</v>
      </c>
      <c r="H26" s="332">
        <f>Restating!R66</f>
        <v>0</v>
      </c>
      <c r="I26" s="332">
        <f>Restating!R69</f>
        <v>0</v>
      </c>
      <c r="J26" s="332">
        <f>Restating!R74</f>
        <v>0</v>
      </c>
      <c r="K26" s="316"/>
      <c r="L26" s="317"/>
      <c r="M26" s="337"/>
      <c r="N26" s="337"/>
      <c r="O26" s="337"/>
      <c r="P26" s="338"/>
      <c r="Q26" s="338"/>
      <c r="R26" s="337"/>
      <c r="S26" s="339"/>
    </row>
    <row r="27" spans="1:19" s="340" customFormat="1">
      <c r="A27" s="465">
        <v>23</v>
      </c>
      <c r="B27" s="319"/>
      <c r="C27" s="326">
        <f>+'RR Summary'!B25</f>
        <v>2.11</v>
      </c>
      <c r="D27" s="327" t="str">
        <f>+'RR Summary'!C29</f>
        <v>Restating Incentives Adj</v>
      </c>
      <c r="E27" s="328"/>
      <c r="F27" s="332">
        <v>0</v>
      </c>
      <c r="G27" s="332">
        <f>Restating!S30</f>
        <v>4610</v>
      </c>
      <c r="H27" s="332">
        <f>Restating!S66</f>
        <v>0</v>
      </c>
      <c r="I27" s="332">
        <f>Restating!S69</f>
        <v>0</v>
      </c>
      <c r="J27" s="332">
        <f>Restating!S74</f>
        <v>0</v>
      </c>
      <c r="K27" s="316"/>
      <c r="L27" s="317"/>
      <c r="M27" s="337"/>
      <c r="N27" s="337"/>
      <c r="O27" s="337"/>
      <c r="P27" s="338"/>
      <c r="Q27" s="338"/>
      <c r="R27" s="337"/>
      <c r="S27" s="339"/>
    </row>
    <row r="28" spans="1:19" s="341" customFormat="1">
      <c r="A28" s="465">
        <v>24</v>
      </c>
      <c r="B28" s="319"/>
      <c r="C28" s="326">
        <f>+'RR Summary'!B26</f>
        <v>2.12</v>
      </c>
      <c r="D28" s="327" t="str">
        <f>+'RR Summary'!C30</f>
        <v>Colstrip / CS2 Maintenance</v>
      </c>
      <c r="E28" s="328"/>
      <c r="F28" s="332">
        <f>Restating!T21</f>
        <v>0</v>
      </c>
      <c r="G28" s="332">
        <f>Restating!T30</f>
        <v>-6</v>
      </c>
      <c r="H28" s="332">
        <f>Restating!T66</f>
        <v>0</v>
      </c>
      <c r="I28" s="332">
        <f>Restating!T69</f>
        <v>0</v>
      </c>
      <c r="J28" s="332">
        <f>Restating!T74</f>
        <v>0</v>
      </c>
      <c r="K28" s="316"/>
      <c r="L28" s="317"/>
      <c r="M28" s="342"/>
      <c r="N28" s="342"/>
      <c r="O28" s="342"/>
      <c r="P28" s="343"/>
      <c r="Q28" s="343"/>
      <c r="R28" s="342"/>
      <c r="S28" s="345"/>
    </row>
    <row r="29" spans="1:19">
      <c r="A29" s="465">
        <v>25</v>
      </c>
      <c r="B29" s="319"/>
      <c r="C29" s="326">
        <f>+'RR Summary'!B27</f>
        <v>2.13</v>
      </c>
      <c r="D29" s="327" t="str">
        <f>+'RR Summary'!C31</f>
        <v>Restate Debt Interest</v>
      </c>
      <c r="E29" s="328"/>
      <c r="F29" s="332">
        <f>Restating!U21</f>
        <v>0</v>
      </c>
      <c r="G29" s="332">
        <f>Restating!U30</f>
        <v>0</v>
      </c>
      <c r="H29" s="332">
        <f>Restating!U66</f>
        <v>0</v>
      </c>
      <c r="I29" s="332">
        <f>Restating!U69</f>
        <v>0</v>
      </c>
      <c r="J29" s="332">
        <f>Restating!U74</f>
        <v>0</v>
      </c>
      <c r="L29" s="317"/>
      <c r="M29" s="318"/>
      <c r="N29" s="318"/>
      <c r="O29" s="318"/>
      <c r="P29" s="346"/>
      <c r="Q29" s="346"/>
      <c r="R29" s="318"/>
      <c r="S29" s="320"/>
    </row>
    <row r="30" spans="1:19" s="341" customFormat="1">
      <c r="A30" s="465">
        <v>26</v>
      </c>
      <c r="B30" s="319"/>
      <c r="C30" s="326">
        <f>+'RR Summary'!B28</f>
        <v>2.14</v>
      </c>
      <c r="D30" s="327" t="e">
        <f>+'RR Summary'!#REF!</f>
        <v>#REF!</v>
      </c>
      <c r="E30" s="328"/>
      <c r="F30" s="332">
        <f>Restating!V21</f>
        <v>0</v>
      </c>
      <c r="G30" s="332">
        <f>Restating!V30</f>
        <v>0</v>
      </c>
      <c r="H30" s="332">
        <f>Restating!V66</f>
        <v>0</v>
      </c>
      <c r="I30" s="332">
        <f>Restating!V69</f>
        <v>0</v>
      </c>
      <c r="J30" s="332">
        <f>Restating!V74</f>
        <v>0</v>
      </c>
      <c r="K30" s="316"/>
      <c r="L30" s="317"/>
      <c r="M30" s="342"/>
      <c r="N30" s="342"/>
      <c r="O30" s="342"/>
      <c r="P30" s="343"/>
      <c r="Q30" s="343"/>
      <c r="R30" s="342"/>
      <c r="S30" s="344"/>
    </row>
    <row r="31" spans="1:19" s="341" customFormat="1">
      <c r="A31" s="465">
        <v>27</v>
      </c>
      <c r="B31" s="319"/>
      <c r="C31" s="326">
        <f>+'RR Summary'!B29</f>
        <v>2.15</v>
      </c>
      <c r="D31" s="327" t="e">
        <f>+'RR Summary'!#REF!</f>
        <v>#REF!</v>
      </c>
      <c r="E31" s="328"/>
      <c r="F31" s="332">
        <f>Restating!W21</f>
        <v>0</v>
      </c>
      <c r="G31" s="332">
        <f>Restating!W30</f>
        <v>1091</v>
      </c>
      <c r="H31" s="332">
        <f>Restating!W66</f>
        <v>0</v>
      </c>
      <c r="I31" s="332">
        <f>Restating!W69</f>
        <v>0</v>
      </c>
      <c r="J31" s="332">
        <f>Restating!W74</f>
        <v>0</v>
      </c>
      <c r="K31" s="316"/>
      <c r="L31" s="317"/>
      <c r="M31" s="342"/>
      <c r="N31" s="342"/>
      <c r="O31" s="342"/>
      <c r="P31" s="343"/>
      <c r="Q31" s="343"/>
      <c r="R31" s="342"/>
      <c r="S31" s="344"/>
    </row>
    <row r="32" spans="1:19" s="341" customFormat="1">
      <c r="A32" s="465">
        <v>28</v>
      </c>
      <c r="B32" s="319"/>
      <c r="C32" s="326">
        <f>+'RR Summary'!B30</f>
        <v>2.16</v>
      </c>
      <c r="D32" s="327" t="e">
        <f>+'RR Summary'!#REF!</f>
        <v>#REF!</v>
      </c>
      <c r="E32" s="328"/>
      <c r="F32" s="332">
        <f>Restating!X21</f>
        <v>0</v>
      </c>
      <c r="G32" s="332">
        <f>Restating!X30</f>
        <v>0</v>
      </c>
      <c r="H32" s="332">
        <f>Restating!X66</f>
        <v>0</v>
      </c>
      <c r="I32" s="332">
        <f>Restating!X69</f>
        <v>0</v>
      </c>
      <c r="J32" s="332">
        <f>Restating!X74</f>
        <v>0</v>
      </c>
      <c r="K32" s="316"/>
      <c r="L32" s="317"/>
      <c r="M32" s="342"/>
      <c r="N32" s="342"/>
      <c r="O32" s="342"/>
      <c r="P32" s="343"/>
      <c r="Q32" s="343"/>
      <c r="R32" s="342"/>
      <c r="S32" s="344"/>
    </row>
    <row r="33" spans="1:19" s="341" customFormat="1">
      <c r="A33" s="465">
        <v>29</v>
      </c>
      <c r="B33" s="319"/>
      <c r="C33" s="326" t="e">
        <f>+'RR Summary'!#REF!</f>
        <v>#REF!</v>
      </c>
      <c r="D33" s="327" t="e">
        <f>+'RR Summary'!#REF!</f>
        <v>#REF!</v>
      </c>
      <c r="E33" s="328"/>
      <c r="F33" s="332">
        <v>0</v>
      </c>
      <c r="G33" s="332" t="e">
        <f>Restating!#REF!</f>
        <v>#REF!</v>
      </c>
      <c r="H33" s="332" t="e">
        <f>Restating!#REF!</f>
        <v>#REF!</v>
      </c>
      <c r="I33" s="332" t="e">
        <f>Restating!#REF!</f>
        <v>#REF!</v>
      </c>
      <c r="J33" s="332" t="e">
        <f>Restating!#REF!</f>
        <v>#REF!</v>
      </c>
      <c r="K33" s="316"/>
      <c r="L33" s="317"/>
      <c r="M33" s="342"/>
      <c r="N33" s="342"/>
      <c r="O33" s="342"/>
      <c r="P33" s="343"/>
      <c r="Q33" s="343"/>
      <c r="R33" s="342"/>
      <c r="S33" s="344"/>
    </row>
    <row r="34" spans="1:19" s="341" customFormat="1">
      <c r="A34" s="465">
        <v>30</v>
      </c>
      <c r="B34" s="319"/>
      <c r="C34" s="326" t="e">
        <f>+'RR Summary'!#REF!</f>
        <v>#REF!</v>
      </c>
      <c r="D34" s="327" t="e">
        <f>+'RR Summary'!#REF!</f>
        <v>#REF!</v>
      </c>
      <c r="E34" s="328"/>
      <c r="F34" s="332" t="e">
        <f>Restating!#REF!</f>
        <v>#REF!</v>
      </c>
      <c r="G34" s="332" t="e">
        <f>Restating!#REF!</f>
        <v>#REF!</v>
      </c>
      <c r="H34" s="332" t="e">
        <f>Restating!#REF!</f>
        <v>#REF!</v>
      </c>
      <c r="I34" s="332" t="e">
        <f>Restating!#REF!</f>
        <v>#REF!</v>
      </c>
      <c r="J34" s="332" t="e">
        <f>Restating!#REF!</f>
        <v>#REF!</v>
      </c>
      <c r="K34" s="316"/>
      <c r="L34" s="317"/>
      <c r="M34" s="342"/>
      <c r="N34" s="342"/>
      <c r="O34" s="342"/>
      <c r="P34" s="343"/>
      <c r="Q34" s="343"/>
      <c r="R34" s="342"/>
      <c r="S34" s="344"/>
    </row>
    <row r="35" spans="1:19" s="341" customFormat="1">
      <c r="A35" s="465">
        <v>31</v>
      </c>
      <c r="B35" s="319"/>
      <c r="C35" s="326" t="e">
        <f>+'RR Summary'!#REF!</f>
        <v>#REF!</v>
      </c>
      <c r="D35" s="327" t="e">
        <f>+'RR Summary'!#REF!</f>
        <v>#REF!</v>
      </c>
      <c r="E35" s="328"/>
      <c r="F35" s="332" t="e">
        <f>Restating!#REF!</f>
        <v>#REF!</v>
      </c>
      <c r="G35" s="332" t="e">
        <f>Restating!#REF!</f>
        <v>#REF!</v>
      </c>
      <c r="H35" s="332" t="e">
        <f>Restating!#REF!</f>
        <v>#REF!</v>
      </c>
      <c r="I35" s="332" t="e">
        <f>Restating!#REF!</f>
        <v>#REF!</v>
      </c>
      <c r="J35" s="332" t="e">
        <f>Restating!#REF!</f>
        <v>#REF!</v>
      </c>
      <c r="K35" s="316"/>
      <c r="L35" s="317"/>
      <c r="M35" s="342"/>
      <c r="N35" s="342"/>
      <c r="O35" s="342"/>
      <c r="P35" s="343"/>
      <c r="Q35" s="343"/>
      <c r="R35" s="342"/>
      <c r="S35" s="344"/>
    </row>
    <row r="36" spans="1:19" s="341" customFormat="1">
      <c r="A36" s="465">
        <v>32</v>
      </c>
      <c r="B36" s="319"/>
      <c r="C36" s="326" t="e">
        <f>+'RR Summary'!#REF!</f>
        <v>#REF!</v>
      </c>
      <c r="D36" s="327" t="e">
        <f>+'RR Summary'!#REF!</f>
        <v>#REF!</v>
      </c>
      <c r="E36" s="328"/>
      <c r="F36" s="332" t="e">
        <f>Restating!#REF!</f>
        <v>#REF!</v>
      </c>
      <c r="G36" s="332" t="e">
        <f>Restating!#REF!</f>
        <v>#REF!</v>
      </c>
      <c r="H36" s="332" t="e">
        <f>Restating!#REF!</f>
        <v>#REF!</v>
      </c>
      <c r="I36" s="332" t="e">
        <f>Restating!#REF!</f>
        <v>#REF!</v>
      </c>
      <c r="J36" s="332" t="e">
        <f>Restating!#REF!</f>
        <v>#REF!</v>
      </c>
      <c r="K36" s="316"/>
      <c r="L36" s="317"/>
      <c r="M36" s="342"/>
      <c r="N36" s="342"/>
      <c r="O36" s="342"/>
      <c r="P36" s="343"/>
      <c r="Q36" s="343"/>
      <c r="R36" s="342"/>
      <c r="S36" s="344"/>
    </row>
    <row r="37" spans="1:19" s="341" customFormat="1">
      <c r="A37" s="465">
        <v>33</v>
      </c>
      <c r="B37" s="319"/>
      <c r="C37" s="326" t="e">
        <f>+'RR Summary'!#REF!</f>
        <v>#REF!</v>
      </c>
      <c r="D37" s="327" t="e">
        <f>+'RR Summary'!#REF!</f>
        <v>#REF!</v>
      </c>
      <c r="E37" s="328"/>
      <c r="F37" s="332" t="e">
        <f>Restating!#REF!</f>
        <v>#REF!</v>
      </c>
      <c r="G37" s="332" t="e">
        <f>Restating!#REF!</f>
        <v>#REF!</v>
      </c>
      <c r="H37" s="332" t="e">
        <f>Restating!#REF!</f>
        <v>#REF!</v>
      </c>
      <c r="I37" s="332" t="e">
        <f>Restating!#REF!</f>
        <v>#REF!</v>
      </c>
      <c r="J37" s="332" t="e">
        <f>Restating!#REF!</f>
        <v>#REF!</v>
      </c>
      <c r="K37" s="316"/>
      <c r="L37" s="317"/>
      <c r="M37" s="342"/>
      <c r="N37" s="342"/>
      <c r="O37" s="342"/>
      <c r="P37" s="343"/>
      <c r="Q37" s="343"/>
      <c r="R37" s="342"/>
      <c r="S37" s="344"/>
    </row>
    <row r="38" spans="1:19" s="341" customFormat="1">
      <c r="A38" s="465">
        <v>34</v>
      </c>
      <c r="B38" s="319"/>
      <c r="C38" s="326" t="e">
        <f>+'RR Summary'!#REF!</f>
        <v>#REF!</v>
      </c>
      <c r="D38" s="327" t="e">
        <f>+'RR Summary'!#REF!</f>
        <v>#REF!</v>
      </c>
      <c r="E38" s="328"/>
      <c r="F38" s="332" t="e">
        <f>Restating!#REF!</f>
        <v>#REF!</v>
      </c>
      <c r="G38" s="332" t="e">
        <f>Restating!#REF!</f>
        <v>#REF!</v>
      </c>
      <c r="H38" s="332" t="e">
        <f>Restating!#REF!</f>
        <v>#REF!</v>
      </c>
      <c r="I38" s="332" t="e">
        <f>Restating!#REF!</f>
        <v>#REF!</v>
      </c>
      <c r="J38" s="332" t="e">
        <f>Restating!#REF!</f>
        <v>#REF!</v>
      </c>
      <c r="K38" s="316"/>
      <c r="L38" s="317"/>
      <c r="M38" s="342"/>
      <c r="N38" s="342"/>
      <c r="O38" s="342"/>
      <c r="P38" s="343"/>
      <c r="Q38" s="343"/>
      <c r="R38" s="342"/>
      <c r="S38" s="344"/>
    </row>
    <row r="39" spans="1:19">
      <c r="A39" s="465">
        <v>35</v>
      </c>
      <c r="B39" s="319"/>
      <c r="C39" s="326" t="e">
        <f>+'RR Summary'!#REF!</f>
        <v>#REF!</v>
      </c>
      <c r="D39" s="327" t="e">
        <f>+'RR Summary'!#REF!</f>
        <v>#REF!</v>
      </c>
      <c r="E39" s="328"/>
      <c r="F39" s="332">
        <v>0</v>
      </c>
      <c r="G39" s="332" t="e">
        <f>Restating!#REF!</f>
        <v>#REF!</v>
      </c>
      <c r="H39" s="332" t="e">
        <f>Restating!#REF!</f>
        <v>#REF!</v>
      </c>
      <c r="I39" s="332" t="e">
        <f>Restating!#REF!</f>
        <v>#REF!</v>
      </c>
      <c r="J39" s="332" t="e">
        <f>Restating!#REF!</f>
        <v>#REF!</v>
      </c>
      <c r="L39" s="317"/>
      <c r="M39" s="318"/>
      <c r="N39" s="318"/>
      <c r="O39" s="318"/>
      <c r="P39" s="346"/>
      <c r="Q39" s="346"/>
      <c r="R39" s="318"/>
      <c r="S39" s="320"/>
    </row>
    <row r="40" spans="1:19" s="341" customFormat="1">
      <c r="A40" s="465">
        <v>36</v>
      </c>
      <c r="B40" s="319"/>
      <c r="C40" s="326" t="e">
        <f>+'RR Summary'!#REF!</f>
        <v>#REF!</v>
      </c>
      <c r="D40" s="327" t="e">
        <f>+'RR Summary'!#REF!</f>
        <v>#REF!</v>
      </c>
      <c r="E40" s="328"/>
      <c r="F40" s="332" t="e">
        <f>Restating!#REF!</f>
        <v>#REF!</v>
      </c>
      <c r="G40" s="332" t="e">
        <f>Restating!#REF!</f>
        <v>#REF!</v>
      </c>
      <c r="H40" s="332" t="e">
        <f>Restating!#REF!</f>
        <v>#REF!</v>
      </c>
      <c r="I40" s="332" t="e">
        <f>Restating!#REF!</f>
        <v>#REF!</v>
      </c>
      <c r="J40" s="332" t="e">
        <f>Restating!#REF!</f>
        <v>#REF!</v>
      </c>
      <c r="K40" s="316"/>
      <c r="L40" s="317"/>
    </row>
    <row r="41" spans="1:19" s="341" customFormat="1">
      <c r="A41" s="465">
        <v>37</v>
      </c>
      <c r="B41" s="319"/>
      <c r="C41" s="326" t="s">
        <v>320</v>
      </c>
      <c r="D41" s="327" t="s">
        <v>188</v>
      </c>
      <c r="E41" s="328"/>
      <c r="F41" s="332" t="e">
        <f>Restating!#REF!</f>
        <v>#REF!</v>
      </c>
      <c r="G41" s="332" t="e">
        <f>Restating!#REF!</f>
        <v>#REF!</v>
      </c>
      <c r="H41" s="332" t="e">
        <f>Restating!#REF!</f>
        <v>#REF!</v>
      </c>
      <c r="I41" s="332" t="e">
        <f>Restating!#REF!</f>
        <v>#REF!</v>
      </c>
      <c r="J41" s="332" t="e">
        <f>Restating!#REF!</f>
        <v>#REF!</v>
      </c>
      <c r="K41" s="316"/>
      <c r="L41" s="317"/>
      <c r="M41" s="342"/>
      <c r="N41" s="342"/>
      <c r="O41" s="342"/>
      <c r="P41" s="343"/>
      <c r="Q41" s="343"/>
      <c r="R41" s="342"/>
      <c r="S41" s="344"/>
    </row>
    <row r="42" spans="1:19">
      <c r="A42" s="465">
        <v>38</v>
      </c>
      <c r="B42" s="319"/>
      <c r="C42" s="326" t="s">
        <v>317</v>
      </c>
      <c r="D42" s="327" t="s">
        <v>162</v>
      </c>
      <c r="F42" s="332" t="e">
        <f>Restating!#REF!</f>
        <v>#REF!</v>
      </c>
      <c r="G42" s="332" t="e">
        <f>Restating!#REF!</f>
        <v>#REF!</v>
      </c>
      <c r="H42" s="332" t="e">
        <f>Restating!#REF!</f>
        <v>#REF!</v>
      </c>
      <c r="I42" s="332" t="e">
        <f>Restating!#REF!</f>
        <v>#REF!</v>
      </c>
      <c r="J42" s="332" t="e">
        <f>Restating!#REF!</f>
        <v>#REF!</v>
      </c>
      <c r="L42" s="317"/>
      <c r="M42" s="318"/>
      <c r="N42" s="318"/>
      <c r="O42" s="318"/>
      <c r="P42" s="346"/>
      <c r="Q42" s="346"/>
      <c r="R42" s="318"/>
      <c r="S42" s="320"/>
    </row>
    <row r="43" spans="1:19">
      <c r="A43" s="465">
        <v>39</v>
      </c>
      <c r="B43" s="319"/>
      <c r="C43" s="326" t="s">
        <v>318</v>
      </c>
      <c r="D43" s="327" t="s">
        <v>226</v>
      </c>
      <c r="F43" s="332" t="e">
        <f>Restating!#REF!</f>
        <v>#REF!</v>
      </c>
      <c r="G43" s="332" t="e">
        <f>Restating!#REF!</f>
        <v>#REF!</v>
      </c>
      <c r="H43" s="332" t="e">
        <f>Restating!#REF!</f>
        <v>#REF!</v>
      </c>
      <c r="I43" s="332" t="e">
        <f>Restating!#REF!</f>
        <v>#REF!</v>
      </c>
      <c r="J43" s="332" t="e">
        <f>Restating!#REF!</f>
        <v>#REF!</v>
      </c>
      <c r="L43" s="317"/>
      <c r="M43" s="318"/>
      <c r="N43" s="318"/>
      <c r="O43" s="318"/>
      <c r="P43" s="346"/>
      <c r="Q43" s="346"/>
      <c r="R43" s="318"/>
      <c r="S43" s="320"/>
    </row>
    <row r="44" spans="1:19" s="350" customFormat="1">
      <c r="A44" s="465">
        <v>40</v>
      </c>
      <c r="B44" s="319"/>
      <c r="C44" s="326" t="s">
        <v>319</v>
      </c>
      <c r="D44" s="327" t="s">
        <v>316</v>
      </c>
      <c r="E44" s="328"/>
      <c r="F44" s="333" t="e">
        <f>Restating!#REF!</f>
        <v>#REF!</v>
      </c>
      <c r="G44" s="333" t="e">
        <f>Restating!#REF!</f>
        <v>#REF!</v>
      </c>
      <c r="H44" s="333" t="e">
        <f>Restating!#REF!</f>
        <v>#REF!</v>
      </c>
      <c r="I44" s="333" t="e">
        <f>Restating!#REF!</f>
        <v>#REF!</v>
      </c>
      <c r="J44" s="333" t="e">
        <f>Restating!#REF!</f>
        <v>#REF!</v>
      </c>
      <c r="K44" s="316"/>
      <c r="L44" s="317"/>
      <c r="M44" s="347"/>
      <c r="N44" s="347"/>
      <c r="O44" s="347"/>
      <c r="P44" s="348"/>
      <c r="Q44" s="348"/>
      <c r="R44" s="347"/>
      <c r="S44" s="349"/>
    </row>
    <row r="45" spans="1:19">
      <c r="A45" s="465">
        <v>41</v>
      </c>
      <c r="B45" s="319"/>
      <c r="C45" s="351"/>
      <c r="E45" s="506" t="s">
        <v>303</v>
      </c>
      <c r="F45" s="315" t="e">
        <f>SUM(F13:F44)</f>
        <v>#REF!</v>
      </c>
      <c r="G45" s="315" t="e">
        <f t="shared" ref="G45:J45" si="0">SUM(G13:G44)</f>
        <v>#REF!</v>
      </c>
      <c r="H45" s="315" t="e">
        <f t="shared" si="0"/>
        <v>#REF!</v>
      </c>
      <c r="I45" s="315" t="e">
        <f t="shared" si="0"/>
        <v>#REF!</v>
      </c>
      <c r="J45" s="315" t="e">
        <f t="shared" si="0"/>
        <v>#REF!</v>
      </c>
      <c r="L45" s="317"/>
      <c r="M45" s="318"/>
      <c r="N45" s="318"/>
      <c r="O45" s="318"/>
      <c r="P45" s="346"/>
      <c r="Q45" s="346"/>
      <c r="R45" s="318"/>
      <c r="S45" s="320"/>
    </row>
    <row r="46" spans="1:19">
      <c r="A46" s="465">
        <v>42</v>
      </c>
      <c r="B46" s="319"/>
      <c r="C46" s="351"/>
      <c r="E46" s="506" t="s">
        <v>25</v>
      </c>
      <c r="F46" s="362" t="e">
        <f>SUM(F12:F44)+F11</f>
        <v>#REF!</v>
      </c>
      <c r="G46" s="362" t="e">
        <f>SUM(G12:G44)+G11</f>
        <v>#REF!</v>
      </c>
      <c r="H46" s="362" t="e">
        <f>SUM(H12:H44)+H11</f>
        <v>#REF!</v>
      </c>
      <c r="I46" s="362" t="e">
        <f>SUM(I12:I44)+I11</f>
        <v>#REF!</v>
      </c>
      <c r="J46" s="362" t="e">
        <f>SUM(J12:J44)+J11</f>
        <v>#REF!</v>
      </c>
      <c r="L46" s="317"/>
      <c r="M46" s="318"/>
      <c r="N46" s="318"/>
      <c r="O46" s="318"/>
      <c r="P46" s="346"/>
      <c r="Q46" s="346"/>
      <c r="R46" s="318"/>
      <c r="S46" s="320"/>
    </row>
    <row r="47" spans="1:19">
      <c r="A47" s="465">
        <v>43</v>
      </c>
      <c r="B47" s="319"/>
      <c r="C47" s="501"/>
      <c r="E47" s="506"/>
      <c r="G47" s="352"/>
      <c r="H47" s="330"/>
      <c r="I47" s="352"/>
      <c r="L47" s="317"/>
      <c r="M47" s="318"/>
      <c r="N47" s="318"/>
      <c r="O47" s="318"/>
      <c r="P47" s="346"/>
      <c r="Q47" s="346"/>
      <c r="R47" s="318"/>
      <c r="S47" s="320"/>
    </row>
    <row r="48" spans="1:19">
      <c r="A48" s="465">
        <v>44</v>
      </c>
      <c r="B48" s="319"/>
      <c r="C48" s="326">
        <f>+'RR Summary'!B38</f>
        <v>3</v>
      </c>
      <c r="D48" s="353" t="str">
        <f>+'RR Summary'!C38</f>
        <v>Power Supply</v>
      </c>
      <c r="F48" s="354">
        <f>+'Pro Forma'!D$21</f>
        <v>-139674</v>
      </c>
      <c r="G48" s="355">
        <f>+'Pro Forma'!D30</f>
        <v>-136731</v>
      </c>
      <c r="H48" s="332">
        <f>+'Pro Forma'!D63+'Pro Forma'!D64</f>
        <v>0</v>
      </c>
      <c r="I48" s="329">
        <v>0</v>
      </c>
      <c r="J48" s="329">
        <v>0</v>
      </c>
      <c r="L48" s="317"/>
      <c r="M48" s="318"/>
      <c r="N48" s="318"/>
      <c r="O48" s="318"/>
      <c r="P48" s="346"/>
      <c r="Q48" s="346"/>
      <c r="R48" s="318"/>
      <c r="S48" s="320"/>
    </row>
    <row r="49" spans="1:19">
      <c r="A49" s="465">
        <v>45</v>
      </c>
      <c r="B49" s="319"/>
      <c r="C49" s="326">
        <f>+'RR Summary'!B39</f>
        <v>3.01</v>
      </c>
      <c r="D49" s="353" t="str">
        <f>+'RR Summary'!C44</f>
        <v>Prod Property Adj</v>
      </c>
      <c r="E49" s="356"/>
      <c r="F49" s="374"/>
      <c r="G49" s="374"/>
      <c r="H49" s="374"/>
      <c r="I49" s="374"/>
      <c r="J49" s="374"/>
      <c r="K49" s="357"/>
      <c r="L49" s="317"/>
      <c r="M49" s="318"/>
      <c r="N49" s="318"/>
      <c r="O49" s="318"/>
      <c r="P49" s="346"/>
      <c r="Q49" s="346"/>
      <c r="R49" s="318"/>
      <c r="S49" s="320"/>
    </row>
    <row r="50" spans="1:19">
      <c r="A50" s="465">
        <v>46</v>
      </c>
      <c r="B50" s="319"/>
      <c r="C50" s="326">
        <f>+'RR Summary'!B40</f>
        <v>3.02</v>
      </c>
      <c r="D50" s="353" t="e">
        <f>+'RR Summary'!#REF!</f>
        <v>#REF!</v>
      </c>
      <c r="E50" s="356"/>
      <c r="F50" s="332">
        <f>+'Pro Forma'!F21</f>
        <v>0</v>
      </c>
      <c r="G50" s="332">
        <f>+'Pro Forma'!F$30</f>
        <v>527</v>
      </c>
      <c r="H50" s="332">
        <f>'Pro Forma'!F63+'Pro Forma'!F64</f>
        <v>0</v>
      </c>
      <c r="I50" s="329">
        <v>0</v>
      </c>
      <c r="J50" s="329">
        <f>'Pro Forma'!F75</f>
        <v>0</v>
      </c>
      <c r="K50" s="357"/>
      <c r="L50" s="317"/>
      <c r="M50" s="318"/>
      <c r="N50" s="318"/>
      <c r="O50" s="318"/>
      <c r="P50" s="346"/>
      <c r="Q50" s="346"/>
      <c r="R50" s="318"/>
      <c r="S50" s="320"/>
    </row>
    <row r="51" spans="1:19">
      <c r="A51" s="465">
        <v>47</v>
      </c>
      <c r="B51" s="319"/>
      <c r="C51" s="326">
        <f>+'RR Summary'!B41</f>
        <v>3.03</v>
      </c>
      <c r="D51" s="353" t="str">
        <f>+'RR Summary'!C40</f>
        <v>Labor NonExec</v>
      </c>
      <c r="F51" s="332">
        <f>+'Pro Forma'!G21</f>
        <v>0</v>
      </c>
      <c r="G51" s="332">
        <f>+'Pro Forma'!G$30</f>
        <v>-48</v>
      </c>
      <c r="H51" s="332">
        <f>'Pro Forma'!G63+'Pro Forma'!G64</f>
        <v>0</v>
      </c>
      <c r="I51" s="329">
        <v>0</v>
      </c>
      <c r="J51" s="329">
        <v>0</v>
      </c>
      <c r="K51" s="317"/>
      <c r="L51" s="317"/>
      <c r="M51" s="318"/>
      <c r="N51" s="318"/>
      <c r="O51" s="318"/>
      <c r="P51" s="346"/>
      <c r="Q51" s="346"/>
      <c r="R51" s="318"/>
      <c r="S51" s="320"/>
    </row>
    <row r="52" spans="1:19">
      <c r="A52" s="465">
        <v>48</v>
      </c>
      <c r="B52" s="319"/>
      <c r="C52" s="326">
        <f>+'RR Summary'!B42</f>
        <v>3.04</v>
      </c>
      <c r="D52" s="353" t="str">
        <f>+'RR Summary'!C41</f>
        <v>Labor Exec</v>
      </c>
      <c r="F52" s="332">
        <f>+'Pro Forma'!H21</f>
        <v>0</v>
      </c>
      <c r="G52" s="332">
        <f>+'Pro Forma'!H$30</f>
        <v>1110</v>
      </c>
      <c r="H52" s="332">
        <f>'Pro Forma'!H63+'Pro Forma'!H64</f>
        <v>0</v>
      </c>
      <c r="I52" s="329">
        <v>0</v>
      </c>
      <c r="J52" s="329">
        <v>0</v>
      </c>
      <c r="K52" s="317"/>
      <c r="L52" s="317"/>
      <c r="M52" s="318"/>
      <c r="N52" s="318"/>
      <c r="O52" s="318"/>
      <c r="P52" s="346"/>
      <c r="Q52" s="346"/>
      <c r="R52" s="318"/>
      <c r="S52" s="320"/>
    </row>
    <row r="53" spans="1:19">
      <c r="A53" s="465">
        <v>49</v>
      </c>
      <c r="B53" s="319"/>
      <c r="C53" s="326">
        <f>+'RR Summary'!B43</f>
        <v>3.05</v>
      </c>
      <c r="D53" s="353" t="str">
        <f>+'RR Summary'!C39</f>
        <v>Transmission Rev/Exp</v>
      </c>
      <c r="F53" s="332">
        <f>+'Pro Forma'!I21</f>
        <v>0</v>
      </c>
      <c r="G53" s="332">
        <f>+'Pro Forma'!I$30</f>
        <v>0</v>
      </c>
      <c r="H53" s="332">
        <f>'Pro Forma'!I63+'Pro Forma'!I64</f>
        <v>0</v>
      </c>
      <c r="I53" s="329">
        <v>0</v>
      </c>
      <c r="J53" s="329">
        <v>0</v>
      </c>
      <c r="K53" s="317"/>
      <c r="L53" s="317"/>
      <c r="M53" s="318"/>
      <c r="N53" s="318"/>
      <c r="O53" s="318"/>
      <c r="P53" s="346"/>
      <c r="Q53" s="346"/>
      <c r="R53" s="318"/>
      <c r="S53" s="320"/>
    </row>
    <row r="54" spans="1:19">
      <c r="A54" s="465">
        <v>50</v>
      </c>
      <c r="B54" s="319"/>
      <c r="C54" s="326">
        <f>+'RR Summary'!B44</f>
        <v>3.06</v>
      </c>
      <c r="D54" s="353" t="str">
        <f>+'RR Summary'!C48</f>
        <v>Capital Additions 2012</v>
      </c>
      <c r="F54" s="332">
        <f>+'Pro Forma'!J21</f>
        <v>0</v>
      </c>
      <c r="G54" s="332">
        <f>+'Pro Forma'!J$30</f>
        <v>15</v>
      </c>
      <c r="H54" s="332">
        <f>'Pro Forma'!J63+'Pro Forma'!J64</f>
        <v>0</v>
      </c>
      <c r="I54" s="329">
        <v>-437</v>
      </c>
      <c r="J54" s="356">
        <v>-504</v>
      </c>
      <c r="K54" s="323"/>
      <c r="L54" s="317"/>
      <c r="M54" s="318"/>
      <c r="N54" s="318"/>
      <c r="O54" s="318"/>
      <c r="P54" s="346"/>
      <c r="Q54" s="346"/>
      <c r="R54" s="318"/>
      <c r="S54" s="320"/>
    </row>
    <row r="55" spans="1:19">
      <c r="A55" s="465">
        <v>51</v>
      </c>
      <c r="B55" s="319"/>
      <c r="C55" s="326">
        <f>+'RR Summary'!B45</f>
        <v>3.07</v>
      </c>
      <c r="D55" s="353" t="str">
        <f>+'RR Summary'!C49</f>
        <v>Capital Additions 2013</v>
      </c>
      <c r="F55" s="332">
        <f>+'Pro Forma'!K21</f>
        <v>0</v>
      </c>
      <c r="G55" s="329">
        <f>'Pro Forma'!K30</f>
        <v>0</v>
      </c>
      <c r="H55" s="332">
        <f>'Pro Forma'!K63+'Pro Forma'!K64</f>
        <v>0</v>
      </c>
      <c r="I55" s="332">
        <f>-'Pro Forma'!K68</f>
        <v>0</v>
      </c>
      <c r="J55" s="315">
        <f>+'Pro Forma'!K75</f>
        <v>0</v>
      </c>
      <c r="K55" s="323"/>
      <c r="L55" s="317"/>
    </row>
    <row r="56" spans="1:19">
      <c r="A56" s="465">
        <v>52</v>
      </c>
      <c r="B56" s="319"/>
      <c r="C56" s="326">
        <f>+'RR Summary'!B48</f>
        <v>4</v>
      </c>
      <c r="D56" s="353" t="e">
        <f>+'RR Summary'!#REF!</f>
        <v>#REF!</v>
      </c>
      <c r="E56" s="356"/>
      <c r="F56" s="332">
        <f>+'Pro Forma'!N21</f>
        <v>0</v>
      </c>
      <c r="G56" s="329">
        <f>'Pro Forma'!N30</f>
        <v>0</v>
      </c>
      <c r="H56" s="332">
        <f>'Pro Forma'!N63+'Pro Forma'!N64</f>
        <v>0</v>
      </c>
      <c r="I56" s="329">
        <v>0</v>
      </c>
      <c r="J56" s="329">
        <v>0</v>
      </c>
      <c r="K56" s="323"/>
      <c r="L56" s="317"/>
    </row>
    <row r="57" spans="1:19">
      <c r="A57" s="465">
        <v>54</v>
      </c>
      <c r="B57" s="319"/>
      <c r="C57" s="326">
        <f>+'RR Summary'!B49</f>
        <v>4.01</v>
      </c>
      <c r="D57" s="353" t="str">
        <f>+'RR Summary'!C42</f>
        <v>Employee Benefits</v>
      </c>
      <c r="E57" s="318"/>
      <c r="F57" s="332">
        <f>+'Pro Forma'!O21</f>
        <v>0</v>
      </c>
      <c r="G57" s="329">
        <f>'Pro Forma'!O30</f>
        <v>0</v>
      </c>
      <c r="H57" s="332">
        <f>'Pro Forma'!O63+'Pro Forma'!O64</f>
        <v>0</v>
      </c>
      <c r="I57" s="329">
        <v>0</v>
      </c>
      <c r="J57" s="329">
        <v>0</v>
      </c>
      <c r="K57" s="358"/>
      <c r="L57" s="317"/>
      <c r="M57" s="318"/>
      <c r="N57" s="318"/>
      <c r="O57" s="318"/>
      <c r="P57" s="330"/>
      <c r="Q57" s="330"/>
      <c r="R57" s="359"/>
      <c r="S57" s="320"/>
    </row>
    <row r="58" spans="1:19">
      <c r="A58" s="465">
        <v>55</v>
      </c>
      <c r="B58" s="319"/>
      <c r="C58" s="326">
        <f>+'RR Summary'!B50</f>
        <v>4.0199999999999996</v>
      </c>
      <c r="D58" s="353" t="str">
        <f>+'RR Summary'!C43</f>
        <v>Insurance</v>
      </c>
      <c r="E58" s="318"/>
      <c r="F58" s="332">
        <f>+'Pro Forma'!P21</f>
        <v>0</v>
      </c>
      <c r="G58" s="329">
        <f>'Pro Forma'!P30</f>
        <v>0</v>
      </c>
      <c r="H58" s="332">
        <f>'Pro Forma'!P63+'Pro Forma'!P64</f>
        <v>0</v>
      </c>
      <c r="I58" s="329">
        <v>0</v>
      </c>
      <c r="J58" s="329">
        <v>0</v>
      </c>
      <c r="K58" s="358"/>
      <c r="L58" s="317"/>
      <c r="M58" s="318"/>
      <c r="N58" s="318"/>
      <c r="O58" s="318"/>
      <c r="P58" s="330"/>
      <c r="Q58" s="330"/>
      <c r="R58" s="359"/>
      <c r="S58" s="320"/>
    </row>
    <row r="59" spans="1:19">
      <c r="A59" s="465">
        <v>57</v>
      </c>
      <c r="B59" s="319"/>
      <c r="C59" s="322"/>
      <c r="E59" s="360" t="s">
        <v>39</v>
      </c>
      <c r="F59" s="361">
        <f>SUM(F48:F58)</f>
        <v>-139674</v>
      </c>
      <c r="G59" s="362">
        <f>SUM(G48:G58)</f>
        <v>-135127</v>
      </c>
      <c r="H59" s="362">
        <f>SUM(H48:H58)</f>
        <v>0</v>
      </c>
      <c r="I59" s="362">
        <f>SUM(I48:I58)</f>
        <v>-437</v>
      </c>
      <c r="J59" s="362">
        <f>SUM(J48:J58)</f>
        <v>-504</v>
      </c>
      <c r="K59" s="358"/>
      <c r="L59" s="317"/>
      <c r="M59" s="318"/>
      <c r="N59" s="318"/>
      <c r="O59" s="318"/>
      <c r="P59" s="330"/>
      <c r="Q59" s="330"/>
      <c r="R59" s="359"/>
      <c r="S59" s="320"/>
    </row>
    <row r="60" spans="1:19" ht="12.75" thickBot="1">
      <c r="A60" s="465">
        <v>58</v>
      </c>
      <c r="B60" s="319"/>
      <c r="C60" s="322"/>
      <c r="E60" s="360" t="s">
        <v>302</v>
      </c>
      <c r="F60" s="363" t="e">
        <f>+F59+F46</f>
        <v>#REF!</v>
      </c>
      <c r="G60" s="363" t="e">
        <f>+G59+G46</f>
        <v>#REF!</v>
      </c>
      <c r="H60" s="363" t="e">
        <f>+H59+H46</f>
        <v>#REF!</v>
      </c>
      <c r="I60" s="363" t="e">
        <f>+I59+I46</f>
        <v>#REF!</v>
      </c>
      <c r="J60" s="363" t="e">
        <f>+J59+J46</f>
        <v>#REF!</v>
      </c>
      <c r="K60" s="358"/>
      <c r="L60" s="317"/>
      <c r="M60" s="318"/>
      <c r="N60" s="318"/>
      <c r="O60" s="318"/>
      <c r="P60" s="330"/>
      <c r="Q60" s="330"/>
      <c r="R60" s="359"/>
      <c r="S60" s="320"/>
    </row>
    <row r="61" spans="1:19" ht="12.75" thickTop="1">
      <c r="A61" s="465">
        <v>59</v>
      </c>
      <c r="B61" s="319"/>
      <c r="C61" s="322"/>
      <c r="D61" s="353"/>
      <c r="E61" s="318"/>
      <c r="F61" s="364"/>
      <c r="G61" s="364"/>
      <c r="H61" s="364"/>
      <c r="I61" s="364"/>
      <c r="K61" s="358"/>
      <c r="L61" s="317"/>
      <c r="M61" s="318"/>
      <c r="N61" s="318"/>
      <c r="O61" s="318"/>
      <c r="P61" s="330"/>
      <c r="Q61" s="330"/>
      <c r="R61" s="359"/>
      <c r="S61" s="320"/>
    </row>
    <row r="62" spans="1:19">
      <c r="A62" s="465">
        <v>60</v>
      </c>
      <c r="B62" s="319"/>
      <c r="C62" s="322"/>
      <c r="D62" s="318" t="s">
        <v>224</v>
      </c>
      <c r="E62" s="503">
        <v>5743827</v>
      </c>
      <c r="F62" s="365"/>
      <c r="G62" s="366"/>
      <c r="H62" s="352"/>
      <c r="I62" s="366"/>
      <c r="K62" s="358"/>
      <c r="L62" s="317"/>
      <c r="M62" s="318"/>
      <c r="N62" s="318"/>
      <c r="O62" s="318"/>
      <c r="P62" s="330"/>
      <c r="Q62" s="330"/>
      <c r="R62" s="359"/>
      <c r="S62" s="320"/>
    </row>
    <row r="63" spans="1:19">
      <c r="A63" s="465">
        <v>61</v>
      </c>
      <c r="B63" s="319"/>
      <c r="D63" s="367" t="s">
        <v>229</v>
      </c>
      <c r="E63" s="332">
        <v>5407534</v>
      </c>
      <c r="F63" s="368"/>
      <c r="K63" s="358"/>
      <c r="L63" s="317"/>
    </row>
    <row r="64" spans="1:19" ht="12.75" thickBot="1">
      <c r="A64" s="465">
        <v>62</v>
      </c>
      <c r="B64" s="319"/>
      <c r="D64" s="469" t="s">
        <v>81</v>
      </c>
      <c r="E64" s="369">
        <f>ROUND(+E63/E62,4)</f>
        <v>0.9415</v>
      </c>
      <c r="K64" s="358"/>
      <c r="L64" s="317"/>
    </row>
    <row r="65" spans="1:12" ht="12.75" thickTop="1">
      <c r="A65" s="465">
        <v>63</v>
      </c>
      <c r="B65" s="319"/>
      <c r="K65" s="358"/>
      <c r="L65" s="317"/>
    </row>
    <row r="66" spans="1:12">
      <c r="A66" s="465">
        <v>64</v>
      </c>
      <c r="B66" s="319"/>
      <c r="D66" s="315" t="s">
        <v>231</v>
      </c>
      <c r="F66" s="370" t="e">
        <f>ROUND(F60*$E$64,0)</f>
        <v>#REF!</v>
      </c>
      <c r="G66" s="370" t="e">
        <f>ROUND(G60*$E$64,0)</f>
        <v>#REF!</v>
      </c>
      <c r="H66" s="370" t="e">
        <f>ROUND(H60*$E$64,0)</f>
        <v>#REF!</v>
      </c>
      <c r="I66" s="370" t="e">
        <f>ROUND(I60*$E$64,0)</f>
        <v>#REF!</v>
      </c>
      <c r="J66" s="370" t="e">
        <f>ROUND(J60*$E$64,0)</f>
        <v>#REF!</v>
      </c>
      <c r="K66" s="358"/>
      <c r="L66" s="317"/>
    </row>
    <row r="67" spans="1:12">
      <c r="A67" s="465">
        <v>65</v>
      </c>
      <c r="B67" s="319"/>
      <c r="K67" s="358"/>
      <c r="L67" s="317"/>
    </row>
    <row r="68" spans="1:12" ht="12.75" thickBot="1">
      <c r="A68" s="465">
        <v>66</v>
      </c>
      <c r="B68" s="319"/>
      <c r="E68" s="371" t="s">
        <v>233</v>
      </c>
      <c r="F68" s="372" t="e">
        <f>F66-F60</f>
        <v>#REF!</v>
      </c>
      <c r="G68" s="372" t="e">
        <f t="shared" ref="G68" si="1">G66-G60</f>
        <v>#REF!</v>
      </c>
      <c r="H68" s="372" t="e">
        <f>H66-H60</f>
        <v>#REF!</v>
      </c>
      <c r="I68" s="372" t="e">
        <f t="shared" ref="I68:J68" si="2">I66-I60</f>
        <v>#REF!</v>
      </c>
      <c r="J68" s="372" t="e">
        <f t="shared" si="2"/>
        <v>#REF!</v>
      </c>
      <c r="K68" s="358"/>
      <c r="L68" s="317"/>
    </row>
    <row r="69" spans="1:12" ht="12.75" thickTop="1">
      <c r="A69" s="465">
        <v>67</v>
      </c>
      <c r="B69" s="319"/>
      <c r="E69" s="315" t="s">
        <v>234</v>
      </c>
      <c r="F69" s="373">
        <v>-2294</v>
      </c>
      <c r="G69" s="373">
        <v>-15830</v>
      </c>
      <c r="H69" s="373">
        <v>-68134</v>
      </c>
      <c r="I69" s="373">
        <v>24082</v>
      </c>
      <c r="J69" s="373">
        <v>6409</v>
      </c>
      <c r="K69" s="358"/>
      <c r="L69" s="317"/>
    </row>
    <row r="70" spans="1:12">
      <c r="A70" s="465">
        <v>68</v>
      </c>
      <c r="B70" s="319"/>
      <c r="E70" s="315" t="s">
        <v>181</v>
      </c>
      <c r="F70" s="315" t="e">
        <f>+F68-F69</f>
        <v>#REF!</v>
      </c>
      <c r="G70" s="315" t="e">
        <f t="shared" ref="G70:J70" si="3">+G68-G69</f>
        <v>#REF!</v>
      </c>
      <c r="H70" s="315" t="e">
        <f t="shared" si="3"/>
        <v>#REF!</v>
      </c>
      <c r="I70" s="315" t="e">
        <f t="shared" si="3"/>
        <v>#REF!</v>
      </c>
      <c r="J70" s="315" t="e">
        <f t="shared" si="3"/>
        <v>#REF!</v>
      </c>
      <c r="K70" s="358"/>
      <c r="L70" s="317"/>
    </row>
    <row r="71" spans="1:12" s="356" customFormat="1">
      <c r="A71" s="493"/>
      <c r="B71" s="493"/>
      <c r="C71" s="493"/>
      <c r="D71" s="493"/>
      <c r="E71" s="493"/>
      <c r="F71" s="493"/>
      <c r="G71" s="493"/>
      <c r="H71" s="493"/>
      <c r="I71" s="493"/>
      <c r="J71" s="493"/>
      <c r="K71" s="374"/>
      <c r="L71" s="374"/>
    </row>
    <row r="72" spans="1:12">
      <c r="C72" s="356"/>
      <c r="D72" s="754" t="s">
        <v>82</v>
      </c>
      <c r="E72" s="754"/>
      <c r="F72" s="754"/>
      <c r="G72" s="754"/>
      <c r="H72" s="754"/>
      <c r="I72" s="356"/>
      <c r="K72" s="374"/>
      <c r="L72" s="317"/>
    </row>
    <row r="73" spans="1:12">
      <c r="C73" s="356"/>
      <c r="D73" s="754" t="s">
        <v>95</v>
      </c>
      <c r="E73" s="754"/>
      <c r="F73" s="754"/>
      <c r="G73" s="754"/>
      <c r="H73" s="754"/>
      <c r="I73" s="356"/>
      <c r="K73" s="374"/>
      <c r="L73" s="317"/>
    </row>
    <row r="74" spans="1:12">
      <c r="A74" s="322" t="s">
        <v>5</v>
      </c>
      <c r="B74" s="322"/>
      <c r="C74" s="356"/>
      <c r="D74" s="356"/>
      <c r="E74" s="356"/>
      <c r="F74" s="356"/>
      <c r="G74" s="356"/>
      <c r="H74" s="356"/>
      <c r="I74" s="356"/>
      <c r="K74" s="374"/>
      <c r="L74" s="317"/>
    </row>
    <row r="75" spans="1:12">
      <c r="A75" s="324" t="s">
        <v>10</v>
      </c>
      <c r="B75" s="319"/>
      <c r="C75" s="356"/>
      <c r="E75" s="505" t="s">
        <v>225</v>
      </c>
      <c r="F75" s="505">
        <v>2010</v>
      </c>
      <c r="G75" s="504" t="s">
        <v>83</v>
      </c>
      <c r="I75" s="375"/>
      <c r="K75" s="374"/>
      <c r="L75" s="317"/>
    </row>
    <row r="76" spans="1:12">
      <c r="A76" s="464">
        <v>1</v>
      </c>
      <c r="B76" s="322"/>
      <c r="C76" s="502" t="s">
        <v>94</v>
      </c>
      <c r="D76" s="502" t="s">
        <v>37</v>
      </c>
      <c r="E76" s="376" t="e">
        <f>H66</f>
        <v>#REF!</v>
      </c>
      <c r="F76" s="377" t="e">
        <f>+H60</f>
        <v>#REF!</v>
      </c>
      <c r="G76" s="356"/>
      <c r="K76" s="374"/>
      <c r="L76" s="317"/>
    </row>
    <row r="77" spans="1:12">
      <c r="A77" s="465">
        <v>2</v>
      </c>
      <c r="B77" s="322"/>
      <c r="C77" s="502"/>
      <c r="D77" s="502"/>
      <c r="E77" s="376"/>
      <c r="F77" s="356"/>
      <c r="G77" s="356"/>
      <c r="K77" s="374"/>
      <c r="L77" s="317"/>
    </row>
    <row r="78" spans="1:12">
      <c r="A78" s="465">
        <v>3</v>
      </c>
      <c r="B78" s="322"/>
      <c r="C78" s="502"/>
      <c r="D78" s="502" t="s">
        <v>29</v>
      </c>
      <c r="E78" s="378">
        <f>+' Capital '!J16</f>
        <v>7.22E-2</v>
      </c>
      <c r="F78" s="378">
        <f>E78</f>
        <v>7.22E-2</v>
      </c>
      <c r="G78" s="379">
        <f>+' Capital '!J14+' Capital '!J13</f>
        <v>3.0800000000000001E-2</v>
      </c>
      <c r="K78" s="374"/>
      <c r="L78" s="317"/>
    </row>
    <row r="79" spans="1:12">
      <c r="A79" s="465">
        <v>4</v>
      </c>
      <c r="B79" s="322"/>
      <c r="C79" s="502"/>
      <c r="D79" s="502"/>
      <c r="E79" s="380"/>
      <c r="F79" s="356"/>
      <c r="G79" s="356"/>
      <c r="K79" s="374"/>
      <c r="L79" s="317"/>
    </row>
    <row r="80" spans="1:12">
      <c r="A80" s="465">
        <v>5</v>
      </c>
      <c r="B80" s="322"/>
      <c r="C80" s="502" t="s">
        <v>12</v>
      </c>
      <c r="D80" s="502" t="s">
        <v>30</v>
      </c>
      <c r="E80" s="376" t="e">
        <f>E76*E78</f>
        <v>#REF!</v>
      </c>
      <c r="F80" s="376" t="e">
        <f>F76*F78</f>
        <v>#REF!</v>
      </c>
      <c r="G80" s="356"/>
      <c r="K80" s="374"/>
      <c r="L80" s="317"/>
    </row>
    <row r="81" spans="1:12">
      <c r="A81" s="465">
        <v>6</v>
      </c>
      <c r="B81" s="322"/>
      <c r="C81" s="502"/>
      <c r="D81" s="502"/>
      <c r="E81" s="376"/>
      <c r="F81" s="376"/>
      <c r="G81" s="356"/>
      <c r="K81" s="374"/>
      <c r="L81" s="317"/>
    </row>
    <row r="82" spans="1:12">
      <c r="A82" s="465">
        <v>7</v>
      </c>
      <c r="B82" s="322"/>
      <c r="C82" s="502" t="s">
        <v>84</v>
      </c>
      <c r="D82" s="502" t="s">
        <v>30</v>
      </c>
      <c r="E82" s="376" t="e">
        <f>E76*$G$78*-0.35</f>
        <v>#REF!</v>
      </c>
      <c r="F82" s="376" t="e">
        <f>F76*$G$78*-0.35</f>
        <v>#REF!</v>
      </c>
      <c r="G82" s="356"/>
      <c r="K82" s="374"/>
      <c r="L82" s="374"/>
    </row>
    <row r="83" spans="1:12">
      <c r="A83" s="465">
        <v>8</v>
      </c>
      <c r="B83" s="322"/>
      <c r="C83" s="502"/>
      <c r="D83" s="502" t="s">
        <v>85</v>
      </c>
      <c r="E83" s="376"/>
      <c r="F83" s="376"/>
      <c r="G83" s="356"/>
      <c r="K83" s="374"/>
      <c r="L83" s="374"/>
    </row>
    <row r="84" spans="1:12">
      <c r="A84" s="465">
        <v>9</v>
      </c>
      <c r="B84" s="322"/>
      <c r="C84" s="502"/>
      <c r="D84" s="502"/>
      <c r="E84" s="376"/>
      <c r="F84" s="356"/>
      <c r="G84" s="356"/>
      <c r="K84" s="374"/>
      <c r="L84" s="374"/>
    </row>
    <row r="85" spans="1:12">
      <c r="A85" s="465">
        <v>10</v>
      </c>
      <c r="B85" s="322"/>
      <c r="C85" s="502" t="s">
        <v>86</v>
      </c>
      <c r="D85" s="502" t="s">
        <v>30</v>
      </c>
      <c r="E85" s="381" t="e">
        <f>-(F66-G66)</f>
        <v>#REF!</v>
      </c>
      <c r="F85" s="382" t="e">
        <f>-(F60-G60)</f>
        <v>#REF!</v>
      </c>
      <c r="G85" s="356"/>
      <c r="K85" s="374"/>
      <c r="L85" s="374"/>
    </row>
    <row r="86" spans="1:12">
      <c r="A86" s="465">
        <v>11</v>
      </c>
      <c r="B86" s="322"/>
      <c r="C86" s="502"/>
      <c r="D86" s="502" t="s">
        <v>87</v>
      </c>
      <c r="E86" s="381"/>
      <c r="F86" s="356"/>
      <c r="G86" s="356"/>
      <c r="K86" s="374"/>
      <c r="L86" s="374"/>
    </row>
    <row r="87" spans="1:12">
      <c r="A87" s="465">
        <v>12</v>
      </c>
      <c r="B87" s="322"/>
      <c r="C87" s="502"/>
      <c r="D87" s="502"/>
      <c r="E87" s="381"/>
      <c r="F87" s="356"/>
      <c r="G87" s="356"/>
      <c r="K87" s="374"/>
      <c r="L87" s="374"/>
    </row>
    <row r="88" spans="1:12">
      <c r="A88" s="465">
        <v>13</v>
      </c>
      <c r="B88" s="322"/>
      <c r="C88" s="502" t="s">
        <v>84</v>
      </c>
      <c r="D88" s="502" t="s">
        <v>30</v>
      </c>
      <c r="E88" s="376" t="e">
        <f>E85*-0.35</f>
        <v>#REF!</v>
      </c>
      <c r="F88" s="376" t="e">
        <f>F85*-0.35</f>
        <v>#REF!</v>
      </c>
      <c r="G88" s="356"/>
      <c r="K88" s="374"/>
      <c r="L88" s="374"/>
    </row>
    <row r="89" spans="1:12">
      <c r="A89" s="465">
        <v>14</v>
      </c>
      <c r="B89" s="322"/>
      <c r="C89" s="502"/>
      <c r="D89" s="502" t="s">
        <v>88</v>
      </c>
      <c r="E89" s="356"/>
      <c r="F89" s="356"/>
      <c r="G89" s="356"/>
      <c r="K89" s="374"/>
      <c r="L89" s="374"/>
    </row>
    <row r="90" spans="1:12">
      <c r="A90" s="465">
        <v>15</v>
      </c>
      <c r="B90" s="322"/>
      <c r="C90" s="502"/>
      <c r="D90" s="502"/>
      <c r="E90" s="356"/>
      <c r="F90" s="356"/>
      <c r="G90" s="356"/>
      <c r="K90" s="374"/>
      <c r="L90" s="374"/>
    </row>
    <row r="91" spans="1:12" ht="21" customHeight="1">
      <c r="A91" s="465">
        <v>16</v>
      </c>
      <c r="B91" s="752" t="s">
        <v>89</v>
      </c>
      <c r="C91" s="753"/>
      <c r="D91" s="502" t="s">
        <v>30</v>
      </c>
      <c r="E91" s="376" t="e">
        <f>SUM(E80:E89)</f>
        <v>#REF!</v>
      </c>
      <c r="F91" s="376" t="e">
        <f>SUM(F80:F89)</f>
        <v>#REF!</v>
      </c>
      <c r="G91" s="356"/>
      <c r="K91" s="374"/>
      <c r="L91" s="374"/>
    </row>
    <row r="92" spans="1:12">
      <c r="A92" s="465">
        <v>17</v>
      </c>
      <c r="B92" s="322"/>
      <c r="C92" s="502"/>
      <c r="D92" s="502"/>
      <c r="E92" s="356"/>
      <c r="F92" s="356"/>
      <c r="G92" s="356"/>
      <c r="K92" s="374"/>
      <c r="L92" s="374"/>
    </row>
    <row r="93" spans="1:12">
      <c r="A93" s="465">
        <v>18</v>
      </c>
      <c r="B93" s="322"/>
      <c r="C93" s="502" t="s">
        <v>93</v>
      </c>
      <c r="D93" s="502" t="s">
        <v>92</v>
      </c>
      <c r="E93" s="379">
        <f>1-0.35</f>
        <v>0.65</v>
      </c>
      <c r="F93" s="379">
        <f>E93</f>
        <v>0.65</v>
      </c>
      <c r="G93" s="356"/>
      <c r="K93" s="374"/>
      <c r="L93" s="374"/>
    </row>
    <row r="94" spans="1:12" ht="12.75" thickBot="1">
      <c r="A94" s="465">
        <v>19</v>
      </c>
      <c r="B94" s="322"/>
      <c r="C94" s="502"/>
      <c r="D94" s="502"/>
      <c r="E94" s="356"/>
      <c r="F94" s="356"/>
      <c r="G94" s="356"/>
      <c r="K94" s="374"/>
      <c r="L94" s="374"/>
    </row>
    <row r="95" spans="1:12" ht="12.75" thickBot="1">
      <c r="A95" s="465">
        <v>20</v>
      </c>
      <c r="B95" s="322"/>
      <c r="C95" s="502" t="s">
        <v>94</v>
      </c>
      <c r="D95" s="502" t="s">
        <v>33</v>
      </c>
      <c r="E95" s="383" t="e">
        <f>E91/E93</f>
        <v>#REF!</v>
      </c>
      <c r="F95" s="383" t="e">
        <f>F91/F93</f>
        <v>#REF!</v>
      </c>
      <c r="G95" s="376" t="e">
        <f>F95-E95</f>
        <v>#REF!</v>
      </c>
      <c r="K95" s="374"/>
      <c r="L95" s="374"/>
    </row>
    <row r="96" spans="1:12">
      <c r="A96" s="465">
        <v>21</v>
      </c>
      <c r="B96" s="322"/>
      <c r="C96" s="502"/>
      <c r="E96" s="356"/>
      <c r="F96" s="356"/>
      <c r="G96" s="356"/>
      <c r="K96" s="374" t="s">
        <v>91</v>
      </c>
      <c r="L96" s="374"/>
    </row>
    <row r="97" spans="1:12">
      <c r="A97" s="465">
        <v>22</v>
      </c>
      <c r="B97" s="322"/>
      <c r="C97" s="356"/>
      <c r="D97" s="384" t="s">
        <v>90</v>
      </c>
      <c r="E97" s="385" t="e">
        <f>E95/E63</f>
        <v>#REF!</v>
      </c>
      <c r="F97" s="385" t="e">
        <f>F95/E62</f>
        <v>#REF!</v>
      </c>
      <c r="G97" s="386" t="e">
        <f>F97*(E62-E63)</f>
        <v>#REF!</v>
      </c>
      <c r="K97" s="374"/>
      <c r="L97" s="374"/>
    </row>
    <row r="98" spans="1:12">
      <c r="A98" s="465"/>
      <c r="B98" s="322"/>
      <c r="C98" s="356"/>
      <c r="D98" s="356"/>
      <c r="F98" s="356"/>
      <c r="G98" s="356"/>
      <c r="H98" s="356"/>
      <c r="I98" s="356"/>
      <c r="K98" s="374"/>
      <c r="L98" s="374"/>
    </row>
    <row r="99" spans="1:12">
      <c r="A99" s="465"/>
      <c r="B99" s="322"/>
      <c r="C99" s="356"/>
      <c r="D99" s="356"/>
      <c r="E99" s="356"/>
      <c r="F99" s="356"/>
      <c r="G99" s="356"/>
      <c r="H99" s="356"/>
      <c r="I99" s="356"/>
      <c r="K99" s="374"/>
      <c r="L99" s="374"/>
    </row>
    <row r="100" spans="1:12">
      <c r="A100" s="356"/>
      <c r="B100" s="356"/>
      <c r="C100" s="356"/>
      <c r="D100" s="356"/>
      <c r="E100" s="356"/>
      <c r="F100" s="356"/>
      <c r="G100" s="356"/>
      <c r="H100" s="356"/>
      <c r="I100" s="356"/>
      <c r="K100" s="374"/>
      <c r="L100" s="374"/>
    </row>
    <row r="101" spans="1:12">
      <c r="A101" s="356"/>
      <c r="B101" s="356"/>
      <c r="C101" s="356"/>
      <c r="D101" s="356"/>
      <c r="E101" s="356"/>
      <c r="F101" s="356"/>
      <c r="G101" s="356"/>
      <c r="H101" s="356"/>
      <c r="I101" s="356"/>
      <c r="K101" s="374"/>
      <c r="L101" s="374"/>
    </row>
  </sheetData>
  <mergeCells count="7">
    <mergeCell ref="B91:C91"/>
    <mergeCell ref="D72:H72"/>
    <mergeCell ref="D73:H73"/>
    <mergeCell ref="C1:D1"/>
    <mergeCell ref="C6:J6"/>
    <mergeCell ref="C7:J7"/>
    <mergeCell ref="C9:D9"/>
  </mergeCells>
  <phoneticPr fontId="0" type="noConversion"/>
  <printOptions horizontalCentered="1"/>
  <pageMargins left="0.75" right="0.75" top="1.5" bottom="1" header="0.5" footer="0.5"/>
  <pageSetup scale="74" fitToHeight="2" orientation="portrait" r:id="rId1"/>
  <headerFooter scaleWithDoc="0" alignWithMargins="0">
    <oddHeader xml:space="preserve">&amp;L&amp;"Arial,Regular"&amp;10Avista Corporation
&amp;"Arial,Bold"Electric - Production Property Adjustment&amp;"Arial,Regular"
Twelve Months Ended Month ##, ####&amp;C
&amp;R&amp;"Arial,Regular"&amp;10Exhibit No. ___ (XXX-#)
Docket UE-###### &amp;&amp; UG-######
Page &amp;P of &amp;N
</oddHeader>
    <oddFooter xml:space="preserve">&amp;C
</oddFooter>
  </headerFooter>
  <rowBreaks count="1" manualBreakCount="1">
    <brk id="70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9" enableFormatConditionsCalculation="0">
    <tabColor theme="0" tint="-0.34998626667073579"/>
    <pageSetUpPr fitToPage="1"/>
  </sheetPr>
  <dimension ref="A1:Q61"/>
  <sheetViews>
    <sheetView workbookViewId="0">
      <selection activeCell="B95" sqref="B95"/>
    </sheetView>
  </sheetViews>
  <sheetFormatPr defaultColWidth="9" defaultRowHeight="15.75" customHeight="1"/>
  <cols>
    <col min="1" max="1" width="4.5" style="265" bestFit="1" customWidth="1"/>
    <col min="2" max="2" width="2.125" style="67" customWidth="1"/>
    <col min="3" max="3" width="28.375" style="67" bestFit="1" customWidth="1"/>
    <col min="4" max="4" width="2.125" style="67" customWidth="1"/>
    <col min="5" max="5" width="18.875" style="255" bestFit="1" customWidth="1"/>
    <col min="6" max="6" width="2.125" style="67" customWidth="1"/>
    <col min="7" max="8" width="11.5" style="67" customWidth="1"/>
    <col min="9" max="9" width="27.125" style="101" bestFit="1" customWidth="1"/>
    <col min="10" max="10" width="11.875" style="67" bestFit="1" customWidth="1"/>
    <col min="11" max="12" width="9" style="67"/>
    <col min="13" max="13" width="13.625" style="67" customWidth="1"/>
    <col min="14" max="14" width="9" style="67"/>
    <col min="15" max="15" width="14.125" style="67" bestFit="1" customWidth="1"/>
    <col min="16" max="16" width="10.5" style="67" customWidth="1"/>
    <col min="17" max="16384" width="9" style="67"/>
  </cols>
  <sheetData>
    <row r="1" spans="1:17" ht="15.75" customHeight="1">
      <c r="B1" s="217"/>
      <c r="C1" s="255" t="s">
        <v>99</v>
      </c>
      <c r="D1" s="218"/>
      <c r="E1" s="219"/>
      <c r="F1" s="218"/>
      <c r="G1" s="218"/>
      <c r="H1" s="218"/>
      <c r="I1" s="220"/>
      <c r="J1" s="220"/>
      <c r="K1" s="220"/>
      <c r="L1" s="220"/>
      <c r="M1" s="220"/>
      <c r="N1" s="100"/>
      <c r="O1" s="220"/>
      <c r="P1" s="100"/>
    </row>
    <row r="2" spans="1:17" ht="15.75" customHeight="1">
      <c r="A2" s="266"/>
      <c r="B2" s="217"/>
      <c r="C2" s="221"/>
      <c r="D2" s="221"/>
      <c r="E2" s="222"/>
      <c r="F2" s="218"/>
      <c r="G2" s="218"/>
      <c r="H2" s="218"/>
      <c r="I2" s="100"/>
      <c r="J2" s="100"/>
      <c r="K2" s="100"/>
      <c r="L2" s="100"/>
      <c r="M2" s="100">
        <f>+M12</f>
        <v>-20378.209464901254</v>
      </c>
      <c r="N2" s="100">
        <f>+M2</f>
        <v>-20378.209464901254</v>
      </c>
      <c r="O2" s="100">
        <f>+N2</f>
        <v>-20378.209464901254</v>
      </c>
      <c r="P2" s="100"/>
    </row>
    <row r="3" spans="1:17" ht="15.75" customHeight="1">
      <c r="A3" s="466" t="s">
        <v>5</v>
      </c>
      <c r="B3" s="125"/>
      <c r="C3" s="221"/>
      <c r="D3" s="221"/>
      <c r="E3" s="222"/>
      <c r="F3" s="221"/>
      <c r="G3" s="221"/>
      <c r="H3" s="221"/>
      <c r="I3" s="100"/>
      <c r="J3" s="100"/>
      <c r="K3" s="100"/>
      <c r="L3" s="100"/>
      <c r="M3" s="100"/>
      <c r="N3" s="100">
        <v>-181</v>
      </c>
      <c r="O3" s="100"/>
      <c r="P3" s="100"/>
    </row>
    <row r="4" spans="1:17" ht="15.75" customHeight="1">
      <c r="A4" s="467" t="s">
        <v>10</v>
      </c>
      <c r="B4" s="221"/>
      <c r="C4" s="221"/>
      <c r="D4" s="221"/>
      <c r="E4" s="222"/>
      <c r="F4" s="221"/>
      <c r="G4" s="221"/>
      <c r="H4" s="221"/>
      <c r="I4" s="100"/>
      <c r="J4" s="100"/>
      <c r="K4" s="100"/>
      <c r="L4" s="100"/>
      <c r="M4" s="100"/>
      <c r="N4" s="100">
        <f>+N2+N3</f>
        <v>-20559.209464901254</v>
      </c>
      <c r="O4" s="100"/>
      <c r="P4" s="100"/>
    </row>
    <row r="5" spans="1:17" ht="15.75" customHeight="1" thickBot="1">
      <c r="A5" s="268">
        <v>1</v>
      </c>
      <c r="B5" s="221"/>
      <c r="C5" s="736" t="s">
        <v>272</v>
      </c>
      <c r="D5" s="736"/>
      <c r="E5" s="736"/>
      <c r="F5" s="736"/>
      <c r="G5" s="736"/>
      <c r="H5" s="630"/>
      <c r="I5" s="100"/>
      <c r="J5" s="100"/>
      <c r="K5" s="100"/>
      <c r="L5" s="100"/>
      <c r="M5" s="224">
        <v>3.8730000000000001E-2</v>
      </c>
      <c r="N5" s="224">
        <v>3.8730000000000001E-2</v>
      </c>
      <c r="O5" s="225">
        <v>3.8628999999999997E-2</v>
      </c>
      <c r="P5" s="100"/>
    </row>
    <row r="6" spans="1:17" ht="15.75" customHeight="1">
      <c r="A6" s="268">
        <v>2</v>
      </c>
      <c r="B6" s="221"/>
      <c r="C6" s="226"/>
      <c r="D6" s="226"/>
      <c r="E6" s="227"/>
      <c r="F6" s="228"/>
      <c r="G6" s="228"/>
      <c r="H6" s="228"/>
      <c r="I6" s="100"/>
      <c r="J6" s="100"/>
      <c r="K6" s="100"/>
      <c r="L6" s="100"/>
      <c r="M6" s="100">
        <f>+M2*M5</f>
        <v>-789.24805257562559</v>
      </c>
      <c r="N6" s="100">
        <f>+N4*N5</f>
        <v>-796.2581825756256</v>
      </c>
      <c r="O6" s="100">
        <f>+O2*O5</f>
        <v>-787.1898534196705</v>
      </c>
      <c r="P6" s="100"/>
    </row>
    <row r="7" spans="1:17" ht="15.75" customHeight="1" thickBot="1">
      <c r="A7" s="268">
        <v>3</v>
      </c>
      <c r="B7" s="221"/>
      <c r="C7" s="226"/>
      <c r="D7" s="226"/>
      <c r="E7" s="227"/>
      <c r="F7" s="228"/>
      <c r="G7" s="228"/>
      <c r="H7" s="228"/>
      <c r="I7" s="737" t="s">
        <v>112</v>
      </c>
      <c r="J7" s="737"/>
      <c r="K7" s="100"/>
      <c r="L7" s="100"/>
      <c r="M7" s="100"/>
      <c r="N7" s="100"/>
      <c r="O7" s="100"/>
      <c r="P7" s="100"/>
    </row>
    <row r="8" spans="1:17" ht="15.75" customHeight="1" thickBot="1">
      <c r="A8" s="268">
        <v>4</v>
      </c>
      <c r="B8" s="221"/>
      <c r="C8" s="229" t="s">
        <v>18</v>
      </c>
      <c r="D8" s="229"/>
      <c r="E8" s="230"/>
      <c r="F8" s="231"/>
      <c r="G8" s="232">
        <v>1</v>
      </c>
      <c r="H8" s="232"/>
      <c r="I8" s="517" t="s">
        <v>291</v>
      </c>
      <c r="J8" s="518" t="s">
        <v>292</v>
      </c>
      <c r="K8" s="100"/>
      <c r="L8" s="100"/>
      <c r="M8" s="233" t="s">
        <v>111</v>
      </c>
      <c r="N8" s="740" t="s">
        <v>364</v>
      </c>
      <c r="O8" s="741"/>
      <c r="P8" s="738" t="s">
        <v>364</v>
      </c>
      <c r="Q8" s="739"/>
    </row>
    <row r="9" spans="1:17" ht="15.75" customHeight="1">
      <c r="A9" s="268">
        <v>5</v>
      </c>
      <c r="B9" s="221"/>
      <c r="C9" s="234"/>
      <c r="D9" s="234"/>
      <c r="E9" s="230"/>
      <c r="F9" s="235"/>
      <c r="G9" s="236"/>
      <c r="H9" s="236"/>
      <c r="I9" s="100"/>
      <c r="J9" s="489"/>
      <c r="K9" s="100"/>
      <c r="L9" s="100"/>
      <c r="M9" s="233" t="s">
        <v>213</v>
      </c>
      <c r="N9" s="100"/>
      <c r="O9" s="639"/>
      <c r="P9" s="100"/>
    </row>
    <row r="10" spans="1:17" ht="15.75" customHeight="1" thickBot="1">
      <c r="A10" s="268">
        <v>6</v>
      </c>
      <c r="B10" s="237"/>
      <c r="C10" s="229" t="s">
        <v>135</v>
      </c>
      <c r="D10" s="229"/>
      <c r="E10" s="230"/>
      <c r="F10" s="238"/>
      <c r="G10" s="232">
        <v>2E-3</v>
      </c>
      <c r="H10" s="232"/>
      <c r="I10" s="100" t="s">
        <v>297</v>
      </c>
      <c r="J10" s="489"/>
      <c r="K10" s="100"/>
      <c r="L10" s="100"/>
      <c r="M10" s="239" t="s">
        <v>15</v>
      </c>
      <c r="N10" s="100"/>
      <c r="O10" s="239" t="s">
        <v>15</v>
      </c>
      <c r="P10" s="100"/>
    </row>
    <row r="11" spans="1:17" ht="15.75" customHeight="1">
      <c r="A11" s="268">
        <v>7</v>
      </c>
      <c r="B11" s="237"/>
      <c r="C11" s="229" t="s">
        <v>139</v>
      </c>
      <c r="D11" s="229"/>
      <c r="E11" s="230"/>
      <c r="F11" s="238"/>
      <c r="G11" s="232">
        <f>0.038562</f>
        <v>3.8561999999999999E-2</v>
      </c>
      <c r="H11" s="232"/>
      <c r="I11" s="100" t="s">
        <v>312</v>
      </c>
      <c r="J11" s="489"/>
      <c r="K11" s="100"/>
      <c r="L11" s="100"/>
      <c r="M11" s="240"/>
      <c r="N11" s="100"/>
      <c r="O11" s="240"/>
      <c r="P11" s="100"/>
    </row>
    <row r="12" spans="1:17" ht="15.75" customHeight="1">
      <c r="A12" s="268">
        <v>8</v>
      </c>
      <c r="B12" s="237"/>
      <c r="C12" s="229" t="s">
        <v>298</v>
      </c>
      <c r="D12" s="229"/>
      <c r="E12" s="230"/>
      <c r="F12" s="238"/>
      <c r="G12" s="232">
        <v>4.3379999999999998E-3</v>
      </c>
      <c r="H12" s="232"/>
      <c r="I12" s="100" t="s">
        <v>296</v>
      </c>
      <c r="J12" s="489"/>
      <c r="K12" s="100"/>
      <c r="L12" s="100"/>
      <c r="M12" s="241">
        <f>+'RR Calculation'!G22</f>
        <v>-20378.209464901254</v>
      </c>
      <c r="N12" s="100"/>
      <c r="O12" s="241">
        <v>47364</v>
      </c>
      <c r="P12" s="100"/>
    </row>
    <row r="13" spans="1:17" ht="15.75" customHeight="1">
      <c r="A13" s="268">
        <v>9</v>
      </c>
      <c r="B13" s="223"/>
      <c r="C13" s="242" t="s">
        <v>136</v>
      </c>
      <c r="D13" s="242"/>
      <c r="E13" s="238" t="s">
        <v>257</v>
      </c>
      <c r="G13" s="243">
        <f>SUM(G10:G12)</f>
        <v>4.4900000000000002E-2</v>
      </c>
      <c r="H13" s="232"/>
      <c r="I13" s="100"/>
      <c r="J13" s="489"/>
      <c r="K13" s="100"/>
      <c r="L13" s="100"/>
      <c r="M13" s="241"/>
      <c r="N13" s="100"/>
      <c r="O13" s="241"/>
      <c r="P13" s="100"/>
    </row>
    <row r="14" spans="1:17" ht="15.75" customHeight="1">
      <c r="A14" s="268">
        <v>10</v>
      </c>
      <c r="B14" s="237"/>
      <c r="C14" s="242"/>
      <c r="D14" s="242"/>
      <c r="E14" s="238"/>
      <c r="G14" s="232"/>
      <c r="H14" s="232"/>
      <c r="I14" s="100"/>
      <c r="J14" s="489"/>
      <c r="K14" s="100"/>
      <c r="L14" s="100"/>
      <c r="M14" s="244">
        <f>+$M$12*G10</f>
        <v>-40.756418929802507</v>
      </c>
      <c r="N14" s="100"/>
      <c r="O14" s="244">
        <f>+$O$12*G10</f>
        <v>94.728000000000009</v>
      </c>
      <c r="P14" s="100"/>
    </row>
    <row r="15" spans="1:17" ht="15.75" customHeight="1">
      <c r="A15" s="268">
        <v>11</v>
      </c>
      <c r="B15" s="237"/>
      <c r="C15" s="229" t="s">
        <v>141</v>
      </c>
      <c r="D15" s="229"/>
      <c r="E15" s="230" t="s">
        <v>144</v>
      </c>
      <c r="G15" s="232">
        <f>+G8-G13</f>
        <v>0.95509999999999995</v>
      </c>
      <c r="H15" s="232"/>
      <c r="I15" s="100"/>
      <c r="J15" s="489"/>
      <c r="K15" s="100"/>
      <c r="L15" s="100"/>
      <c r="M15" s="244">
        <f>+$M$12*G11</f>
        <v>-785.8245133855221</v>
      </c>
      <c r="N15" s="100"/>
      <c r="O15" s="244">
        <f>+$O$12*G11</f>
        <v>1826.450568</v>
      </c>
      <c r="P15" s="100"/>
    </row>
    <row r="16" spans="1:17" ht="15.75" customHeight="1">
      <c r="A16" s="268">
        <v>12</v>
      </c>
      <c r="B16" s="237"/>
      <c r="C16" s="229"/>
      <c r="D16" s="229"/>
      <c r="E16" s="230"/>
      <c r="G16" s="236"/>
      <c r="H16" s="236"/>
      <c r="I16" s="100"/>
      <c r="J16" s="489"/>
      <c r="K16" s="100"/>
      <c r="L16" s="100"/>
      <c r="M16" s="244">
        <f>+$M$12*G12</f>
        <v>-88.400672658741641</v>
      </c>
      <c r="N16" s="100"/>
      <c r="O16" s="244">
        <f>+$O$12*G12</f>
        <v>205.46503199999998</v>
      </c>
      <c r="P16" s="100"/>
    </row>
    <row r="17" spans="1:16" ht="15.75" customHeight="1">
      <c r="A17" s="268">
        <v>13</v>
      </c>
      <c r="B17" s="237"/>
      <c r="C17" s="229" t="s">
        <v>140</v>
      </c>
      <c r="D17" s="229"/>
      <c r="E17" s="230" t="s">
        <v>258</v>
      </c>
      <c r="G17" s="232">
        <f>+G15*0.35</f>
        <v>0.33428499999999994</v>
      </c>
      <c r="H17" s="232"/>
      <c r="I17" s="100"/>
      <c r="J17" s="489"/>
      <c r="K17" s="100"/>
      <c r="L17" s="100"/>
      <c r="M17" s="245">
        <f>SUM(M14:M16)</f>
        <v>-914.98160497406627</v>
      </c>
      <c r="N17" s="100"/>
      <c r="O17" s="245">
        <f>SUM(O14:O16)</f>
        <v>2126.6435999999999</v>
      </c>
      <c r="P17" s="100"/>
    </row>
    <row r="18" spans="1:16" ht="15.75" customHeight="1" thickBot="1">
      <c r="A18" s="268">
        <v>14</v>
      </c>
      <c r="B18" s="237"/>
      <c r="C18" s="229" t="s">
        <v>137</v>
      </c>
      <c r="D18" s="229"/>
      <c r="E18" s="230" t="s">
        <v>145</v>
      </c>
      <c r="G18" s="246">
        <f>+G13+G17</f>
        <v>0.37918499999999994</v>
      </c>
      <c r="H18" s="232"/>
      <c r="I18" s="100"/>
      <c r="J18" s="489"/>
      <c r="K18" s="100"/>
      <c r="L18" s="100"/>
      <c r="M18" s="244"/>
      <c r="N18" s="100"/>
      <c r="O18" s="244"/>
      <c r="P18" s="100"/>
    </row>
    <row r="19" spans="1:16" ht="15.75" customHeight="1" thickTop="1">
      <c r="A19" s="268">
        <v>15</v>
      </c>
      <c r="B19" s="237"/>
      <c r="C19" s="235"/>
      <c r="D19" s="235"/>
      <c r="E19" s="238"/>
      <c r="G19" s="236"/>
      <c r="H19" s="236"/>
      <c r="I19" s="100"/>
      <c r="J19" s="489"/>
      <c r="K19" s="100"/>
      <c r="L19" s="100"/>
      <c r="M19" s="244">
        <f>+M12-M17</f>
        <v>-19463.227859927189</v>
      </c>
      <c r="N19" s="100"/>
      <c r="O19" s="244">
        <f>+O12-O17</f>
        <v>45237.356399999997</v>
      </c>
      <c r="P19" s="100"/>
    </row>
    <row r="20" spans="1:16" ht="15.75" customHeight="1">
      <c r="A20" s="268">
        <v>16</v>
      </c>
      <c r="B20" s="237"/>
      <c r="C20" s="242" t="s">
        <v>36</v>
      </c>
      <c r="D20" s="242"/>
      <c r="E20" s="238" t="s">
        <v>259</v>
      </c>
      <c r="G20" s="243">
        <f>ROUND(1-(+G18/G8),5)</f>
        <v>0.62082000000000004</v>
      </c>
      <c r="H20" s="232"/>
      <c r="I20" s="100"/>
      <c r="J20" s="489" t="s">
        <v>299</v>
      </c>
      <c r="K20" s="100"/>
      <c r="L20" s="100"/>
      <c r="M20" s="244"/>
      <c r="N20" s="100"/>
      <c r="O20" s="244"/>
      <c r="P20" s="100"/>
    </row>
    <row r="21" spans="1:16" ht="15.75" customHeight="1">
      <c r="A21" s="268">
        <v>17</v>
      </c>
      <c r="B21" s="237"/>
      <c r="C21" s="221"/>
      <c r="D21" s="221"/>
      <c r="E21" s="222"/>
      <c r="F21" s="221"/>
      <c r="G21" s="221"/>
      <c r="H21" s="221"/>
      <c r="I21" s="100"/>
      <c r="J21" s="100"/>
      <c r="K21" s="100"/>
      <c r="L21" s="100"/>
      <c r="M21" s="247">
        <f>+M19*0.35</f>
        <v>-6812.1297509745154</v>
      </c>
      <c r="N21" s="100"/>
      <c r="O21" s="247">
        <f>+O19*0.35</f>
        <v>15833.074739999998</v>
      </c>
      <c r="P21" s="100"/>
    </row>
    <row r="22" spans="1:16" ht="15.75" customHeight="1" thickBot="1">
      <c r="A22" s="268">
        <v>18</v>
      </c>
      <c r="B22" s="237"/>
      <c r="C22" s="221"/>
      <c r="D22" s="221"/>
      <c r="E22" s="222"/>
      <c r="F22" s="221"/>
      <c r="G22" s="221"/>
      <c r="H22" s="221"/>
      <c r="I22" s="100"/>
      <c r="J22" s="100"/>
      <c r="K22" s="100"/>
      <c r="L22" s="100"/>
      <c r="M22" s="248">
        <f>+M21+M17</f>
        <v>-7727.1113559485821</v>
      </c>
      <c r="N22" s="100"/>
      <c r="O22" s="248">
        <f>+O21+O17</f>
        <v>17959.718339999999</v>
      </c>
      <c r="P22" s="100"/>
    </row>
    <row r="23" spans="1:16" ht="15.75" customHeight="1" thickTop="1">
      <c r="A23" s="268">
        <v>19</v>
      </c>
      <c r="B23" s="237"/>
      <c r="C23" s="235"/>
      <c r="D23" s="235"/>
      <c r="E23" s="238"/>
      <c r="F23" s="249"/>
      <c r="G23" s="221"/>
      <c r="H23" s="221"/>
      <c r="I23" s="100"/>
      <c r="J23" s="100"/>
      <c r="K23" s="100"/>
      <c r="L23" s="100"/>
      <c r="M23" s="244"/>
      <c r="N23" s="100"/>
      <c r="O23" s="244"/>
      <c r="P23" s="100"/>
    </row>
    <row r="24" spans="1:16" ht="15.75" customHeight="1" thickBot="1">
      <c r="A24" s="268">
        <v>20</v>
      </c>
      <c r="B24" s="237"/>
      <c r="C24" s="221"/>
      <c r="D24" s="221"/>
      <c r="E24" s="222"/>
      <c r="F24" s="218"/>
      <c r="G24" s="250"/>
      <c r="H24" s="250"/>
      <c r="I24" s="100"/>
      <c r="J24" s="100"/>
      <c r="K24" s="100"/>
      <c r="L24" s="100"/>
      <c r="M24" s="251">
        <f>+M12-M22</f>
        <v>-12651.098108952672</v>
      </c>
      <c r="N24" s="100"/>
      <c r="O24" s="251">
        <f>+O12-O22</f>
        <v>29404.281660000001</v>
      </c>
      <c r="P24" s="100"/>
    </row>
    <row r="25" spans="1:16" ht="15.75" customHeight="1">
      <c r="A25" s="268">
        <v>21</v>
      </c>
      <c r="B25" s="221"/>
      <c r="C25" s="221"/>
      <c r="D25" s="221"/>
      <c r="E25" s="222"/>
      <c r="F25" s="221"/>
      <c r="G25" s="221"/>
      <c r="H25" s="221"/>
      <c r="I25" s="100"/>
      <c r="J25" s="100"/>
      <c r="K25" s="100"/>
      <c r="L25" s="100"/>
      <c r="M25" s="100"/>
      <c r="N25" s="100"/>
      <c r="O25" s="100"/>
      <c r="P25" s="100"/>
    </row>
    <row r="26" spans="1:16" ht="15.75" customHeight="1" thickBot="1">
      <c r="A26" s="267"/>
      <c r="B26" s="221"/>
      <c r="C26" s="221"/>
      <c r="D26" s="221"/>
      <c r="E26" s="222"/>
      <c r="F26" s="221"/>
      <c r="G26" s="221"/>
      <c r="H26" s="221"/>
      <c r="I26" s="100"/>
      <c r="J26" s="100"/>
      <c r="K26" s="100"/>
      <c r="L26" s="100"/>
      <c r="M26" s="100"/>
      <c r="N26" s="100"/>
      <c r="O26" s="100"/>
      <c r="P26" s="100"/>
    </row>
    <row r="27" spans="1:16" ht="15.75" customHeight="1">
      <c r="A27" s="267"/>
      <c r="B27" s="221"/>
      <c r="C27" s="221"/>
      <c r="D27" s="221"/>
      <c r="E27" s="222"/>
      <c r="F27" s="221"/>
      <c r="G27" s="252"/>
      <c r="H27" s="252"/>
      <c r="I27" s="100"/>
      <c r="J27" s="100"/>
      <c r="K27" s="100"/>
      <c r="L27" s="100"/>
      <c r="M27" s="240"/>
      <c r="N27" s="253"/>
      <c r="O27" s="254"/>
      <c r="P27" s="100"/>
    </row>
    <row r="28" spans="1:16" ht="15.75" customHeight="1">
      <c r="G28" s="215"/>
      <c r="H28" s="215"/>
      <c r="I28" s="100"/>
      <c r="J28" s="100"/>
      <c r="K28" s="100"/>
      <c r="L28" s="100"/>
      <c r="M28" s="224">
        <v>3.8730000000000001E-2</v>
      </c>
      <c r="N28" s="256" t="s">
        <v>215</v>
      </c>
      <c r="O28" s="257"/>
      <c r="P28" s="100"/>
    </row>
    <row r="29" spans="1:16" ht="15.75" customHeight="1">
      <c r="I29" s="100"/>
      <c r="J29" s="100"/>
      <c r="K29" s="100"/>
      <c r="L29" s="100"/>
      <c r="M29" s="258">
        <f>+G12</f>
        <v>4.3379999999999998E-3</v>
      </c>
      <c r="N29" s="256" t="s">
        <v>216</v>
      </c>
      <c r="O29" s="257"/>
      <c r="P29" s="100"/>
    </row>
    <row r="30" spans="1:16" ht="15.75" customHeight="1">
      <c r="I30" s="100"/>
      <c r="J30" s="100"/>
      <c r="K30" s="100"/>
      <c r="L30" s="100"/>
      <c r="M30" s="259">
        <f>+M28*M29</f>
        <v>1.6801073999999998E-4</v>
      </c>
      <c r="N30" s="260" t="s">
        <v>217</v>
      </c>
      <c r="O30" s="261"/>
      <c r="P30" s="100"/>
    </row>
    <row r="31" spans="1:16" ht="15.75" customHeight="1" thickBot="1">
      <c r="I31" s="100"/>
      <c r="J31" s="100"/>
      <c r="K31" s="100"/>
      <c r="L31" s="100"/>
      <c r="M31" s="225">
        <f>+M28-M30</f>
        <v>3.8561989259999999E-2</v>
      </c>
      <c r="N31" s="262" t="s">
        <v>218</v>
      </c>
      <c r="O31" s="263"/>
      <c r="P31" s="100"/>
    </row>
    <row r="32" spans="1:16" ht="15.75" customHeight="1">
      <c r="I32" s="100"/>
      <c r="J32" s="100"/>
      <c r="K32" s="100"/>
      <c r="L32" s="100"/>
      <c r="M32" s="100"/>
      <c r="N32" s="100"/>
      <c r="O32" s="100"/>
      <c r="P32" s="100"/>
    </row>
    <row r="33" spans="9:16" ht="15.75" customHeight="1">
      <c r="I33" s="100"/>
      <c r="J33" s="100"/>
      <c r="K33" s="100"/>
      <c r="L33" s="100"/>
      <c r="M33" s="100"/>
      <c r="N33" s="100">
        <v>1383</v>
      </c>
      <c r="O33" s="100"/>
      <c r="P33" s="100"/>
    </row>
    <row r="34" spans="9:16" ht="15.75" customHeight="1">
      <c r="I34" s="100"/>
      <c r="J34" s="100"/>
      <c r="K34" s="100"/>
      <c r="L34" s="100"/>
      <c r="M34" s="100"/>
      <c r="N34" s="100">
        <f>+N33*G20</f>
        <v>858.59406000000001</v>
      </c>
      <c r="O34" s="100"/>
      <c r="P34" s="100"/>
    </row>
    <row r="35" spans="9:16" ht="15.75" customHeight="1">
      <c r="I35" s="100"/>
      <c r="J35" s="100"/>
      <c r="K35" s="100"/>
      <c r="L35" s="100"/>
      <c r="M35" s="100"/>
      <c r="N35" s="100"/>
      <c r="O35" s="100"/>
      <c r="P35" s="100"/>
    </row>
    <row r="36" spans="9:16" ht="15.75" customHeight="1">
      <c r="M36" s="101"/>
      <c r="N36" s="101"/>
      <c r="O36" s="101"/>
      <c r="P36" s="101"/>
    </row>
    <row r="37" spans="9:16" ht="15.75" customHeight="1">
      <c r="M37" s="101"/>
      <c r="N37" s="101"/>
      <c r="O37" s="101"/>
      <c r="P37" s="101"/>
    </row>
    <row r="38" spans="9:16" ht="15.75" customHeight="1">
      <c r="M38" s="101"/>
      <c r="N38" s="101"/>
      <c r="O38" s="101"/>
      <c r="P38" s="101"/>
    </row>
    <row r="39" spans="9:16" ht="15.75" customHeight="1">
      <c r="M39" s="101"/>
      <c r="N39" s="101"/>
      <c r="O39" s="101"/>
      <c r="P39" s="101"/>
    </row>
    <row r="61" spans="16:16" ht="15.75" customHeight="1">
      <c r="P61" s="67" t="s">
        <v>404</v>
      </c>
    </row>
  </sheetData>
  <mergeCells count="4">
    <mergeCell ref="C5:G5"/>
    <mergeCell ref="I7:J7"/>
    <mergeCell ref="P8:Q8"/>
    <mergeCell ref="N8:O8"/>
  </mergeCells>
  <phoneticPr fontId="11" type="noConversion"/>
  <printOptions horizontalCentered="1"/>
  <pageMargins left="0.5" right="0.5" top="1.2" bottom="0.3" header="0.5" footer="0.5"/>
  <pageSetup fitToWidth="0" orientation="portrait" r:id="rId1"/>
  <headerFooter scaleWithDoc="0" alignWithMargins="0">
    <oddHeader>&amp;L&amp;"Arial,Regular"&amp;10Avista Corporation
Electric - Revenue Conversion Factor (Schedule 3.0)
Twelve Months Ended December31, 2011&amp;R&amp;"Arial,Regular"&amp;10Exhibit No. ___ (JH-2)
Dockets UE-120436 &amp;&amp; UG-120437
Page &amp;P+9 of  11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theme="0" tint="-0.34998626667073579"/>
    <pageSetUpPr fitToPage="1"/>
  </sheetPr>
  <dimension ref="A1:Q61"/>
  <sheetViews>
    <sheetView workbookViewId="0">
      <selection activeCell="B95" sqref="B95"/>
    </sheetView>
  </sheetViews>
  <sheetFormatPr defaultColWidth="9" defaultRowHeight="15.75" customHeight="1"/>
  <cols>
    <col min="1" max="1" width="3.875" style="269" bestFit="1" customWidth="1"/>
    <col min="2" max="2" width="2.125" style="67" customWidth="1"/>
    <col min="3" max="3" width="6.25" style="67" customWidth="1"/>
    <col min="4" max="4" width="15.125" style="67" bestFit="1" customWidth="1"/>
    <col min="5" max="5" width="2.125" style="67" customWidth="1"/>
    <col min="6" max="6" width="14.125" style="67" customWidth="1"/>
    <col min="7" max="7" width="2.125" style="106" customWidth="1"/>
    <col min="8" max="8" width="7.375" style="67" bestFit="1" customWidth="1"/>
    <col min="9" max="9" width="2.125" style="106" customWidth="1"/>
    <col min="10" max="10" width="7.75" style="67" bestFit="1" customWidth="1"/>
    <col min="11" max="11" width="11" style="490" customWidth="1"/>
    <col min="12" max="12" width="15.875" style="100" bestFit="1" customWidth="1"/>
    <col min="13" max="13" width="6" style="100" bestFit="1" customWidth="1"/>
    <col min="14" max="14" width="9.125" style="100" customWidth="1"/>
    <col min="15" max="15" width="15.875" style="100" customWidth="1"/>
    <col min="16" max="16" width="15.875" style="100" bestFit="1" customWidth="1"/>
    <col min="17" max="17" width="14.375" style="100" customWidth="1"/>
    <col min="18" max="16384" width="9" style="67"/>
  </cols>
  <sheetData>
    <row r="1" spans="1:17" ht="15.75" customHeight="1">
      <c r="B1" s="159"/>
      <c r="C1" s="159"/>
      <c r="D1" s="159" t="s">
        <v>99</v>
      </c>
      <c r="E1" s="270"/>
      <c r="F1" s="270"/>
      <c r="G1" s="271"/>
      <c r="H1" s="159"/>
      <c r="I1" s="272"/>
      <c r="J1" s="159"/>
      <c r="K1" s="290"/>
    </row>
    <row r="2" spans="1:17" ht="15.75" customHeight="1">
      <c r="A2" s="273"/>
      <c r="B2" s="274"/>
      <c r="C2" s="159"/>
      <c r="D2" s="270"/>
      <c r="E2" s="270"/>
      <c r="F2" s="270"/>
      <c r="G2" s="271"/>
      <c r="H2" s="159"/>
      <c r="I2" s="272"/>
      <c r="J2" s="159"/>
      <c r="K2" s="290"/>
    </row>
    <row r="3" spans="1:17" ht="15.75" customHeight="1">
      <c r="A3" s="275"/>
      <c r="B3" s="159"/>
      <c r="C3" s="159"/>
      <c r="D3" s="270"/>
      <c r="E3" s="270"/>
      <c r="F3" s="270"/>
      <c r="G3" s="271"/>
      <c r="H3" s="159"/>
      <c r="I3" s="272"/>
      <c r="J3" s="159"/>
      <c r="K3" s="290"/>
    </row>
    <row r="4" spans="1:17" ht="15.75" customHeight="1">
      <c r="A4" s="466" t="s">
        <v>5</v>
      </c>
      <c r="B4" s="125"/>
      <c r="C4" s="125"/>
      <c r="D4" s="270"/>
      <c r="E4" s="270"/>
      <c r="F4" s="277"/>
      <c r="G4" s="278"/>
      <c r="H4" s="159"/>
      <c r="I4" s="272"/>
      <c r="J4" s="159"/>
      <c r="K4" s="290"/>
    </row>
    <row r="5" spans="1:17" ht="15.75" customHeight="1">
      <c r="A5" s="467" t="s">
        <v>10</v>
      </c>
      <c r="B5" s="223"/>
      <c r="C5" s="223"/>
      <c r="K5" s="290"/>
    </row>
    <row r="6" spans="1:17" ht="15.75" customHeight="1">
      <c r="A6" s="268">
        <v>1</v>
      </c>
      <c r="B6" s="279"/>
      <c r="C6" s="736" t="s">
        <v>300</v>
      </c>
      <c r="D6" s="736"/>
      <c r="E6" s="736"/>
      <c r="F6" s="736"/>
      <c r="G6" s="736"/>
      <c r="H6" s="736"/>
      <c r="I6" s="736"/>
      <c r="J6" s="736"/>
      <c r="K6" s="290"/>
    </row>
    <row r="7" spans="1:17" ht="15.75" customHeight="1">
      <c r="A7" s="268">
        <v>2</v>
      </c>
      <c r="B7" s="279"/>
      <c r="C7" s="237"/>
      <c r="D7" s="280"/>
      <c r="E7" s="280"/>
      <c r="F7" s="270"/>
      <c r="G7" s="271"/>
      <c r="H7" s="281"/>
      <c r="I7" s="272"/>
      <c r="J7" s="281"/>
      <c r="K7" s="272"/>
    </row>
    <row r="8" spans="1:17" ht="15.75" customHeight="1" thickBot="1">
      <c r="A8" s="268">
        <v>3</v>
      </c>
      <c r="B8" s="279"/>
      <c r="N8" s="745" t="s">
        <v>364</v>
      </c>
      <c r="O8" s="745"/>
      <c r="P8" s="744" t="s">
        <v>364</v>
      </c>
      <c r="Q8" s="744"/>
    </row>
    <row r="9" spans="1:17" ht="15.75" customHeight="1">
      <c r="A9" s="268">
        <v>4</v>
      </c>
      <c r="B9" s="279"/>
      <c r="M9" s="743" t="s">
        <v>112</v>
      </c>
      <c r="N9" s="743"/>
    </row>
    <row r="10" spans="1:17" ht="15.75" customHeight="1">
      <c r="A10" s="268">
        <v>5</v>
      </c>
      <c r="B10" s="279"/>
      <c r="C10" s="742" t="s">
        <v>149</v>
      </c>
      <c r="D10" s="742"/>
      <c r="E10" s="282"/>
      <c r="F10" s="159"/>
      <c r="G10" s="272"/>
      <c r="H10" s="281"/>
      <c r="I10" s="272"/>
      <c r="J10" s="281"/>
      <c r="M10" s="517" t="s">
        <v>291</v>
      </c>
      <c r="N10" s="518" t="s">
        <v>292</v>
      </c>
    </row>
    <row r="11" spans="1:17" ht="15.75" customHeight="1">
      <c r="A11" s="268">
        <v>6</v>
      </c>
      <c r="B11" s="279"/>
      <c r="C11" s="237"/>
      <c r="D11" s="283"/>
      <c r="E11" s="283"/>
      <c r="F11" s="158" t="s">
        <v>35</v>
      </c>
      <c r="G11" s="284"/>
      <c r="H11" s="159"/>
      <c r="I11" s="272"/>
      <c r="J11" s="158" t="s">
        <v>27</v>
      </c>
      <c r="N11" s="489"/>
    </row>
    <row r="12" spans="1:17" ht="15.75" customHeight="1">
      <c r="A12" s="268">
        <v>7</v>
      </c>
      <c r="B12" s="279"/>
      <c r="C12" s="237"/>
      <c r="D12" s="283"/>
      <c r="E12" s="283"/>
      <c r="F12" s="160" t="s">
        <v>138</v>
      </c>
      <c r="G12" s="285"/>
      <c r="H12" s="160" t="s">
        <v>28</v>
      </c>
      <c r="I12" s="285"/>
      <c r="J12" s="160" t="s">
        <v>28</v>
      </c>
      <c r="N12" s="489"/>
    </row>
    <row r="13" spans="1:17" ht="15.75" customHeight="1">
      <c r="A13" s="268">
        <v>8</v>
      </c>
      <c r="B13" s="279"/>
      <c r="C13" s="237"/>
      <c r="D13" s="286" t="s">
        <v>97</v>
      </c>
      <c r="E13" s="286"/>
      <c r="F13" s="162">
        <v>0.54</v>
      </c>
      <c r="G13" s="287"/>
      <c r="H13" s="163">
        <v>5.7000000000000002E-2</v>
      </c>
      <c r="I13" s="288"/>
      <c r="J13" s="156">
        <f>ROUND(+F13*H13,4)</f>
        <v>3.0800000000000001E-2</v>
      </c>
      <c r="N13" s="489"/>
    </row>
    <row r="14" spans="1:17" ht="15.75" customHeight="1">
      <c r="A14" s="268">
        <v>9</v>
      </c>
      <c r="B14" s="279"/>
      <c r="C14" s="237"/>
      <c r="D14" s="286" t="s">
        <v>264</v>
      </c>
      <c r="E14" s="286"/>
      <c r="F14" s="166">
        <v>0</v>
      </c>
      <c r="G14" s="42"/>
      <c r="H14" s="163">
        <v>0</v>
      </c>
      <c r="I14" s="288"/>
      <c r="J14" s="156">
        <f>ROUND(+F14*H14,4)</f>
        <v>0</v>
      </c>
      <c r="N14" s="489"/>
    </row>
    <row r="15" spans="1:17" ht="15.75" customHeight="1">
      <c r="A15" s="268">
        <v>10</v>
      </c>
      <c r="B15" s="279"/>
      <c r="C15" s="237"/>
      <c r="D15" s="286" t="s">
        <v>7</v>
      </c>
      <c r="E15" s="286"/>
      <c r="F15" s="164">
        <f>100%-F13</f>
        <v>0.45999999999999996</v>
      </c>
      <c r="G15" s="289"/>
      <c r="H15" s="163">
        <v>0.09</v>
      </c>
      <c r="I15" s="288"/>
      <c r="J15" s="156">
        <f>ROUND(+F15*H15,4)</f>
        <v>4.1399999999999999E-2</v>
      </c>
      <c r="N15" s="489"/>
    </row>
    <row r="16" spans="1:17" ht="15.75" customHeight="1" thickBot="1">
      <c r="A16" s="268">
        <v>11</v>
      </c>
      <c r="B16" s="279"/>
      <c r="C16" s="237"/>
      <c r="D16" s="167" t="s">
        <v>31</v>
      </c>
      <c r="E16" s="167"/>
      <c r="F16" s="571">
        <v>1</v>
      </c>
      <c r="G16" s="287"/>
      <c r="H16" s="159"/>
      <c r="I16" s="272"/>
      <c r="J16" s="520">
        <f>ROUND(SUM(J13:J15),4)</f>
        <v>7.22E-2</v>
      </c>
      <c r="K16" s="290"/>
      <c r="L16" s="85"/>
      <c r="M16" s="85"/>
      <c r="N16" s="519"/>
      <c r="O16" s="85"/>
      <c r="P16" s="85"/>
    </row>
    <row r="17" spans="1:14" ht="15.75" customHeight="1" thickTop="1">
      <c r="A17" s="268">
        <v>12</v>
      </c>
      <c r="B17" s="279"/>
      <c r="C17" s="237"/>
      <c r="D17" s="283"/>
      <c r="E17" s="283"/>
      <c r="F17" s="159"/>
      <c r="G17" s="272"/>
      <c r="H17" s="159"/>
      <c r="I17" s="272"/>
      <c r="J17" s="159"/>
      <c r="K17" s="272"/>
      <c r="N17" s="489"/>
    </row>
    <row r="18" spans="1:14" ht="15.75" customHeight="1">
      <c r="A18" s="268">
        <v>13</v>
      </c>
      <c r="B18" s="279"/>
      <c r="C18" s="237"/>
      <c r="D18" s="270"/>
      <c r="E18" s="270"/>
      <c r="F18" s="283"/>
      <c r="G18" s="157"/>
      <c r="H18" s="159"/>
      <c r="I18" s="272"/>
      <c r="J18" s="159"/>
      <c r="K18" s="272"/>
    </row>
    <row r="19" spans="1:14" ht="15.75" customHeight="1">
      <c r="A19" s="268">
        <v>14</v>
      </c>
      <c r="B19" s="279"/>
      <c r="C19" s="237"/>
      <c r="D19" s="270"/>
      <c r="E19" s="270"/>
      <c r="F19" s="159"/>
      <c r="G19" s="272"/>
      <c r="H19" s="159"/>
      <c r="I19" s="272"/>
      <c r="J19" s="281"/>
      <c r="K19" s="290"/>
    </row>
    <row r="20" spans="1:14" ht="15.75" customHeight="1">
      <c r="A20" s="268">
        <v>15</v>
      </c>
      <c r="B20" s="279"/>
      <c r="C20" s="237"/>
      <c r="D20" s="290"/>
      <c r="E20" s="290"/>
      <c r="F20" s="159"/>
      <c r="G20" s="272"/>
      <c r="H20" s="159"/>
      <c r="I20" s="272"/>
      <c r="J20" s="281"/>
      <c r="K20" s="290"/>
    </row>
    <row r="21" spans="1:14" ht="15.75" customHeight="1">
      <c r="A21" s="268">
        <v>16</v>
      </c>
      <c r="B21" s="279"/>
      <c r="C21" s="742"/>
      <c r="D21" s="742"/>
      <c r="E21" s="282"/>
      <c r="F21" s="313"/>
      <c r="G21" s="271"/>
      <c r="H21" s="290"/>
      <c r="I21" s="272"/>
      <c r="J21" s="290"/>
      <c r="K21" s="290"/>
    </row>
    <row r="22" spans="1:14" ht="15.75" customHeight="1">
      <c r="A22" s="268">
        <v>17</v>
      </c>
      <c r="B22" s="279"/>
      <c r="C22" s="290"/>
      <c r="D22" s="313"/>
      <c r="E22" s="313"/>
      <c r="F22" s="291"/>
      <c r="G22" s="291"/>
      <c r="H22" s="171"/>
      <c r="I22" s="289"/>
      <c r="J22" s="272"/>
      <c r="K22" s="290"/>
    </row>
    <row r="23" spans="1:14" ht="15.75" customHeight="1">
      <c r="A23" s="268">
        <v>18</v>
      </c>
      <c r="B23" s="279"/>
      <c r="C23" s="305"/>
      <c r="D23" s="313"/>
      <c r="E23" s="313"/>
      <c r="F23" s="291"/>
      <c r="G23" s="291"/>
      <c r="H23" s="171"/>
      <c r="I23" s="289"/>
      <c r="J23" s="272"/>
      <c r="K23" s="290"/>
    </row>
    <row r="24" spans="1:14" ht="15.75" customHeight="1">
      <c r="A24" s="268">
        <v>19</v>
      </c>
      <c r="B24" s="279"/>
      <c r="C24" s="305"/>
      <c r="D24" s="313"/>
      <c r="E24" s="313"/>
      <c r="F24" s="291"/>
      <c r="G24" s="291"/>
      <c r="H24" s="151"/>
      <c r="I24" s="42"/>
      <c r="J24" s="290"/>
      <c r="K24" s="313"/>
    </row>
    <row r="25" spans="1:14" ht="15.75" customHeight="1">
      <c r="A25" s="268">
        <v>20</v>
      </c>
      <c r="B25" s="279"/>
      <c r="C25" s="237"/>
      <c r="D25" s="313"/>
      <c r="E25" s="313"/>
      <c r="F25" s="313"/>
      <c r="G25" s="271"/>
      <c r="H25" s="313"/>
      <c r="I25" s="271"/>
      <c r="J25" s="313"/>
      <c r="K25" s="313"/>
    </row>
    <row r="26" spans="1:14" ht="15.75" customHeight="1">
      <c r="A26" s="268">
        <v>21</v>
      </c>
      <c r="B26" s="279"/>
      <c r="C26" s="237"/>
      <c r="D26" s="313"/>
      <c r="E26" s="313"/>
      <c r="F26" s="313"/>
      <c r="G26" s="271"/>
      <c r="H26" s="313"/>
      <c r="I26" s="271"/>
      <c r="J26" s="313"/>
      <c r="K26" s="313"/>
    </row>
    <row r="61" spans="16:16" ht="15.75" customHeight="1">
      <c r="P61" s="100" t="s">
        <v>404</v>
      </c>
    </row>
  </sheetData>
  <mergeCells count="6">
    <mergeCell ref="C10:D10"/>
    <mergeCell ref="C21:D21"/>
    <mergeCell ref="C6:J6"/>
    <mergeCell ref="M9:N9"/>
    <mergeCell ref="P8:Q8"/>
    <mergeCell ref="N8:O8"/>
  </mergeCells>
  <phoneticPr fontId="11" type="noConversion"/>
  <printOptions horizontalCentered="1"/>
  <pageMargins left="0.5" right="0.5" top="1.2" bottom="0.3" header="0.5" footer="0.5"/>
  <pageSetup fitToWidth="0" orientation="portrait" r:id="rId1"/>
  <headerFooter scaleWithDoc="0" alignWithMargins="0">
    <oddHeader>&amp;L&amp;"Arial,Regular"&amp;10Avista Corporation
Electric - Cost of Capital (Schedule 4.0)
Twelve Months Ended December 31, 2011&amp;R&amp;"Arial,Regular"&amp;10Exhibit No. ___ (JH-2)
Dockets UE-120436 &amp;&amp; UG-120437
Page &amp;P+10 of  11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 enableFormatConditionsCalculation="0">
    <tabColor indexed="10"/>
  </sheetPr>
  <dimension ref="A1"/>
  <sheetViews>
    <sheetView workbookViewId="0"/>
  </sheetViews>
  <sheetFormatPr defaultColWidth="9" defaultRowHeight="15.75"/>
  <cols>
    <col min="1" max="16384" width="9" style="462"/>
  </cols>
  <sheetData/>
  <phoneticPr fontId="11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 enableFormatConditionsCalculation="0">
    <tabColor theme="5" tint="0.59999389629810485"/>
    <pageSetUpPr fitToPage="1"/>
  </sheetPr>
  <dimension ref="A1:M34"/>
  <sheetViews>
    <sheetView topLeftCell="A10" workbookViewId="0">
      <selection activeCell="G28" sqref="G28"/>
    </sheetView>
  </sheetViews>
  <sheetFormatPr defaultColWidth="8.75" defaultRowHeight="15.75" customHeight="1"/>
  <cols>
    <col min="1" max="1" width="5.375" style="119" bestFit="1" customWidth="1"/>
    <col min="2" max="2" width="2.125" style="159" customWidth="1"/>
    <col min="3" max="3" width="30.625" style="159" bestFit="1" customWidth="1"/>
    <col min="4" max="4" width="2.125" style="159" customWidth="1"/>
    <col min="5" max="5" width="11.75" style="159" customWidth="1"/>
    <col min="6" max="6" width="2.125" style="159" customWidth="1"/>
    <col min="7" max="7" width="9.5" style="159" bestFit="1" customWidth="1"/>
    <col min="8" max="9" width="2.125" style="159" customWidth="1"/>
    <col min="10" max="10" width="20.875" style="281" bestFit="1" customWidth="1"/>
    <col min="11" max="11" width="11.75" style="281" customWidth="1"/>
    <col min="12" max="12" width="8.5" style="281" bestFit="1" customWidth="1"/>
    <col min="13" max="16384" width="8.75" style="159"/>
  </cols>
  <sheetData>
    <row r="1" spans="1:12" ht="15.75" customHeight="1">
      <c r="B1" s="293"/>
      <c r="C1" s="294" t="s">
        <v>163</v>
      </c>
      <c r="I1" s="295"/>
      <c r="J1" s="295"/>
      <c r="K1" s="295"/>
      <c r="L1" s="295"/>
    </row>
    <row r="2" spans="1:12" ht="15.75" customHeight="1">
      <c r="E2" s="296"/>
      <c r="F2" s="296"/>
      <c r="I2" s="295"/>
      <c r="J2" s="523" t="s">
        <v>306</v>
      </c>
      <c r="K2" s="295"/>
      <c r="L2" s="295"/>
    </row>
    <row r="3" spans="1:12" ht="15.75" customHeight="1">
      <c r="A3" s="311"/>
      <c r="B3" s="274"/>
      <c r="I3" s="295"/>
      <c r="J3" s="295"/>
      <c r="K3" s="295"/>
      <c r="L3" s="295"/>
    </row>
    <row r="4" spans="1:12" ht="15.75" customHeight="1">
      <c r="A4" s="264" t="s">
        <v>5</v>
      </c>
      <c r="B4" s="274"/>
      <c r="I4" s="295"/>
      <c r="J4" s="295"/>
      <c r="K4" s="295"/>
      <c r="L4" s="295"/>
    </row>
    <row r="5" spans="1:12" ht="15.75" customHeight="1">
      <c r="A5" s="430" t="s">
        <v>10</v>
      </c>
      <c r="B5" s="274"/>
      <c r="I5" s="295"/>
      <c r="J5" s="295"/>
      <c r="K5" s="295"/>
      <c r="L5" s="295"/>
    </row>
    <row r="6" spans="1:12" ht="15.75" customHeight="1">
      <c r="A6" s="128">
        <v>1</v>
      </c>
      <c r="B6" s="750" t="s">
        <v>266</v>
      </c>
      <c r="C6" s="736"/>
      <c r="D6" s="736"/>
      <c r="E6" s="736"/>
      <c r="F6" s="736"/>
      <c r="G6" s="736"/>
      <c r="H6" s="736"/>
      <c r="I6" s="527"/>
      <c r="J6" s="295"/>
      <c r="K6" s="295"/>
      <c r="L6" s="295"/>
    </row>
    <row r="7" spans="1:12" ht="15.75" customHeight="1">
      <c r="A7" s="128">
        <v>2</v>
      </c>
      <c r="B7" s="750" t="s">
        <v>285</v>
      </c>
      <c r="C7" s="736"/>
      <c r="D7" s="736"/>
      <c r="E7" s="736"/>
      <c r="F7" s="736"/>
      <c r="G7" s="736"/>
      <c r="H7" s="736"/>
      <c r="I7" s="527"/>
      <c r="J7" s="295"/>
      <c r="K7" s="295"/>
      <c r="L7" s="295"/>
    </row>
    <row r="8" spans="1:12" ht="15.75" customHeight="1">
      <c r="A8" s="128">
        <v>3</v>
      </c>
      <c r="B8" s="274"/>
      <c r="C8" s="408"/>
      <c r="D8" s="408"/>
      <c r="E8" s="408"/>
      <c r="F8" s="408"/>
      <c r="G8" s="408"/>
      <c r="H8" s="408"/>
      <c r="I8" s="527"/>
      <c r="J8" s="295"/>
      <c r="K8" s="295"/>
      <c r="L8" s="295"/>
    </row>
    <row r="9" spans="1:12" ht="15.75" customHeight="1">
      <c r="A9" s="128">
        <v>4</v>
      </c>
      <c r="B9" s="125"/>
      <c r="H9" s="297"/>
      <c r="I9" s="528"/>
      <c r="J9" s="295"/>
      <c r="K9" s="295"/>
      <c r="L9" s="295"/>
    </row>
    <row r="10" spans="1:12" ht="15.75" customHeight="1">
      <c r="A10" s="128">
        <v>5</v>
      </c>
      <c r="B10" s="223"/>
      <c r="C10" s="176"/>
      <c r="E10" s="176"/>
      <c r="F10" s="176"/>
      <c r="G10" s="276"/>
      <c r="I10" s="295"/>
      <c r="J10" s="746" t="s">
        <v>112</v>
      </c>
      <c r="K10" s="746"/>
      <c r="L10" s="295"/>
    </row>
    <row r="11" spans="1:12" ht="15.75" customHeight="1">
      <c r="A11" s="128">
        <v>6</v>
      </c>
      <c r="B11" s="237"/>
      <c r="E11" s="125"/>
      <c r="F11" s="125"/>
      <c r="H11" s="125"/>
      <c r="I11" s="529"/>
      <c r="J11" s="530" t="s">
        <v>291</v>
      </c>
      <c r="K11" s="531" t="s">
        <v>292</v>
      </c>
      <c r="L11" s="295"/>
    </row>
    <row r="12" spans="1:12" ht="15.75" customHeight="1">
      <c r="A12" s="128">
        <v>7</v>
      </c>
      <c r="B12" s="237"/>
      <c r="C12" s="264" t="s">
        <v>24</v>
      </c>
      <c r="E12" s="264" t="s">
        <v>164</v>
      </c>
      <c r="F12" s="264"/>
      <c r="G12" s="264" t="s">
        <v>13</v>
      </c>
      <c r="I12" s="295"/>
      <c r="J12" s="295"/>
      <c r="K12" s="521"/>
      <c r="L12" s="295"/>
    </row>
    <row r="13" spans="1:12" ht="15.75" customHeight="1">
      <c r="A13" s="128">
        <v>8</v>
      </c>
      <c r="B13" s="237"/>
      <c r="C13" s="264"/>
      <c r="E13" s="264"/>
      <c r="F13" s="264"/>
      <c r="I13" s="295"/>
      <c r="J13" s="524"/>
      <c r="K13" s="521"/>
      <c r="L13" s="295"/>
    </row>
    <row r="14" spans="1:12" ht="15.75" customHeight="1">
      <c r="A14" s="128">
        <v>9</v>
      </c>
      <c r="B14" s="237"/>
      <c r="C14" s="302" t="s">
        <v>393</v>
      </c>
      <c r="E14" s="522">
        <f>+ROO!C75</f>
        <v>1123911</v>
      </c>
      <c r="F14" s="296"/>
      <c r="I14" s="295"/>
      <c r="J14" s="298" t="s">
        <v>288</v>
      </c>
      <c r="K14" s="521"/>
      <c r="L14" s="295"/>
    </row>
    <row r="15" spans="1:12" ht="15.75" customHeight="1">
      <c r="A15" s="128">
        <v>10</v>
      </c>
      <c r="B15" s="237"/>
      <c r="C15" s="302"/>
      <c r="I15" s="295"/>
      <c r="J15" s="295"/>
      <c r="K15" s="521"/>
      <c r="L15" s="295"/>
    </row>
    <row r="16" spans="1:12" ht="15.75" customHeight="1">
      <c r="A16" s="128">
        <v>11</v>
      </c>
      <c r="B16" s="237"/>
      <c r="C16" s="302" t="s">
        <v>165</v>
      </c>
      <c r="E16" s="299">
        <f>+' Capital '!J13+' Capital '!J14</f>
        <v>3.0800000000000001E-2</v>
      </c>
      <c r="F16" s="299"/>
      <c r="I16" s="295"/>
      <c r="J16" s="298" t="s">
        <v>307</v>
      </c>
      <c r="K16" s="521"/>
      <c r="L16" s="300"/>
    </row>
    <row r="17" spans="1:13" ht="15.75" customHeight="1">
      <c r="A17" s="128">
        <v>12</v>
      </c>
      <c r="B17" s="237"/>
      <c r="C17" s="302"/>
      <c r="E17" s="301"/>
      <c r="F17" s="290"/>
      <c r="I17" s="295"/>
      <c r="J17" s="295"/>
      <c r="K17" s="521"/>
      <c r="L17" s="295"/>
    </row>
    <row r="18" spans="1:13" ht="15.75" customHeight="1" thickBot="1">
      <c r="A18" s="128">
        <v>13</v>
      </c>
      <c r="B18" s="237"/>
      <c r="C18" s="302" t="s">
        <v>166</v>
      </c>
      <c r="E18" s="303">
        <f>+E16*E14</f>
        <v>34616.4588</v>
      </c>
      <c r="F18" s="290"/>
      <c r="G18" s="159">
        <f>+E18</f>
        <v>34616.4588</v>
      </c>
      <c r="I18" s="295"/>
      <c r="J18" s="524" t="s">
        <v>308</v>
      </c>
      <c r="K18" s="521"/>
      <c r="L18" s="295"/>
      <c r="M18" s="159">
        <f>+ROO!G75</f>
        <v>1125273</v>
      </c>
    </row>
    <row r="19" spans="1:13" ht="15.75" customHeight="1" thickTop="1">
      <c r="A19" s="128">
        <v>14</v>
      </c>
      <c r="B19" s="237"/>
      <c r="C19" s="302" t="s">
        <v>219</v>
      </c>
      <c r="G19" s="290"/>
      <c r="I19" s="295"/>
      <c r="J19" s="524" t="s">
        <v>220</v>
      </c>
      <c r="K19" s="521"/>
      <c r="L19" s="295"/>
      <c r="M19" s="166">
        <f>+E16</f>
        <v>3.0800000000000001E-2</v>
      </c>
    </row>
    <row r="20" spans="1:13" ht="15.75" customHeight="1">
      <c r="A20" s="128">
        <v>15</v>
      </c>
      <c r="B20" s="237"/>
      <c r="C20" s="302"/>
      <c r="G20" s="301"/>
      <c r="I20" s="295"/>
      <c r="J20" s="524"/>
      <c r="K20" s="521"/>
      <c r="L20" s="295"/>
      <c r="M20" s="159">
        <f>+M18*M19</f>
        <v>34658.4084</v>
      </c>
    </row>
    <row r="21" spans="1:13" ht="15.75" customHeight="1">
      <c r="A21" s="128">
        <v>16</v>
      </c>
      <c r="B21" s="237"/>
      <c r="E21" s="292" t="s">
        <v>273</v>
      </c>
      <c r="G21" s="159">
        <f>+G18+G19</f>
        <v>34616.4588</v>
      </c>
      <c r="I21" s="295"/>
      <c r="J21" s="295" t="s">
        <v>290</v>
      </c>
      <c r="K21" s="521"/>
      <c r="L21" s="295"/>
    </row>
    <row r="22" spans="1:13" ht="15.75" customHeight="1">
      <c r="A22" s="128">
        <v>17</v>
      </c>
      <c r="B22" s="237"/>
      <c r="I22" s="295"/>
      <c r="J22" s="295"/>
      <c r="K22" s="521"/>
      <c r="L22" s="295"/>
      <c r="M22" s="159">
        <f>+G24</f>
        <v>33020</v>
      </c>
    </row>
    <row r="23" spans="1:13" ht="15.75" customHeight="1">
      <c r="A23" s="128">
        <v>18</v>
      </c>
      <c r="B23" s="237"/>
      <c r="I23" s="295"/>
      <c r="J23" s="295"/>
      <c r="K23" s="521"/>
      <c r="L23" s="295"/>
    </row>
    <row r="24" spans="1:13" ht="15.75" customHeight="1">
      <c r="A24" s="128">
        <v>19</v>
      </c>
      <c r="B24" s="237"/>
      <c r="C24" s="747" t="s">
        <v>167</v>
      </c>
      <c r="D24" s="747"/>
      <c r="E24" s="747"/>
      <c r="F24" s="304"/>
      <c r="G24" s="312">
        <v>33020</v>
      </c>
      <c r="I24" s="295"/>
      <c r="J24" s="525" t="s">
        <v>296</v>
      </c>
      <c r="K24" s="521"/>
      <c r="L24" s="295"/>
      <c r="M24" s="159">
        <f>+M20-M22</f>
        <v>1638.4084000000003</v>
      </c>
    </row>
    <row r="25" spans="1:13" ht="15.75" customHeight="1">
      <c r="A25" s="128">
        <v>20</v>
      </c>
      <c r="B25" s="237"/>
      <c r="C25" s="305"/>
      <c r="E25" s="306"/>
      <c r="F25" s="306"/>
      <c r="I25" s="295"/>
      <c r="J25" s="295"/>
      <c r="K25" s="521"/>
      <c r="L25" s="295"/>
    </row>
    <row r="26" spans="1:13" ht="15.75" customHeight="1" thickBot="1">
      <c r="A26" s="128">
        <v>21</v>
      </c>
      <c r="B26" s="237"/>
      <c r="C26" s="748" t="s">
        <v>168</v>
      </c>
      <c r="D26" s="748"/>
      <c r="E26" s="748"/>
      <c r="F26" s="307"/>
      <c r="G26" s="308">
        <f>+G21-G24</f>
        <v>1596.4588000000003</v>
      </c>
      <c r="I26" s="295"/>
      <c r="J26" s="524" t="s">
        <v>309</v>
      </c>
      <c r="K26" s="521"/>
      <c r="L26" s="295"/>
      <c r="M26" s="159">
        <f>-M24*35%</f>
        <v>-573.44294000000002</v>
      </c>
    </row>
    <row r="27" spans="1:13" ht="15.75" customHeight="1" thickTop="1">
      <c r="A27" s="128">
        <v>22</v>
      </c>
      <c r="B27" s="237"/>
      <c r="C27" s="305"/>
      <c r="E27" s="309"/>
      <c r="F27" s="309"/>
      <c r="I27" s="295"/>
      <c r="J27" s="524"/>
      <c r="K27" s="521"/>
      <c r="L27" s="295"/>
    </row>
    <row r="28" spans="1:13" ht="15.75" customHeight="1" thickBot="1">
      <c r="A28" s="128">
        <v>23</v>
      </c>
      <c r="B28" s="237"/>
      <c r="C28" s="749" t="s">
        <v>169</v>
      </c>
      <c r="D28" s="749"/>
      <c r="E28" s="749"/>
      <c r="F28" s="310"/>
      <c r="G28" s="308">
        <f>-G26*0.35</f>
        <v>-558.76058000000012</v>
      </c>
      <c r="I28" s="295"/>
      <c r="J28" s="526" t="s">
        <v>310</v>
      </c>
      <c r="K28" s="521" t="s">
        <v>311</v>
      </c>
      <c r="L28" s="295"/>
    </row>
    <row r="29" spans="1:13" ht="15.75" customHeight="1" thickTop="1">
      <c r="A29" s="128">
        <v>24</v>
      </c>
      <c r="I29" s="295"/>
      <c r="J29" s="295"/>
      <c r="K29" s="521"/>
      <c r="L29" s="295"/>
    </row>
    <row r="30" spans="1:13" ht="15.75" customHeight="1">
      <c r="A30" s="128">
        <v>25</v>
      </c>
      <c r="B30" s="237"/>
      <c r="C30" s="292"/>
      <c r="G30" s="292"/>
      <c r="I30" s="295"/>
      <c r="J30" s="295"/>
      <c r="K30" s="295"/>
      <c r="L30" s="295"/>
    </row>
    <row r="31" spans="1:13" ht="15.75" customHeight="1">
      <c r="A31" s="128">
        <v>26</v>
      </c>
      <c r="B31" s="237"/>
      <c r="I31" s="295"/>
      <c r="J31" s="295"/>
      <c r="K31" s="295"/>
      <c r="L31" s="295"/>
    </row>
    <row r="32" spans="1:13" ht="15.75" customHeight="1">
      <c r="A32" s="128">
        <v>27</v>
      </c>
      <c r="C32" s="292" t="s">
        <v>386</v>
      </c>
      <c r="D32" s="159" t="s">
        <v>316</v>
      </c>
      <c r="G32" s="570">
        <f>+G28</f>
        <v>-558.76058000000012</v>
      </c>
      <c r="I32" s="295"/>
      <c r="J32" s="295"/>
      <c r="K32" s="295"/>
      <c r="L32" s="295"/>
    </row>
    <row r="33" spans="9:12" ht="15.75" customHeight="1">
      <c r="I33" s="295"/>
      <c r="J33" s="295"/>
      <c r="K33" s="295"/>
      <c r="L33" s="295"/>
    </row>
    <row r="34" spans="9:12" ht="15.75" customHeight="1">
      <c r="I34" s="295"/>
      <c r="J34" s="295"/>
      <c r="K34" s="295"/>
      <c r="L34" s="295"/>
    </row>
  </sheetData>
  <mergeCells count="6">
    <mergeCell ref="J10:K10"/>
    <mergeCell ref="C24:E24"/>
    <mergeCell ref="C26:E26"/>
    <mergeCell ref="C28:E28"/>
    <mergeCell ref="B6:H6"/>
    <mergeCell ref="B7:H7"/>
  </mergeCells>
  <phoneticPr fontId="10" type="noConversion"/>
  <printOptions horizontalCentered="1"/>
  <pageMargins left="1" right="1" top="1.5" bottom="1" header="0.5" footer="0.5"/>
  <pageSetup orientation="portrait" r:id="rId1"/>
  <headerFooter scaleWithDoc="0" alignWithMargins="0">
    <oddHeader>&amp;L&amp;"Arial,Regular"&amp;10Avista Corporation
&amp;"Arial,Bold"Electric - Interest Adjustment
&amp;"Arial,Regular"Twelve Months Ended Month ##, ####&amp;R&amp;"Arial,Regular"&amp;10Exhibit No. ___ (XXX-#)
Docket UE-###### &amp;&amp; UG-######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23C7B4-15A5-427D-9336-CD49BF1EA95B}"/>
</file>

<file path=customXml/itemProps2.xml><?xml version="1.0" encoding="utf-8"?>
<ds:datastoreItem xmlns:ds="http://schemas.openxmlformats.org/officeDocument/2006/customXml" ds:itemID="{B482F966-78DD-4ADF-9CDD-48F10202BB4A}"/>
</file>

<file path=customXml/itemProps3.xml><?xml version="1.0" encoding="utf-8"?>
<ds:datastoreItem xmlns:ds="http://schemas.openxmlformats.org/officeDocument/2006/customXml" ds:itemID="{0180B5A8-74E7-4A0F-8B3A-669BBFF681DE}"/>
</file>

<file path=customXml/itemProps4.xml><?xml version="1.0" encoding="utf-8"?>
<ds:datastoreItem xmlns:ds="http://schemas.openxmlformats.org/officeDocument/2006/customXml" ds:itemID="{C9EBA705-E990-4EAA-828E-19E756D55A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93</vt:i4>
      </vt:variant>
    </vt:vector>
  </HeadingPairs>
  <TitlesOfParts>
    <vt:vector size="143" baseType="lpstr">
      <vt:lpstr>ROO</vt:lpstr>
      <vt:lpstr>Restating</vt:lpstr>
      <vt:lpstr>Pro Forma</vt:lpstr>
      <vt:lpstr>RR Summary</vt:lpstr>
      <vt:lpstr>RR Calculation</vt:lpstr>
      <vt:lpstr>Conv</vt:lpstr>
      <vt:lpstr> Capital </vt:lpstr>
      <vt:lpstr>END RR Model</vt:lpstr>
      <vt:lpstr>Debt Int</vt:lpstr>
      <vt:lpstr>Attrition</vt:lpstr>
      <vt:lpstr>Adj 1.01</vt:lpstr>
      <vt:lpstr>Adj 1.02</vt:lpstr>
      <vt:lpstr>Adj 1.03</vt:lpstr>
      <vt:lpstr>Adj 1.04</vt:lpstr>
      <vt:lpstr>Adj 2.01</vt:lpstr>
      <vt:lpstr>Adj 2.02</vt:lpstr>
      <vt:lpstr>Adj 2.03</vt:lpstr>
      <vt:lpstr>Adj 2.04</vt:lpstr>
      <vt:lpstr>Adj 2.05</vt:lpstr>
      <vt:lpstr>Adj 2.06</vt:lpstr>
      <vt:lpstr>Adj 2.07</vt:lpstr>
      <vt:lpstr>Adj 2.08</vt:lpstr>
      <vt:lpstr>Adj 2.09</vt:lpstr>
      <vt:lpstr>Adj 2.10</vt:lpstr>
      <vt:lpstr>Adj 2.11</vt:lpstr>
      <vt:lpstr>Adj 2.12</vt:lpstr>
      <vt:lpstr>Adj 2.13</vt:lpstr>
      <vt:lpstr>Adj 2.14</vt:lpstr>
      <vt:lpstr>Adj 2.15</vt:lpstr>
      <vt:lpstr>Adj 2.16</vt:lpstr>
      <vt:lpstr>Adj 2.17</vt:lpstr>
      <vt:lpstr>Adj 2.18</vt:lpstr>
      <vt:lpstr>Adj 3.00</vt:lpstr>
      <vt:lpstr>Adj 3.01</vt:lpstr>
      <vt:lpstr>Adj 3.02</vt:lpstr>
      <vt:lpstr>Adj 3.03</vt:lpstr>
      <vt:lpstr>Adj 3.04</vt:lpstr>
      <vt:lpstr>Adj 3.05</vt:lpstr>
      <vt:lpstr>Adj 3.06</vt:lpstr>
      <vt:lpstr>Adj 3.07</vt:lpstr>
      <vt:lpstr>Adj 3.08</vt:lpstr>
      <vt:lpstr>Adj 3.09</vt:lpstr>
      <vt:lpstr>Adj 4.00</vt:lpstr>
      <vt:lpstr>Adj 4.01</vt:lpstr>
      <vt:lpstr>Adj 4.02</vt:lpstr>
      <vt:lpstr>Adj 4.03</vt:lpstr>
      <vt:lpstr>Adj 4.04</vt:lpstr>
      <vt:lpstr>Adj 4.05</vt:lpstr>
      <vt:lpstr>Adj 4.06</vt:lpstr>
      <vt:lpstr>XXX-#, PF # Prod Prop Adj</vt:lpstr>
      <vt:lpstr>' Capital '!Print_Area</vt:lpstr>
      <vt:lpstr>'Adj 1.01'!Print_Area</vt:lpstr>
      <vt:lpstr>'Adj 1.02'!Print_Area</vt:lpstr>
      <vt:lpstr>'Adj 1.03'!Print_Area</vt:lpstr>
      <vt:lpstr>'Adj 1.04'!Print_Area</vt:lpstr>
      <vt:lpstr>'Adj 2.01'!Print_Area</vt:lpstr>
      <vt:lpstr>'Adj 2.02'!Print_Area</vt:lpstr>
      <vt:lpstr>'Adj 2.03'!Print_Area</vt:lpstr>
      <vt:lpstr>'Adj 2.04'!Print_Area</vt:lpstr>
      <vt:lpstr>'Adj 2.05'!Print_Area</vt:lpstr>
      <vt:lpstr>'Adj 2.06'!Print_Area</vt:lpstr>
      <vt:lpstr>'Adj 2.07'!Print_Area</vt:lpstr>
      <vt:lpstr>'Adj 2.08'!Print_Area</vt:lpstr>
      <vt:lpstr>'Adj 2.09'!Print_Area</vt:lpstr>
      <vt:lpstr>'Adj 2.10'!Print_Area</vt:lpstr>
      <vt:lpstr>'Adj 2.11'!Print_Area</vt:lpstr>
      <vt:lpstr>'Adj 2.12'!Print_Area</vt:lpstr>
      <vt:lpstr>'Adj 2.13'!Print_Area</vt:lpstr>
      <vt:lpstr>'Adj 2.14'!Print_Area</vt:lpstr>
      <vt:lpstr>'Adj 2.15'!Print_Area</vt:lpstr>
      <vt:lpstr>'Adj 2.16'!Print_Area</vt:lpstr>
      <vt:lpstr>'Adj 2.17'!Print_Area</vt:lpstr>
      <vt:lpstr>'Adj 2.18'!Print_Area</vt:lpstr>
      <vt:lpstr>'Adj 3.00'!Print_Area</vt:lpstr>
      <vt:lpstr>'Adj 3.01'!Print_Area</vt:lpstr>
      <vt:lpstr>'Adj 3.02'!Print_Area</vt:lpstr>
      <vt:lpstr>'Adj 3.03'!Print_Area</vt:lpstr>
      <vt:lpstr>'Adj 3.04'!Print_Area</vt:lpstr>
      <vt:lpstr>'Adj 3.05'!Print_Area</vt:lpstr>
      <vt:lpstr>'Adj 3.06'!Print_Area</vt:lpstr>
      <vt:lpstr>'Adj 3.07'!Print_Area</vt:lpstr>
      <vt:lpstr>'Adj 3.08'!Print_Area</vt:lpstr>
      <vt:lpstr>'Adj 3.09'!Print_Area</vt:lpstr>
      <vt:lpstr>'Adj 4.00'!Print_Area</vt:lpstr>
      <vt:lpstr>'Adj 4.01'!Print_Area</vt:lpstr>
      <vt:lpstr>'Adj 4.02'!Print_Area</vt:lpstr>
      <vt:lpstr>'Adj 4.03'!Print_Area</vt:lpstr>
      <vt:lpstr>'Adj 4.04'!Print_Area</vt:lpstr>
      <vt:lpstr>'Adj 4.05'!Print_Area</vt:lpstr>
      <vt:lpstr>'Adj 4.06'!Print_Area</vt:lpstr>
      <vt:lpstr>Attrition!Print_Area</vt:lpstr>
      <vt:lpstr>Conv!Print_Area</vt:lpstr>
      <vt:lpstr>'Debt Int'!Print_Area</vt:lpstr>
      <vt:lpstr>'Pro Forma'!Print_Area</vt:lpstr>
      <vt:lpstr>Restating!Print_Area</vt:lpstr>
      <vt:lpstr>ROO!Print_Area</vt:lpstr>
      <vt:lpstr>'RR Calculation'!Print_Area</vt:lpstr>
      <vt:lpstr>'RR Summary'!Print_Area</vt:lpstr>
      <vt:lpstr>'XXX-#, PF # Prod Prop Adj'!Print_Area</vt:lpstr>
      <vt:lpstr>'XXX-#, PF # Prod Prop Adj'!Print_for_CBReport</vt:lpstr>
      <vt:lpstr>'Adj 1.01'!Print_Titles</vt:lpstr>
      <vt:lpstr>'Adj 1.02'!Print_Titles</vt:lpstr>
      <vt:lpstr>'Adj 1.03'!Print_Titles</vt:lpstr>
      <vt:lpstr>'Adj 1.04'!Print_Titles</vt:lpstr>
      <vt:lpstr>'Adj 2.01'!Print_Titles</vt:lpstr>
      <vt:lpstr>'Adj 2.02'!Print_Titles</vt:lpstr>
      <vt:lpstr>'Adj 2.03'!Print_Titles</vt:lpstr>
      <vt:lpstr>'Adj 2.04'!Print_Titles</vt:lpstr>
      <vt:lpstr>'Adj 2.05'!Print_Titles</vt:lpstr>
      <vt:lpstr>'Adj 2.06'!Print_Titles</vt:lpstr>
      <vt:lpstr>'Adj 2.07'!Print_Titles</vt:lpstr>
      <vt:lpstr>'Adj 2.08'!Print_Titles</vt:lpstr>
      <vt:lpstr>'Adj 2.09'!Print_Titles</vt:lpstr>
      <vt:lpstr>'Adj 2.10'!Print_Titles</vt:lpstr>
      <vt:lpstr>'Adj 2.11'!Print_Titles</vt:lpstr>
      <vt:lpstr>'Adj 2.12'!Print_Titles</vt:lpstr>
      <vt:lpstr>'Adj 2.13'!Print_Titles</vt:lpstr>
      <vt:lpstr>'Adj 2.14'!Print_Titles</vt:lpstr>
      <vt:lpstr>'Adj 2.15'!Print_Titles</vt:lpstr>
      <vt:lpstr>'Adj 2.16'!Print_Titles</vt:lpstr>
      <vt:lpstr>'Adj 2.17'!Print_Titles</vt:lpstr>
      <vt:lpstr>'Adj 2.18'!Print_Titles</vt:lpstr>
      <vt:lpstr>'Adj 3.00'!Print_Titles</vt:lpstr>
      <vt:lpstr>'Adj 3.01'!Print_Titles</vt:lpstr>
      <vt:lpstr>'Adj 3.02'!Print_Titles</vt:lpstr>
      <vt:lpstr>'Adj 3.03'!Print_Titles</vt:lpstr>
      <vt:lpstr>'Adj 3.04'!Print_Titles</vt:lpstr>
      <vt:lpstr>'Adj 3.05'!Print_Titles</vt:lpstr>
      <vt:lpstr>'Adj 3.06'!Print_Titles</vt:lpstr>
      <vt:lpstr>'Adj 3.07'!Print_Titles</vt:lpstr>
      <vt:lpstr>'Adj 3.08'!Print_Titles</vt:lpstr>
      <vt:lpstr>'Adj 3.09'!Print_Titles</vt:lpstr>
      <vt:lpstr>'Adj 4.00'!Print_Titles</vt:lpstr>
      <vt:lpstr>'Adj 4.01'!Print_Titles</vt:lpstr>
      <vt:lpstr>'Adj 4.02'!Print_Titles</vt:lpstr>
      <vt:lpstr>'Adj 4.03'!Print_Titles</vt:lpstr>
      <vt:lpstr>'Adj 4.04'!Print_Titles</vt:lpstr>
      <vt:lpstr>'Adj 4.05'!Print_Titles</vt:lpstr>
      <vt:lpstr>'Adj 4.06'!Print_Titles</vt:lpstr>
      <vt:lpstr>Attrition!Print_Titles</vt:lpstr>
      <vt:lpstr>'Pro Forma'!Print_Titles</vt:lpstr>
      <vt:lpstr>Restating!Print_Titles</vt:lpstr>
      <vt:lpstr>ROO!Print_Titles</vt:lpstr>
    </vt:vector>
  </TitlesOfParts>
  <Company>Micron Electronics,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 of Operations - Electric 2008</dc:title>
  <dc:subject>UE-090134</dc:subject>
  <dc:creator>Kermode</dc:creator>
  <cp:keywords>Avista</cp:keywords>
  <cp:lastModifiedBy>DeMarco, Betsy (UTC)</cp:lastModifiedBy>
  <cp:lastPrinted>2012-09-17T21:49:00Z</cp:lastPrinted>
  <dcterms:created xsi:type="dcterms:W3CDTF">1997-05-15T21:41:44Z</dcterms:created>
  <dcterms:modified xsi:type="dcterms:W3CDTF">2012-09-18T15:16:50Z</dcterms:modified>
  <cp:category>GRC</cp:category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0x0101006E56B4D1795A2E4DB2F0B01679ED314A00DEEBBBECEF4A9741925D1E0FF525C9BE</vt:lpwstr>
  </property>
  <property fmtid="{D5CDD505-2E9C-101B-9397-08002B2CF9AE}" pid="4" name="_docset_NoMedatataSyncRequired">
    <vt:lpwstr>False</vt:lpwstr>
  </property>
</Properties>
</file>