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ummary" sheetId="1" r:id="rId1"/>
    <sheet name="2009" sheetId="2" r:id="rId2"/>
    <sheet name="2008" sheetId="3" r:id="rId3"/>
    <sheet name="2007" sheetId="4" r:id="rId4"/>
  </sheets>
  <definedNames>
    <definedName name="_xlnm.Print_Area" localSheetId="2">'2008'!$A$1:$P$111</definedName>
    <definedName name="_xlnm.Print_Area" localSheetId="1">'2009'!$A$2:$P$75</definedName>
    <definedName name="Revenue_Run_Customers">#REF!</definedName>
    <definedName name="Revenue_Run_Therms">#REF!</definedName>
    <definedName name="TableName">"Dummy"</definedName>
    <definedName name="WC_Unb_Calc">#REF!</definedName>
  </definedNames>
  <calcPr fullCalcOnLoad="1"/>
</workbook>
</file>

<file path=xl/sharedStrings.xml><?xml version="1.0" encoding="utf-8"?>
<sst xmlns="http://schemas.openxmlformats.org/spreadsheetml/2006/main" count="292" uniqueCount="118">
  <si>
    <t>AVISTA UTILITIES</t>
  </si>
  <si>
    <t>Washington - Gas</t>
  </si>
  <si>
    <t>Approved Decoupling Mechanism</t>
  </si>
  <si>
    <t>2007 compared to 2004 Test Year</t>
  </si>
  <si>
    <t>Adjusted for Actual New Customer Usage</t>
  </si>
  <si>
    <t>1st Year Pilot Period Jan - Jun 2007</t>
  </si>
  <si>
    <t>January</t>
  </si>
  <si>
    <t>February</t>
  </si>
  <si>
    <t>March</t>
  </si>
  <si>
    <t>April</t>
  </si>
  <si>
    <t>May</t>
  </si>
  <si>
    <t>June</t>
  </si>
  <si>
    <t>YTD Total</t>
  </si>
  <si>
    <t>2007 Actual</t>
  </si>
  <si>
    <t>Schedule 101</t>
  </si>
  <si>
    <t>Schedule 101 Billed Therms</t>
  </si>
  <si>
    <t>Deduct New Customer Usage(1)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</si>
  <si>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</si>
  <si>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</si>
  <si>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</si>
  <si>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</si>
  <si>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</si>
  <si>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</si>
  <si>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</si>
  <si>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</si>
  <si>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</si>
  <si>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90% Limitation</t>
  </si>
  <si>
    <t xml:space="preserve">Deferred Revenue Account Entry </t>
  </si>
  <si>
    <t>407328 or (407428)</t>
  </si>
  <si>
    <t>(1) Per monthly reports - current month usage for new services opened since that month of the test year (2004)</t>
  </si>
  <si>
    <t>Unbilled Calculation</t>
  </si>
  <si>
    <t>Unbilled DDH</t>
  </si>
  <si>
    <t>Unbilled Factor</t>
  </si>
  <si>
    <t>Sch. 101</t>
  </si>
  <si>
    <t>2004 Baseload</t>
  </si>
  <si>
    <t>Sensitivity</t>
  </si>
  <si>
    <t>Res 101</t>
  </si>
  <si>
    <t>Com 101</t>
  </si>
  <si>
    <t>Ind 101</t>
  </si>
  <si>
    <t>Weather Adjustment Calculation</t>
  </si>
  <si>
    <t>Normal DDH</t>
  </si>
  <si>
    <t>Actual DDH</t>
  </si>
  <si>
    <t>Normal - Actual DDH</t>
  </si>
  <si>
    <t>Test Year Number of Customers by Class</t>
  </si>
  <si>
    <t>101</t>
  </si>
  <si>
    <t>01 RESIDENTIAL</t>
  </si>
  <si>
    <t>21 FIRM COMMERCIAL</t>
  </si>
  <si>
    <t>31 FIRM-MISCELLANEOUS INDUSTRIAL</t>
  </si>
  <si>
    <t>80 INTERDEPARTMENT REVENUE</t>
  </si>
  <si>
    <t>Total 101</t>
  </si>
  <si>
    <t>2007/2008 with 2007 compared to 2004 Test Year and 2008 compared to 2006 Test Year</t>
  </si>
  <si>
    <t>2nd Year Pilot Period July 2007 - June 2008</t>
  </si>
  <si>
    <t>New Base Rates January 1, 2008</t>
  </si>
  <si>
    <t>Period to Date</t>
  </si>
  <si>
    <t>July</t>
  </si>
  <si>
    <t>August</t>
  </si>
  <si>
    <t>September</t>
  </si>
  <si>
    <t>October</t>
  </si>
  <si>
    <t>November</t>
  </si>
  <si>
    <t>December</t>
  </si>
  <si>
    <t>Total</t>
  </si>
  <si>
    <t>12 Months Ended June 2006 Actual</t>
  </si>
  <si>
    <t>Original Journal Entries</t>
  </si>
  <si>
    <t>Correction July through September</t>
  </si>
  <si>
    <t>(1) Per monthly reports - current month usage for new services opened since that month of the test year (2004 for July through December, 2006 for January through June)</t>
  </si>
  <si>
    <t>(2) Revised Margin Rate per Therm corrected in October per agreement with Staff and Public Counsel in Docket No. UG-071863, margin rate January through June from UG-070805 is exclusive of incremental revenue related cost items.</t>
  </si>
  <si>
    <t>UG-070805 Margin Rate</t>
  </si>
  <si>
    <t>Sch 101 Base Rate/therm</t>
  </si>
  <si>
    <t>Times:  1 minus Revenue Related Items</t>
  </si>
  <si>
    <t>Revenue prior to gross up</t>
  </si>
  <si>
    <t>Less: Weighted Average Gas Cost/therm</t>
  </si>
  <si>
    <t xml:space="preserve">   Margin Rate/therm</t>
  </si>
  <si>
    <t>Unbilled Calculation (2004 Test Year Factors)</t>
  </si>
  <si>
    <t>Weather Adjustment Calculation (2004 Test Year Factors)</t>
  </si>
  <si>
    <t>2004 Test Year Number of Customers by Class</t>
  </si>
  <si>
    <t>2006 Test Year</t>
  </si>
  <si>
    <t>Weather Normalization</t>
  </si>
  <si>
    <t>Degree Day Adjustment</t>
  </si>
  <si>
    <t>Monthly</t>
  </si>
  <si>
    <t>Use/DD/Cust(1)</t>
  </si>
  <si>
    <t xml:space="preserve">  Total 101</t>
  </si>
  <si>
    <t>Monthly Unbilled Calculation</t>
  </si>
  <si>
    <t>06 Baseld(1)</t>
  </si>
  <si>
    <t xml:space="preserve">   Total</t>
  </si>
  <si>
    <t>Revenue Run Customers (Meters Billed)</t>
  </si>
  <si>
    <t>Class</t>
  </si>
  <si>
    <t>2006 Total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</si>
  <si>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</si>
  <si>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</si>
  <si>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</si>
  <si>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</si>
  <si>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</si>
  <si>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</si>
  <si>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</si>
  <si>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</si>
  <si>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r>
      <t xml:space="preserve">      Times Current Margin Rate per Therm </t>
    </r>
    <r>
      <rPr>
        <b/>
        <i/>
        <sz val="10"/>
        <rFont val="Arial"/>
        <family val="2"/>
      </rPr>
      <t>(2)</t>
    </r>
  </si>
  <si>
    <r>
      <t xml:space="preserve">Revised Oct </t>
    </r>
    <r>
      <rPr>
        <b/>
        <i/>
        <sz val="10"/>
        <rFont val="Arial"/>
        <family val="2"/>
      </rPr>
      <t>(2)</t>
    </r>
  </si>
  <si>
    <t>2008/2009 with 2008 compared to 2006 Test Year</t>
  </si>
  <si>
    <t>3rd Year Pilot Period July 2008 - June 2009</t>
  </si>
  <si>
    <t>12 Months Ended June 2009 Actual</t>
  </si>
  <si>
    <t xml:space="preserve">(1) Per monthly reports - current month usage for new services opened since that month of the 2006 test year </t>
  </si>
  <si>
    <t>(2) Margin Rate per Therm from UG-070805 is exclusive of incremental revenue related cost items.</t>
  </si>
  <si>
    <t>Weather Correction Adjustment</t>
  </si>
  <si>
    <t>July, 2007
to
June, 2008</t>
  </si>
  <si>
    <t>July, 2008
to
Dec, 2009</t>
  </si>
  <si>
    <t>Totals</t>
  </si>
  <si>
    <t>Proportion of New Customer Usage to Schedule 101 Usage</t>
  </si>
  <si>
    <t>Note: GRC dropped New Customer Usage by 50%+.</t>
  </si>
  <si>
    <t>From Deferral Reports</t>
  </si>
  <si>
    <t>Jan, 2007
to
June, 2007</t>
  </si>
  <si>
    <t>Net Unbilled Difference</t>
  </si>
  <si>
    <t>New Customer Usage Adjustment</t>
  </si>
  <si>
    <t>Test Year Schedule 101 Billed Therms</t>
  </si>
  <si>
    <t>Therms</t>
  </si>
  <si>
    <t>Current Year Schedule 101 Billed Therms</t>
  </si>
  <si>
    <t>Current Year Schedule 101 Adjusted Billed Therms</t>
  </si>
  <si>
    <t>Usage Difference</t>
  </si>
  <si>
    <t>Table 6 - Cummulated Decoupling Calculation Factors
2007 through 2008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</si>
</sst>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###,###,##0.00"/>
    <numFmt numFmtId="192" formatCode="#,###,###,##0.00"/>
    <numFmt numFmtId="193" formatCode="&quot;Sum: &quot;###,###,##0.00;&quot;Sum: &quot;\-###,###,##0.00"/>
    <numFmt numFmtId="194" formatCode="###############0"/>
    <numFmt numFmtId="195" formatCode="###,###,###,##0.00"/>
    <numFmt numFmtId="196" formatCode="dd"/>
    <numFmt numFmtId="197" formatCode="dd/mmm/yyyy"/>
    <numFmt numFmtId="198" formatCode="dd/mm"/>
    <numFmt numFmtId="199" formatCode="mmm"/>
    <numFmt numFmtId="200" formatCode="yyyy"/>
    <numFmt numFmtId="201" formatCode="&quot;$&quot;#,##0.00000"/>
    <numFmt numFmtId="202" formatCode="_(* #,##0.000_);_(* \(#,##0.000\);_(* &quot;-&quot;???_);_(@_)"/>
    <numFmt numFmtId="203" formatCode="#,##0,;\-#,##0,"/>
  </numFmts>
  <fonts count="2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color indexed="1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1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0" xfId="44" applyNumberFormat="1" applyFont="1" applyAlignment="1">
      <alignment/>
    </xf>
    <xf numFmtId="167" fontId="3" fillId="0" borderId="0" xfId="42" applyNumberFormat="1" applyFont="1" applyAlignment="1">
      <alignment/>
    </xf>
    <xf numFmtId="167" fontId="3" fillId="0" borderId="0" xfId="42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5" fontId="0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0" fillId="0" borderId="0" xfId="57" applyFont="1" applyAlignment="1">
      <alignment/>
    </xf>
    <xf numFmtId="188" fontId="1" fillId="0" borderId="0" xfId="0" applyNumberFormat="1" applyFont="1" applyAlignment="1">
      <alignment/>
    </xf>
    <xf numFmtId="5" fontId="1" fillId="0" borderId="11" xfId="44" applyNumberFormat="1" applyFont="1" applyBorder="1" applyAlignment="1">
      <alignment/>
    </xf>
    <xf numFmtId="5" fontId="1" fillId="0" borderId="0" xfId="44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/>
    </xf>
    <xf numFmtId="166" fontId="3" fillId="0" borderId="0" xfId="42" applyNumberFormat="1" applyFont="1" applyBorder="1" applyAlignment="1">
      <alignment/>
    </xf>
    <xf numFmtId="166" fontId="3" fillId="0" borderId="0" xfId="42" applyNumberFormat="1" applyFont="1" applyFill="1" applyBorder="1" applyAlignment="1">
      <alignment/>
    </xf>
    <xf numFmtId="10" fontId="0" fillId="0" borderId="0" xfId="57" applyNumberFormat="1" applyBorder="1" applyAlignment="1">
      <alignment/>
    </xf>
    <xf numFmtId="0" fontId="4" fillId="0" borderId="0" xfId="0" applyFont="1" applyAlignment="1">
      <alignment horizontal="right"/>
    </xf>
    <xf numFmtId="167" fontId="0" fillId="0" borderId="0" xfId="42" applyNumberFormat="1" applyAlignment="1">
      <alignment/>
    </xf>
    <xf numFmtId="167" fontId="0" fillId="0" borderId="10" xfId="42" applyNumberFormat="1" applyBorder="1" applyAlignment="1">
      <alignment/>
    </xf>
    <xf numFmtId="167" fontId="0" fillId="0" borderId="0" xfId="42" applyNumberFormat="1" applyBorder="1" applyAlignment="1">
      <alignment/>
    </xf>
    <xf numFmtId="0" fontId="6" fillId="0" borderId="0" xfId="0" applyFont="1" applyAlignment="1">
      <alignment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0" xfId="42" applyNumberFormat="1" applyFont="1" applyFill="1" applyAlignment="1">
      <alignment/>
    </xf>
    <xf numFmtId="167" fontId="24" fillId="0" borderId="0" xfId="42" applyNumberFormat="1" applyFont="1" applyFill="1" applyAlignment="1">
      <alignment/>
    </xf>
    <xf numFmtId="5" fontId="1" fillId="0" borderId="0" xfId="44" applyNumberFormat="1" applyFont="1" applyFill="1" applyAlignment="1">
      <alignment/>
    </xf>
    <xf numFmtId="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5" fontId="1" fillId="0" borderId="0" xfId="44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42" applyNumberFormat="1" applyFont="1" applyAlignment="1">
      <alignment horizontal="center"/>
    </xf>
    <xf numFmtId="188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88" fontId="0" fillId="0" borderId="10" xfId="44" applyNumberFormat="1" applyFont="1" applyFill="1" applyBorder="1" applyAlignment="1">
      <alignment/>
    </xf>
    <xf numFmtId="188" fontId="0" fillId="0" borderId="0" xfId="44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17" fontId="4" fillId="0" borderId="0" xfId="0" applyNumberFormat="1" applyFont="1" applyAlignment="1">
      <alignment horizontal="right"/>
    </xf>
    <xf numFmtId="167" fontId="24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" fontId="4" fillId="0" borderId="0" xfId="0" applyNumberFormat="1" applyFont="1" applyAlignment="1">
      <alignment/>
    </xf>
    <xf numFmtId="17" fontId="4" fillId="0" borderId="0" xfId="0" applyNumberFormat="1" applyFont="1" applyBorder="1" applyAlignment="1">
      <alignment/>
    </xf>
    <xf numFmtId="166" fontId="0" fillId="0" borderId="0" xfId="42" applyNumberFormat="1" applyBorder="1" applyAlignment="1">
      <alignment/>
    </xf>
    <xf numFmtId="166" fontId="24" fillId="0" borderId="0" xfId="42" applyNumberFormat="1" applyFont="1" applyFill="1" applyBorder="1" applyAlignment="1">
      <alignment/>
    </xf>
    <xf numFmtId="166" fontId="0" fillId="20" borderId="0" xfId="42" applyNumberFormat="1" applyFill="1" applyBorder="1" applyAlignment="1">
      <alignment/>
    </xf>
    <xf numFmtId="10" fontId="24" fillId="0" borderId="0" xfId="57" applyNumberFormat="1" applyFont="1" applyFill="1" applyBorder="1" applyAlignment="1">
      <alignment/>
    </xf>
    <xf numFmtId="10" fontId="0" fillId="20" borderId="0" xfId="57" applyNumberFormat="1" applyFill="1" applyBorder="1" applyAlignment="1">
      <alignment/>
    </xf>
    <xf numFmtId="10" fontId="0" fillId="0" borderId="0" xfId="57" applyNumberFormat="1" applyFont="1" applyAlignment="1">
      <alignment/>
    </xf>
    <xf numFmtId="10" fontId="0" fillId="0" borderId="0" xfId="57" applyNumberFormat="1" applyFont="1" applyBorder="1" applyAlignment="1">
      <alignment/>
    </xf>
    <xf numFmtId="10" fontId="0" fillId="0" borderId="0" xfId="57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5" fontId="0" fillId="0" borderId="0" xfId="44" applyNumberFormat="1" applyFont="1" applyFill="1" applyAlignment="1">
      <alignment/>
    </xf>
    <xf numFmtId="167" fontId="24" fillId="0" borderId="0" xfId="0" applyNumberFormat="1" applyFont="1" applyAlignment="1">
      <alignment/>
    </xf>
    <xf numFmtId="167" fontId="3" fillId="20" borderId="0" xfId="0" applyNumberFormat="1" applyFont="1" applyFill="1" applyAlignment="1">
      <alignment/>
    </xf>
    <xf numFmtId="166" fontId="0" fillId="0" borderId="0" xfId="42" applyNumberFormat="1" applyFill="1" applyBorder="1" applyAlignment="1">
      <alignment/>
    </xf>
    <xf numFmtId="10" fontId="0" fillId="0" borderId="0" xfId="57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67" fontId="26" fillId="21" borderId="0" xfId="0" applyNumberFormat="1" applyFont="1" applyFill="1" applyBorder="1" applyAlignment="1">
      <alignment/>
    </xf>
    <xf numFmtId="167" fontId="26" fillId="22" borderId="0" xfId="0" applyNumberFormat="1" applyFont="1" applyFill="1" applyBorder="1" applyAlignment="1">
      <alignment/>
    </xf>
    <xf numFmtId="0" fontId="27" fillId="22" borderId="12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center" wrapText="1"/>
    </xf>
    <xf numFmtId="167" fontId="26" fillId="22" borderId="14" xfId="0" applyNumberFormat="1" applyFont="1" applyFill="1" applyBorder="1" applyAlignment="1">
      <alignment/>
    </xf>
    <xf numFmtId="0" fontId="28" fillId="22" borderId="12" xfId="0" applyFont="1" applyFill="1" applyBorder="1" applyAlignment="1">
      <alignment horizontal="left"/>
    </xf>
    <xf numFmtId="0" fontId="28" fillId="21" borderId="12" xfId="0" applyFont="1" applyFill="1" applyBorder="1" applyAlignment="1">
      <alignment horizontal="left"/>
    </xf>
    <xf numFmtId="0" fontId="28" fillId="22" borderId="15" xfId="0" applyFont="1" applyFill="1" applyBorder="1" applyAlignment="1">
      <alignment horizontal="left"/>
    </xf>
    <xf numFmtId="180" fontId="0" fillId="0" borderId="0" xfId="57" applyNumberFormat="1" applyAlignment="1">
      <alignment/>
    </xf>
    <xf numFmtId="10" fontId="0" fillId="0" borderId="0" xfId="57" applyNumberFormat="1" applyAlignment="1">
      <alignment/>
    </xf>
    <xf numFmtId="0" fontId="0" fillId="0" borderId="16" xfId="0" applyBorder="1" applyAlignment="1">
      <alignment horizontal="center" wrapText="1"/>
    </xf>
    <xf numFmtId="167" fontId="26" fillId="21" borderId="17" xfId="0" applyNumberFormat="1" applyFont="1" applyFill="1" applyBorder="1" applyAlignment="1">
      <alignment/>
    </xf>
    <xf numFmtId="167" fontId="26" fillId="22" borderId="17" xfId="0" applyNumberFormat="1" applyFont="1" applyFill="1" applyBorder="1" applyAlignment="1">
      <alignment/>
    </xf>
    <xf numFmtId="167" fontId="26" fillId="21" borderId="13" xfId="0" applyNumberFormat="1" applyFont="1" applyFill="1" applyBorder="1" applyAlignment="1">
      <alignment/>
    </xf>
    <xf numFmtId="0" fontId="27" fillId="22" borderId="18" xfId="0" applyFont="1" applyFill="1" applyBorder="1" applyAlignment="1">
      <alignment horizontal="center" wrapText="1"/>
    </xf>
    <xf numFmtId="167" fontId="26" fillId="21" borderId="18" xfId="0" applyNumberFormat="1" applyFont="1" applyFill="1" applyBorder="1" applyAlignment="1">
      <alignment/>
    </xf>
    <xf numFmtId="167" fontId="26" fillId="22" borderId="19" xfId="0" applyNumberFormat="1" applyFont="1" applyFill="1" applyBorder="1" applyAlignment="1">
      <alignment/>
    </xf>
    <xf numFmtId="0" fontId="27" fillId="22" borderId="20" xfId="0" applyFont="1" applyFill="1" applyBorder="1" applyAlignment="1">
      <alignment horizontal="center" wrapText="1"/>
    </xf>
    <xf numFmtId="0" fontId="27" fillId="22" borderId="21" xfId="0" applyFont="1" applyFill="1" applyBorder="1" applyAlignment="1">
      <alignment horizontal="center" wrapText="1"/>
    </xf>
    <xf numFmtId="0" fontId="27" fillId="22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workbookViewId="0" topLeftCell="A1">
      <selection activeCell="F24" sqref="F24"/>
    </sheetView>
  </sheetViews>
  <sheetFormatPr defaultColWidth="9.140625" defaultRowHeight="12.75"/>
  <cols>
    <col min="1" max="1" width="45.57421875" style="0" customWidth="1"/>
    <col min="2" max="2" width="14.421875" style="0" bestFit="1" customWidth="1"/>
    <col min="3" max="5" width="14.140625" style="0" bestFit="1" customWidth="1"/>
    <col min="6" max="6" width="13.57421875" style="0" bestFit="1" customWidth="1"/>
    <col min="7" max="7" width="11.8515625" style="0" bestFit="1" customWidth="1"/>
  </cols>
  <sheetData>
    <row r="1" ht="12.75">
      <c r="A1" s="5" t="s">
        <v>108</v>
      </c>
    </row>
    <row r="2" spans="2:5" ht="38.25">
      <c r="B2" s="93" t="s">
        <v>109</v>
      </c>
      <c r="C2" s="93" t="s">
        <v>103</v>
      </c>
      <c r="D2" s="93" t="s">
        <v>104</v>
      </c>
      <c r="E2" s="93" t="s">
        <v>105</v>
      </c>
    </row>
    <row r="3" spans="1:5" ht="12.75">
      <c r="A3" s="2" t="s">
        <v>15</v>
      </c>
      <c r="B3" s="39">
        <f>'2007'!J11</f>
        <v>76502006</v>
      </c>
      <c r="C3" s="39">
        <f>'2008'!P11</f>
        <v>123787511</v>
      </c>
      <c r="D3" s="39">
        <f>'2009'!P12</f>
        <v>35356578</v>
      </c>
      <c r="E3" s="57">
        <f>SUM(B3:D3)</f>
        <v>235646095</v>
      </c>
    </row>
    <row r="4" spans="1:6" ht="12.75">
      <c r="A4" s="2" t="s">
        <v>16</v>
      </c>
      <c r="B4" s="39">
        <f>'2007'!J12</f>
        <v>-5576339</v>
      </c>
      <c r="C4" s="39">
        <f>'2008'!P12</f>
        <v>-6271045</v>
      </c>
      <c r="D4" s="39">
        <f>'2009'!P13</f>
        <v>-1231181</v>
      </c>
      <c r="E4" s="57">
        <f aca="true" t="shared" si="0" ref="E4:E16">SUM(B4:D4)</f>
        <v>-13078565</v>
      </c>
      <c r="F4" s="91"/>
    </row>
    <row r="5" spans="1:5" ht="12.75">
      <c r="A5" s="2" t="s">
        <v>17</v>
      </c>
      <c r="B5" s="10">
        <f>'2007'!J13</f>
        <v>-47219925.383999996</v>
      </c>
      <c r="C5" s="10">
        <f>'2008'!P13</f>
        <v>-76710879.8322</v>
      </c>
      <c r="D5" s="10">
        <f>'2009'!P14</f>
        <v>-22022269</v>
      </c>
      <c r="E5" s="57">
        <f t="shared" si="0"/>
        <v>-145953074.2162</v>
      </c>
    </row>
    <row r="6" spans="1:5" ht="12.75">
      <c r="A6" s="2" t="s">
        <v>18</v>
      </c>
      <c r="B6" s="10">
        <f>'2007'!J14</f>
        <v>37589671.7345</v>
      </c>
      <c r="C6" s="10">
        <f>'2008'!P14</f>
        <v>76625171.6341</v>
      </c>
      <c r="D6" s="10">
        <f>'2009'!P15</f>
        <v>36546514</v>
      </c>
      <c r="E6" s="57">
        <f t="shared" si="0"/>
        <v>150761357.3686</v>
      </c>
    </row>
    <row r="7" spans="1:5" ht="12.75">
      <c r="A7" s="2" t="s">
        <v>19</v>
      </c>
      <c r="B7" s="10">
        <f>'2007'!J15</f>
        <v>2735793.5559999994</v>
      </c>
      <c r="C7" s="10">
        <f>'2008'!P15</f>
        <v>-2090162.0730000003</v>
      </c>
      <c r="D7" s="10">
        <f>'2009'!P16</f>
        <v>-680094</v>
      </c>
      <c r="E7" s="57">
        <f t="shared" si="0"/>
        <v>-34462.517000000924</v>
      </c>
    </row>
    <row r="8" spans="1:5" ht="12.75">
      <c r="A8" s="2" t="s">
        <v>20</v>
      </c>
      <c r="B8" s="11">
        <f>'2007'!J16</f>
        <v>64031206.906500004</v>
      </c>
      <c r="C8" s="11">
        <f>'2008'!P16</f>
        <v>115340595.7289</v>
      </c>
      <c r="D8" s="11">
        <f>'2009'!P17</f>
        <v>47969548</v>
      </c>
      <c r="E8" s="57">
        <f t="shared" si="0"/>
        <v>227341350.6354</v>
      </c>
    </row>
    <row r="9" spans="1:5" ht="12.75">
      <c r="A9" s="2"/>
      <c r="B9" s="12"/>
      <c r="C9" s="12"/>
      <c r="D9" s="12"/>
      <c r="E9" s="57">
        <f t="shared" si="0"/>
        <v>0</v>
      </c>
    </row>
    <row r="10" spans="1:5" ht="12.75">
      <c r="A10" s="2" t="s">
        <v>21</v>
      </c>
      <c r="B10" s="12">
        <f>'2007'!J18</f>
        <v>64031206.9065</v>
      </c>
      <c r="C10" s="12">
        <f>'2008'!P18</f>
        <v>115340595.7289</v>
      </c>
      <c r="D10" s="12">
        <f>'2009'!P19</f>
        <v>47969548</v>
      </c>
      <c r="E10" s="57">
        <f t="shared" si="0"/>
        <v>227341350.6354</v>
      </c>
    </row>
    <row r="11" spans="1:5" ht="12.75">
      <c r="A11" t="s">
        <v>22</v>
      </c>
      <c r="B11" s="13">
        <f>'2007'!J19</f>
        <v>65886491.623983756</v>
      </c>
      <c r="C11" s="13">
        <f>'2008'!P19</f>
        <v>119099680.37601626</v>
      </c>
      <c r="D11" s="13">
        <f>'2009'!P20</f>
        <v>50983551</v>
      </c>
      <c r="E11" s="57">
        <f t="shared" si="0"/>
        <v>235969723</v>
      </c>
    </row>
    <row r="12" spans="1:6" ht="12.75">
      <c r="A12" s="2" t="s">
        <v>23</v>
      </c>
      <c r="B12" s="14">
        <f>'2007'!J20</f>
        <v>-1855284.7174837582</v>
      </c>
      <c r="C12" s="14">
        <f>'2008'!P20</f>
        <v>-3759084.6471162606</v>
      </c>
      <c r="D12" s="14">
        <f>'2009'!P21</f>
        <v>-3014003</v>
      </c>
      <c r="E12" s="57">
        <f t="shared" si="0"/>
        <v>-8628372.364600018</v>
      </c>
      <c r="F12" s="82"/>
    </row>
    <row r="13" ht="12.75">
      <c r="A13" s="2" t="s">
        <v>24</v>
      </c>
    </row>
    <row r="14" spans="1:7" ht="12.75">
      <c r="A14" s="2" t="s">
        <v>25</v>
      </c>
      <c r="B14" s="40">
        <f>'2007'!J22</f>
        <v>-382095.88756578</v>
      </c>
      <c r="C14" s="40">
        <f>'2008'!P22</f>
        <v>-753349.2202113853</v>
      </c>
      <c r="D14" s="40">
        <f>'2009'!P23</f>
        <v>-655485.3724400001</v>
      </c>
      <c r="E14" s="57">
        <f t="shared" si="0"/>
        <v>-1790930.4802171653</v>
      </c>
      <c r="G14" s="82"/>
    </row>
    <row r="15" spans="1:5" ht="12.75">
      <c r="A15" s="17"/>
      <c r="B15" s="19">
        <v>0.9</v>
      </c>
      <c r="C15" s="19">
        <v>0.9</v>
      </c>
      <c r="D15" s="19">
        <v>0.9</v>
      </c>
      <c r="E15" s="57">
        <f t="shared" si="0"/>
        <v>2.7</v>
      </c>
    </row>
    <row r="16" spans="1:5" ht="12.75">
      <c r="A16" s="1" t="s">
        <v>27</v>
      </c>
      <c r="B16" s="43">
        <f>'2007'!J24</f>
        <v>-343886.298809202</v>
      </c>
      <c r="C16" s="43">
        <f>'2008'!P24</f>
        <v>-678014.2981902466</v>
      </c>
      <c r="D16" s="43">
        <f>'2009'!P25</f>
        <v>-589936.835196</v>
      </c>
      <c r="E16" s="57">
        <f t="shared" si="0"/>
        <v>-1611837.4321954485</v>
      </c>
    </row>
    <row r="18" ht="12.75">
      <c r="A18" s="1" t="s">
        <v>106</v>
      </c>
    </row>
    <row r="19" spans="2:5" ht="12.75">
      <c r="B19" s="92">
        <f>-B4/B3</f>
        <v>0.072891408886716</v>
      </c>
      <c r="C19" s="92">
        <f>-C4/C3</f>
        <v>0.050659755167062046</v>
      </c>
      <c r="D19" s="92">
        <f>-D4/D3</f>
        <v>0.03482183711330887</v>
      </c>
      <c r="E19" s="92">
        <f>-E4/E3</f>
        <v>0.055500877279549235</v>
      </c>
    </row>
    <row r="21" ht="12.75">
      <c r="A21" t="s">
        <v>107</v>
      </c>
    </row>
    <row r="22" ht="13.5" thickBot="1"/>
    <row r="23" spans="1:3" ht="13.5" customHeight="1" thickTop="1">
      <c r="A23" s="100" t="s">
        <v>117</v>
      </c>
      <c r="B23" s="101"/>
      <c r="C23" s="102"/>
    </row>
    <row r="24" spans="1:3" ht="12.75">
      <c r="A24" s="85"/>
      <c r="B24" s="86" t="s">
        <v>113</v>
      </c>
      <c r="C24" s="97" t="s">
        <v>113</v>
      </c>
    </row>
    <row r="25" spans="1:3" ht="12.75">
      <c r="A25" s="88" t="s">
        <v>114</v>
      </c>
      <c r="B25" s="84">
        <f>E3</f>
        <v>235646095</v>
      </c>
      <c r="C25" s="95"/>
    </row>
    <row r="26" spans="1:3" ht="12.75">
      <c r="A26" s="89" t="s">
        <v>111</v>
      </c>
      <c r="B26" s="83">
        <f>E4</f>
        <v>-13078565</v>
      </c>
      <c r="C26" s="94"/>
    </row>
    <row r="27" spans="1:3" ht="12.75">
      <c r="A27" s="88" t="s">
        <v>110</v>
      </c>
      <c r="B27" s="84">
        <f>E5+E6</f>
        <v>4808283.152400017</v>
      </c>
      <c r="C27" s="95"/>
    </row>
    <row r="28" spans="1:3" ht="12.75">
      <c r="A28" s="89" t="s">
        <v>102</v>
      </c>
      <c r="B28" s="96">
        <f>E7</f>
        <v>-34462.517000000924</v>
      </c>
      <c r="C28" s="98"/>
    </row>
    <row r="29" spans="1:3" ht="12.75">
      <c r="A29" s="88" t="s">
        <v>115</v>
      </c>
      <c r="B29" s="84"/>
      <c r="C29" s="95">
        <v>227341350.6354</v>
      </c>
    </row>
    <row r="30" spans="1:3" ht="12.75">
      <c r="A30" s="89" t="s">
        <v>112</v>
      </c>
      <c r="B30" s="83"/>
      <c r="C30" s="98">
        <v>235969723</v>
      </c>
    </row>
    <row r="31" spans="1:3" ht="13.5" thickBot="1">
      <c r="A31" s="90" t="s">
        <v>116</v>
      </c>
      <c r="B31" s="87"/>
      <c r="C31" s="99">
        <v>-8628372.364600003</v>
      </c>
    </row>
    <row r="32" ht="13.5" thickTop="1"/>
  </sheetData>
  <mergeCells count="1">
    <mergeCell ref="A23:C23"/>
  </mergeCells>
  <printOptions/>
  <pageMargins left="0.75" right="0.75" top="1" bottom="1" header="0.5" footer="0.5"/>
  <pageSetup horizontalDpi="600" verticalDpi="600" orientation="portrait" scale="86" r:id="rId1"/>
  <headerFooter alignWithMargins="0">
    <oddHeader>&amp;C&amp;"Arial,Bold"&amp;12Exhibit 12 Decoupling Calculation Summary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79"/>
  <sheetViews>
    <sheetView workbookViewId="0" topLeftCell="A1">
      <pane xSplit="4410" topLeftCell="H1" activePane="topRight" state="split"/>
      <selection pane="topLeft" activeCell="A3" sqref="A3"/>
      <selection pane="topRight" activeCell="K33" sqref="K33"/>
    </sheetView>
  </sheetViews>
  <sheetFormatPr defaultColWidth="9.140625" defaultRowHeight="12.75"/>
  <cols>
    <col min="1" max="1" width="10.00390625" style="2" customWidth="1"/>
    <col min="2" max="2" width="18.42187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00390625" style="2" bestFit="1" customWidth="1"/>
    <col min="9" max="9" width="13.7109375" style="2" customWidth="1"/>
    <col min="10" max="10" width="13.42187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5742187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97</v>
      </c>
    </row>
    <row r="6" ht="12.75">
      <c r="A6" s="1" t="s">
        <v>4</v>
      </c>
    </row>
    <row r="7" spans="1:10" ht="12.75">
      <c r="A7" s="1" t="s">
        <v>98</v>
      </c>
      <c r="J7" s="1"/>
    </row>
    <row r="8" spans="4:16" ht="12.75">
      <c r="D8" s="3">
        <v>2008</v>
      </c>
      <c r="E8" s="3">
        <v>2008</v>
      </c>
      <c r="F8" s="3">
        <v>2008</v>
      </c>
      <c r="G8" s="3">
        <v>2008</v>
      </c>
      <c r="H8" s="3">
        <v>2008</v>
      </c>
      <c r="I8" s="3">
        <v>2008</v>
      </c>
      <c r="J8" s="3">
        <v>2009</v>
      </c>
      <c r="K8" s="3">
        <v>2009</v>
      </c>
      <c r="L8" s="3">
        <v>2009</v>
      </c>
      <c r="M8" s="3">
        <v>2009</v>
      </c>
      <c r="N8" s="3">
        <v>2009</v>
      </c>
      <c r="O8" s="3">
        <v>2009</v>
      </c>
      <c r="P8" s="1" t="s">
        <v>53</v>
      </c>
    </row>
    <row r="9" spans="4:16" ht="12.75">
      <c r="D9" s="4" t="s">
        <v>54</v>
      </c>
      <c r="E9" s="4" t="s">
        <v>55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</v>
      </c>
      <c r="K9" s="4" t="s">
        <v>7</v>
      </c>
      <c r="L9" s="4" t="s">
        <v>8</v>
      </c>
      <c r="M9" s="4" t="s">
        <v>9</v>
      </c>
      <c r="N9" s="4" t="s">
        <v>10</v>
      </c>
      <c r="O9" s="4" t="s">
        <v>11</v>
      </c>
      <c r="P9" s="4" t="s">
        <v>60</v>
      </c>
    </row>
    <row r="10" spans="1:2" ht="12.75">
      <c r="A10" s="1" t="s">
        <v>99</v>
      </c>
      <c r="B10" s="1"/>
    </row>
    <row r="11" spans="1:7" ht="12.75">
      <c r="A11" s="5" t="s">
        <v>14</v>
      </c>
      <c r="D11" s="10"/>
      <c r="E11" s="10"/>
      <c r="F11" s="10"/>
      <c r="G11" s="38"/>
    </row>
    <row r="12" spans="1:17" ht="12.75">
      <c r="A12" s="2" t="s">
        <v>15</v>
      </c>
      <c r="D12" s="39">
        <v>2763613</v>
      </c>
      <c r="E12" s="39">
        <v>2223233</v>
      </c>
      <c r="F12" s="39">
        <v>2487966</v>
      </c>
      <c r="G12" s="39">
        <v>3933329</v>
      </c>
      <c r="H12" s="39">
        <v>8603159</v>
      </c>
      <c r="I12" s="39">
        <v>15345278</v>
      </c>
      <c r="J12" s="8"/>
      <c r="K12" s="8"/>
      <c r="L12" s="8"/>
      <c r="M12" s="8"/>
      <c r="N12" s="8"/>
      <c r="O12" s="8"/>
      <c r="P12" s="9">
        <f>SUM(D12:O12)</f>
        <v>35356578</v>
      </c>
      <c r="Q12" s="9"/>
    </row>
    <row r="13" spans="1:17" ht="12.75">
      <c r="A13" s="23" t="s">
        <v>16</v>
      </c>
      <c r="D13" s="39">
        <v>-82104</v>
      </c>
      <c r="E13" s="39">
        <v>-66736</v>
      </c>
      <c r="F13" s="39">
        <v>-78849</v>
      </c>
      <c r="G13" s="39">
        <v>-127362</v>
      </c>
      <c r="H13" s="39">
        <v>-276318</v>
      </c>
      <c r="I13" s="39">
        <v>-599812</v>
      </c>
      <c r="J13" s="8"/>
      <c r="K13" s="8"/>
      <c r="L13" s="8"/>
      <c r="M13" s="8"/>
      <c r="N13" s="8"/>
      <c r="O13" s="8"/>
      <c r="P13" s="9">
        <f>SUM(D13:O13)</f>
        <v>-1231181</v>
      </c>
      <c r="Q13" s="9"/>
    </row>
    <row r="14" spans="1:17" ht="12.75">
      <c r="A14" s="2" t="s">
        <v>17</v>
      </c>
      <c r="D14" s="10">
        <f aca="true" t="shared" si="0" ref="D14:O14">-D66</f>
        <v>-1731459</v>
      </c>
      <c r="E14" s="10">
        <f t="shared" si="0"/>
        <v>-1267630</v>
      </c>
      <c r="F14" s="10">
        <f t="shared" si="0"/>
        <v>-1309729</v>
      </c>
      <c r="G14" s="10">
        <f t="shared" si="0"/>
        <v>-1930178</v>
      </c>
      <c r="H14" s="10">
        <f t="shared" si="0"/>
        <v>-6206433</v>
      </c>
      <c r="I14" s="10">
        <f t="shared" si="0"/>
        <v>-9576840</v>
      </c>
      <c r="J14" s="8"/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9">
        <f>SUM(D14:O14)</f>
        <v>-22022269</v>
      </c>
      <c r="Q14" s="9"/>
    </row>
    <row r="15" spans="1:17" ht="12.75">
      <c r="A15" s="2" t="s">
        <v>18</v>
      </c>
      <c r="D15" s="10">
        <f aca="true" t="shared" si="1" ref="D15:O15">E66</f>
        <v>1267630</v>
      </c>
      <c r="E15" s="10">
        <f t="shared" si="1"/>
        <v>1309729</v>
      </c>
      <c r="F15" s="10">
        <f t="shared" si="1"/>
        <v>1930178</v>
      </c>
      <c r="G15" s="10">
        <f t="shared" si="1"/>
        <v>6206433</v>
      </c>
      <c r="H15" s="10">
        <f t="shared" si="1"/>
        <v>9576840</v>
      </c>
      <c r="I15" s="10">
        <f t="shared" si="1"/>
        <v>16255704</v>
      </c>
      <c r="J15" s="8"/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9">
        <f>SUM(D15:O15)</f>
        <v>36546514</v>
      </c>
      <c r="Q15" s="10"/>
    </row>
    <row r="16" spans="1:17" ht="12.75">
      <c r="A16" s="2" t="s">
        <v>19</v>
      </c>
      <c r="D16" s="10">
        <f aca="true" t="shared" si="2" ref="D16:O16">D50</f>
        <v>0</v>
      </c>
      <c r="E16" s="10">
        <f t="shared" si="2"/>
        <v>0</v>
      </c>
      <c r="F16" s="10">
        <f t="shared" si="2"/>
        <v>0</v>
      </c>
      <c r="G16" s="10">
        <f t="shared" si="2"/>
        <v>331716</v>
      </c>
      <c r="H16" s="10">
        <f t="shared" si="2"/>
        <v>1494158</v>
      </c>
      <c r="I16" s="10">
        <f t="shared" si="2"/>
        <v>-2505968</v>
      </c>
      <c r="J16" s="8"/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9">
        <f>SUM(D16:O16)</f>
        <v>-680094</v>
      </c>
      <c r="Q16" s="10"/>
    </row>
    <row r="17" spans="1:17" ht="12.75">
      <c r="A17" s="2" t="s">
        <v>20</v>
      </c>
      <c r="D17" s="11">
        <f aca="true" t="shared" si="3" ref="D17:P17">SUM(D12:D16)</f>
        <v>2217680</v>
      </c>
      <c r="E17" s="11">
        <f t="shared" si="3"/>
        <v>2198596</v>
      </c>
      <c r="F17" s="11">
        <f t="shared" si="3"/>
        <v>3029566</v>
      </c>
      <c r="G17" s="11">
        <f t="shared" si="3"/>
        <v>8413938</v>
      </c>
      <c r="H17" s="11">
        <f t="shared" si="3"/>
        <v>13191406</v>
      </c>
      <c r="I17" s="11">
        <f t="shared" si="3"/>
        <v>18918362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47969548</v>
      </c>
      <c r="Q17" s="10"/>
    </row>
    <row r="18" spans="4:17" ht="12.7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/>
    </row>
    <row r="19" spans="1:17" ht="12.75">
      <c r="A19" s="2" t="s">
        <v>21</v>
      </c>
      <c r="D19" s="12">
        <f aca="true" t="shared" si="4" ref="D19:O19">D17</f>
        <v>2217680</v>
      </c>
      <c r="E19" s="12">
        <f t="shared" si="4"/>
        <v>2198596</v>
      </c>
      <c r="F19" s="12">
        <f t="shared" si="4"/>
        <v>3029566</v>
      </c>
      <c r="G19" s="12">
        <f t="shared" si="4"/>
        <v>8413938</v>
      </c>
      <c r="H19" s="12">
        <f t="shared" si="4"/>
        <v>13191406</v>
      </c>
      <c r="I19" s="12">
        <f t="shared" si="4"/>
        <v>18918362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9">
        <f>SUM(D19:O19)</f>
        <v>47969548</v>
      </c>
      <c r="Q19" s="10"/>
    </row>
    <row r="20" spans="1:16" ht="12.75">
      <c r="A20" t="s">
        <v>22</v>
      </c>
      <c r="B20"/>
      <c r="C20"/>
      <c r="D20" s="13">
        <v>1983193</v>
      </c>
      <c r="E20" s="13">
        <v>2049321</v>
      </c>
      <c r="F20" s="13">
        <v>3228950</v>
      </c>
      <c r="G20" s="13">
        <v>8830784</v>
      </c>
      <c r="H20" s="13">
        <v>14228112</v>
      </c>
      <c r="I20" s="13">
        <v>20663191</v>
      </c>
      <c r="J20" s="13"/>
      <c r="K20" s="13"/>
      <c r="L20" s="13"/>
      <c r="M20" s="13"/>
      <c r="N20" s="13"/>
      <c r="O20" s="13"/>
      <c r="P20" s="9">
        <f>SUM(D20:O20)</f>
        <v>50983551</v>
      </c>
    </row>
    <row r="21" spans="1:16" ht="12.75">
      <c r="A21" s="2" t="s">
        <v>23</v>
      </c>
      <c r="C21"/>
      <c r="D21" s="14">
        <f aca="true" t="shared" si="5" ref="D21:I21">D19-D20</f>
        <v>234487</v>
      </c>
      <c r="E21" s="14">
        <f t="shared" si="5"/>
        <v>149275</v>
      </c>
      <c r="F21" s="14">
        <f t="shared" si="5"/>
        <v>-199384</v>
      </c>
      <c r="G21" s="14">
        <f t="shared" si="5"/>
        <v>-416846</v>
      </c>
      <c r="H21" s="14">
        <f t="shared" si="5"/>
        <v>-1036706</v>
      </c>
      <c r="I21" s="14">
        <f t="shared" si="5"/>
        <v>-1744829</v>
      </c>
      <c r="J21" s="14"/>
      <c r="K21" s="14"/>
      <c r="L21" s="14"/>
      <c r="M21" s="14"/>
      <c r="N21" s="14"/>
      <c r="O21" s="14"/>
      <c r="P21" s="9">
        <f>SUM(D21:O21)</f>
        <v>-3014003</v>
      </c>
    </row>
    <row r="22" spans="1:16" ht="12.75">
      <c r="A22" s="2" t="s">
        <v>95</v>
      </c>
      <c r="C22"/>
      <c r="D22" s="15">
        <v>0.21748</v>
      </c>
      <c r="E22" s="15">
        <v>0.21748</v>
      </c>
      <c r="F22" s="15">
        <v>0.21748</v>
      </c>
      <c r="G22" s="15">
        <v>0.21748</v>
      </c>
      <c r="H22" s="15">
        <v>0.21748</v>
      </c>
      <c r="I22" s="15">
        <v>0.21748</v>
      </c>
      <c r="J22" s="15"/>
      <c r="K22" s="15"/>
      <c r="L22" s="15"/>
      <c r="M22" s="15"/>
      <c r="N22" s="15"/>
      <c r="O22" s="15"/>
      <c r="P22"/>
    </row>
    <row r="23" spans="1:16" s="1" customFormat="1" ht="12.75">
      <c r="A23" s="1" t="s">
        <v>25</v>
      </c>
      <c r="D23" s="22">
        <f aca="true" t="shared" si="6" ref="D23:O23">D21*D22</f>
        <v>50996.23276</v>
      </c>
      <c r="E23" s="22">
        <f t="shared" si="6"/>
        <v>32464.327</v>
      </c>
      <c r="F23" s="40">
        <f t="shared" si="6"/>
        <v>-43362.03232</v>
      </c>
      <c r="G23" s="40">
        <f t="shared" si="6"/>
        <v>-90655.66808</v>
      </c>
      <c r="H23" s="40">
        <f t="shared" si="6"/>
        <v>-225462.82088</v>
      </c>
      <c r="I23" s="40">
        <f t="shared" si="6"/>
        <v>-379465.41092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76">
        <f t="shared" si="6"/>
        <v>0</v>
      </c>
      <c r="N23" s="16">
        <f t="shared" si="6"/>
        <v>0</v>
      </c>
      <c r="O23" s="76">
        <f t="shared" si="6"/>
        <v>0</v>
      </c>
      <c r="P23" s="16">
        <f>SUM(D23:O23)</f>
        <v>-655485.3724400001</v>
      </c>
    </row>
    <row r="24" spans="2:16" s="1" customFormat="1" ht="12.75">
      <c r="B24" s="18" t="s">
        <v>26</v>
      </c>
      <c r="C24" s="2"/>
      <c r="D24" s="19">
        <v>0.9</v>
      </c>
      <c r="E24" s="19">
        <v>0.9</v>
      </c>
      <c r="F24" s="19">
        <v>0.9</v>
      </c>
      <c r="G24" s="19">
        <v>0.9</v>
      </c>
      <c r="H24" s="19">
        <v>0.9</v>
      </c>
      <c r="I24" s="19">
        <v>0.9</v>
      </c>
      <c r="J24" s="19">
        <v>0.9</v>
      </c>
      <c r="K24" s="19">
        <v>0.9</v>
      </c>
      <c r="L24" s="19">
        <v>0.9</v>
      </c>
      <c r="M24" s="19">
        <v>0.9</v>
      </c>
      <c r="N24" s="19">
        <v>0.9</v>
      </c>
      <c r="O24" s="19">
        <v>0.9</v>
      </c>
      <c r="P24" s="22"/>
    </row>
    <row r="25" spans="1:16" ht="12.75">
      <c r="A25" s="1" t="s">
        <v>27</v>
      </c>
      <c r="D25" s="43">
        <f aca="true" t="shared" si="7" ref="D25:O25">D23*D24</f>
        <v>45896.609484</v>
      </c>
      <c r="E25" s="43">
        <f t="shared" si="7"/>
        <v>29217.8943</v>
      </c>
      <c r="F25" s="43">
        <f t="shared" si="7"/>
        <v>-39025.829088</v>
      </c>
      <c r="G25" s="43">
        <f t="shared" si="7"/>
        <v>-81590.101272</v>
      </c>
      <c r="H25" s="43">
        <f t="shared" si="7"/>
        <v>-202916.538792</v>
      </c>
      <c r="I25" s="43">
        <f t="shared" si="7"/>
        <v>-341518.869828</v>
      </c>
      <c r="J25" s="41">
        <f t="shared" si="7"/>
        <v>0</v>
      </c>
      <c r="K25" s="41">
        <f t="shared" si="7"/>
        <v>0</v>
      </c>
      <c r="L25" s="41">
        <f t="shared" si="7"/>
        <v>0</v>
      </c>
      <c r="M25" s="41">
        <f t="shared" si="7"/>
        <v>0</v>
      </c>
      <c r="N25" s="41">
        <f t="shared" si="7"/>
        <v>0</v>
      </c>
      <c r="O25" s="41">
        <f t="shared" si="7"/>
        <v>0</v>
      </c>
      <c r="P25" s="22">
        <f>SUM(D25:O25)</f>
        <v>-589936.835196</v>
      </c>
    </row>
    <row r="26" spans="1:16" ht="12.75">
      <c r="A26"/>
      <c r="B26" s="1" t="s">
        <v>28</v>
      </c>
      <c r="C26"/>
      <c r="D26" s="42"/>
      <c r="E26" s="42"/>
      <c r="F26" s="42"/>
      <c r="G26" s="10"/>
      <c r="H26" s="10"/>
      <c r="I26" s="10"/>
      <c r="J26" s="10"/>
      <c r="K26" s="10"/>
      <c r="L26" s="10"/>
      <c r="M26" s="10"/>
      <c r="N26" s="10"/>
      <c r="O26" s="10"/>
      <c r="P26" s="9"/>
    </row>
    <row r="27" spans="1:16" ht="12.75">
      <c r="A27" s="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4:16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</row>
    <row r="29" spans="1:16" ht="12.75">
      <c r="A29" s="1"/>
      <c r="D29" s="10"/>
      <c r="E29" s="10"/>
      <c r="F29" s="10"/>
      <c r="G29" s="44"/>
      <c r="H29" s="10"/>
      <c r="I29" s="10"/>
      <c r="J29" s="10"/>
      <c r="K29" s="10"/>
      <c r="L29" s="10"/>
      <c r="M29" s="10"/>
      <c r="N29" s="10"/>
      <c r="O29" s="10"/>
      <c r="P29" s="9"/>
    </row>
    <row r="30" spans="4:16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</row>
    <row r="31" spans="1:16" ht="12.75">
      <c r="A31" s="23" t="s">
        <v>100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2.75">
      <c r="A32" s="23" t="s">
        <v>101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1:16" ht="12.75">
      <c r="A33" s="2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6" ht="12.75">
      <c r="A34" s="2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1:10" ht="12.75">
      <c r="A35" s="23" t="s">
        <v>75</v>
      </c>
      <c r="J35" s="9"/>
    </row>
    <row r="36" spans="1:16" ht="12.75">
      <c r="A36" s="5" t="s">
        <v>76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 s="55">
        <v>39630</v>
      </c>
      <c r="E37" s="55">
        <v>39661</v>
      </c>
      <c r="F37" s="55">
        <v>39692</v>
      </c>
      <c r="G37" s="55">
        <v>39722</v>
      </c>
      <c r="H37" s="55">
        <v>39753</v>
      </c>
      <c r="I37" s="55">
        <v>39783</v>
      </c>
      <c r="J37" s="55">
        <v>39814</v>
      </c>
      <c r="K37" s="55">
        <v>39845</v>
      </c>
      <c r="L37" s="55">
        <v>39873</v>
      </c>
      <c r="M37" s="55">
        <v>39904</v>
      </c>
      <c r="N37" s="55">
        <v>39934</v>
      </c>
      <c r="O37" s="55">
        <v>39965</v>
      </c>
      <c r="P37" s="29" t="s">
        <v>60</v>
      </c>
    </row>
    <row r="38" spans="1:16" ht="12.75">
      <c r="A38" s="2" t="s">
        <v>40</v>
      </c>
      <c r="D38" s="12">
        <v>44</v>
      </c>
      <c r="E38" s="12">
        <v>42</v>
      </c>
      <c r="F38" s="12">
        <v>196</v>
      </c>
      <c r="G38" s="12">
        <v>554</v>
      </c>
      <c r="H38" s="12">
        <v>897</v>
      </c>
      <c r="I38" s="12">
        <v>1168</v>
      </c>
      <c r="J38" s="12">
        <v>1169</v>
      </c>
      <c r="K38" s="12">
        <f>916+29</f>
        <v>945</v>
      </c>
      <c r="L38" s="12">
        <v>790</v>
      </c>
      <c r="M38" s="12">
        <v>557</v>
      </c>
      <c r="N38" s="12">
        <v>338</v>
      </c>
      <c r="O38" s="12">
        <v>149</v>
      </c>
      <c r="P38" s="9">
        <f>SUM(D38:O38)</f>
        <v>6849</v>
      </c>
    </row>
    <row r="39" spans="1:16" ht="12.75">
      <c r="A39" s="49" t="s">
        <v>41</v>
      </c>
      <c r="B39"/>
      <c r="C39"/>
      <c r="D39" s="77">
        <v>8</v>
      </c>
      <c r="E39" s="56">
        <v>52</v>
      </c>
      <c r="F39" s="56">
        <v>142</v>
      </c>
      <c r="G39" s="56">
        <v>529</v>
      </c>
      <c r="H39" s="56">
        <v>785</v>
      </c>
      <c r="I39" s="56">
        <v>1328</v>
      </c>
      <c r="J39" s="78">
        <v>1169</v>
      </c>
      <c r="K39" s="78">
        <v>945</v>
      </c>
      <c r="L39" s="78">
        <v>790</v>
      </c>
      <c r="M39" s="78">
        <v>557</v>
      </c>
      <c r="N39" s="78">
        <v>338</v>
      </c>
      <c r="O39" s="78">
        <v>149</v>
      </c>
      <c r="P39" s="9">
        <f>SUM(D39:O39)</f>
        <v>6792</v>
      </c>
    </row>
    <row r="40" spans="1:16" ht="12.75">
      <c r="A40" s="1" t="s">
        <v>77</v>
      </c>
      <c r="B40"/>
      <c r="C40"/>
      <c r="D40" s="14">
        <f aca="true" t="shared" si="8" ref="D40:O40">D38-D39</f>
        <v>36</v>
      </c>
      <c r="E40" s="14">
        <f t="shared" si="8"/>
        <v>-10</v>
      </c>
      <c r="F40" s="14">
        <f t="shared" si="8"/>
        <v>54</v>
      </c>
      <c r="G40" s="14">
        <f t="shared" si="8"/>
        <v>25</v>
      </c>
      <c r="H40" s="14">
        <f t="shared" si="8"/>
        <v>112</v>
      </c>
      <c r="I40" s="14">
        <f t="shared" si="8"/>
        <v>-160</v>
      </c>
      <c r="J40" s="14">
        <f t="shared" si="8"/>
        <v>0</v>
      </c>
      <c r="K40" s="14">
        <f t="shared" si="8"/>
        <v>0</v>
      </c>
      <c r="L40" s="14">
        <f t="shared" si="8"/>
        <v>0</v>
      </c>
      <c r="M40" s="14">
        <f t="shared" si="8"/>
        <v>0</v>
      </c>
      <c r="N40" s="14">
        <f t="shared" si="8"/>
        <v>0</v>
      </c>
      <c r="O40" s="14">
        <f t="shared" si="8"/>
        <v>0</v>
      </c>
      <c r="P40" s="11">
        <f>SUM(J40:O40)</f>
        <v>0</v>
      </c>
    </row>
    <row r="41" spans="1:16" ht="12.75">
      <c r="A41" s="1"/>
      <c r="B41" s="58"/>
      <c r="C41" s="59" t="s">
        <v>78</v>
      </c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 t="s">
        <v>36</v>
      </c>
      <c r="B42"/>
      <c r="C42" s="29" t="s">
        <v>79</v>
      </c>
      <c r="D42" s="60">
        <v>0</v>
      </c>
      <c r="E42" s="60">
        <v>0</v>
      </c>
      <c r="F42" s="60">
        <v>0</v>
      </c>
      <c r="G42" s="60">
        <v>0.09</v>
      </c>
      <c r="H42" s="60">
        <v>0.09</v>
      </c>
      <c r="I42" s="60">
        <v>0.101</v>
      </c>
      <c r="J42" s="60">
        <v>0.101</v>
      </c>
      <c r="K42" s="60">
        <v>0.101</v>
      </c>
      <c r="L42" s="60">
        <v>0.101</v>
      </c>
      <c r="M42" s="60">
        <v>0.09</v>
      </c>
      <c r="N42" s="60">
        <v>0.09</v>
      </c>
      <c r="O42" s="60">
        <v>0.09</v>
      </c>
      <c r="P42"/>
    </row>
    <row r="43" spans="1:16" ht="12.75">
      <c r="A43" t="s">
        <v>37</v>
      </c>
      <c r="B43"/>
      <c r="C43" s="29" t="s">
        <v>79</v>
      </c>
      <c r="D43" s="60">
        <v>0</v>
      </c>
      <c r="E43" s="60">
        <v>0</v>
      </c>
      <c r="F43" s="60">
        <v>0</v>
      </c>
      <c r="G43" s="60">
        <v>0.169</v>
      </c>
      <c r="H43" s="60">
        <v>0.169</v>
      </c>
      <c r="I43" s="60">
        <v>0.243</v>
      </c>
      <c r="J43" s="60">
        <v>0.243</v>
      </c>
      <c r="K43" s="60">
        <v>0.243</v>
      </c>
      <c r="L43" s="60">
        <v>0.243</v>
      </c>
      <c r="M43" s="60">
        <v>0.169</v>
      </c>
      <c r="N43" s="60">
        <v>0.169</v>
      </c>
      <c r="O43" s="60">
        <v>0.169</v>
      </c>
      <c r="P43"/>
    </row>
    <row r="44" spans="1:16" ht="12.75">
      <c r="A44" t="s">
        <v>38</v>
      </c>
      <c r="B44"/>
      <c r="C44" s="29" t="s">
        <v>79</v>
      </c>
      <c r="D44" s="60">
        <v>0</v>
      </c>
      <c r="E44" s="60">
        <v>0</v>
      </c>
      <c r="F44" s="60">
        <v>0</v>
      </c>
      <c r="G44" s="60">
        <v>0.306</v>
      </c>
      <c r="H44" s="60">
        <v>0.306</v>
      </c>
      <c r="I44" s="60">
        <v>0.422</v>
      </c>
      <c r="J44" s="60">
        <v>0.422</v>
      </c>
      <c r="K44" s="60">
        <v>0.422</v>
      </c>
      <c r="L44" s="60">
        <v>0.422</v>
      </c>
      <c r="M44" s="60">
        <v>0.306</v>
      </c>
      <c r="N44" s="60">
        <v>0.306</v>
      </c>
      <c r="O44" s="60">
        <v>0.306</v>
      </c>
      <c r="P44"/>
    </row>
    <row r="45" spans="1:16" ht="12.75">
      <c r="A45"/>
      <c r="B45" s="1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 s="5" t="s">
        <v>33</v>
      </c>
      <c r="B46" s="15"/>
      <c r="C46" s="15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 t="s">
        <v>36</v>
      </c>
      <c r="B47"/>
      <c r="C47"/>
      <c r="D47" s="30">
        <f aca="true" t="shared" si="9" ref="D47:I49">ROUND(D$40*D42*J71,0)</f>
        <v>0</v>
      </c>
      <c r="E47" s="30">
        <f t="shared" si="9"/>
        <v>0</v>
      </c>
      <c r="F47" s="30">
        <f t="shared" si="9"/>
        <v>0</v>
      </c>
      <c r="G47" s="30">
        <f t="shared" si="9"/>
        <v>283203</v>
      </c>
      <c r="H47" s="30">
        <f t="shared" si="9"/>
        <v>1275453</v>
      </c>
      <c r="I47" s="30">
        <f t="shared" si="9"/>
        <v>-2053580</v>
      </c>
      <c r="J47" s="30">
        <f aca="true" t="shared" si="10" ref="J47:O49">ROUND(J$40*J42*D71,0)</f>
        <v>0</v>
      </c>
      <c r="K47" s="30">
        <f t="shared" si="10"/>
        <v>0</v>
      </c>
      <c r="L47" s="30">
        <f t="shared" si="10"/>
        <v>0</v>
      </c>
      <c r="M47" s="30">
        <f t="shared" si="10"/>
        <v>0</v>
      </c>
      <c r="N47" s="30">
        <f t="shared" si="10"/>
        <v>0</v>
      </c>
      <c r="O47" s="30">
        <f t="shared" si="10"/>
        <v>0</v>
      </c>
      <c r="P47" s="30">
        <f>SUM(J47:O47)</f>
        <v>0</v>
      </c>
    </row>
    <row r="48" spans="1:16" ht="12.75">
      <c r="A48" t="s">
        <v>37</v>
      </c>
      <c r="B48"/>
      <c r="C48"/>
      <c r="D48" s="30">
        <f t="shared" si="9"/>
        <v>0</v>
      </c>
      <c r="E48" s="30">
        <f t="shared" si="9"/>
        <v>0</v>
      </c>
      <c r="F48" s="30">
        <f t="shared" si="9"/>
        <v>0</v>
      </c>
      <c r="G48" s="30">
        <f t="shared" si="9"/>
        <v>47840</v>
      </c>
      <c r="H48" s="30">
        <f t="shared" si="9"/>
        <v>215552</v>
      </c>
      <c r="I48" s="30">
        <f t="shared" si="9"/>
        <v>-446109</v>
      </c>
      <c r="J48" s="30">
        <f t="shared" si="10"/>
        <v>0</v>
      </c>
      <c r="K48" s="30">
        <f t="shared" si="10"/>
        <v>0</v>
      </c>
      <c r="L48" s="30">
        <f t="shared" si="10"/>
        <v>0</v>
      </c>
      <c r="M48" s="30">
        <f t="shared" si="10"/>
        <v>0</v>
      </c>
      <c r="N48" s="30">
        <f t="shared" si="10"/>
        <v>0</v>
      </c>
      <c r="O48" s="30">
        <f t="shared" si="10"/>
        <v>0</v>
      </c>
      <c r="P48" s="30">
        <f>SUM(J48:O48)</f>
        <v>0</v>
      </c>
    </row>
    <row r="49" spans="1:16" ht="12.75">
      <c r="A49" t="s">
        <v>38</v>
      </c>
      <c r="B49"/>
      <c r="C49"/>
      <c r="D49" s="30">
        <f t="shared" si="9"/>
        <v>0</v>
      </c>
      <c r="E49" s="30">
        <f t="shared" si="9"/>
        <v>0</v>
      </c>
      <c r="F49" s="30">
        <f t="shared" si="9"/>
        <v>0</v>
      </c>
      <c r="G49" s="30">
        <f t="shared" si="9"/>
        <v>673</v>
      </c>
      <c r="H49" s="30">
        <f t="shared" si="9"/>
        <v>3153</v>
      </c>
      <c r="I49" s="30">
        <f t="shared" si="9"/>
        <v>-6279</v>
      </c>
      <c r="J49" s="30">
        <f t="shared" si="10"/>
        <v>0</v>
      </c>
      <c r="K49" s="30">
        <f t="shared" si="10"/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>SUM(J49:O49)</f>
        <v>0</v>
      </c>
    </row>
    <row r="50" spans="1:16" ht="12.75">
      <c r="A50" t="s">
        <v>80</v>
      </c>
      <c r="B50"/>
      <c r="C50"/>
      <c r="D50" s="31">
        <f aca="true" t="shared" si="11" ref="D50:P50">SUM(D47:D49)</f>
        <v>0</v>
      </c>
      <c r="E50" s="31">
        <f t="shared" si="11"/>
        <v>0</v>
      </c>
      <c r="F50" s="31">
        <f t="shared" si="11"/>
        <v>0</v>
      </c>
      <c r="G50" s="31">
        <f t="shared" si="11"/>
        <v>331716</v>
      </c>
      <c r="H50" s="31">
        <f t="shared" si="11"/>
        <v>1494158</v>
      </c>
      <c r="I50" s="31">
        <f t="shared" si="11"/>
        <v>-2505968</v>
      </c>
      <c r="J50" s="31">
        <f t="shared" si="11"/>
        <v>0</v>
      </c>
      <c r="K50" s="31">
        <f t="shared" si="11"/>
        <v>0</v>
      </c>
      <c r="L50" s="31">
        <f t="shared" si="11"/>
        <v>0</v>
      </c>
      <c r="M50" s="31">
        <f t="shared" si="11"/>
        <v>0</v>
      </c>
      <c r="N50" s="31">
        <f t="shared" si="11"/>
        <v>0</v>
      </c>
      <c r="O50" s="31">
        <f t="shared" si="11"/>
        <v>0</v>
      </c>
      <c r="P50" s="31">
        <f t="shared" si="11"/>
        <v>0</v>
      </c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5" t="s">
        <v>81</v>
      </c>
      <c r="B53"/>
      <c r="C53"/>
      <c r="D53" s="32"/>
      <c r="E53"/>
      <c r="F53" s="61"/>
      <c r="G53" s="61"/>
      <c r="H53"/>
      <c r="I53"/>
      <c r="J53"/>
      <c r="K53"/>
      <c r="L53"/>
      <c r="M53"/>
      <c r="N53"/>
      <c r="O53"/>
      <c r="P53"/>
    </row>
    <row r="54" spans="1:16" ht="12.75">
      <c r="A54" s="24"/>
      <c r="B54"/>
      <c r="C54"/>
      <c r="D54" s="62">
        <v>39600</v>
      </c>
      <c r="E54" s="62">
        <v>39630</v>
      </c>
      <c r="F54" s="62">
        <v>39661</v>
      </c>
      <c r="G54" s="62">
        <v>39692</v>
      </c>
      <c r="H54" s="62">
        <v>39722</v>
      </c>
      <c r="I54" s="62">
        <v>39753</v>
      </c>
      <c r="J54" s="62">
        <v>39783</v>
      </c>
      <c r="K54" s="62">
        <v>39814</v>
      </c>
      <c r="L54" s="62">
        <v>39845</v>
      </c>
      <c r="M54" s="62">
        <v>39873</v>
      </c>
      <c r="N54" s="62">
        <v>39904</v>
      </c>
      <c r="O54" s="62">
        <v>39934</v>
      </c>
      <c r="P54" s="62">
        <v>39965</v>
      </c>
    </row>
    <row r="55" spans="1:16" ht="12.75">
      <c r="A55" t="s">
        <v>31</v>
      </c>
      <c r="B55"/>
      <c r="C55"/>
      <c r="D55" s="79">
        <v>71.2</v>
      </c>
      <c r="E55" s="65">
        <v>4.7</v>
      </c>
      <c r="F55" s="65">
        <v>45.3</v>
      </c>
      <c r="G55" s="65">
        <v>101.5</v>
      </c>
      <c r="H55" s="65">
        <v>369.6</v>
      </c>
      <c r="I55" s="65">
        <v>567.2</v>
      </c>
      <c r="J55" s="65">
        <v>952.4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</row>
    <row r="56" spans="1:16" ht="12.75">
      <c r="A56" t="s">
        <v>32</v>
      </c>
      <c r="B56"/>
      <c r="C56"/>
      <c r="D56" s="80">
        <v>0.633</v>
      </c>
      <c r="E56" s="67">
        <v>0.6332</v>
      </c>
      <c r="F56" s="67">
        <v>0.6528</v>
      </c>
      <c r="G56" s="67">
        <v>0.6281</v>
      </c>
      <c r="H56" s="67">
        <v>0.6531</v>
      </c>
      <c r="I56" s="67">
        <v>0.6916</v>
      </c>
      <c r="J56" s="67">
        <v>0.6863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</row>
    <row r="57" spans="1:16" ht="12.75">
      <c r="A57" s="1"/>
      <c r="B57" s="58" t="s">
        <v>82</v>
      </c>
      <c r="C57" s="59" t="s">
        <v>78</v>
      </c>
      <c r="D57" s="28"/>
      <c r="E57" s="69"/>
      <c r="F57" s="69"/>
      <c r="G57" s="69"/>
      <c r="H57" s="69"/>
      <c r="I57" s="69"/>
      <c r="J57" s="71"/>
      <c r="K57" s="69"/>
      <c r="L57" s="70"/>
      <c r="M57" s="70"/>
      <c r="N57" s="69"/>
      <c r="O57" s="69"/>
      <c r="P57" s="69"/>
    </row>
    <row r="58" spans="1:16" ht="12.75">
      <c r="A58" t="s">
        <v>36</v>
      </c>
      <c r="B58" s="42">
        <v>15</v>
      </c>
      <c r="C58" s="29" t="s">
        <v>79</v>
      </c>
      <c r="D58" s="72">
        <f>P58</f>
        <v>0.0448</v>
      </c>
      <c r="E58" s="72">
        <v>0</v>
      </c>
      <c r="F58" s="72">
        <v>0</v>
      </c>
      <c r="G58" s="72">
        <f>(F58+H58)/2</f>
        <v>0.0448</v>
      </c>
      <c r="H58" s="72">
        <v>0.0896</v>
      </c>
      <c r="I58" s="72">
        <f>(H58+J58)/2</f>
        <v>0.09505</v>
      </c>
      <c r="J58" s="72">
        <v>0.1005</v>
      </c>
      <c r="K58" s="72">
        <v>0.1005</v>
      </c>
      <c r="L58" s="73">
        <v>0.1005</v>
      </c>
      <c r="M58" s="73">
        <f>(L58+N58)/2</f>
        <v>0.09505</v>
      </c>
      <c r="N58" s="72">
        <v>0.0896</v>
      </c>
      <c r="O58" s="72">
        <v>0.0896</v>
      </c>
      <c r="P58" s="72">
        <f>(O58+E58)/2</f>
        <v>0.0448</v>
      </c>
    </row>
    <row r="59" spans="1:16" ht="12.75">
      <c r="A59" t="s">
        <v>37</v>
      </c>
      <c r="B59" s="42">
        <v>12</v>
      </c>
      <c r="C59" s="29" t="s">
        <v>79</v>
      </c>
      <c r="D59" s="72">
        <f>P59</f>
        <v>0.0844</v>
      </c>
      <c r="E59" s="72">
        <v>0</v>
      </c>
      <c r="F59" s="72">
        <v>0</v>
      </c>
      <c r="G59" s="72">
        <f>(F59+H59)/2</f>
        <v>0.0844</v>
      </c>
      <c r="H59" s="72">
        <v>0.1688</v>
      </c>
      <c r="I59" s="72">
        <f>(H59+J59)/2</f>
        <v>0.20575</v>
      </c>
      <c r="J59" s="72">
        <v>0.2427</v>
      </c>
      <c r="K59" s="72">
        <v>0.2427</v>
      </c>
      <c r="L59" s="73">
        <v>0.2427</v>
      </c>
      <c r="M59" s="73">
        <f>(L59+N59)/2</f>
        <v>0.20575</v>
      </c>
      <c r="N59" s="72">
        <v>0.1688</v>
      </c>
      <c r="O59" s="72">
        <v>0.1688</v>
      </c>
      <c r="P59" s="72">
        <f>(O59+E59)/2</f>
        <v>0.0844</v>
      </c>
    </row>
    <row r="60" spans="1:16" ht="12.75">
      <c r="A60" t="s">
        <v>38</v>
      </c>
      <c r="B60" s="42">
        <v>0</v>
      </c>
      <c r="C60" s="29" t="s">
        <v>79</v>
      </c>
      <c r="D60" s="72">
        <f>P60</f>
        <v>0.15275</v>
      </c>
      <c r="E60" s="72">
        <v>0</v>
      </c>
      <c r="F60" s="72">
        <v>0</v>
      </c>
      <c r="G60" s="72">
        <f>(F60+H60)/2</f>
        <v>0.15275</v>
      </c>
      <c r="H60" s="72">
        <v>0.3055</v>
      </c>
      <c r="I60" s="72">
        <f>(H60+J60)/2</f>
        <v>0.36385</v>
      </c>
      <c r="J60" s="72">
        <v>0.4222</v>
      </c>
      <c r="K60" s="72">
        <v>0.4222</v>
      </c>
      <c r="L60" s="73">
        <v>0.4222</v>
      </c>
      <c r="M60" s="73">
        <f>(L60+N60)/2</f>
        <v>0.36385</v>
      </c>
      <c r="N60" s="72">
        <v>0.3055</v>
      </c>
      <c r="O60" s="72">
        <v>0.3055</v>
      </c>
      <c r="P60" s="72">
        <f>(O60+E60)/2</f>
        <v>0.15275</v>
      </c>
    </row>
    <row r="61" spans="1:16" ht="12.75">
      <c r="A61"/>
      <c r="B61"/>
      <c r="C61" s="15"/>
      <c r="D61" s="28"/>
      <c r="E61" s="69"/>
      <c r="F61" s="69"/>
      <c r="G61" s="69"/>
      <c r="H61" s="69"/>
      <c r="I61" s="69"/>
      <c r="J61" s="71"/>
      <c r="K61" s="69"/>
      <c r="L61" s="70"/>
      <c r="M61" s="70"/>
      <c r="N61" s="69"/>
      <c r="O61" s="69"/>
      <c r="P61" s="69"/>
    </row>
    <row r="62" spans="1:16" ht="12.75">
      <c r="A62" s="5" t="s">
        <v>33</v>
      </c>
      <c r="B62" s="58"/>
      <c r="C62" s="29"/>
      <c r="D62" s="28"/>
      <c r="E62" s="69"/>
      <c r="F62" s="69"/>
      <c r="G62" s="69"/>
      <c r="H62" s="69"/>
      <c r="I62" s="69"/>
      <c r="J62" s="71"/>
      <c r="K62" s="69"/>
      <c r="L62" s="70"/>
      <c r="M62" s="70"/>
      <c r="N62" s="69"/>
      <c r="O62" s="69"/>
      <c r="P62" s="69"/>
    </row>
    <row r="63" spans="1:16" ht="12.75">
      <c r="A63" t="s">
        <v>36</v>
      </c>
      <c r="B63"/>
      <c r="C63"/>
      <c r="D63" s="30">
        <f aca="true" t="shared" si="12" ref="D63:J65">ROUND((D$55*D58)*I71,0)+ROUND(($B58*D$56)*I71,0)</f>
        <v>1577451</v>
      </c>
      <c r="E63" s="30">
        <f t="shared" si="12"/>
        <v>1182330</v>
      </c>
      <c r="F63" s="30">
        <f t="shared" si="12"/>
        <v>1221209</v>
      </c>
      <c r="G63" s="30">
        <f t="shared" si="12"/>
        <v>1746939</v>
      </c>
      <c r="H63" s="30">
        <f t="shared" si="12"/>
        <v>5401331</v>
      </c>
      <c r="I63" s="30">
        <f t="shared" si="12"/>
        <v>8134346</v>
      </c>
      <c r="J63" s="30">
        <f t="shared" si="12"/>
        <v>13471627</v>
      </c>
      <c r="K63" s="30">
        <f aca="true" t="shared" si="13" ref="K63:P65">ROUND((K$55*K58)*D71,0)+ROUND(($B58*K$56)*D71,0)</f>
        <v>0</v>
      </c>
      <c r="L63" s="30">
        <f t="shared" si="13"/>
        <v>0</v>
      </c>
      <c r="M63" s="30">
        <f t="shared" si="13"/>
        <v>0</v>
      </c>
      <c r="N63" s="30">
        <f t="shared" si="13"/>
        <v>0</v>
      </c>
      <c r="O63" s="30">
        <f t="shared" si="13"/>
        <v>0</v>
      </c>
      <c r="P63" s="30">
        <f t="shared" si="13"/>
        <v>0</v>
      </c>
    </row>
    <row r="64" spans="1:16" ht="12.75">
      <c r="A64" t="s">
        <v>37</v>
      </c>
      <c r="B64"/>
      <c r="C64"/>
      <c r="D64" s="30">
        <f t="shared" si="12"/>
        <v>153018</v>
      </c>
      <c r="E64" s="30">
        <f t="shared" si="12"/>
        <v>85300</v>
      </c>
      <c r="F64" s="30">
        <f t="shared" si="12"/>
        <v>88520</v>
      </c>
      <c r="G64" s="30">
        <f t="shared" si="12"/>
        <v>181828</v>
      </c>
      <c r="H64" s="30">
        <f t="shared" si="12"/>
        <v>795166</v>
      </c>
      <c r="I64" s="30">
        <f t="shared" si="12"/>
        <v>1423507</v>
      </c>
      <c r="J64" s="30">
        <f t="shared" si="12"/>
        <v>2746681</v>
      </c>
      <c r="K64" s="30">
        <f t="shared" si="13"/>
        <v>0</v>
      </c>
      <c r="L64" s="30">
        <f t="shared" si="13"/>
        <v>0</v>
      </c>
      <c r="M64" s="30">
        <f t="shared" si="13"/>
        <v>0</v>
      </c>
      <c r="N64" s="30">
        <f t="shared" si="13"/>
        <v>0</v>
      </c>
      <c r="O64" s="30">
        <f t="shared" si="13"/>
        <v>0</v>
      </c>
      <c r="P64" s="30">
        <f t="shared" si="13"/>
        <v>0</v>
      </c>
    </row>
    <row r="65" spans="1:16" ht="12.75">
      <c r="A65" t="s">
        <v>38</v>
      </c>
      <c r="B65"/>
      <c r="C65"/>
      <c r="D65" s="30">
        <f t="shared" si="12"/>
        <v>990</v>
      </c>
      <c r="E65" s="30">
        <f t="shared" si="12"/>
        <v>0</v>
      </c>
      <c r="F65" s="30">
        <f t="shared" si="12"/>
        <v>0</v>
      </c>
      <c r="G65" s="30">
        <f t="shared" si="12"/>
        <v>1411</v>
      </c>
      <c r="H65" s="30">
        <f t="shared" si="12"/>
        <v>9936</v>
      </c>
      <c r="I65" s="30">
        <f t="shared" si="12"/>
        <v>18987</v>
      </c>
      <c r="J65" s="30">
        <f t="shared" si="12"/>
        <v>37396</v>
      </c>
      <c r="K65" s="30">
        <f t="shared" si="13"/>
        <v>0</v>
      </c>
      <c r="L65" s="30">
        <f t="shared" si="13"/>
        <v>0</v>
      </c>
      <c r="M65" s="30">
        <f t="shared" si="13"/>
        <v>0</v>
      </c>
      <c r="N65" s="30">
        <f t="shared" si="13"/>
        <v>0</v>
      </c>
      <c r="O65" s="30">
        <f t="shared" si="13"/>
        <v>0</v>
      </c>
      <c r="P65" s="30">
        <f t="shared" si="13"/>
        <v>0</v>
      </c>
    </row>
    <row r="66" spans="1:16" ht="12.75">
      <c r="A66" t="s">
        <v>83</v>
      </c>
      <c r="B66"/>
      <c r="C66"/>
      <c r="D66" s="31">
        <v>1731459</v>
      </c>
      <c r="E66" s="31">
        <f aca="true" t="shared" si="14" ref="E66:P66">SUM(E63:E65)</f>
        <v>1267630</v>
      </c>
      <c r="F66" s="31">
        <f t="shared" si="14"/>
        <v>1309729</v>
      </c>
      <c r="G66" s="31">
        <f t="shared" si="14"/>
        <v>1930178</v>
      </c>
      <c r="H66" s="31">
        <f t="shared" si="14"/>
        <v>6206433</v>
      </c>
      <c r="I66" s="31">
        <f t="shared" si="14"/>
        <v>9576840</v>
      </c>
      <c r="J66" s="31">
        <f t="shared" si="14"/>
        <v>16255704</v>
      </c>
      <c r="K66" s="31">
        <f t="shared" si="14"/>
        <v>0</v>
      </c>
      <c r="L66" s="31">
        <f t="shared" si="14"/>
        <v>0</v>
      </c>
      <c r="M66" s="31">
        <f t="shared" si="14"/>
        <v>0</v>
      </c>
      <c r="N66" s="31">
        <f t="shared" si="14"/>
        <v>0</v>
      </c>
      <c r="O66" s="31">
        <f t="shared" si="14"/>
        <v>0</v>
      </c>
      <c r="P66" s="31">
        <f t="shared" si="14"/>
        <v>0</v>
      </c>
    </row>
    <row r="67" spans="1:16" ht="12.75">
      <c r="A67"/>
      <c r="B67"/>
      <c r="C67"/>
      <c r="D67"/>
      <c r="E67"/>
      <c r="F67"/>
      <c r="G67"/>
      <c r="H67"/>
      <c r="I67"/>
      <c r="J67"/>
      <c r="K67"/>
      <c r="L67" s="61"/>
      <c r="M67" s="61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 s="1" t="s">
        <v>84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 s="1"/>
      <c r="B70" t="s">
        <v>85</v>
      </c>
      <c r="C70" s="62">
        <v>38687</v>
      </c>
      <c r="D70" s="62">
        <v>38718</v>
      </c>
      <c r="E70" s="62">
        <v>38749</v>
      </c>
      <c r="F70" s="62">
        <v>38777</v>
      </c>
      <c r="G70" s="62">
        <v>38808</v>
      </c>
      <c r="H70" s="62">
        <v>38838</v>
      </c>
      <c r="I70" s="62">
        <v>38869</v>
      </c>
      <c r="J70" s="62">
        <v>38899</v>
      </c>
      <c r="K70" s="62">
        <v>38930</v>
      </c>
      <c r="L70" s="62">
        <v>38961</v>
      </c>
      <c r="M70" s="62">
        <v>38991</v>
      </c>
      <c r="N70" s="62">
        <v>39022</v>
      </c>
      <c r="O70" s="62">
        <v>39052</v>
      </c>
      <c r="P70" s="74" t="s">
        <v>86</v>
      </c>
    </row>
    <row r="71" spans="1:16" ht="12.75">
      <c r="A71" t="s">
        <v>87</v>
      </c>
      <c r="B71" s="75" t="s">
        <v>88</v>
      </c>
      <c r="C71" s="30">
        <v>123861</v>
      </c>
      <c r="D71" s="30">
        <v>124155</v>
      </c>
      <c r="E71" s="30">
        <v>124306</v>
      </c>
      <c r="F71" s="30">
        <v>124387</v>
      </c>
      <c r="G71" s="30">
        <v>124402</v>
      </c>
      <c r="H71" s="30">
        <v>124602</v>
      </c>
      <c r="I71" s="30">
        <v>124358</v>
      </c>
      <c r="J71" s="30">
        <f>124482</f>
        <v>124482</v>
      </c>
      <c r="K71" s="30">
        <v>124715</v>
      </c>
      <c r="L71" s="30">
        <v>125061</v>
      </c>
      <c r="M71" s="30">
        <v>125868</v>
      </c>
      <c r="N71" s="30">
        <v>126533</v>
      </c>
      <c r="O71" s="30">
        <v>127078</v>
      </c>
      <c r="P71" s="30">
        <f>SUM(D71:O71)</f>
        <v>1499947</v>
      </c>
    </row>
    <row r="72" spans="1:16" ht="12.75">
      <c r="A72" t="s">
        <v>89</v>
      </c>
      <c r="B72" s="75" t="s">
        <v>90</v>
      </c>
      <c r="C72" s="30">
        <v>11283</v>
      </c>
      <c r="D72" s="30">
        <v>11239</v>
      </c>
      <c r="E72" s="30">
        <v>11279</v>
      </c>
      <c r="F72" s="30">
        <v>11289</v>
      </c>
      <c r="G72" s="30">
        <v>11260</v>
      </c>
      <c r="H72" s="30">
        <v>11225</v>
      </c>
      <c r="I72" s="30">
        <v>11247</v>
      </c>
      <c r="J72" s="30">
        <v>11226</v>
      </c>
      <c r="K72" s="30">
        <v>11300</v>
      </c>
      <c r="L72" s="30">
        <v>11291</v>
      </c>
      <c r="M72" s="30">
        <v>11323</v>
      </c>
      <c r="N72" s="30">
        <v>11388</v>
      </c>
      <c r="O72" s="30">
        <v>11474</v>
      </c>
      <c r="P72" s="30">
        <f>SUM(D72:O72)</f>
        <v>135541</v>
      </c>
    </row>
    <row r="73" spans="1:16" ht="12.75">
      <c r="A73" t="s">
        <v>91</v>
      </c>
      <c r="B73" s="75" t="s">
        <v>92</v>
      </c>
      <c r="C73" s="30">
        <v>92</v>
      </c>
      <c r="D73" s="30">
        <v>94</v>
      </c>
      <c r="E73" s="30">
        <v>92</v>
      </c>
      <c r="F73" s="30">
        <v>91</v>
      </c>
      <c r="G73" s="30">
        <v>91</v>
      </c>
      <c r="H73" s="30">
        <v>88</v>
      </c>
      <c r="I73" s="30">
        <v>91</v>
      </c>
      <c r="J73" s="30">
        <v>91</v>
      </c>
      <c r="K73" s="30">
        <v>90</v>
      </c>
      <c r="L73" s="30">
        <v>91</v>
      </c>
      <c r="M73" s="30">
        <v>88</v>
      </c>
      <c r="N73" s="30">
        <v>92</v>
      </c>
      <c r="O73" s="30">
        <v>93</v>
      </c>
      <c r="P73" s="30">
        <f>SUM(D73:O73)</f>
        <v>1092</v>
      </c>
    </row>
    <row r="74" spans="1:16" ht="12.75">
      <c r="A74" t="s">
        <v>93</v>
      </c>
      <c r="B74" s="75" t="s">
        <v>94</v>
      </c>
      <c r="C74" s="30"/>
      <c r="D74" s="30">
        <v>22</v>
      </c>
      <c r="E74" s="30">
        <v>22</v>
      </c>
      <c r="F74" s="30">
        <v>22</v>
      </c>
      <c r="G74" s="30">
        <v>22</v>
      </c>
      <c r="H74" s="30">
        <v>23</v>
      </c>
      <c r="I74" s="30">
        <v>23</v>
      </c>
      <c r="J74" s="30">
        <v>23</v>
      </c>
      <c r="K74" s="30">
        <v>23</v>
      </c>
      <c r="L74" s="30">
        <v>23</v>
      </c>
      <c r="M74" s="30">
        <v>23</v>
      </c>
      <c r="N74" s="30">
        <v>23</v>
      </c>
      <c r="O74" s="30">
        <v>22</v>
      </c>
      <c r="P74" s="30">
        <f>SUM(D74:O74)</f>
        <v>271</v>
      </c>
    </row>
    <row r="75" spans="1:16" ht="12.75">
      <c r="A75" t="s">
        <v>83</v>
      </c>
      <c r="B75"/>
      <c r="C75"/>
      <c r="D75" s="14">
        <f aca="true" t="shared" si="15" ref="D75:P75">SUM(D71:D74)</f>
        <v>135510</v>
      </c>
      <c r="E75" s="14">
        <f t="shared" si="15"/>
        <v>135699</v>
      </c>
      <c r="F75" s="14">
        <f t="shared" si="15"/>
        <v>135789</v>
      </c>
      <c r="G75" s="14">
        <f t="shared" si="15"/>
        <v>135775</v>
      </c>
      <c r="H75" s="14">
        <f t="shared" si="15"/>
        <v>135938</v>
      </c>
      <c r="I75" s="14">
        <f t="shared" si="15"/>
        <v>135719</v>
      </c>
      <c r="J75" s="14">
        <f t="shared" si="15"/>
        <v>135822</v>
      </c>
      <c r="K75" s="14">
        <f t="shared" si="15"/>
        <v>136128</v>
      </c>
      <c r="L75" s="14">
        <f t="shared" si="15"/>
        <v>136466</v>
      </c>
      <c r="M75" s="14">
        <f t="shared" si="15"/>
        <v>137302</v>
      </c>
      <c r="N75" s="14">
        <f t="shared" si="15"/>
        <v>138036</v>
      </c>
      <c r="O75" s="14">
        <f t="shared" si="15"/>
        <v>138667</v>
      </c>
      <c r="P75" s="14">
        <f t="shared" si="15"/>
        <v>1636851</v>
      </c>
    </row>
    <row r="76" ht="12.75">
      <c r="J76" s="81"/>
    </row>
    <row r="77" ht="12.75">
      <c r="J77" s="9"/>
    </row>
    <row r="78" ht="12.75">
      <c r="J78" s="9"/>
    </row>
    <row r="79" ht="12.75">
      <c r="J79" s="9"/>
    </row>
  </sheetData>
  <printOptions horizontalCentered="1" verticalCentered="1"/>
  <pageMargins left="0.25" right="0.25" top="0.5" bottom="0.5" header="1.37" footer="0.5"/>
  <pageSetup horizontalDpi="600" verticalDpi="600" orientation="landscape" scale="65" r:id="rId1"/>
  <headerFooter alignWithMargins="0">
    <oddHeader>&amp;CAvista Corporation Natural Gas Decoupling Mechanism
Docket No. UG-060518
Quarterly Report for 4th Quarter 2008</oddHeader>
    <oddFooter>&amp;Lfile: &amp;F / &amp;A&amp;RPage &amp;P of &amp;N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1">
      <pane xSplit="4410" topLeftCell="K1" activePane="topRight" state="split"/>
      <selection pane="topLeft" activeCell="E91" sqref="E91:J92"/>
      <selection pane="topRight" activeCell="R10" sqref="R10"/>
    </sheetView>
  </sheetViews>
  <sheetFormatPr defaultColWidth="9.140625" defaultRowHeight="12.75"/>
  <cols>
    <col min="1" max="1" width="10.00390625" style="2" customWidth="1"/>
    <col min="2" max="2" width="18.42187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00390625" style="2" bestFit="1" customWidth="1"/>
    <col min="9" max="9" width="13.7109375" style="2" customWidth="1"/>
    <col min="10" max="10" width="13.42187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5742187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50</v>
      </c>
    </row>
    <row r="5" ht="12.75">
      <c r="A5" s="1" t="s">
        <v>4</v>
      </c>
    </row>
    <row r="6" spans="1:10" ht="12.75">
      <c r="A6" s="1" t="s">
        <v>51</v>
      </c>
      <c r="J6" s="1" t="s">
        <v>52</v>
      </c>
    </row>
    <row r="7" spans="4:16" ht="12.75">
      <c r="D7" s="3">
        <v>2007</v>
      </c>
      <c r="E7" s="3">
        <v>2007</v>
      </c>
      <c r="F7" s="3">
        <v>2007</v>
      </c>
      <c r="G7" s="3">
        <v>2007</v>
      </c>
      <c r="H7" s="3">
        <v>2007</v>
      </c>
      <c r="I7" s="3">
        <v>2007</v>
      </c>
      <c r="J7" s="3">
        <v>2008</v>
      </c>
      <c r="K7" s="3">
        <v>2008</v>
      </c>
      <c r="L7" s="3">
        <v>2008</v>
      </c>
      <c r="M7" s="3">
        <v>2008</v>
      </c>
      <c r="N7" s="3">
        <v>2008</v>
      </c>
      <c r="O7" s="3">
        <v>2008</v>
      </c>
      <c r="P7" s="1" t="s">
        <v>53</v>
      </c>
    </row>
    <row r="8" spans="4:16" ht="12.75"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60</v>
      </c>
    </row>
    <row r="9" spans="1:2" ht="12.75">
      <c r="A9" s="1" t="s">
        <v>61</v>
      </c>
      <c r="B9" s="1"/>
    </row>
    <row r="10" spans="1:7" ht="12.75">
      <c r="A10" s="5" t="s">
        <v>14</v>
      </c>
      <c r="D10" s="10"/>
      <c r="E10" s="10"/>
      <c r="F10" s="10"/>
      <c r="G10" s="38"/>
    </row>
    <row r="11" spans="1:17" ht="12.75">
      <c r="A11" s="2" t="s">
        <v>15</v>
      </c>
      <c r="D11" s="39">
        <v>2462636</v>
      </c>
      <c r="E11" s="39">
        <v>2010203</v>
      </c>
      <c r="F11" s="39">
        <v>2332936</v>
      </c>
      <c r="G11" s="39">
        <v>4484817</v>
      </c>
      <c r="H11" s="39">
        <v>9398517</v>
      </c>
      <c r="I11" s="39">
        <v>18392852</v>
      </c>
      <c r="J11" s="39">
        <v>20755627</v>
      </c>
      <c r="K11" s="39">
        <v>22514347</v>
      </c>
      <c r="L11" s="39">
        <v>14859076</v>
      </c>
      <c r="M11" s="39">
        <v>13629159</v>
      </c>
      <c r="N11" s="39">
        <v>8714627</v>
      </c>
      <c r="O11" s="39">
        <v>4232714</v>
      </c>
      <c r="P11" s="9">
        <f>SUM(D11:O11)</f>
        <v>123787511</v>
      </c>
      <c r="Q11" s="9"/>
    </row>
    <row r="12" spans="1:17" ht="12.75">
      <c r="A12" s="23" t="s">
        <v>16</v>
      </c>
      <c r="D12" s="39">
        <v>-180683</v>
      </c>
      <c r="E12" s="39">
        <v>-141329</v>
      </c>
      <c r="F12" s="39">
        <v>-161990</v>
      </c>
      <c r="G12" s="39">
        <v>-277602</v>
      </c>
      <c r="H12" s="39">
        <v>-613037</v>
      </c>
      <c r="I12" s="39">
        <v>-1548327</v>
      </c>
      <c r="J12" s="39">
        <v>-840804</v>
      </c>
      <c r="K12" s="39">
        <v>-933547</v>
      </c>
      <c r="L12" s="39">
        <v>-590323</v>
      </c>
      <c r="M12" s="39">
        <v>-544390</v>
      </c>
      <c r="N12" s="39">
        <v>-304416</v>
      </c>
      <c r="O12" s="39">
        <v>-134597</v>
      </c>
      <c r="P12" s="9">
        <f>SUM(D12:O12)</f>
        <v>-6271045</v>
      </c>
      <c r="Q12" s="9"/>
    </row>
    <row r="13" spans="1:17" ht="12.75">
      <c r="A13" s="2" t="s">
        <v>17</v>
      </c>
      <c r="D13" s="10">
        <f aca="true" t="shared" si="0" ref="D13:I13">-D47</f>
        <v>-1688657.3691</v>
      </c>
      <c r="E13" s="10">
        <f t="shared" si="0"/>
        <v>-512729.36110000004</v>
      </c>
      <c r="F13" s="10">
        <f t="shared" si="0"/>
        <v>-861827.0961999999</v>
      </c>
      <c r="G13" s="10">
        <f t="shared" si="0"/>
        <v>-3069727.6876000003</v>
      </c>
      <c r="H13" s="10">
        <f t="shared" si="0"/>
        <v>-6526098.6665</v>
      </c>
      <c r="I13" s="10">
        <f t="shared" si="0"/>
        <v>-10839345.651700001</v>
      </c>
      <c r="J13" s="10">
        <f aca="true" t="shared" si="1" ref="J13:O13">-D102</f>
        <v>-11907095</v>
      </c>
      <c r="K13" s="10">
        <f t="shared" si="1"/>
        <v>-12692443</v>
      </c>
      <c r="L13" s="10">
        <f t="shared" si="1"/>
        <v>-9661573</v>
      </c>
      <c r="M13" s="10">
        <f t="shared" si="1"/>
        <v>-9011346</v>
      </c>
      <c r="N13" s="10">
        <f t="shared" si="1"/>
        <v>-6832115</v>
      </c>
      <c r="O13" s="10">
        <f t="shared" si="1"/>
        <v>-3107922</v>
      </c>
      <c r="P13" s="9">
        <f>SUM(D13:O13)</f>
        <v>-76710879.8322</v>
      </c>
      <c r="Q13" s="9"/>
    </row>
    <row r="14" spans="1:17" ht="12.75">
      <c r="A14" s="2" t="s">
        <v>18</v>
      </c>
      <c r="D14" s="10">
        <f aca="true" t="shared" si="2" ref="D14:I14">E47</f>
        <v>512729.36110000004</v>
      </c>
      <c r="E14" s="10">
        <f t="shared" si="2"/>
        <v>861827.0961999999</v>
      </c>
      <c r="F14" s="10">
        <f t="shared" si="2"/>
        <v>3069727.6876000003</v>
      </c>
      <c r="G14" s="10">
        <f t="shared" si="2"/>
        <v>6526098.6665</v>
      </c>
      <c r="H14" s="10">
        <f t="shared" si="2"/>
        <v>10839345.651700001</v>
      </c>
      <c r="I14" s="10">
        <f t="shared" si="2"/>
        <v>11778585.171</v>
      </c>
      <c r="J14" s="10">
        <f aca="true" t="shared" si="3" ref="J14:O14">E102</f>
        <v>12692443</v>
      </c>
      <c r="K14" s="10">
        <f t="shared" si="3"/>
        <v>9661573</v>
      </c>
      <c r="L14" s="10">
        <f t="shared" si="3"/>
        <v>9011346</v>
      </c>
      <c r="M14" s="10">
        <f t="shared" si="3"/>
        <v>6832115</v>
      </c>
      <c r="N14" s="10">
        <f t="shared" si="3"/>
        <v>3107922</v>
      </c>
      <c r="O14" s="10">
        <f t="shared" si="3"/>
        <v>1731459</v>
      </c>
      <c r="P14" s="9">
        <f>SUM(D14:O14)</f>
        <v>76625171.6341</v>
      </c>
      <c r="Q14" s="10"/>
    </row>
    <row r="15" spans="1:17" ht="12.75">
      <c r="A15" s="2" t="s">
        <v>19</v>
      </c>
      <c r="D15" s="10">
        <f aca="true" t="shared" si="4" ref="D15:I15">D60</f>
        <v>692582.2639999999</v>
      </c>
      <c r="E15" s="10">
        <f t="shared" si="4"/>
        <v>236741.505</v>
      </c>
      <c r="F15" s="10">
        <f t="shared" si="4"/>
        <v>31658.591999999997</v>
      </c>
      <c r="G15" s="10">
        <f t="shared" si="4"/>
        <v>15894.109</v>
      </c>
      <c r="H15" s="10">
        <f t="shared" si="4"/>
        <v>47991.147000000004</v>
      </c>
      <c r="I15" s="10">
        <f t="shared" si="4"/>
        <v>673724.3099999999</v>
      </c>
      <c r="J15" s="10">
        <f aca="true" t="shared" si="5" ref="J15:O15">D86</f>
        <v>-1132969</v>
      </c>
      <c r="K15" s="10">
        <f t="shared" si="5"/>
        <v>-107342</v>
      </c>
      <c r="L15" s="10">
        <f t="shared" si="5"/>
        <v>-1381024</v>
      </c>
      <c r="M15" s="10">
        <f t="shared" si="5"/>
        <v>-1653998</v>
      </c>
      <c r="N15" s="10">
        <f t="shared" si="5"/>
        <v>840841</v>
      </c>
      <c r="O15" s="10">
        <f t="shared" si="5"/>
        <v>-354262</v>
      </c>
      <c r="P15" s="9">
        <f>SUM(D15:O15)</f>
        <v>-2090162.0730000003</v>
      </c>
      <c r="Q15" s="10"/>
    </row>
    <row r="16" spans="1:17" ht="12.75">
      <c r="A16" s="2" t="s">
        <v>20</v>
      </c>
      <c r="D16" s="11">
        <f aca="true" t="shared" si="6" ref="D16:P16">SUM(D11:D15)</f>
        <v>1798607.256</v>
      </c>
      <c r="E16" s="11">
        <f t="shared" si="6"/>
        <v>2454713.2400999996</v>
      </c>
      <c r="F16" s="11">
        <f t="shared" si="6"/>
        <v>4410505.1834</v>
      </c>
      <c r="G16" s="11">
        <f t="shared" si="6"/>
        <v>7679480.087900001</v>
      </c>
      <c r="H16" s="11">
        <f t="shared" si="6"/>
        <v>13146718.1322</v>
      </c>
      <c r="I16" s="11">
        <f t="shared" si="6"/>
        <v>18457488.829299998</v>
      </c>
      <c r="J16" s="11">
        <f t="shared" si="6"/>
        <v>19567202</v>
      </c>
      <c r="K16" s="11">
        <f t="shared" si="6"/>
        <v>18442588</v>
      </c>
      <c r="L16" s="11">
        <f t="shared" si="6"/>
        <v>12237502</v>
      </c>
      <c r="M16" s="11">
        <f t="shared" si="6"/>
        <v>9251540</v>
      </c>
      <c r="N16" s="11">
        <f t="shared" si="6"/>
        <v>5526859</v>
      </c>
      <c r="O16" s="11">
        <f t="shared" si="6"/>
        <v>2367392</v>
      </c>
      <c r="P16" s="11">
        <f t="shared" si="6"/>
        <v>115340595.7289</v>
      </c>
      <c r="Q16" s="10"/>
    </row>
    <row r="17" spans="4:17" ht="12.7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/>
    </row>
    <row r="18" spans="1:17" ht="12.75">
      <c r="A18" s="2" t="s">
        <v>21</v>
      </c>
      <c r="D18" s="12">
        <f aca="true" t="shared" si="7" ref="D18:O18">D16</f>
        <v>1798607.256</v>
      </c>
      <c r="E18" s="12">
        <f t="shared" si="7"/>
        <v>2454713.2400999996</v>
      </c>
      <c r="F18" s="12">
        <f t="shared" si="7"/>
        <v>4410505.1834</v>
      </c>
      <c r="G18" s="12">
        <f t="shared" si="7"/>
        <v>7679480.087900001</v>
      </c>
      <c r="H18" s="12">
        <f t="shared" si="7"/>
        <v>13146718.1322</v>
      </c>
      <c r="I18" s="12">
        <f t="shared" si="7"/>
        <v>18457488.829299998</v>
      </c>
      <c r="J18" s="12">
        <f t="shared" si="7"/>
        <v>19567202</v>
      </c>
      <c r="K18" s="12">
        <f t="shared" si="7"/>
        <v>18442588</v>
      </c>
      <c r="L18" s="12">
        <f t="shared" si="7"/>
        <v>12237502</v>
      </c>
      <c r="M18" s="12">
        <f t="shared" si="7"/>
        <v>9251540</v>
      </c>
      <c r="N18" s="12">
        <f t="shared" si="7"/>
        <v>5526859</v>
      </c>
      <c r="O18" s="12">
        <f t="shared" si="7"/>
        <v>2367392</v>
      </c>
      <c r="P18" s="9">
        <f>SUM(D18:O18)</f>
        <v>115340595.7289</v>
      </c>
      <c r="Q18" s="10"/>
    </row>
    <row r="19" spans="1:16" ht="12.75">
      <c r="A19" t="s">
        <v>22</v>
      </c>
      <c r="B19"/>
      <c r="C19"/>
      <c r="D19" s="13">
        <v>1992869.2803962994</v>
      </c>
      <c r="E19" s="13">
        <v>2626004.0579347075</v>
      </c>
      <c r="F19" s="13">
        <v>3962139.288864518</v>
      </c>
      <c r="G19" s="13">
        <v>9013668.04240531</v>
      </c>
      <c r="H19" s="13">
        <v>14551771.69540904</v>
      </c>
      <c r="I19" s="13">
        <v>19133174.011006385</v>
      </c>
      <c r="J19" s="13">
        <v>20193658</v>
      </c>
      <c r="K19" s="13">
        <v>16744930</v>
      </c>
      <c r="L19" s="13">
        <v>14101624</v>
      </c>
      <c r="M19" s="13">
        <v>9347535</v>
      </c>
      <c r="N19" s="13">
        <v>5032140</v>
      </c>
      <c r="O19" s="13">
        <v>2400167</v>
      </c>
      <c r="P19" s="9">
        <f>SUM(D19:O19)</f>
        <v>119099680.37601626</v>
      </c>
    </row>
    <row r="20" spans="1:16" ht="12.75">
      <c r="A20" s="2" t="s">
        <v>23</v>
      </c>
      <c r="C20"/>
      <c r="D20" s="14">
        <f aca="true" t="shared" si="8" ref="D20:O20">D18-D19</f>
        <v>-194262.02439629938</v>
      </c>
      <c r="E20" s="14">
        <f t="shared" si="8"/>
        <v>-171290.8178347079</v>
      </c>
      <c r="F20" s="14">
        <f t="shared" si="8"/>
        <v>448365.8945354824</v>
      </c>
      <c r="G20" s="14">
        <f t="shared" si="8"/>
        <v>-1334187.9545053085</v>
      </c>
      <c r="H20" s="14">
        <f t="shared" si="8"/>
        <v>-1405053.56320904</v>
      </c>
      <c r="I20" s="14">
        <f t="shared" si="8"/>
        <v>-675685.1817063875</v>
      </c>
      <c r="J20" s="14">
        <f t="shared" si="8"/>
        <v>-626456</v>
      </c>
      <c r="K20" s="14">
        <f t="shared" si="8"/>
        <v>1697658</v>
      </c>
      <c r="L20" s="14">
        <f t="shared" si="8"/>
        <v>-1864122</v>
      </c>
      <c r="M20" s="14">
        <f t="shared" si="8"/>
        <v>-95995</v>
      </c>
      <c r="N20" s="14">
        <f t="shared" si="8"/>
        <v>494719</v>
      </c>
      <c r="O20" s="14">
        <f t="shared" si="8"/>
        <v>-32775</v>
      </c>
      <c r="P20" s="9">
        <f>SUM(D20:O20)</f>
        <v>-3759084.6471162606</v>
      </c>
    </row>
    <row r="21" spans="1:16" ht="12.75">
      <c r="A21" s="2" t="s">
        <v>95</v>
      </c>
      <c r="C21"/>
      <c r="D21" s="15">
        <v>0.19822</v>
      </c>
      <c r="E21" s="15">
        <v>0.19822</v>
      </c>
      <c r="F21" s="15">
        <v>0.19822</v>
      </c>
      <c r="G21" s="15">
        <v>0.19822</v>
      </c>
      <c r="H21" s="15">
        <v>0.19822</v>
      </c>
      <c r="I21" s="15">
        <v>0.19822</v>
      </c>
      <c r="J21" s="15">
        <v>0.21748</v>
      </c>
      <c r="K21" s="15">
        <f>J21</f>
        <v>0.21748</v>
      </c>
      <c r="L21" s="15">
        <f>K21</f>
        <v>0.21748</v>
      </c>
      <c r="M21" s="15">
        <f>L21</f>
        <v>0.21748</v>
      </c>
      <c r="N21" s="15">
        <f>M21</f>
        <v>0.21748</v>
      </c>
      <c r="O21" s="15">
        <f>N21</f>
        <v>0.21748</v>
      </c>
      <c r="P21"/>
    </row>
    <row r="22" spans="1:16" s="1" customFormat="1" ht="12.75">
      <c r="A22" s="1" t="s">
        <v>25</v>
      </c>
      <c r="D22" s="22">
        <f aca="true" t="shared" si="9" ref="D22:O22">D20*D21</f>
        <v>-38506.61847583447</v>
      </c>
      <c r="E22" s="22">
        <f t="shared" si="9"/>
        <v>-33953.265911195806</v>
      </c>
      <c r="F22" s="40">
        <f t="shared" si="9"/>
        <v>88875.08761482332</v>
      </c>
      <c r="G22" s="22">
        <f t="shared" si="9"/>
        <v>-264462.7363420423</v>
      </c>
      <c r="H22" s="22">
        <f t="shared" si="9"/>
        <v>-278509.71729929594</v>
      </c>
      <c r="I22" s="22">
        <f t="shared" si="9"/>
        <v>-133934.31671784015</v>
      </c>
      <c r="J22" s="22">
        <f t="shared" si="9"/>
        <v>-136241.65088</v>
      </c>
      <c r="K22" s="22">
        <f t="shared" si="9"/>
        <v>369206.66184</v>
      </c>
      <c r="L22" s="22">
        <f t="shared" si="9"/>
        <v>-405409.25256</v>
      </c>
      <c r="M22" s="40">
        <f t="shared" si="9"/>
        <v>-20876.9926</v>
      </c>
      <c r="N22" s="22">
        <f t="shared" si="9"/>
        <v>107591.48812000001</v>
      </c>
      <c r="O22" s="40">
        <f t="shared" si="9"/>
        <v>-7127.907</v>
      </c>
      <c r="P22" s="22">
        <f>SUM(D22:O22)</f>
        <v>-753349.2202113853</v>
      </c>
    </row>
    <row r="23" spans="2:16" s="1" customFormat="1" ht="12.75">
      <c r="B23" s="18" t="s">
        <v>26</v>
      </c>
      <c r="C23" s="2"/>
      <c r="D23" s="19">
        <v>0.9</v>
      </c>
      <c r="E23" s="19">
        <v>0.9</v>
      </c>
      <c r="F23" s="19">
        <v>0.9</v>
      </c>
      <c r="G23" s="19">
        <v>0.9</v>
      </c>
      <c r="H23" s="19">
        <v>0.9</v>
      </c>
      <c r="I23" s="19">
        <v>0.9</v>
      </c>
      <c r="J23" s="19">
        <v>0.9</v>
      </c>
      <c r="K23" s="19">
        <v>0.9</v>
      </c>
      <c r="L23" s="19">
        <v>0.9</v>
      </c>
      <c r="M23" s="19">
        <v>0.9</v>
      </c>
      <c r="N23" s="19">
        <v>0.9</v>
      </c>
      <c r="O23" s="19">
        <v>0.9</v>
      </c>
      <c r="P23" s="22"/>
    </row>
    <row r="24" spans="1:16" ht="12.75">
      <c r="A24" s="1" t="s">
        <v>27</v>
      </c>
      <c r="D24" s="41">
        <f aca="true" t="shared" si="10" ref="D24:O24">D22*D23</f>
        <v>-34655.95662825102</v>
      </c>
      <c r="E24" s="41">
        <f t="shared" si="10"/>
        <v>-30557.939320076224</v>
      </c>
      <c r="F24" s="41">
        <f t="shared" si="10"/>
        <v>79987.578853341</v>
      </c>
      <c r="G24" s="41">
        <f t="shared" si="10"/>
        <v>-238016.46270783804</v>
      </c>
      <c r="H24" s="41">
        <f t="shared" si="10"/>
        <v>-250658.74556936635</v>
      </c>
      <c r="I24" s="41">
        <f t="shared" si="10"/>
        <v>-120540.88504605614</v>
      </c>
      <c r="J24" s="41">
        <f t="shared" si="10"/>
        <v>-122617.485792</v>
      </c>
      <c r="K24" s="41">
        <f t="shared" si="10"/>
        <v>332285.99565600004</v>
      </c>
      <c r="L24" s="41">
        <f t="shared" si="10"/>
        <v>-364868.327304</v>
      </c>
      <c r="M24" s="41">
        <f t="shared" si="10"/>
        <v>-18789.29334</v>
      </c>
      <c r="N24" s="41">
        <f t="shared" si="10"/>
        <v>96832.33930800001</v>
      </c>
      <c r="O24" s="41">
        <f t="shared" si="10"/>
        <v>-6415.116300000001</v>
      </c>
      <c r="P24" s="22">
        <f>SUM(D24:O24)</f>
        <v>-678014.2981902466</v>
      </c>
    </row>
    <row r="25" spans="1:16" ht="12.75">
      <c r="A25"/>
      <c r="B25" s="1" t="s">
        <v>28</v>
      </c>
      <c r="C25"/>
      <c r="D25" s="42" t="s">
        <v>96</v>
      </c>
      <c r="E25" s="42" t="s">
        <v>96</v>
      </c>
      <c r="F25" s="42" t="s">
        <v>96</v>
      </c>
      <c r="G25" s="10"/>
      <c r="H25" s="10"/>
      <c r="I25" s="10"/>
      <c r="J25" s="10"/>
      <c r="K25" s="10"/>
      <c r="L25" s="10"/>
      <c r="M25" s="10"/>
      <c r="N25" s="10"/>
      <c r="O25" s="10"/>
      <c r="P25" s="9"/>
    </row>
    <row r="26" spans="1:16" ht="12.75">
      <c r="A26" s="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2.75">
      <c r="A27" s="2" t="s">
        <v>62</v>
      </c>
      <c r="D27" s="10">
        <v>-36007.43753197607</v>
      </c>
      <c r="E27" s="10">
        <v>-31749.609539752288</v>
      </c>
      <c r="F27" s="10">
        <v>83106.86038162434</v>
      </c>
      <c r="G27" s="10"/>
      <c r="H27" s="10"/>
      <c r="I27" s="10"/>
      <c r="J27" s="10"/>
      <c r="K27" s="10"/>
      <c r="L27" s="10"/>
      <c r="M27" s="10"/>
      <c r="N27" s="10"/>
      <c r="O27" s="10"/>
      <c r="P27" s="9"/>
    </row>
    <row r="28" spans="1:16" ht="12.75">
      <c r="A28" s="1" t="s">
        <v>63</v>
      </c>
      <c r="D28" s="10">
        <f>D24-D27</f>
        <v>1351.4809037250525</v>
      </c>
      <c r="E28" s="10">
        <f>E24-E27</f>
        <v>1191.6702196760634</v>
      </c>
      <c r="F28" s="10">
        <f>F24-F27</f>
        <v>-3119.281528283347</v>
      </c>
      <c r="G28" s="44">
        <f>SUM(D28:F28)</f>
        <v>-576.1304048822312</v>
      </c>
      <c r="H28" s="10"/>
      <c r="I28" s="10"/>
      <c r="J28" s="10"/>
      <c r="K28" s="10"/>
      <c r="L28" s="10"/>
      <c r="M28" s="10"/>
      <c r="N28" s="10"/>
      <c r="O28" s="10"/>
      <c r="P28" s="9"/>
    </row>
    <row r="29" spans="4:16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"/>
    </row>
    <row r="30" spans="1:16" ht="12.75">
      <c r="A30" s="23" t="s">
        <v>64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</row>
    <row r="31" spans="1:16" ht="12.75">
      <c r="A31" s="23" t="s">
        <v>65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1:16" ht="12.75">
      <c r="A32" s="23"/>
      <c r="D32" s="45"/>
      <c r="E32" s="45"/>
      <c r="F32" s="45"/>
      <c r="G32" s="45"/>
      <c r="H32" s="45"/>
      <c r="I32" s="45"/>
      <c r="J32" s="47" t="s">
        <v>66</v>
      </c>
      <c r="K32" s="45"/>
      <c r="L32" s="45"/>
      <c r="M32" s="45"/>
      <c r="N32" s="45"/>
      <c r="O32" s="45"/>
      <c r="P32" s="46"/>
    </row>
    <row r="33" spans="1:16" ht="12.75">
      <c r="A33" s="23"/>
      <c r="D33" s="45"/>
      <c r="E33" s="45"/>
      <c r="F33" s="2" t="s">
        <v>67</v>
      </c>
      <c r="G33"/>
      <c r="H33"/>
      <c r="I33"/>
      <c r="J33" s="48">
        <v>1.12076</v>
      </c>
      <c r="K33" s="45"/>
      <c r="L33" s="45"/>
      <c r="M33" s="45"/>
      <c r="N33" s="45"/>
      <c r="O33" s="45"/>
      <c r="P33" s="46"/>
    </row>
    <row r="34" spans="1:16" ht="12.75">
      <c r="A34" s="23"/>
      <c r="D34" s="45"/>
      <c r="E34" s="45"/>
      <c r="F34" s="2" t="s">
        <v>68</v>
      </c>
      <c r="G34"/>
      <c r="H34"/>
      <c r="I34"/>
      <c r="J34" s="49">
        <v>0.956922</v>
      </c>
      <c r="K34" s="45"/>
      <c r="L34" s="45"/>
      <c r="M34" s="45"/>
      <c r="N34" s="45"/>
      <c r="O34" s="45"/>
      <c r="P34" s="46"/>
    </row>
    <row r="35" spans="1:16" ht="12.75">
      <c r="A35" s="23"/>
      <c r="D35" s="45"/>
      <c r="E35" s="45"/>
      <c r="F35" s="2" t="s">
        <v>69</v>
      </c>
      <c r="G35"/>
      <c r="H35"/>
      <c r="I35"/>
      <c r="J35" s="50">
        <f>J33*J34</f>
        <v>1.07247990072</v>
      </c>
      <c r="K35" s="45"/>
      <c r="L35" s="45"/>
      <c r="M35" s="45"/>
      <c r="N35" s="45"/>
      <c r="O35" s="45"/>
      <c r="P35" s="46"/>
    </row>
    <row r="36" spans="1:16" ht="12.75">
      <c r="A36" s="23"/>
      <c r="D36" s="45"/>
      <c r="E36" s="45"/>
      <c r="F36" s="2" t="s">
        <v>70</v>
      </c>
      <c r="G36"/>
      <c r="H36"/>
      <c r="I36"/>
      <c r="J36" s="51">
        <f>-0.855</f>
        <v>-0.855</v>
      </c>
      <c r="K36" s="45"/>
      <c r="L36" s="45"/>
      <c r="M36" s="45"/>
      <c r="N36" s="45"/>
      <c r="O36" s="45"/>
      <c r="P36" s="46"/>
    </row>
    <row r="37" spans="1:16" ht="12.75">
      <c r="A37" s="23"/>
      <c r="D37" s="45"/>
      <c r="E37" s="45"/>
      <c r="F37" s="1" t="s">
        <v>71</v>
      </c>
      <c r="G37"/>
      <c r="H37"/>
      <c r="I37"/>
      <c r="J37" s="52">
        <f>J35+J36</f>
        <v>0.21747990072000012</v>
      </c>
      <c r="K37" s="45"/>
      <c r="L37" s="45"/>
      <c r="M37" s="45"/>
      <c r="N37" s="45"/>
      <c r="O37" s="45"/>
      <c r="P37" s="46"/>
    </row>
    <row r="38" spans="1:16" ht="12.75">
      <c r="A38" s="2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3" ht="12.75" hidden="1">
      <c r="A39" s="5" t="s">
        <v>72</v>
      </c>
      <c r="C39" s="1"/>
    </row>
    <row r="40" spans="1:16" ht="12.75" hidden="1">
      <c r="A40" s="24"/>
      <c r="D40" s="25">
        <v>39234</v>
      </c>
      <c r="E40" s="25">
        <v>39264</v>
      </c>
      <c r="F40" s="25">
        <v>39295</v>
      </c>
      <c r="G40" s="25">
        <v>39326</v>
      </c>
      <c r="H40" s="25">
        <v>39356</v>
      </c>
      <c r="I40" s="25">
        <v>39387</v>
      </c>
      <c r="J40" s="25">
        <v>39417</v>
      </c>
      <c r="K40" s="25"/>
      <c r="L40" s="25"/>
      <c r="M40" s="25"/>
      <c r="N40" s="25"/>
      <c r="O40" s="25"/>
      <c r="P40" s="25"/>
    </row>
    <row r="41" spans="1:16" ht="12.75" hidden="1">
      <c r="A41" t="s">
        <v>31</v>
      </c>
      <c r="B41"/>
      <c r="C41"/>
      <c r="D41" s="27">
        <v>75.2</v>
      </c>
      <c r="E41" s="27">
        <v>0.4</v>
      </c>
      <c r="F41" s="27">
        <v>21.1</v>
      </c>
      <c r="G41" s="27">
        <v>161.9</v>
      </c>
      <c r="H41" s="27">
        <v>377.3</v>
      </c>
      <c r="I41" s="27">
        <v>642.8</v>
      </c>
      <c r="J41" s="27">
        <v>702.2</v>
      </c>
      <c r="K41"/>
      <c r="L41"/>
      <c r="M41"/>
      <c r="N41"/>
      <c r="O41"/>
      <c r="P41"/>
    </row>
    <row r="42" spans="1:16" ht="12.75" hidden="1">
      <c r="A42" t="s">
        <v>32</v>
      </c>
      <c r="B42"/>
      <c r="C42"/>
      <c r="D42" s="28">
        <v>0.6125</v>
      </c>
      <c r="E42" s="28">
        <v>0.6117</v>
      </c>
      <c r="F42" s="28">
        <v>0.6375</v>
      </c>
      <c r="G42" s="28">
        <v>0.6092</v>
      </c>
      <c r="H42" s="28">
        <v>0.6331</v>
      </c>
      <c r="I42" s="28">
        <v>0.6615</v>
      </c>
      <c r="J42" s="28">
        <v>0.61</v>
      </c>
      <c r="K42"/>
      <c r="L42"/>
      <c r="M42"/>
      <c r="N42"/>
      <c r="O42"/>
      <c r="P42"/>
    </row>
    <row r="43" spans="1:16" ht="12.75" hidden="1">
      <c r="A43" s="5" t="s">
        <v>33</v>
      </c>
      <c r="B43" s="29" t="s">
        <v>34</v>
      </c>
      <c r="C43" s="29" t="s">
        <v>35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</row>
    <row r="44" spans="1:16" ht="12.75" hidden="1">
      <c r="A44" t="s">
        <v>36</v>
      </c>
      <c r="B44" s="2">
        <v>7</v>
      </c>
      <c r="C44" s="2">
        <v>0.11</v>
      </c>
      <c r="D44" s="30">
        <f aca="true" t="shared" si="11" ref="D44:J44">$C44*D$41*D65+$B44*D$42*D65</f>
        <v>1484645.9355000001</v>
      </c>
      <c r="E44" s="30">
        <f t="shared" si="11"/>
        <v>511637.1707</v>
      </c>
      <c r="F44" s="30">
        <f t="shared" si="11"/>
        <v>803851.5334999999</v>
      </c>
      <c r="G44" s="30">
        <f t="shared" si="11"/>
        <v>2624152.0122</v>
      </c>
      <c r="H44" s="30">
        <f t="shared" si="11"/>
        <v>5485705.6128</v>
      </c>
      <c r="I44" s="30">
        <f t="shared" si="11"/>
        <v>9053352.206500001</v>
      </c>
      <c r="J44" s="30">
        <f t="shared" si="11"/>
        <v>9822603.56</v>
      </c>
      <c r="K44"/>
      <c r="L44"/>
      <c r="M44"/>
      <c r="N44"/>
      <c r="O44"/>
      <c r="P44"/>
    </row>
    <row r="45" spans="1:16" ht="12.75" hidden="1">
      <c r="A45" t="s">
        <v>37</v>
      </c>
      <c r="B45" s="2">
        <v>0</v>
      </c>
      <c r="C45" s="2">
        <v>0.249</v>
      </c>
      <c r="D45" s="30">
        <f aca="true" t="shared" si="12" ref="D45:J45">$C45*D$41*(D66)+$B45*D$42*(D66)</f>
        <v>201141.8016</v>
      </c>
      <c r="E45" s="30">
        <f t="shared" si="12"/>
        <v>1076.0784</v>
      </c>
      <c r="F45" s="30">
        <f t="shared" si="12"/>
        <v>57125.65470000001</v>
      </c>
      <c r="G45" s="30">
        <f t="shared" si="12"/>
        <v>438848.4066</v>
      </c>
      <c r="H45" s="30">
        <f t="shared" si="12"/>
        <v>1024875.4593</v>
      </c>
      <c r="I45" s="30">
        <f t="shared" si="12"/>
        <v>1759828.9139999999</v>
      </c>
      <c r="J45" s="30">
        <f t="shared" si="12"/>
        <v>1927696.995</v>
      </c>
      <c r="K45"/>
      <c r="L45"/>
      <c r="M45"/>
      <c r="N45"/>
      <c r="O45"/>
      <c r="P45"/>
    </row>
    <row r="46" spans="1:16" ht="12.75" hidden="1">
      <c r="A46" t="s">
        <v>38</v>
      </c>
      <c r="B46" s="2">
        <v>0</v>
      </c>
      <c r="C46" s="2">
        <v>0.424</v>
      </c>
      <c r="D46" s="30">
        <f aca="true" t="shared" si="13" ref="D46:J46">$C46*D$41*D67+$B46*D$42*D67</f>
        <v>2869.632</v>
      </c>
      <c r="E46" s="30">
        <f t="shared" si="13"/>
        <v>16.112</v>
      </c>
      <c r="F46" s="30">
        <f t="shared" si="13"/>
        <v>849.908</v>
      </c>
      <c r="G46" s="30">
        <f t="shared" si="13"/>
        <v>6727.2688</v>
      </c>
      <c r="H46" s="30">
        <f t="shared" si="13"/>
        <v>15517.5944</v>
      </c>
      <c r="I46" s="30">
        <f t="shared" si="13"/>
        <v>26164.531199999998</v>
      </c>
      <c r="J46" s="30">
        <f t="shared" si="13"/>
        <v>28284.615999999998</v>
      </c>
      <c r="K46"/>
      <c r="L46"/>
      <c r="M46"/>
      <c r="N46"/>
      <c r="O46"/>
      <c r="P46"/>
    </row>
    <row r="47" spans="1:16" ht="12.75" hidden="1">
      <c r="A47"/>
      <c r="D47" s="31">
        <f aca="true" t="shared" si="14" ref="D47:J47">SUM(D44:D46)</f>
        <v>1688657.3691</v>
      </c>
      <c r="E47" s="31">
        <f t="shared" si="14"/>
        <v>512729.36110000004</v>
      </c>
      <c r="F47" s="31">
        <f t="shared" si="14"/>
        <v>861827.0961999999</v>
      </c>
      <c r="G47" s="31">
        <f t="shared" si="14"/>
        <v>3069727.6876000003</v>
      </c>
      <c r="H47" s="31">
        <f t="shared" si="14"/>
        <v>6526098.6665</v>
      </c>
      <c r="I47" s="31">
        <f t="shared" si="14"/>
        <v>10839345.651700001</v>
      </c>
      <c r="J47" s="31">
        <f t="shared" si="14"/>
        <v>11778585.171</v>
      </c>
      <c r="K47"/>
      <c r="L47"/>
      <c r="M47"/>
      <c r="N47"/>
      <c r="O47"/>
      <c r="P47"/>
    </row>
    <row r="48" spans="1:16" ht="12.75" hidden="1">
      <c r="A48"/>
      <c r="D48" s="32"/>
      <c r="E48" s="32"/>
      <c r="F48" s="32"/>
      <c r="G48" s="32"/>
      <c r="H48" s="32"/>
      <c r="I48" s="32"/>
      <c r="J48" s="32"/>
      <c r="K48"/>
      <c r="L48"/>
      <c r="M48"/>
      <c r="N48"/>
      <c r="O48"/>
      <c r="P48"/>
    </row>
    <row r="49" spans="1:16" ht="12.75" hidden="1">
      <c r="A49"/>
      <c r="B49" s="33"/>
      <c r="C49" s="33"/>
      <c r="D49" s="32"/>
      <c r="E49" s="32"/>
      <c r="F49" s="32"/>
      <c r="G49" s="32"/>
      <c r="H49" s="32"/>
      <c r="I49" s="32"/>
      <c r="J49" s="32"/>
      <c r="K49"/>
      <c r="L49"/>
      <c r="M49"/>
      <c r="N49"/>
      <c r="O49"/>
      <c r="P49"/>
    </row>
    <row r="50" spans="1:16" ht="12.75" hidden="1">
      <c r="A50" s="5" t="s">
        <v>73</v>
      </c>
      <c r="B50"/>
      <c r="C50"/>
      <c r="D50" s="32"/>
      <c r="E50" s="32"/>
      <c r="F50" s="32"/>
      <c r="G50" s="32"/>
      <c r="H50" s="32"/>
      <c r="I50" s="32"/>
      <c r="J50" s="32"/>
      <c r="K50"/>
      <c r="L50"/>
      <c r="M50"/>
      <c r="N50"/>
      <c r="O50"/>
      <c r="P50"/>
    </row>
    <row r="51" spans="2:16" ht="12.75" hidden="1">
      <c r="B51"/>
      <c r="C51"/>
      <c r="D51" s="34">
        <v>39264</v>
      </c>
      <c r="E51" s="34">
        <v>39295</v>
      </c>
      <c r="F51" s="34">
        <v>39326</v>
      </c>
      <c r="G51" s="34">
        <v>39356</v>
      </c>
      <c r="H51" s="34">
        <v>39387</v>
      </c>
      <c r="I51" s="34">
        <v>39417</v>
      </c>
      <c r="J51"/>
      <c r="K51"/>
      <c r="L51"/>
      <c r="M51"/>
      <c r="N51"/>
      <c r="O51"/>
      <c r="P51"/>
    </row>
    <row r="52" spans="1:16" ht="12.75" hidden="1">
      <c r="A52" s="2" t="s">
        <v>40</v>
      </c>
      <c r="D52" s="12">
        <v>44</v>
      </c>
      <c r="E52" s="12">
        <v>42</v>
      </c>
      <c r="F52" s="12">
        <v>196</v>
      </c>
      <c r="G52" s="12">
        <v>554</v>
      </c>
      <c r="H52" s="12">
        <v>897</v>
      </c>
      <c r="I52" s="12">
        <v>1168</v>
      </c>
      <c r="J52"/>
      <c r="K52"/>
      <c r="L52"/>
      <c r="M52"/>
      <c r="N52"/>
      <c r="O52"/>
      <c r="P52"/>
    </row>
    <row r="53" spans="1:16" ht="12.75" hidden="1">
      <c r="A53" s="2" t="s">
        <v>41</v>
      </c>
      <c r="D53" s="53">
        <v>0</v>
      </c>
      <c r="E53" s="53">
        <v>27</v>
      </c>
      <c r="F53" s="53">
        <v>194</v>
      </c>
      <c r="G53" s="53">
        <v>553</v>
      </c>
      <c r="H53" s="53">
        <v>894</v>
      </c>
      <c r="I53" s="53">
        <v>1126</v>
      </c>
      <c r="J53"/>
      <c r="K53"/>
      <c r="L53"/>
      <c r="M53"/>
      <c r="N53"/>
      <c r="O53"/>
      <c r="P53"/>
    </row>
    <row r="54" spans="1:16" ht="12.75" hidden="1">
      <c r="A54" s="2" t="s">
        <v>42</v>
      </c>
      <c r="D54" s="11">
        <f aca="true" t="shared" si="15" ref="D54:I54">D52-D53</f>
        <v>44</v>
      </c>
      <c r="E54" s="11">
        <f t="shared" si="15"/>
        <v>15</v>
      </c>
      <c r="F54" s="11">
        <f t="shared" si="15"/>
        <v>2</v>
      </c>
      <c r="G54" s="11">
        <f t="shared" si="15"/>
        <v>1</v>
      </c>
      <c r="H54" s="11">
        <f t="shared" si="15"/>
        <v>3</v>
      </c>
      <c r="I54" s="11">
        <f t="shared" si="15"/>
        <v>42</v>
      </c>
      <c r="J54"/>
      <c r="K54"/>
      <c r="L54"/>
      <c r="M54"/>
      <c r="N54"/>
      <c r="O54"/>
      <c r="P54"/>
    </row>
    <row r="55" spans="4:16" ht="12.75" hidden="1">
      <c r="D55" s="12"/>
      <c r="E55" s="12"/>
      <c r="F55" s="12"/>
      <c r="G55" s="12"/>
      <c r="H55" s="12"/>
      <c r="I55" s="12"/>
      <c r="J55"/>
      <c r="K55"/>
      <c r="L55"/>
      <c r="M55"/>
      <c r="N55"/>
      <c r="O55"/>
      <c r="P55"/>
    </row>
    <row r="56" spans="1:16" ht="12.75" hidden="1">
      <c r="A56" s="15" t="s">
        <v>33</v>
      </c>
      <c r="B56" s="29" t="s">
        <v>34</v>
      </c>
      <c r="C56" s="15" t="s">
        <v>35</v>
      </c>
      <c r="D56" s="32"/>
      <c r="E56" s="32"/>
      <c r="F56" s="32"/>
      <c r="G56" s="32"/>
      <c r="H56" s="32"/>
      <c r="I56" s="32"/>
      <c r="J56"/>
      <c r="K56"/>
      <c r="L56"/>
      <c r="M56"/>
      <c r="N56"/>
      <c r="O56"/>
      <c r="P56"/>
    </row>
    <row r="57" spans="1:16" ht="12.75" hidden="1">
      <c r="A57" t="s">
        <v>36</v>
      </c>
      <c r="B57" s="2">
        <v>7</v>
      </c>
      <c r="C57" s="2">
        <v>0.11</v>
      </c>
      <c r="D57" s="32">
        <f aca="true" t="shared" si="16" ref="D57:I57">D$54*$C57*E65</f>
        <v>572441.32</v>
      </c>
      <c r="E57" s="32">
        <f t="shared" si="16"/>
        <v>195526.65</v>
      </c>
      <c r="F57" s="32">
        <f t="shared" si="16"/>
        <v>26154.26</v>
      </c>
      <c r="G57" s="32">
        <f t="shared" si="16"/>
        <v>13136.64</v>
      </c>
      <c r="H57" s="32">
        <f t="shared" si="16"/>
        <v>39655.770000000004</v>
      </c>
      <c r="I57" s="32">
        <f t="shared" si="16"/>
        <v>556733.1</v>
      </c>
      <c r="J57"/>
      <c r="K57"/>
      <c r="L57"/>
      <c r="M57"/>
      <c r="N57"/>
      <c r="O57"/>
      <c r="P57"/>
    </row>
    <row r="58" spans="1:16" ht="12.75" hidden="1">
      <c r="A58" t="s">
        <v>37</v>
      </c>
      <c r="B58" s="2">
        <v>0</v>
      </c>
      <c r="C58" s="2">
        <v>0.249</v>
      </c>
      <c r="D58" s="32">
        <f aca="true" t="shared" si="17" ref="D58:I58">D$54*$C58*(E66)</f>
        <v>118368.624</v>
      </c>
      <c r="E58" s="32">
        <f t="shared" si="17"/>
        <v>40610.655</v>
      </c>
      <c r="F58" s="32">
        <f t="shared" si="17"/>
        <v>5421.228</v>
      </c>
      <c r="G58" s="32">
        <f t="shared" si="17"/>
        <v>2716.341</v>
      </c>
      <c r="H58" s="32">
        <f t="shared" si="17"/>
        <v>8213.265</v>
      </c>
      <c r="I58" s="32">
        <f t="shared" si="17"/>
        <v>115299.45</v>
      </c>
      <c r="J58"/>
      <c r="K58"/>
      <c r="L58"/>
      <c r="M58"/>
      <c r="N58"/>
      <c r="O58"/>
      <c r="P58"/>
    </row>
    <row r="59" spans="1:16" ht="12.75" hidden="1">
      <c r="A59" t="s">
        <v>38</v>
      </c>
      <c r="B59" s="2">
        <v>0</v>
      </c>
      <c r="C59" s="2">
        <v>0.424</v>
      </c>
      <c r="D59" s="32">
        <f aca="true" t="shared" si="18" ref="D59:I59">D$54*$C59*E67</f>
        <v>1772.32</v>
      </c>
      <c r="E59" s="32">
        <f t="shared" si="18"/>
        <v>604.1999999999999</v>
      </c>
      <c r="F59" s="32">
        <f t="shared" si="18"/>
        <v>83.104</v>
      </c>
      <c r="G59" s="32">
        <f t="shared" si="18"/>
        <v>41.128</v>
      </c>
      <c r="H59" s="32">
        <f t="shared" si="18"/>
        <v>122.112</v>
      </c>
      <c r="I59" s="32">
        <f t="shared" si="18"/>
        <v>1691.76</v>
      </c>
      <c r="J59"/>
      <c r="K59"/>
      <c r="L59"/>
      <c r="M59"/>
      <c r="N59"/>
      <c r="O59"/>
      <c r="P59"/>
    </row>
    <row r="60" spans="4:16" ht="12.75" hidden="1">
      <c r="D60" s="11">
        <f aca="true" t="shared" si="19" ref="D60:I60">SUM(D57:D59)</f>
        <v>692582.2639999999</v>
      </c>
      <c r="E60" s="11">
        <f t="shared" si="19"/>
        <v>236741.505</v>
      </c>
      <c r="F60" s="11">
        <f t="shared" si="19"/>
        <v>31658.591999999997</v>
      </c>
      <c r="G60" s="11">
        <f t="shared" si="19"/>
        <v>15894.109</v>
      </c>
      <c r="H60" s="11">
        <f t="shared" si="19"/>
        <v>47991.147000000004</v>
      </c>
      <c r="I60" s="11">
        <f t="shared" si="19"/>
        <v>673724.3099999999</v>
      </c>
      <c r="J60"/>
      <c r="K60"/>
      <c r="L60"/>
      <c r="M60"/>
      <c r="N60"/>
      <c r="O60"/>
      <c r="P60"/>
    </row>
    <row r="61" ht="12.75" hidden="1"/>
    <row r="62" spans="1:16" ht="12.75" hidden="1">
      <c r="A6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 hidden="1">
      <c r="A63" s="1" t="s">
        <v>74</v>
      </c>
      <c r="B63" s="33"/>
      <c r="C63" s="3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2"/>
    </row>
    <row r="64" spans="4:10" ht="12.75" hidden="1">
      <c r="D64" s="34">
        <v>38139</v>
      </c>
      <c r="E64" s="34">
        <v>38169</v>
      </c>
      <c r="F64" s="34">
        <v>38200</v>
      </c>
      <c r="G64" s="34">
        <v>38231</v>
      </c>
      <c r="H64" s="34">
        <v>38261</v>
      </c>
      <c r="I64" s="34">
        <v>38292</v>
      </c>
      <c r="J64" s="34">
        <v>38322</v>
      </c>
    </row>
    <row r="65" spans="1:10" ht="12.75" hidden="1">
      <c r="A65" t="s">
        <v>44</v>
      </c>
      <c r="B65" s="2" t="s">
        <v>45</v>
      </c>
      <c r="D65" s="10">
        <v>118209</v>
      </c>
      <c r="E65" s="10">
        <v>118273</v>
      </c>
      <c r="F65" s="10">
        <v>118501</v>
      </c>
      <c r="G65" s="10">
        <v>118883</v>
      </c>
      <c r="H65" s="10">
        <v>119424</v>
      </c>
      <c r="I65" s="10">
        <v>120169</v>
      </c>
      <c r="J65" s="10">
        <v>120505</v>
      </c>
    </row>
    <row r="66" spans="1:10" ht="12.75" hidden="1">
      <c r="A66"/>
      <c r="B66" s="2" t="s">
        <v>46</v>
      </c>
      <c r="D66" s="10">
        <v>10742</v>
      </c>
      <c r="E66" s="10">
        <v>10804</v>
      </c>
      <c r="F66" s="10">
        <v>10873</v>
      </c>
      <c r="G66" s="10">
        <v>10886</v>
      </c>
      <c r="H66" s="10">
        <v>10909</v>
      </c>
      <c r="I66" s="10">
        <v>10995</v>
      </c>
      <c r="J66" s="10">
        <v>11025</v>
      </c>
    </row>
    <row r="67" spans="1:10" ht="12.75" hidden="1">
      <c r="A67"/>
      <c r="B67" s="2" t="s">
        <v>47</v>
      </c>
      <c r="D67" s="10">
        <v>90</v>
      </c>
      <c r="E67" s="10">
        <v>95</v>
      </c>
      <c r="F67" s="10">
        <v>95</v>
      </c>
      <c r="G67" s="10">
        <v>98</v>
      </c>
      <c r="H67" s="10">
        <v>97</v>
      </c>
      <c r="I67" s="10">
        <v>96</v>
      </c>
      <c r="J67" s="10">
        <v>95</v>
      </c>
    </row>
    <row r="68" spans="1:10" ht="12.75" hidden="1">
      <c r="A68"/>
      <c r="B68" s="2" t="s">
        <v>48</v>
      </c>
      <c r="D68" s="10">
        <v>20</v>
      </c>
      <c r="E68" s="10">
        <v>20</v>
      </c>
      <c r="F68" s="10">
        <v>21</v>
      </c>
      <c r="G68" s="10">
        <v>21</v>
      </c>
      <c r="H68" s="10">
        <v>21</v>
      </c>
      <c r="I68" s="10">
        <v>21</v>
      </c>
      <c r="J68" s="10">
        <v>21</v>
      </c>
    </row>
    <row r="69" spans="1:10" ht="12.75" hidden="1">
      <c r="A69" s="2" t="s">
        <v>49</v>
      </c>
      <c r="D69" s="37">
        <f aca="true" t="shared" si="20" ref="D69:J69">SUM(D65:D68)</f>
        <v>129061</v>
      </c>
      <c r="E69" s="37">
        <f t="shared" si="20"/>
        <v>129192</v>
      </c>
      <c r="F69" s="37">
        <f t="shared" si="20"/>
        <v>129490</v>
      </c>
      <c r="G69" s="37">
        <f t="shared" si="20"/>
        <v>129888</v>
      </c>
      <c r="H69" s="37">
        <f t="shared" si="20"/>
        <v>130451</v>
      </c>
      <c r="I69" s="37">
        <f t="shared" si="20"/>
        <v>131281</v>
      </c>
      <c r="J69" s="37">
        <f t="shared" si="20"/>
        <v>131646</v>
      </c>
    </row>
    <row r="70" spans="1:17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0" ht="12.75">
      <c r="A71" s="23" t="s">
        <v>75</v>
      </c>
      <c r="J71" s="9"/>
    </row>
    <row r="72" spans="1:16" ht="12.75">
      <c r="A72" s="5" t="s">
        <v>76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/>
      <c r="B73"/>
      <c r="C73"/>
      <c r="D73" s="55">
        <v>39448</v>
      </c>
      <c r="E73" s="55">
        <v>39479</v>
      </c>
      <c r="F73" s="55">
        <v>39508</v>
      </c>
      <c r="G73" s="55">
        <v>39539</v>
      </c>
      <c r="H73" s="55">
        <v>39569</v>
      </c>
      <c r="I73" s="55">
        <v>39600</v>
      </c>
      <c r="J73" s="55">
        <v>39630</v>
      </c>
      <c r="K73" s="55">
        <v>39661</v>
      </c>
      <c r="L73" s="55">
        <v>39692</v>
      </c>
      <c r="M73" s="55">
        <v>39722</v>
      </c>
      <c r="N73" s="55">
        <v>39753</v>
      </c>
      <c r="O73" s="55">
        <v>39783</v>
      </c>
      <c r="P73" s="29" t="s">
        <v>60</v>
      </c>
    </row>
    <row r="74" spans="1:16" ht="12.75">
      <c r="A74" s="2" t="s">
        <v>40</v>
      </c>
      <c r="D74" s="12">
        <v>1169</v>
      </c>
      <c r="E74" s="12">
        <f>916+29</f>
        <v>945</v>
      </c>
      <c r="F74" s="12">
        <v>790</v>
      </c>
      <c r="G74" s="12">
        <v>557</v>
      </c>
      <c r="H74" s="12">
        <v>338</v>
      </c>
      <c r="I74" s="12">
        <v>149</v>
      </c>
      <c r="J74" s="12">
        <v>44</v>
      </c>
      <c r="K74" s="12">
        <v>42</v>
      </c>
      <c r="L74" s="12">
        <v>196</v>
      </c>
      <c r="M74" s="12">
        <v>554</v>
      </c>
      <c r="N74" s="12">
        <v>897</v>
      </c>
      <c r="O74" s="12">
        <v>1168</v>
      </c>
      <c r="P74" s="9">
        <f>SUM(D74:O74)</f>
        <v>6849</v>
      </c>
    </row>
    <row r="75" spans="1:16" ht="12.75">
      <c r="A75" s="49" t="s">
        <v>41</v>
      </c>
      <c r="B75"/>
      <c r="C75"/>
      <c r="D75" s="56">
        <v>1243</v>
      </c>
      <c r="E75" s="56">
        <v>952</v>
      </c>
      <c r="F75" s="56">
        <v>880</v>
      </c>
      <c r="G75" s="56">
        <v>683</v>
      </c>
      <c r="H75" s="56">
        <v>274</v>
      </c>
      <c r="I75" s="56">
        <v>176</v>
      </c>
      <c r="J75" s="57">
        <f aca="true" t="shared" si="21" ref="J75:O75">J74</f>
        <v>44</v>
      </c>
      <c r="K75" s="57">
        <f t="shared" si="21"/>
        <v>42</v>
      </c>
      <c r="L75" s="57">
        <f t="shared" si="21"/>
        <v>196</v>
      </c>
      <c r="M75" s="57">
        <f t="shared" si="21"/>
        <v>554</v>
      </c>
      <c r="N75" s="57">
        <f t="shared" si="21"/>
        <v>897</v>
      </c>
      <c r="O75" s="57">
        <f t="shared" si="21"/>
        <v>1168</v>
      </c>
      <c r="P75" s="9">
        <f>SUM(D75:O75)</f>
        <v>7109</v>
      </c>
    </row>
    <row r="76" spans="1:16" ht="12.75">
      <c r="A76" s="1" t="s">
        <v>77</v>
      </c>
      <c r="B76"/>
      <c r="C76"/>
      <c r="D76" s="14">
        <f aca="true" t="shared" si="22" ref="D76:O76">D74-D75</f>
        <v>-74</v>
      </c>
      <c r="E76" s="14">
        <f t="shared" si="22"/>
        <v>-7</v>
      </c>
      <c r="F76" s="14">
        <f t="shared" si="22"/>
        <v>-90</v>
      </c>
      <c r="G76" s="14">
        <f t="shared" si="22"/>
        <v>-126</v>
      </c>
      <c r="H76" s="14">
        <f t="shared" si="22"/>
        <v>64</v>
      </c>
      <c r="I76" s="14">
        <f t="shared" si="22"/>
        <v>-27</v>
      </c>
      <c r="J76" s="14">
        <f t="shared" si="22"/>
        <v>0</v>
      </c>
      <c r="K76" s="14">
        <f t="shared" si="22"/>
        <v>0</v>
      </c>
      <c r="L76" s="14">
        <f t="shared" si="22"/>
        <v>0</v>
      </c>
      <c r="M76" s="14">
        <f t="shared" si="22"/>
        <v>0</v>
      </c>
      <c r="N76" s="14">
        <f t="shared" si="22"/>
        <v>0</v>
      </c>
      <c r="O76" s="14">
        <f t="shared" si="22"/>
        <v>0</v>
      </c>
      <c r="P76" s="11">
        <f>SUM(D76:O76)</f>
        <v>-260</v>
      </c>
    </row>
    <row r="77" spans="1:16" ht="12.75">
      <c r="A77" s="1"/>
      <c r="B77" s="58"/>
      <c r="C77" s="59" t="s">
        <v>78</v>
      </c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2.75">
      <c r="A78" t="s">
        <v>36</v>
      </c>
      <c r="B78"/>
      <c r="C78" s="29" t="s">
        <v>79</v>
      </c>
      <c r="D78" s="60">
        <v>0.101</v>
      </c>
      <c r="E78" s="60">
        <v>0.101</v>
      </c>
      <c r="F78" s="60">
        <v>0.101</v>
      </c>
      <c r="G78" s="60">
        <v>0.09</v>
      </c>
      <c r="H78" s="60">
        <v>0.09</v>
      </c>
      <c r="I78" s="60">
        <v>0.09</v>
      </c>
      <c r="J78" s="60">
        <v>0</v>
      </c>
      <c r="K78" s="60">
        <v>0</v>
      </c>
      <c r="L78" s="60">
        <v>0</v>
      </c>
      <c r="M78" s="60">
        <v>0.09</v>
      </c>
      <c r="N78" s="60">
        <v>0.09</v>
      </c>
      <c r="O78" s="60">
        <v>0.101</v>
      </c>
      <c r="P78"/>
    </row>
    <row r="79" spans="1:16" ht="12.75">
      <c r="A79" t="s">
        <v>37</v>
      </c>
      <c r="B79"/>
      <c r="C79" s="29" t="s">
        <v>79</v>
      </c>
      <c r="D79" s="60">
        <v>0.243</v>
      </c>
      <c r="E79" s="60">
        <v>0.243</v>
      </c>
      <c r="F79" s="60">
        <v>0.243</v>
      </c>
      <c r="G79" s="60">
        <v>0.169</v>
      </c>
      <c r="H79" s="60">
        <v>0.169</v>
      </c>
      <c r="I79" s="60">
        <v>0.169</v>
      </c>
      <c r="J79" s="60">
        <v>0</v>
      </c>
      <c r="K79" s="60">
        <v>0</v>
      </c>
      <c r="L79" s="60">
        <v>0</v>
      </c>
      <c r="M79" s="60">
        <v>0.169</v>
      </c>
      <c r="N79" s="60">
        <v>0.169</v>
      </c>
      <c r="O79" s="60">
        <v>0.243</v>
      </c>
      <c r="P79"/>
    </row>
    <row r="80" spans="1:16" ht="12.75">
      <c r="A80" t="s">
        <v>38</v>
      </c>
      <c r="B80"/>
      <c r="C80" s="29" t="s">
        <v>79</v>
      </c>
      <c r="D80" s="60">
        <v>0.422</v>
      </c>
      <c r="E80" s="60">
        <v>0.422</v>
      </c>
      <c r="F80" s="60">
        <v>0.422</v>
      </c>
      <c r="G80" s="60">
        <v>0.306</v>
      </c>
      <c r="H80" s="60">
        <v>0.306</v>
      </c>
      <c r="I80" s="60">
        <v>0.306</v>
      </c>
      <c r="J80" s="60">
        <v>0</v>
      </c>
      <c r="K80" s="60">
        <v>0</v>
      </c>
      <c r="L80" s="60">
        <v>0</v>
      </c>
      <c r="M80" s="60">
        <v>0.306</v>
      </c>
      <c r="N80" s="60">
        <v>0.306</v>
      </c>
      <c r="O80" s="60">
        <v>0.422</v>
      </c>
      <c r="P80"/>
    </row>
    <row r="81" spans="1:16" ht="12.75">
      <c r="A81"/>
      <c r="B81" s="15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2.75">
      <c r="A82" s="5" t="s">
        <v>33</v>
      </c>
      <c r="B82" s="15"/>
      <c r="C82" s="15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2.75">
      <c r="A83" t="s">
        <v>36</v>
      </c>
      <c r="B83"/>
      <c r="C83"/>
      <c r="D83" s="30">
        <f aca="true" t="shared" si="23" ref="D83:O83">ROUND(D$76*D78*D107,0)</f>
        <v>-927934</v>
      </c>
      <c r="E83" s="30">
        <f t="shared" si="23"/>
        <v>-87884</v>
      </c>
      <c r="F83" s="30">
        <f t="shared" si="23"/>
        <v>-1130678</v>
      </c>
      <c r="G83" s="30">
        <f t="shared" si="23"/>
        <v>-1410719</v>
      </c>
      <c r="H83" s="30">
        <f t="shared" si="23"/>
        <v>717708</v>
      </c>
      <c r="I83" s="30">
        <f t="shared" si="23"/>
        <v>-302190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0</v>
      </c>
      <c r="O83" s="30">
        <f t="shared" si="23"/>
        <v>0</v>
      </c>
      <c r="P83" s="30">
        <f>SUM(D83:O83)</f>
        <v>-3141697</v>
      </c>
    </row>
    <row r="84" spans="1:16" ht="12.75">
      <c r="A84" t="s">
        <v>37</v>
      </c>
      <c r="B84"/>
      <c r="C84"/>
      <c r="D84" s="30">
        <f aca="true" t="shared" si="24" ref="D84:O84">ROUND(D$76*D79*D108,0)</f>
        <v>-202100</v>
      </c>
      <c r="E84" s="30">
        <f t="shared" si="24"/>
        <v>-19186</v>
      </c>
      <c r="F84" s="30">
        <f t="shared" si="24"/>
        <v>-246890</v>
      </c>
      <c r="G84" s="30">
        <f t="shared" si="24"/>
        <v>-239770</v>
      </c>
      <c r="H84" s="30">
        <f t="shared" si="24"/>
        <v>121410</v>
      </c>
      <c r="I84" s="30">
        <f t="shared" si="24"/>
        <v>-51320</v>
      </c>
      <c r="J84" s="30">
        <f t="shared" si="24"/>
        <v>0</v>
      </c>
      <c r="K84" s="30">
        <f t="shared" si="24"/>
        <v>0</v>
      </c>
      <c r="L84" s="30">
        <f t="shared" si="24"/>
        <v>0</v>
      </c>
      <c r="M84" s="30">
        <f t="shared" si="24"/>
        <v>0</v>
      </c>
      <c r="N84" s="30">
        <f t="shared" si="24"/>
        <v>0</v>
      </c>
      <c r="O84" s="30">
        <f t="shared" si="24"/>
        <v>0</v>
      </c>
      <c r="P84" s="30">
        <f>SUM(D84:O84)</f>
        <v>-637856</v>
      </c>
    </row>
    <row r="85" spans="1:16" ht="12.75">
      <c r="A85" t="s">
        <v>38</v>
      </c>
      <c r="B85"/>
      <c r="C85"/>
      <c r="D85" s="30">
        <f aca="true" t="shared" si="25" ref="D85:O85">ROUND(D$76*D80*D109,0)</f>
        <v>-2935</v>
      </c>
      <c r="E85" s="30">
        <f t="shared" si="25"/>
        <v>-272</v>
      </c>
      <c r="F85" s="30">
        <f t="shared" si="25"/>
        <v>-3456</v>
      </c>
      <c r="G85" s="30">
        <f t="shared" si="25"/>
        <v>-3509</v>
      </c>
      <c r="H85" s="30">
        <f t="shared" si="25"/>
        <v>1723</v>
      </c>
      <c r="I85" s="30">
        <f t="shared" si="25"/>
        <v>-752</v>
      </c>
      <c r="J85" s="30">
        <f t="shared" si="25"/>
        <v>0</v>
      </c>
      <c r="K85" s="30">
        <f t="shared" si="25"/>
        <v>0</v>
      </c>
      <c r="L85" s="30">
        <f t="shared" si="25"/>
        <v>0</v>
      </c>
      <c r="M85" s="30">
        <f t="shared" si="25"/>
        <v>0</v>
      </c>
      <c r="N85" s="30">
        <f t="shared" si="25"/>
        <v>0</v>
      </c>
      <c r="O85" s="30">
        <f t="shared" si="25"/>
        <v>0</v>
      </c>
      <c r="P85" s="30">
        <f>SUM(D85:O85)</f>
        <v>-9201</v>
      </c>
    </row>
    <row r="86" spans="1:16" ht="12.75">
      <c r="A86" t="s">
        <v>80</v>
      </c>
      <c r="B86"/>
      <c r="C86"/>
      <c r="D86" s="31">
        <f aca="true" t="shared" si="26" ref="D86:P86">SUM(D83:D85)</f>
        <v>-1132969</v>
      </c>
      <c r="E86" s="31">
        <f t="shared" si="26"/>
        <v>-107342</v>
      </c>
      <c r="F86" s="31">
        <f t="shared" si="26"/>
        <v>-1381024</v>
      </c>
      <c r="G86" s="31">
        <f t="shared" si="26"/>
        <v>-1653998</v>
      </c>
      <c r="H86" s="31">
        <f t="shared" si="26"/>
        <v>840841</v>
      </c>
      <c r="I86" s="31">
        <f t="shared" si="26"/>
        <v>-354262</v>
      </c>
      <c r="J86" s="31">
        <f t="shared" si="26"/>
        <v>0</v>
      </c>
      <c r="K86" s="31">
        <f t="shared" si="26"/>
        <v>0</v>
      </c>
      <c r="L86" s="31">
        <f t="shared" si="26"/>
        <v>0</v>
      </c>
      <c r="M86" s="31">
        <f t="shared" si="26"/>
        <v>0</v>
      </c>
      <c r="N86" s="31">
        <f t="shared" si="26"/>
        <v>0</v>
      </c>
      <c r="O86" s="31">
        <f t="shared" si="26"/>
        <v>0</v>
      </c>
      <c r="P86" s="31">
        <f t="shared" si="26"/>
        <v>-3788754</v>
      </c>
    </row>
    <row r="87" spans="1:1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2.75">
      <c r="A89" s="5" t="s">
        <v>81</v>
      </c>
      <c r="B89"/>
      <c r="C89"/>
      <c r="D89" s="32"/>
      <c r="E89"/>
      <c r="F89" s="61"/>
      <c r="G89" s="61"/>
      <c r="H89"/>
      <c r="I89"/>
      <c r="J89"/>
      <c r="K89"/>
      <c r="L89"/>
      <c r="M89"/>
      <c r="N89"/>
      <c r="O89"/>
      <c r="P89"/>
    </row>
    <row r="90" spans="1:16" ht="12.75">
      <c r="A90" s="24"/>
      <c r="B90"/>
      <c r="C90"/>
      <c r="D90" s="62">
        <v>39417</v>
      </c>
      <c r="E90" s="62">
        <v>39448</v>
      </c>
      <c r="F90" s="63">
        <v>39479</v>
      </c>
      <c r="G90" s="63">
        <v>39508</v>
      </c>
      <c r="H90" s="62">
        <v>39539</v>
      </c>
      <c r="I90" s="62">
        <v>39569</v>
      </c>
      <c r="J90" s="62">
        <v>39600</v>
      </c>
      <c r="K90" s="62">
        <v>39630</v>
      </c>
      <c r="L90" s="62">
        <v>39661</v>
      </c>
      <c r="M90" s="62">
        <v>39692</v>
      </c>
      <c r="N90" s="62">
        <v>39722</v>
      </c>
      <c r="O90" s="62">
        <v>39753</v>
      </c>
      <c r="P90" s="62">
        <v>39783</v>
      </c>
    </row>
    <row r="91" spans="1:16" ht="12.75">
      <c r="A91" t="s">
        <v>31</v>
      </c>
      <c r="B91"/>
      <c r="C91"/>
      <c r="D91" s="64">
        <f>J41</f>
        <v>702.2</v>
      </c>
      <c r="E91" s="65">
        <v>756.7</v>
      </c>
      <c r="F91" s="65">
        <v>554.3</v>
      </c>
      <c r="G91" s="65">
        <v>549</v>
      </c>
      <c r="H91" s="65">
        <v>424.2</v>
      </c>
      <c r="I91" s="65">
        <v>140.1</v>
      </c>
      <c r="J91" s="65">
        <v>71.2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</row>
    <row r="92" spans="1:16" ht="12.75">
      <c r="A92" t="s">
        <v>32</v>
      </c>
      <c r="B92"/>
      <c r="C92"/>
      <c r="D92" s="28">
        <f>J42</f>
        <v>0.61</v>
      </c>
      <c r="E92" s="67">
        <v>0.5791</v>
      </c>
      <c r="F92" s="67">
        <v>0.599</v>
      </c>
      <c r="G92" s="67">
        <v>0.6132</v>
      </c>
      <c r="H92" s="67">
        <v>0.6425</v>
      </c>
      <c r="I92" s="67">
        <v>0.6361</v>
      </c>
      <c r="J92" s="67">
        <v>0.633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</row>
    <row r="93" spans="1:16" ht="12.75">
      <c r="A93" s="1"/>
      <c r="B93" s="58" t="s">
        <v>82</v>
      </c>
      <c r="C93" s="59" t="s">
        <v>78</v>
      </c>
      <c r="D93" s="28"/>
      <c r="E93" s="69"/>
      <c r="F93" s="70"/>
      <c r="G93" s="70"/>
      <c r="H93" s="69"/>
      <c r="I93" s="69"/>
      <c r="J93" s="69"/>
      <c r="K93" s="69"/>
      <c r="L93" s="69"/>
      <c r="M93" s="69"/>
      <c r="N93" s="69"/>
      <c r="O93" s="69"/>
      <c r="P93" s="71"/>
    </row>
    <row r="94" spans="1:16" ht="12.75">
      <c r="A94" t="s">
        <v>36</v>
      </c>
      <c r="B94" s="42">
        <v>15</v>
      </c>
      <c r="C94" s="29" t="s">
        <v>79</v>
      </c>
      <c r="D94" s="72">
        <v>0.1005</v>
      </c>
      <c r="E94" s="72">
        <v>0.1005</v>
      </c>
      <c r="F94" s="73">
        <v>0.1005</v>
      </c>
      <c r="G94" s="73">
        <f>(F94+H94)/2</f>
        <v>0.09505</v>
      </c>
      <c r="H94" s="72">
        <v>0.0896</v>
      </c>
      <c r="I94" s="72">
        <v>0.0896</v>
      </c>
      <c r="J94" s="72">
        <f>(I94+K94)/2</f>
        <v>0.0448</v>
      </c>
      <c r="K94" s="72">
        <v>0</v>
      </c>
      <c r="L94" s="72">
        <v>0</v>
      </c>
      <c r="M94" s="72">
        <f>(L94+N94)/2</f>
        <v>0.0448</v>
      </c>
      <c r="N94" s="72">
        <v>0.0896</v>
      </c>
      <c r="O94" s="72">
        <f>(N94+P94)/2</f>
        <v>0.09505</v>
      </c>
      <c r="P94" s="72">
        <v>0.1005</v>
      </c>
    </row>
    <row r="95" spans="1:16" ht="12.75">
      <c r="A95" t="s">
        <v>37</v>
      </c>
      <c r="B95" s="42">
        <v>12</v>
      </c>
      <c r="C95" s="29" t="s">
        <v>79</v>
      </c>
      <c r="D95" s="72">
        <v>0.2427</v>
      </c>
      <c r="E95" s="72">
        <v>0.2427</v>
      </c>
      <c r="F95" s="73">
        <v>0.2427</v>
      </c>
      <c r="G95" s="73">
        <f>(F95+H95)/2</f>
        <v>0.20575</v>
      </c>
      <c r="H95" s="72">
        <v>0.1688</v>
      </c>
      <c r="I95" s="72">
        <v>0.1688</v>
      </c>
      <c r="J95" s="72">
        <f>(I95+K95)/2</f>
        <v>0.0844</v>
      </c>
      <c r="K95" s="72">
        <v>0</v>
      </c>
      <c r="L95" s="72">
        <v>0</v>
      </c>
      <c r="M95" s="72">
        <f>(L95+N95)/2</f>
        <v>0.0844</v>
      </c>
      <c r="N95" s="72">
        <v>0.1688</v>
      </c>
      <c r="O95" s="72">
        <f>(N95+P95)/2</f>
        <v>0.20575</v>
      </c>
      <c r="P95" s="72">
        <v>0.2427</v>
      </c>
    </row>
    <row r="96" spans="1:16" ht="12.75">
      <c r="A96" t="s">
        <v>38</v>
      </c>
      <c r="B96" s="42">
        <v>0</v>
      </c>
      <c r="C96" s="29" t="s">
        <v>79</v>
      </c>
      <c r="D96" s="72">
        <v>0.4222</v>
      </c>
      <c r="E96" s="72">
        <v>0.4222</v>
      </c>
      <c r="F96" s="73">
        <v>0.4222</v>
      </c>
      <c r="G96" s="73">
        <f>(F96+H96)/2</f>
        <v>0.36385</v>
      </c>
      <c r="H96" s="72">
        <v>0.3055</v>
      </c>
      <c r="I96" s="72">
        <v>0.3055</v>
      </c>
      <c r="J96" s="72">
        <f>(I96+K96)/2</f>
        <v>0.15275</v>
      </c>
      <c r="K96" s="72">
        <v>0</v>
      </c>
      <c r="L96" s="72">
        <v>0</v>
      </c>
      <c r="M96" s="72">
        <f>(L96+N96)/2</f>
        <v>0.15275</v>
      </c>
      <c r="N96" s="72">
        <v>0.3055</v>
      </c>
      <c r="O96" s="72">
        <f>(N96+P96)/2</f>
        <v>0.36385</v>
      </c>
      <c r="P96" s="72">
        <v>0.4222</v>
      </c>
    </row>
    <row r="97" spans="1:16" ht="12.75">
      <c r="A97"/>
      <c r="B97"/>
      <c r="C97" s="15"/>
      <c r="D97" s="28"/>
      <c r="E97" s="69"/>
      <c r="F97" s="70"/>
      <c r="G97" s="70"/>
      <c r="H97" s="69"/>
      <c r="I97" s="69"/>
      <c r="J97" s="69"/>
      <c r="K97" s="69"/>
      <c r="L97" s="69"/>
      <c r="M97" s="69"/>
      <c r="N97" s="69"/>
      <c r="O97" s="69"/>
      <c r="P97" s="71"/>
    </row>
    <row r="98" spans="1:16" ht="12.75">
      <c r="A98" s="5" t="s">
        <v>33</v>
      </c>
      <c r="B98" s="58"/>
      <c r="C98" s="29"/>
      <c r="D98" s="28"/>
      <c r="E98" s="69"/>
      <c r="F98" s="70"/>
      <c r="G98" s="70"/>
      <c r="H98" s="69"/>
      <c r="I98" s="69"/>
      <c r="J98" s="69"/>
      <c r="K98" s="69"/>
      <c r="L98" s="69"/>
      <c r="M98" s="69"/>
      <c r="N98" s="69"/>
      <c r="O98" s="69"/>
      <c r="P98" s="71"/>
    </row>
    <row r="99" spans="1:16" ht="12.75">
      <c r="A99" t="s">
        <v>36</v>
      </c>
      <c r="B99"/>
      <c r="C99"/>
      <c r="D99" s="30">
        <f aca="true" t="shared" si="27" ref="D99:P99">ROUND((D$91*D94)*C107,0)+ROUND(($B94*D$92)*C107,0)</f>
        <v>9874335</v>
      </c>
      <c r="E99" s="30">
        <f t="shared" si="27"/>
        <v>10520255</v>
      </c>
      <c r="F99" s="30">
        <f t="shared" si="27"/>
        <v>8041622</v>
      </c>
      <c r="G99" s="30">
        <f t="shared" si="27"/>
        <v>7634930</v>
      </c>
      <c r="H99" s="30">
        <f t="shared" si="27"/>
        <v>5927235</v>
      </c>
      <c r="I99" s="30">
        <f t="shared" si="27"/>
        <v>2753014</v>
      </c>
      <c r="J99" s="30">
        <f t="shared" si="27"/>
        <v>1577451</v>
      </c>
      <c r="K99" s="30">
        <f t="shared" si="27"/>
        <v>0</v>
      </c>
      <c r="L99" s="30">
        <f t="shared" si="27"/>
        <v>0</v>
      </c>
      <c r="M99" s="30">
        <f t="shared" si="27"/>
        <v>0</v>
      </c>
      <c r="N99" s="30">
        <f t="shared" si="27"/>
        <v>0</v>
      </c>
      <c r="O99" s="30">
        <f t="shared" si="27"/>
        <v>0</v>
      </c>
      <c r="P99" s="30">
        <f t="shared" si="27"/>
        <v>0</v>
      </c>
    </row>
    <row r="100" spans="1:16" ht="12.75">
      <c r="A100" t="s">
        <v>37</v>
      </c>
      <c r="B100"/>
      <c r="C100"/>
      <c r="D100" s="30">
        <f aca="true" t="shared" si="28" ref="D100:P100">ROUND((D$91*D95)*C108,0)+ROUND(($B95*D$92)*C108,0)</f>
        <v>2005485</v>
      </c>
      <c r="E100" s="30">
        <f t="shared" si="28"/>
        <v>2142157</v>
      </c>
      <c r="F100" s="30">
        <f t="shared" si="28"/>
        <v>1598421</v>
      </c>
      <c r="G100" s="30">
        <f t="shared" si="28"/>
        <v>1358238</v>
      </c>
      <c r="H100" s="30">
        <f t="shared" si="28"/>
        <v>893087</v>
      </c>
      <c r="I100" s="30">
        <f t="shared" si="28"/>
        <v>351142</v>
      </c>
      <c r="J100" s="30">
        <f t="shared" si="28"/>
        <v>153018</v>
      </c>
      <c r="K100" s="30">
        <f t="shared" si="28"/>
        <v>0</v>
      </c>
      <c r="L100" s="30">
        <f t="shared" si="28"/>
        <v>0</v>
      </c>
      <c r="M100" s="30">
        <f t="shared" si="28"/>
        <v>0</v>
      </c>
      <c r="N100" s="30">
        <f t="shared" si="28"/>
        <v>0</v>
      </c>
      <c r="O100" s="30">
        <f t="shared" si="28"/>
        <v>0</v>
      </c>
      <c r="P100" s="30">
        <f t="shared" si="28"/>
        <v>0</v>
      </c>
    </row>
    <row r="101" spans="1:16" ht="12.75">
      <c r="A101" t="s">
        <v>38</v>
      </c>
      <c r="B101"/>
      <c r="C101"/>
      <c r="D101" s="30">
        <f aca="true" t="shared" si="29" ref="D101:P101">ROUND((D$91*D96)*C109,0)+ROUND(($B96*D$92)*C109,0)</f>
        <v>27275</v>
      </c>
      <c r="E101" s="30">
        <f t="shared" si="29"/>
        <v>30031</v>
      </c>
      <c r="F101" s="30">
        <f t="shared" si="29"/>
        <v>21530</v>
      </c>
      <c r="G101" s="30">
        <f t="shared" si="29"/>
        <v>18178</v>
      </c>
      <c r="H101" s="30">
        <f t="shared" si="29"/>
        <v>11793</v>
      </c>
      <c r="I101" s="30">
        <f t="shared" si="29"/>
        <v>3766</v>
      </c>
      <c r="J101" s="30">
        <f t="shared" si="29"/>
        <v>990</v>
      </c>
      <c r="K101" s="30">
        <f t="shared" si="29"/>
        <v>0</v>
      </c>
      <c r="L101" s="30">
        <f t="shared" si="29"/>
        <v>0</v>
      </c>
      <c r="M101" s="30">
        <f t="shared" si="29"/>
        <v>0</v>
      </c>
      <c r="N101" s="30">
        <f t="shared" si="29"/>
        <v>0</v>
      </c>
      <c r="O101" s="30">
        <f t="shared" si="29"/>
        <v>0</v>
      </c>
      <c r="P101" s="30">
        <f t="shared" si="29"/>
        <v>0</v>
      </c>
    </row>
    <row r="102" spans="1:16" ht="12.75">
      <c r="A102" t="s">
        <v>83</v>
      </c>
      <c r="B102"/>
      <c r="C102"/>
      <c r="D102" s="31">
        <f aca="true" t="shared" si="30" ref="D102:P102">SUM(D99:D101)</f>
        <v>11907095</v>
      </c>
      <c r="E102" s="31">
        <f t="shared" si="30"/>
        <v>12692443</v>
      </c>
      <c r="F102" s="31">
        <f t="shared" si="30"/>
        <v>9661573</v>
      </c>
      <c r="G102" s="31">
        <f t="shared" si="30"/>
        <v>9011346</v>
      </c>
      <c r="H102" s="31">
        <f t="shared" si="30"/>
        <v>6832115</v>
      </c>
      <c r="I102" s="31">
        <f t="shared" si="30"/>
        <v>3107922</v>
      </c>
      <c r="J102" s="31">
        <f t="shared" si="30"/>
        <v>1731459</v>
      </c>
      <c r="K102" s="31">
        <f t="shared" si="30"/>
        <v>0</v>
      </c>
      <c r="L102" s="31">
        <f t="shared" si="30"/>
        <v>0</v>
      </c>
      <c r="M102" s="31">
        <f t="shared" si="30"/>
        <v>0</v>
      </c>
      <c r="N102" s="31">
        <f t="shared" si="30"/>
        <v>0</v>
      </c>
      <c r="O102" s="31">
        <f t="shared" si="30"/>
        <v>0</v>
      </c>
      <c r="P102" s="31">
        <f t="shared" si="30"/>
        <v>0</v>
      </c>
    </row>
    <row r="103" spans="1:16" ht="12.75">
      <c r="A103"/>
      <c r="B103"/>
      <c r="C103"/>
      <c r="D103"/>
      <c r="E103"/>
      <c r="F103" s="61"/>
      <c r="G103" s="61"/>
      <c r="H103"/>
      <c r="I103"/>
      <c r="J103"/>
      <c r="K103"/>
      <c r="L103"/>
      <c r="M103"/>
      <c r="N103"/>
      <c r="O103"/>
      <c r="P103"/>
    </row>
    <row r="104" spans="1:1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2.75">
      <c r="A105" s="1" t="s">
        <v>84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.75">
      <c r="A106" s="1"/>
      <c r="B106" t="s">
        <v>85</v>
      </c>
      <c r="C106" s="62">
        <v>38687</v>
      </c>
      <c r="D106" s="62">
        <v>38718</v>
      </c>
      <c r="E106" s="62">
        <v>38749</v>
      </c>
      <c r="F106" s="62">
        <v>38777</v>
      </c>
      <c r="G106" s="62">
        <v>38808</v>
      </c>
      <c r="H106" s="62">
        <v>38838</v>
      </c>
      <c r="I106" s="62">
        <v>38869</v>
      </c>
      <c r="J106" s="62">
        <v>38899</v>
      </c>
      <c r="K106" s="62">
        <v>38930</v>
      </c>
      <c r="L106" s="62">
        <v>38961</v>
      </c>
      <c r="M106" s="62">
        <v>38991</v>
      </c>
      <c r="N106" s="62">
        <v>39022</v>
      </c>
      <c r="O106" s="62">
        <v>39052</v>
      </c>
      <c r="P106" s="74" t="s">
        <v>86</v>
      </c>
    </row>
    <row r="107" spans="1:16" ht="12.75">
      <c r="A107" t="s">
        <v>87</v>
      </c>
      <c r="B107" s="75" t="s">
        <v>88</v>
      </c>
      <c r="C107" s="30">
        <v>123861</v>
      </c>
      <c r="D107" s="30">
        <v>124155</v>
      </c>
      <c r="E107" s="30">
        <v>124306</v>
      </c>
      <c r="F107" s="30">
        <v>124387</v>
      </c>
      <c r="G107" s="30">
        <v>124402</v>
      </c>
      <c r="H107" s="30">
        <v>124602</v>
      </c>
      <c r="I107" s="30">
        <v>124358</v>
      </c>
      <c r="J107" s="30">
        <v>124482</v>
      </c>
      <c r="K107" s="30">
        <v>124715</v>
      </c>
      <c r="L107" s="30">
        <v>125061</v>
      </c>
      <c r="M107" s="30">
        <v>125868</v>
      </c>
      <c r="N107" s="30">
        <v>126533</v>
      </c>
      <c r="O107" s="30">
        <v>127078</v>
      </c>
      <c r="P107" s="30">
        <f>SUM(D107:O107)</f>
        <v>1499947</v>
      </c>
    </row>
    <row r="108" spans="1:16" ht="12.75">
      <c r="A108" t="s">
        <v>89</v>
      </c>
      <c r="B108" s="75" t="s">
        <v>90</v>
      </c>
      <c r="C108" s="30">
        <v>11283</v>
      </c>
      <c r="D108" s="30">
        <v>11239</v>
      </c>
      <c r="E108" s="30">
        <v>11279</v>
      </c>
      <c r="F108" s="30">
        <v>11289</v>
      </c>
      <c r="G108" s="30">
        <v>11260</v>
      </c>
      <c r="H108" s="30">
        <v>11225</v>
      </c>
      <c r="I108" s="30">
        <v>11247</v>
      </c>
      <c r="J108" s="30">
        <v>11226</v>
      </c>
      <c r="K108" s="30">
        <v>11300</v>
      </c>
      <c r="L108" s="30">
        <v>11291</v>
      </c>
      <c r="M108" s="30">
        <v>11323</v>
      </c>
      <c r="N108" s="30">
        <v>11388</v>
      </c>
      <c r="O108" s="30">
        <v>11474</v>
      </c>
      <c r="P108" s="30">
        <f>SUM(D108:O108)</f>
        <v>135541</v>
      </c>
    </row>
    <row r="109" spans="1:16" ht="12.75">
      <c r="A109" t="s">
        <v>91</v>
      </c>
      <c r="B109" s="75" t="s">
        <v>92</v>
      </c>
      <c r="C109" s="30">
        <v>92</v>
      </c>
      <c r="D109" s="30">
        <v>94</v>
      </c>
      <c r="E109" s="30">
        <v>92</v>
      </c>
      <c r="F109" s="30">
        <v>91</v>
      </c>
      <c r="G109" s="30">
        <v>91</v>
      </c>
      <c r="H109" s="30">
        <v>88</v>
      </c>
      <c r="I109" s="30">
        <v>91</v>
      </c>
      <c r="J109" s="30">
        <v>91</v>
      </c>
      <c r="K109" s="30">
        <v>90</v>
      </c>
      <c r="L109" s="30">
        <v>91</v>
      </c>
      <c r="M109" s="30">
        <v>88</v>
      </c>
      <c r="N109" s="30">
        <v>92</v>
      </c>
      <c r="O109" s="30">
        <v>93</v>
      </c>
      <c r="P109" s="30">
        <f>SUM(D109:O109)</f>
        <v>1092</v>
      </c>
    </row>
    <row r="110" spans="1:16" ht="12.75">
      <c r="A110" t="s">
        <v>93</v>
      </c>
      <c r="B110" s="75" t="s">
        <v>94</v>
      </c>
      <c r="C110" s="30"/>
      <c r="D110" s="30">
        <v>22</v>
      </c>
      <c r="E110" s="30">
        <v>22</v>
      </c>
      <c r="F110" s="30">
        <v>22</v>
      </c>
      <c r="G110" s="30">
        <v>22</v>
      </c>
      <c r="H110" s="30">
        <v>23</v>
      </c>
      <c r="I110" s="30">
        <v>23</v>
      </c>
      <c r="J110" s="30">
        <v>23</v>
      </c>
      <c r="K110" s="30">
        <v>23</v>
      </c>
      <c r="L110" s="30">
        <v>23</v>
      </c>
      <c r="M110" s="30">
        <v>23</v>
      </c>
      <c r="N110" s="30">
        <v>23</v>
      </c>
      <c r="O110" s="30">
        <v>22</v>
      </c>
      <c r="P110" s="30">
        <f>SUM(D110:O110)</f>
        <v>271</v>
      </c>
    </row>
    <row r="111" spans="1:16" ht="12.75">
      <c r="A111" t="s">
        <v>83</v>
      </c>
      <c r="B111"/>
      <c r="C111"/>
      <c r="D111" s="14">
        <f aca="true" t="shared" si="31" ref="D111:P111">SUM(D107:D110)</f>
        <v>135510</v>
      </c>
      <c r="E111" s="14">
        <f t="shared" si="31"/>
        <v>135699</v>
      </c>
      <c r="F111" s="14">
        <f t="shared" si="31"/>
        <v>135789</v>
      </c>
      <c r="G111" s="14">
        <f t="shared" si="31"/>
        <v>135775</v>
      </c>
      <c r="H111" s="14">
        <f t="shared" si="31"/>
        <v>135938</v>
      </c>
      <c r="I111" s="14">
        <f t="shared" si="31"/>
        <v>135719</v>
      </c>
      <c r="J111" s="14">
        <f t="shared" si="31"/>
        <v>135822</v>
      </c>
      <c r="K111" s="14">
        <f t="shared" si="31"/>
        <v>136128</v>
      </c>
      <c r="L111" s="14">
        <f t="shared" si="31"/>
        <v>136466</v>
      </c>
      <c r="M111" s="14">
        <f t="shared" si="31"/>
        <v>137302</v>
      </c>
      <c r="N111" s="14">
        <f t="shared" si="31"/>
        <v>138036</v>
      </c>
      <c r="O111" s="14">
        <f t="shared" si="31"/>
        <v>138667</v>
      </c>
      <c r="P111" s="14">
        <f t="shared" si="31"/>
        <v>1636851</v>
      </c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65" r:id="rId1"/>
  <headerFooter alignWithMargins="0">
    <oddFooter>&amp;Lfile: &amp;F / &amp;A&amp;RPage &amp;P of &amp;N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40">
      <pane xSplit="15045" topLeftCell="K1" activePane="topLeft" state="split"/>
      <selection pane="topLeft" activeCell="I19" sqref="I19"/>
      <selection pane="topRight" activeCell="K1" sqref="K1:P16384"/>
    </sheetView>
  </sheetViews>
  <sheetFormatPr defaultColWidth="9.140625" defaultRowHeight="12.75"/>
  <cols>
    <col min="1" max="1" width="10.00390625" style="2" customWidth="1"/>
    <col min="2" max="2" width="17.8515625" style="2" customWidth="1"/>
    <col min="3" max="3" width="9.57421875" style="2" customWidth="1"/>
    <col min="4" max="4" width="13.57421875" style="2" customWidth="1"/>
    <col min="5" max="5" width="13.421875" style="2" customWidth="1"/>
    <col min="6" max="6" width="13.00390625" style="2" customWidth="1"/>
    <col min="7" max="9" width="12.8515625" style="2" bestFit="1" customWidth="1"/>
    <col min="10" max="10" width="14.57421875" style="2" customWidth="1"/>
    <col min="11" max="11" width="14.140625" style="2" customWidth="1"/>
    <col min="12" max="12" width="14.00390625" style="2" bestFit="1" customWidth="1"/>
    <col min="13" max="13" width="10.28125" style="2" bestFit="1" customWidth="1"/>
    <col min="14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4:10" ht="12.75">
      <c r="D7" s="3">
        <v>2007</v>
      </c>
      <c r="E7" s="3">
        <v>2007</v>
      </c>
      <c r="F7" s="3">
        <v>2007</v>
      </c>
      <c r="G7" s="3">
        <v>2007</v>
      </c>
      <c r="H7" s="3">
        <v>2007</v>
      </c>
      <c r="I7" s="3">
        <v>2007</v>
      </c>
      <c r="J7" s="3"/>
    </row>
    <row r="8" spans="4:10" ht="12.75"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2" ht="12.75">
      <c r="A9" s="1" t="s">
        <v>13</v>
      </c>
      <c r="B9" s="1"/>
    </row>
    <row r="10" spans="1:4" ht="12.75">
      <c r="A10" s="5" t="s">
        <v>14</v>
      </c>
      <c r="D10" s="6"/>
    </row>
    <row r="11" spans="1:12" ht="12.75">
      <c r="A11" s="2" t="s">
        <v>15</v>
      </c>
      <c r="D11" s="7">
        <v>21292599</v>
      </c>
      <c r="E11" s="7">
        <v>21234566</v>
      </c>
      <c r="F11" s="7">
        <v>14472322</v>
      </c>
      <c r="G11" s="8">
        <v>9724124</v>
      </c>
      <c r="H11" s="7">
        <v>6113562</v>
      </c>
      <c r="I11" s="7">
        <v>3664833</v>
      </c>
      <c r="J11" s="9">
        <f>SUM(D11:I11)</f>
        <v>76502006</v>
      </c>
      <c r="L11" s="9"/>
    </row>
    <row r="12" spans="1:12" ht="12.75">
      <c r="A12" s="2" t="s">
        <v>16</v>
      </c>
      <c r="D12" s="7">
        <v>-1620408</v>
      </c>
      <c r="E12" s="7">
        <v>-1565117</v>
      </c>
      <c r="F12" s="7">
        <v>-1001608</v>
      </c>
      <c r="G12" s="7">
        <v>-706395</v>
      </c>
      <c r="H12" s="7">
        <v>-412954</v>
      </c>
      <c r="I12" s="7">
        <v>-269857</v>
      </c>
      <c r="J12" s="9">
        <f>SUM(D12:I12)</f>
        <v>-5576339</v>
      </c>
      <c r="L12" s="9"/>
    </row>
    <row r="13" spans="1:12" ht="12.75">
      <c r="A13" s="2" t="s">
        <v>17</v>
      </c>
      <c r="D13" s="10">
        <f>-D40</f>
        <v>-11318911.0186</v>
      </c>
      <c r="E13" s="10">
        <f>-D14</f>
        <v>-12417092.121</v>
      </c>
      <c r="F13" s="10">
        <f>-E14</f>
        <v>-8476763.407399999</v>
      </c>
      <c r="G13" s="10">
        <f>-F14</f>
        <v>-6557935.2957000015</v>
      </c>
      <c r="H13" s="10">
        <f>-G14</f>
        <v>-5501940.396</v>
      </c>
      <c r="I13" s="10">
        <f>-H14</f>
        <v>-2947283.1453000004</v>
      </c>
      <c r="J13" s="9">
        <f>SUM(D13:I13)</f>
        <v>-47219925.383999996</v>
      </c>
      <c r="L13" s="9"/>
    </row>
    <row r="14" spans="1:12" ht="12.75">
      <c r="A14" s="2" t="s">
        <v>18</v>
      </c>
      <c r="D14" s="10">
        <f aca="true" t="shared" si="0" ref="D14:I14">E40</f>
        <v>12417092.121</v>
      </c>
      <c r="E14" s="10">
        <f t="shared" si="0"/>
        <v>8476763.407399999</v>
      </c>
      <c r="F14" s="10">
        <f t="shared" si="0"/>
        <v>6557935.2957000015</v>
      </c>
      <c r="G14" s="10">
        <f t="shared" si="0"/>
        <v>5501940.396</v>
      </c>
      <c r="H14" s="10">
        <f t="shared" si="0"/>
        <v>2947283.1453000004</v>
      </c>
      <c r="I14" s="10">
        <f t="shared" si="0"/>
        <v>1688657.3691</v>
      </c>
      <c r="J14" s="9">
        <f>SUM(D14:I14)</f>
        <v>37589671.7345</v>
      </c>
      <c r="L14" s="10"/>
    </row>
    <row r="15" spans="1:12" ht="12.75">
      <c r="A15" s="2" t="s">
        <v>19</v>
      </c>
      <c r="D15" s="10">
        <f aca="true" t="shared" si="1" ref="D15:I15">D53</f>
        <v>-1160270.7900000003</v>
      </c>
      <c r="E15" s="10">
        <f t="shared" si="1"/>
        <v>817052.1319999999</v>
      </c>
      <c r="F15" s="10">
        <f t="shared" si="1"/>
        <v>1664980.584</v>
      </c>
      <c r="G15" s="10">
        <f t="shared" si="1"/>
        <v>141329.43</v>
      </c>
      <c r="H15" s="10">
        <f t="shared" si="1"/>
        <v>1068395.396</v>
      </c>
      <c r="I15" s="10">
        <f t="shared" si="1"/>
        <v>204306.80399999997</v>
      </c>
      <c r="J15" s="9">
        <f>SUM(D15:I15)</f>
        <v>2735793.5559999994</v>
      </c>
      <c r="L15" s="10"/>
    </row>
    <row r="16" spans="1:12" ht="12.75">
      <c r="A16" s="2" t="s">
        <v>20</v>
      </c>
      <c r="D16" s="11">
        <f aca="true" t="shared" si="2" ref="D16:J16">SUM(D11:D15)</f>
        <v>19610101.3124</v>
      </c>
      <c r="E16" s="11">
        <f t="shared" si="2"/>
        <v>16546172.418399999</v>
      </c>
      <c r="F16" s="11">
        <f t="shared" si="2"/>
        <v>13216866.472300002</v>
      </c>
      <c r="G16" s="11">
        <f t="shared" si="2"/>
        <v>8103063.530299998</v>
      </c>
      <c r="H16" s="11">
        <f t="shared" si="2"/>
        <v>4214346.145300001</v>
      </c>
      <c r="I16" s="11">
        <f t="shared" si="2"/>
        <v>2340657.0278</v>
      </c>
      <c r="J16" s="11">
        <f t="shared" si="2"/>
        <v>64031206.906500004</v>
      </c>
      <c r="L16" s="10"/>
    </row>
    <row r="17" spans="4:12" ht="12.75">
      <c r="D17" s="12"/>
      <c r="E17" s="12"/>
      <c r="F17" s="12"/>
      <c r="G17" s="12"/>
      <c r="H17" s="12"/>
      <c r="I17" s="12"/>
      <c r="J17" s="12"/>
      <c r="L17" s="10"/>
    </row>
    <row r="18" spans="1:12" ht="12.75">
      <c r="A18" s="2" t="s">
        <v>21</v>
      </c>
      <c r="D18" s="12">
        <f aca="true" t="shared" si="3" ref="D18:I18">D16</f>
        <v>19610101.3124</v>
      </c>
      <c r="E18" s="12">
        <f t="shared" si="3"/>
        <v>16546172.418399999</v>
      </c>
      <c r="F18" s="12">
        <f t="shared" si="3"/>
        <v>13216866.472300002</v>
      </c>
      <c r="G18" s="12">
        <f t="shared" si="3"/>
        <v>8103063.530299998</v>
      </c>
      <c r="H18" s="12">
        <f t="shared" si="3"/>
        <v>4214346.145300001</v>
      </c>
      <c r="I18" s="12">
        <f t="shared" si="3"/>
        <v>2340657.0278</v>
      </c>
      <c r="J18" s="9">
        <f>SUM(D18:I18)</f>
        <v>64031206.9065</v>
      </c>
      <c r="L18" s="10"/>
    </row>
    <row r="19" spans="1:10" ht="12.75">
      <c r="A19" t="s">
        <v>22</v>
      </c>
      <c r="B19"/>
      <c r="C19"/>
      <c r="D19" s="13">
        <v>20224840.48455847</v>
      </c>
      <c r="E19" s="13">
        <v>16393845.526802754</v>
      </c>
      <c r="F19" s="13">
        <v>14157245.544399895</v>
      </c>
      <c r="G19" s="13">
        <v>8557146.212768268</v>
      </c>
      <c r="H19" s="13">
        <v>4587478.215037547</v>
      </c>
      <c r="I19" s="13">
        <v>1965935.6404168222</v>
      </c>
      <c r="J19" s="9">
        <f>SUM(D19:I19)</f>
        <v>65886491.623983756</v>
      </c>
    </row>
    <row r="20" spans="1:10" ht="12.75">
      <c r="A20" s="2" t="s">
        <v>23</v>
      </c>
      <c r="C20"/>
      <c r="D20" s="14">
        <f aca="true" t="shared" si="4" ref="D20:I20">D18-D19</f>
        <v>-614739.1721584722</v>
      </c>
      <c r="E20" s="14">
        <f t="shared" si="4"/>
        <v>152326.8915972449</v>
      </c>
      <c r="F20" s="14">
        <f t="shared" si="4"/>
        <v>-940379.0720998924</v>
      </c>
      <c r="G20" s="14">
        <f t="shared" si="4"/>
        <v>-454082.68246826995</v>
      </c>
      <c r="H20" s="14">
        <f t="shared" si="4"/>
        <v>-373132.06973754615</v>
      </c>
      <c r="I20" s="14">
        <f t="shared" si="4"/>
        <v>374721.38738317764</v>
      </c>
      <c r="J20" s="9">
        <f>SUM(D20:I20)</f>
        <v>-1855284.7174837582</v>
      </c>
    </row>
    <row r="21" spans="1:10" ht="12.75">
      <c r="A21" s="2" t="s">
        <v>24</v>
      </c>
      <c r="C21"/>
      <c r="D21" s="15">
        <v>0.20595</v>
      </c>
      <c r="E21" s="15">
        <v>0.20595</v>
      </c>
      <c r="F21" s="15">
        <v>0.20595</v>
      </c>
      <c r="G21" s="15">
        <v>0.20595</v>
      </c>
      <c r="H21" s="15">
        <v>0.20595</v>
      </c>
      <c r="I21" s="15">
        <v>0.20595</v>
      </c>
      <c r="J21"/>
    </row>
    <row r="22" spans="1:10" ht="12.75">
      <c r="A22" s="2" t="s">
        <v>25</v>
      </c>
      <c r="D22" s="16">
        <f aca="true" t="shared" si="5" ref="D22:I22">D20*D21</f>
        <v>-126605.53250603736</v>
      </c>
      <c r="E22" s="16">
        <f t="shared" si="5"/>
        <v>31371.723324452585</v>
      </c>
      <c r="F22" s="16">
        <f t="shared" si="5"/>
        <v>-193671.06989897284</v>
      </c>
      <c r="G22" s="16">
        <f t="shared" si="5"/>
        <v>-93518.3284543402</v>
      </c>
      <c r="H22" s="16">
        <f t="shared" si="5"/>
        <v>-76846.54976244763</v>
      </c>
      <c r="I22" s="16">
        <f t="shared" si="5"/>
        <v>77173.86973156543</v>
      </c>
      <c r="J22" s="16">
        <f>SUM(D22:I22)</f>
        <v>-382095.88756578</v>
      </c>
    </row>
    <row r="23" spans="1:10" ht="13.5" thickBot="1">
      <c r="A23" s="17"/>
      <c r="B23" s="18" t="s">
        <v>26</v>
      </c>
      <c r="D23" s="19">
        <v>0.9</v>
      </c>
      <c r="E23" s="19">
        <v>0.9</v>
      </c>
      <c r="F23" s="19">
        <v>0.9</v>
      </c>
      <c r="G23" s="19">
        <v>0.9</v>
      </c>
      <c r="H23" s="19">
        <v>0.9</v>
      </c>
      <c r="I23" s="19">
        <v>0.9</v>
      </c>
      <c r="J23" s="20"/>
    </row>
    <row r="24" spans="1:11" ht="13.5" thickBot="1">
      <c r="A24" s="1" t="s">
        <v>27</v>
      </c>
      <c r="D24" s="21">
        <f aca="true" t="shared" si="6" ref="D24:I24">D22*D23</f>
        <v>-113944.97925543363</v>
      </c>
      <c r="E24" s="21">
        <f t="shared" si="6"/>
        <v>28234.550992007327</v>
      </c>
      <c r="F24" s="21">
        <f t="shared" si="6"/>
        <v>-174303.96290907555</v>
      </c>
      <c r="G24" s="21">
        <f t="shared" si="6"/>
        <v>-84166.49560890617</v>
      </c>
      <c r="H24" s="21">
        <f t="shared" si="6"/>
        <v>-69161.89478620287</v>
      </c>
      <c r="I24" s="21">
        <f t="shared" si="6"/>
        <v>69456.48275840889</v>
      </c>
      <c r="J24" s="22">
        <f>SUM(D24:I24)</f>
        <v>-343886.298809202</v>
      </c>
      <c r="K24" s="9"/>
    </row>
    <row r="25" spans="1:11" ht="12.75">
      <c r="A25"/>
      <c r="B25" s="1" t="s">
        <v>28</v>
      </c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 s="23" t="s">
        <v>29</v>
      </c>
      <c r="B27"/>
      <c r="C27"/>
      <c r="D27"/>
      <c r="E27"/>
      <c r="F27"/>
      <c r="G27"/>
      <c r="H27"/>
      <c r="I27"/>
      <c r="J27"/>
      <c r="K27"/>
    </row>
    <row r="28" spans="1:11" ht="12.75">
      <c r="A28" s="23"/>
      <c r="B28"/>
      <c r="C28"/>
      <c r="D28"/>
      <c r="E28"/>
      <c r="F28"/>
      <c r="G28"/>
      <c r="H28"/>
      <c r="I28"/>
      <c r="J28"/>
      <c r="K28"/>
    </row>
    <row r="29" spans="1:10" ht="12.75">
      <c r="A29" s="23"/>
      <c r="B29"/>
      <c r="C29"/>
      <c r="D29"/>
      <c r="E29"/>
      <c r="F29"/>
      <c r="G29"/>
      <c r="H29"/>
      <c r="I29"/>
      <c r="J29"/>
    </row>
    <row r="30" spans="1:10" ht="12.75">
      <c r="A30" s="23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3" ht="12.75">
      <c r="A32" s="5" t="s">
        <v>30</v>
      </c>
      <c r="C32" s="1"/>
    </row>
    <row r="33" spans="1:10" ht="12.75">
      <c r="A33" s="24"/>
      <c r="D33" s="25">
        <v>39052</v>
      </c>
      <c r="E33" s="25">
        <v>39083</v>
      </c>
      <c r="F33" s="25">
        <v>39114</v>
      </c>
      <c r="G33" s="25">
        <v>39142</v>
      </c>
      <c r="H33" s="25">
        <v>39173</v>
      </c>
      <c r="I33" s="25">
        <v>39203</v>
      </c>
      <c r="J33" s="25">
        <v>39234</v>
      </c>
    </row>
    <row r="34" spans="1:10" ht="12.75">
      <c r="A34" t="s">
        <v>31</v>
      </c>
      <c r="B34"/>
      <c r="C34"/>
      <c r="D34" s="26">
        <v>689.9</v>
      </c>
      <c r="E34" s="26">
        <v>760.6</v>
      </c>
      <c r="F34" s="26">
        <v>508</v>
      </c>
      <c r="G34" s="27">
        <v>386.3</v>
      </c>
      <c r="H34" s="26">
        <v>317.6</v>
      </c>
      <c r="I34" s="26">
        <v>154.9</v>
      </c>
      <c r="J34" s="26">
        <v>75.2</v>
      </c>
    </row>
    <row r="35" spans="1:10" ht="12.75">
      <c r="A35" t="s">
        <v>32</v>
      </c>
      <c r="B35"/>
      <c r="C35"/>
      <c r="D35" s="28">
        <v>0.6223</v>
      </c>
      <c r="E35" s="28">
        <v>0.5945</v>
      </c>
      <c r="F35" s="28">
        <v>0.5981</v>
      </c>
      <c r="G35" s="28">
        <v>0.5925</v>
      </c>
      <c r="H35" s="28">
        <v>0.622</v>
      </c>
      <c r="I35" s="28">
        <v>0.6208</v>
      </c>
      <c r="J35" s="28">
        <v>0.6125</v>
      </c>
    </row>
    <row r="36" spans="1:10" ht="12.75">
      <c r="A36" s="5" t="s">
        <v>33</v>
      </c>
      <c r="B36" s="29" t="s">
        <v>34</v>
      </c>
      <c r="C36" s="29" t="s">
        <v>35</v>
      </c>
      <c r="D36" s="28"/>
      <c r="E36" s="28"/>
      <c r="F36" s="28"/>
      <c r="G36" s="28"/>
      <c r="H36" s="28"/>
      <c r="I36" s="28"/>
      <c r="J36" s="28"/>
    </row>
    <row r="37" spans="1:10" ht="12.75">
      <c r="A37" t="s">
        <v>36</v>
      </c>
      <c r="B37" s="2">
        <v>7</v>
      </c>
      <c r="C37" s="2">
        <v>0.11</v>
      </c>
      <c r="D37" s="30">
        <f aca="true" t="shared" si="7" ref="D37:J37">$C37*D$34*D58+$B37*D$35*D58</f>
        <v>9458810.917399999</v>
      </c>
      <c r="E37" s="30">
        <f t="shared" si="7"/>
        <v>10370671.2</v>
      </c>
      <c r="F37" s="30">
        <f t="shared" si="7"/>
        <v>7098802.7394</v>
      </c>
      <c r="G37" s="30">
        <f t="shared" si="7"/>
        <v>5512300.773500001</v>
      </c>
      <c r="H37" s="30">
        <f t="shared" si="7"/>
        <v>4643527.9399999995</v>
      </c>
      <c r="I37" s="30">
        <f t="shared" si="7"/>
        <v>2527125.1050000004</v>
      </c>
      <c r="J37" s="30">
        <f t="shared" si="7"/>
        <v>1484645.9355000001</v>
      </c>
    </row>
    <row r="38" spans="1:10" ht="12.75">
      <c r="A38" t="s">
        <v>37</v>
      </c>
      <c r="B38" s="2">
        <v>0</v>
      </c>
      <c r="C38" s="2">
        <v>0.249</v>
      </c>
      <c r="D38" s="30">
        <f aca="true" t="shared" si="8" ref="D38:J38">$C38*D$34*(D59)+$B38*D$35*(D59)</f>
        <v>1832603.4468</v>
      </c>
      <c r="E38" s="30">
        <f t="shared" si="8"/>
        <v>2016428.9418</v>
      </c>
      <c r="F38" s="30">
        <f t="shared" si="8"/>
        <v>1358144.604</v>
      </c>
      <c r="G38" s="30">
        <f t="shared" si="8"/>
        <v>1030565.7318</v>
      </c>
      <c r="H38" s="30">
        <f t="shared" si="8"/>
        <v>846023.5152</v>
      </c>
      <c r="I38" s="30">
        <f t="shared" si="8"/>
        <v>414050.0235</v>
      </c>
      <c r="J38" s="30">
        <f t="shared" si="8"/>
        <v>201141.8016</v>
      </c>
    </row>
    <row r="39" spans="1:10" ht="12.75">
      <c r="A39" t="s">
        <v>38</v>
      </c>
      <c r="B39" s="2">
        <v>0</v>
      </c>
      <c r="C39" s="2">
        <v>0.424</v>
      </c>
      <c r="D39" s="30">
        <f aca="true" t="shared" si="9" ref="D39:J39">$C39*D$34*D60+$B39*D$35*D60</f>
        <v>27496.654399999996</v>
      </c>
      <c r="E39" s="30">
        <f t="shared" si="9"/>
        <v>29991.979199999998</v>
      </c>
      <c r="F39" s="30">
        <f t="shared" si="9"/>
        <v>19816.064</v>
      </c>
      <c r="G39" s="30">
        <f t="shared" si="9"/>
        <v>15068.7904</v>
      </c>
      <c r="H39" s="30">
        <f t="shared" si="9"/>
        <v>12388.940800000002</v>
      </c>
      <c r="I39" s="30">
        <f t="shared" si="9"/>
        <v>6108.016799999999</v>
      </c>
      <c r="J39" s="30">
        <f t="shared" si="9"/>
        <v>2869.632</v>
      </c>
    </row>
    <row r="40" spans="1:10" ht="12.75">
      <c r="A40"/>
      <c r="D40" s="31">
        <f aca="true" t="shared" si="10" ref="D40:J40">SUM(D37:D39)</f>
        <v>11318911.0186</v>
      </c>
      <c r="E40" s="31">
        <f t="shared" si="10"/>
        <v>12417092.121</v>
      </c>
      <c r="F40" s="31">
        <f t="shared" si="10"/>
        <v>8476763.407399999</v>
      </c>
      <c r="G40" s="31">
        <f t="shared" si="10"/>
        <v>6557935.2957000015</v>
      </c>
      <c r="H40" s="31">
        <f t="shared" si="10"/>
        <v>5501940.396</v>
      </c>
      <c r="I40" s="31">
        <f t="shared" si="10"/>
        <v>2947283.1453000004</v>
      </c>
      <c r="J40" s="31">
        <f t="shared" si="10"/>
        <v>1688657.3691</v>
      </c>
    </row>
    <row r="41" spans="1:10" ht="12.75">
      <c r="A41"/>
      <c r="D41" s="32"/>
      <c r="E41" s="32"/>
      <c r="F41" s="32"/>
      <c r="G41" s="32"/>
      <c r="H41" s="32"/>
      <c r="I41" s="32"/>
      <c r="J41" s="32"/>
    </row>
    <row r="42" spans="1:10" ht="12.75">
      <c r="A42"/>
      <c r="B42" s="33"/>
      <c r="C42" s="33"/>
      <c r="D42" s="32"/>
      <c r="E42" s="32"/>
      <c r="F42" s="32"/>
      <c r="G42" s="32"/>
      <c r="H42" s="32"/>
      <c r="I42" s="32"/>
      <c r="J42" s="32"/>
    </row>
    <row r="43" spans="1:10" ht="12.75">
      <c r="A43"/>
      <c r="B43"/>
      <c r="C43"/>
      <c r="D43" s="32"/>
      <c r="E43" s="32"/>
      <c r="F43" s="32"/>
      <c r="G43" s="32"/>
      <c r="H43" s="32"/>
      <c r="I43" s="32"/>
      <c r="J43" s="32"/>
    </row>
    <row r="44" spans="1:10" ht="12.75">
      <c r="A44" s="5" t="s">
        <v>39</v>
      </c>
      <c r="B44"/>
      <c r="C44"/>
      <c r="D44" s="34">
        <v>39083</v>
      </c>
      <c r="E44" s="34">
        <v>39114</v>
      </c>
      <c r="F44" s="34">
        <v>39142</v>
      </c>
      <c r="G44" s="34">
        <v>39173</v>
      </c>
      <c r="H44" s="34">
        <v>39203</v>
      </c>
      <c r="I44" s="34">
        <v>39234</v>
      </c>
      <c r="J44" s="35" t="s">
        <v>12</v>
      </c>
    </row>
    <row r="45" spans="1:10" ht="12.75">
      <c r="A45" s="2" t="s">
        <v>40</v>
      </c>
      <c r="D45" s="12">
        <v>1169</v>
      </c>
      <c r="E45" s="12">
        <v>916</v>
      </c>
      <c r="F45" s="12">
        <v>790</v>
      </c>
      <c r="G45" s="12">
        <v>557</v>
      </c>
      <c r="H45" s="12">
        <v>338</v>
      </c>
      <c r="I45" s="12">
        <v>149</v>
      </c>
      <c r="J45" s="32">
        <f>SUM(D45:I45)</f>
        <v>3919</v>
      </c>
    </row>
    <row r="46" spans="1:10" ht="12.75">
      <c r="A46" s="2" t="s">
        <v>41</v>
      </c>
      <c r="D46" s="36">
        <v>1243</v>
      </c>
      <c r="E46" s="36">
        <v>864</v>
      </c>
      <c r="F46" s="36">
        <v>684</v>
      </c>
      <c r="G46" s="36">
        <v>548</v>
      </c>
      <c r="H46" s="36">
        <v>270</v>
      </c>
      <c r="I46" s="36">
        <v>136</v>
      </c>
      <c r="J46" s="32">
        <f>SUM(D46:I46)</f>
        <v>3745</v>
      </c>
    </row>
    <row r="47" spans="1:10" ht="12.75">
      <c r="A47" s="2" t="s">
        <v>42</v>
      </c>
      <c r="D47" s="11">
        <f aca="true" t="shared" si="11" ref="D47:J47">D45-D46</f>
        <v>-74</v>
      </c>
      <c r="E47" s="11">
        <f t="shared" si="11"/>
        <v>52</v>
      </c>
      <c r="F47" s="11">
        <f t="shared" si="11"/>
        <v>106</v>
      </c>
      <c r="G47" s="11">
        <f t="shared" si="11"/>
        <v>9</v>
      </c>
      <c r="H47" s="11">
        <f t="shared" si="11"/>
        <v>68</v>
      </c>
      <c r="I47" s="11">
        <f t="shared" si="11"/>
        <v>13</v>
      </c>
      <c r="J47" s="11">
        <f t="shared" si="11"/>
        <v>174</v>
      </c>
    </row>
    <row r="48" spans="4:10" ht="12.75">
      <c r="D48" s="12"/>
      <c r="E48" s="12"/>
      <c r="F48" s="12"/>
      <c r="G48" s="12"/>
      <c r="H48" s="12"/>
      <c r="I48" s="12"/>
      <c r="J48" s="12"/>
    </row>
    <row r="49" spans="1:10" ht="12.75">
      <c r="A49" s="15" t="s">
        <v>33</v>
      </c>
      <c r="B49" s="29" t="s">
        <v>34</v>
      </c>
      <c r="C49" s="15" t="s">
        <v>35</v>
      </c>
      <c r="D49" s="32"/>
      <c r="E49" s="32"/>
      <c r="F49" s="32"/>
      <c r="G49" s="32"/>
      <c r="H49" s="32"/>
      <c r="I49" s="32"/>
      <c r="J49" s="32"/>
    </row>
    <row r="50" spans="1:10" ht="12.75">
      <c r="A50" t="s">
        <v>36</v>
      </c>
      <c r="B50" s="2">
        <v>7</v>
      </c>
      <c r="C50" s="2">
        <v>0.11</v>
      </c>
      <c r="D50" s="32">
        <f aca="true" t="shared" si="12" ref="D50:I50">D$47*$C50*E58</f>
        <v>-961171.2000000001</v>
      </c>
      <c r="E50" s="32">
        <f t="shared" si="12"/>
        <v>676001.0399999999</v>
      </c>
      <c r="F50" s="32">
        <f t="shared" si="12"/>
        <v>1378060.42</v>
      </c>
      <c r="G50" s="32">
        <f t="shared" si="12"/>
        <v>117004.14</v>
      </c>
      <c r="H50" s="32">
        <f t="shared" si="12"/>
        <v>883949</v>
      </c>
      <c r="I50" s="32">
        <f t="shared" si="12"/>
        <v>169038.87</v>
      </c>
      <c r="J50" s="32">
        <f>SUM(D50:I50)</f>
        <v>2262882.2699999996</v>
      </c>
    </row>
    <row r="51" spans="1:10" ht="12.75">
      <c r="A51" t="s">
        <v>37</v>
      </c>
      <c r="B51" s="2">
        <v>0</v>
      </c>
      <c r="C51" s="2">
        <v>0.249</v>
      </c>
      <c r="D51" s="32">
        <f aca="true" t="shared" si="13" ref="D51:I51">D$47*$C51*(E59)</f>
        <v>-196181.62199999997</v>
      </c>
      <c r="E51" s="32">
        <f t="shared" si="13"/>
        <v>139022.676</v>
      </c>
      <c r="F51" s="32">
        <f t="shared" si="13"/>
        <v>282785.316</v>
      </c>
      <c r="G51" s="32">
        <f t="shared" si="13"/>
        <v>23974.218</v>
      </c>
      <c r="H51" s="32">
        <f t="shared" si="13"/>
        <v>181765.02</v>
      </c>
      <c r="I51" s="32">
        <f t="shared" si="13"/>
        <v>34771.854</v>
      </c>
      <c r="J51" s="32">
        <f>SUM(D51:I51)</f>
        <v>466137.462</v>
      </c>
    </row>
    <row r="52" spans="1:10" ht="12.75">
      <c r="A52" t="s">
        <v>38</v>
      </c>
      <c r="B52" s="2">
        <v>0</v>
      </c>
      <c r="C52" s="2">
        <v>0.424</v>
      </c>
      <c r="D52" s="32">
        <f aca="true" t="shared" si="14" ref="D52:I52">D$47*$C52*E60</f>
        <v>-2917.968</v>
      </c>
      <c r="E52" s="32">
        <f t="shared" si="14"/>
        <v>2028.416</v>
      </c>
      <c r="F52" s="32">
        <f t="shared" si="14"/>
        <v>4134.848</v>
      </c>
      <c r="G52" s="32">
        <f t="shared" si="14"/>
        <v>351.072</v>
      </c>
      <c r="H52" s="32">
        <f t="shared" si="14"/>
        <v>2681.376</v>
      </c>
      <c r="I52" s="32">
        <f t="shared" si="14"/>
        <v>496.08</v>
      </c>
      <c r="J52" s="32">
        <f>SUM(D52:I52)</f>
        <v>6773.8240000000005</v>
      </c>
    </row>
    <row r="53" spans="4:10" ht="12.75">
      <c r="D53" s="11">
        <f aca="true" t="shared" si="15" ref="D53:J53">SUM(D50:D52)</f>
        <v>-1160270.7900000003</v>
      </c>
      <c r="E53" s="11">
        <f t="shared" si="15"/>
        <v>817052.1319999999</v>
      </c>
      <c r="F53" s="11">
        <f t="shared" si="15"/>
        <v>1664980.584</v>
      </c>
      <c r="G53" s="11">
        <f t="shared" si="15"/>
        <v>141329.43</v>
      </c>
      <c r="H53" s="11">
        <f t="shared" si="15"/>
        <v>1068395.396</v>
      </c>
      <c r="I53" s="11">
        <f t="shared" si="15"/>
        <v>204306.80399999997</v>
      </c>
      <c r="J53" s="11">
        <f t="shared" si="15"/>
        <v>2735793.5559999994</v>
      </c>
    </row>
    <row r="55" spans="1:10" ht="12.75">
      <c r="A55"/>
      <c r="D55" s="9"/>
      <c r="E55" s="9"/>
      <c r="F55" s="9"/>
      <c r="G55" s="9"/>
      <c r="H55" s="9"/>
      <c r="I55" s="9"/>
      <c r="J55" s="9"/>
    </row>
    <row r="57" spans="1:10" ht="12.75">
      <c r="A57" s="1" t="s">
        <v>43</v>
      </c>
      <c r="D57" s="34">
        <v>37956</v>
      </c>
      <c r="E57" s="34">
        <v>37987</v>
      </c>
      <c r="F57" s="34">
        <v>38018</v>
      </c>
      <c r="G57" s="34">
        <v>38047</v>
      </c>
      <c r="H57" s="34">
        <v>38078</v>
      </c>
      <c r="I57" s="34">
        <v>38108</v>
      </c>
      <c r="J57" s="34">
        <v>38139</v>
      </c>
    </row>
    <row r="58" spans="1:10" ht="12.75">
      <c r="A58" t="s">
        <v>44</v>
      </c>
      <c r="B58" s="2" t="s">
        <v>45</v>
      </c>
      <c r="D58" s="10">
        <v>117874</v>
      </c>
      <c r="E58" s="10">
        <v>118080</v>
      </c>
      <c r="F58" s="10">
        <v>118182</v>
      </c>
      <c r="G58" s="10">
        <v>118187</v>
      </c>
      <c r="H58" s="10">
        <v>118186</v>
      </c>
      <c r="I58" s="10">
        <v>118175</v>
      </c>
      <c r="J58" s="10">
        <v>118209</v>
      </c>
    </row>
    <row r="59" spans="1:10" ht="12.75">
      <c r="A59"/>
      <c r="B59" s="2" t="s">
        <v>46</v>
      </c>
      <c r="D59" s="10">
        <v>10668</v>
      </c>
      <c r="E59" s="10">
        <v>10647</v>
      </c>
      <c r="F59" s="10">
        <v>10737</v>
      </c>
      <c r="G59" s="10">
        <v>10714</v>
      </c>
      <c r="H59" s="10">
        <v>10698</v>
      </c>
      <c r="I59" s="10">
        <v>10735</v>
      </c>
      <c r="J59" s="10">
        <v>10742</v>
      </c>
    </row>
    <row r="60" spans="1:10" ht="12.75">
      <c r="A60"/>
      <c r="B60" s="2" t="s">
        <v>47</v>
      </c>
      <c r="D60" s="10">
        <v>94</v>
      </c>
      <c r="E60" s="10">
        <v>93</v>
      </c>
      <c r="F60" s="10">
        <v>92</v>
      </c>
      <c r="G60" s="10">
        <v>92</v>
      </c>
      <c r="H60" s="10">
        <v>92</v>
      </c>
      <c r="I60" s="10">
        <v>93</v>
      </c>
      <c r="J60" s="10">
        <v>90</v>
      </c>
    </row>
    <row r="61" spans="1:10" ht="12.75">
      <c r="A61"/>
      <c r="B61" s="2" t="s">
        <v>48</v>
      </c>
      <c r="D61" s="10"/>
      <c r="E61" s="10">
        <v>20</v>
      </c>
      <c r="F61" s="10">
        <v>20</v>
      </c>
      <c r="G61" s="10">
        <v>20</v>
      </c>
      <c r="H61" s="10">
        <v>20</v>
      </c>
      <c r="I61" s="10">
        <v>20</v>
      </c>
      <c r="J61" s="10">
        <v>20</v>
      </c>
    </row>
    <row r="62" spans="1:10" ht="12.75">
      <c r="A62" s="2" t="s">
        <v>49</v>
      </c>
      <c r="D62" s="37">
        <f aca="true" t="shared" si="16" ref="D62:J62">SUM(D58:D61)</f>
        <v>128636</v>
      </c>
      <c r="E62" s="37">
        <f t="shared" si="16"/>
        <v>128840</v>
      </c>
      <c r="F62" s="37">
        <f t="shared" si="16"/>
        <v>129031</v>
      </c>
      <c r="G62" s="37">
        <f t="shared" si="16"/>
        <v>129013</v>
      </c>
      <c r="H62" s="37">
        <f t="shared" si="16"/>
        <v>128996</v>
      </c>
      <c r="I62" s="37">
        <f t="shared" si="16"/>
        <v>129023</v>
      </c>
      <c r="J62" s="37">
        <f t="shared" si="16"/>
        <v>129061</v>
      </c>
    </row>
  </sheetData>
  <printOptions horizontalCentered="1" verticalCentered="1"/>
  <pageMargins left="0.25" right="0.25" top="0.5" bottom="0.5" header="0.5" footer="0.5"/>
  <pageSetup horizontalDpi="600" verticalDpi="600" orientation="landscape" scale="65" r:id="rId1"/>
  <headerFooter alignWithMargins="0">
    <oddFooter>&amp;Cfile: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cp:lastPrinted>2009-03-29T20:34:43Z</cp:lastPrinted>
  <dcterms:created xsi:type="dcterms:W3CDTF">2009-03-03T21:28:26Z</dcterms:created>
  <dcterms:modified xsi:type="dcterms:W3CDTF">2009-03-29T20:34:46Z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