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0970" windowHeight="6300" activeTab="1"/>
  </bookViews>
  <sheets>
    <sheet name="Chart" sheetId="1" r:id="rId1"/>
    <sheet name="Upgrade" sheetId="2" r:id="rId2"/>
    <sheet name="Downgrade" sheetId="3" r:id="rId3"/>
    <sheet name="Hill Analysis" sheetId="4" r:id="rId4"/>
    <sheet name="Using 40% Equity" sheetId="5" r:id="rId5"/>
  </sheets>
  <externalReferences>
    <externalReference r:id="rId8"/>
  </externalReferences>
  <definedNames>
    <definedName name="_xlnm.Print_Area" localSheetId="0">'Chart'!$A$1:$E$52</definedName>
    <definedName name="_xlnm.Print_Area" localSheetId="2">'Downgrade'!$A$1:$O$34</definedName>
    <definedName name="_xlnm.Print_Area" localSheetId="3">'Hill Analysis'!$A$1:$E$33</definedName>
    <definedName name="_xlnm.Print_Area" localSheetId="1">'Upgrade'!$A$1:$O$39</definedName>
    <definedName name="_xlnm.Print_Area" localSheetId="4">'Using 40% Equity'!$A$1:$E$34</definedName>
  </definedNames>
  <calcPr fullCalcOnLoad="1"/>
</workbook>
</file>

<file path=xl/comments2.xml><?xml version="1.0" encoding="utf-8"?>
<comments xmlns="http://schemas.openxmlformats.org/spreadsheetml/2006/main">
  <authors>
    <author>erice</author>
  </authors>
  <commentList>
    <comment ref="F8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Estimates from our CP dealers
</t>
        </r>
      </text>
    </comment>
    <comment ref="N8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Estimates from our CP dealers
</t>
        </r>
      </text>
    </comment>
    <comment ref="F10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.20% now BBB secured
.15% if A- secured rating
</t>
        </r>
      </text>
    </comment>
    <comment ref="J10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.20% now BBB secured
.15% if A- secured rating
</t>
        </r>
      </text>
    </comment>
    <comment ref="N10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.20% now BBB secured
.15% if A- secured rating
</t>
        </r>
      </text>
    </comment>
    <comment ref="F13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.25% now BBB- corp cr rating
.15% if BBB+ corp credit rating
</t>
        </r>
      </text>
    </comment>
    <comment ref="J13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.25% now BBB- corp cr rating
.15% if BBB+ corp credit rating
</t>
        </r>
      </text>
    </comment>
    <comment ref="N13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.25% now BBB- corp cr rating
.15% if BBB+ corp credit rating
</t>
        </r>
      </text>
    </comment>
    <comment ref="F14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.35% now BBB secured
.30% if A- secured rating
</t>
        </r>
      </text>
    </comment>
    <comment ref="J14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.35% now BBB secured
.30% if A- secured rating
</t>
        </r>
      </text>
    </comment>
    <comment ref="N14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.35% now BBB secured
.30% if A- secured rating
</t>
        </r>
      </text>
    </comment>
    <comment ref="F15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1.375% now BBB- corp cr rating
1.125% if BBB+ corp credit rating
</t>
        </r>
      </text>
    </comment>
    <comment ref="J15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1.375% now BBB- corp cr rating
1.125% if BBB+ corp credit rating
</t>
        </r>
      </text>
    </comment>
    <comment ref="N15" authorId="0">
      <text>
        <r>
          <rPr>
            <b/>
            <sz val="8"/>
            <rFont val="Tahoma"/>
            <family val="0"/>
          </rPr>
          <t>erice:</t>
        </r>
        <r>
          <rPr>
            <sz val="8"/>
            <rFont val="Tahoma"/>
            <family val="0"/>
          </rPr>
          <t xml:space="preserve">
1.375% now BBB- corp cr rating
1.125% if BBB+ corp credit rating
</t>
        </r>
      </text>
    </comment>
  </commentList>
</comments>
</file>

<file path=xl/sharedStrings.xml><?xml version="1.0" encoding="utf-8"?>
<sst xmlns="http://schemas.openxmlformats.org/spreadsheetml/2006/main" count="180" uniqueCount="82">
  <si>
    <t>STD Costs</t>
  </si>
  <si>
    <t>Commercial Paper Interest Rate</t>
  </si>
  <si>
    <t>Rate Reduction</t>
  </si>
  <si>
    <t>Savings</t>
  </si>
  <si>
    <t>$150 AR Securitization Commitment Fee</t>
  </si>
  <si>
    <t>LTD Costs</t>
  </si>
  <si>
    <t>$250mm Planned Issuance</t>
  </si>
  <si>
    <t>$50mm Planned Issuance</t>
  </si>
  <si>
    <t>Rate Increase</t>
  </si>
  <si>
    <t>Cost</t>
  </si>
  <si>
    <t>Bank Lines Interest Rate</t>
  </si>
  <si>
    <t>Total Benefits/ (Costs)</t>
  </si>
  <si>
    <t>Impact on Cost of Equity</t>
  </si>
  <si>
    <t>?????</t>
  </si>
  <si>
    <t>Upgrade-Low End</t>
  </si>
  <si>
    <t>Upgrade-High End</t>
  </si>
  <si>
    <t>Upgrade-MidPoint</t>
  </si>
  <si>
    <t>Downgrade- Low End</t>
  </si>
  <si>
    <t>Downgrade - Mid Point</t>
  </si>
  <si>
    <t>Downgrade - High End</t>
  </si>
  <si>
    <t>Estimated Lower Costs of Capital</t>
  </si>
  <si>
    <t>Estimated Benefits of Hedging</t>
  </si>
  <si>
    <t>Financial Flexibility - Avoided Downgrade Cost</t>
  </si>
  <si>
    <t>Estimated Increased STD Costs</t>
  </si>
  <si>
    <t>Estimated Increased LTD Costs</t>
  </si>
  <si>
    <t>Estimated increased Cost of Hedging</t>
  </si>
  <si>
    <t>Estimated Higher Costs of Capital</t>
  </si>
  <si>
    <t>Estimated Costs of a Downgrade</t>
  </si>
  <si>
    <t>A/R Securtization Program Fee</t>
  </si>
  <si>
    <t>Bank Facility Interest Rate</t>
  </si>
  <si>
    <t>$350 Bank Facility Commitment Fee</t>
  </si>
  <si>
    <t xml:space="preserve"> Letter of Credit Costs</t>
  </si>
  <si>
    <t>Estimated STD Savings</t>
  </si>
  <si>
    <t>Estimated LTD Savings</t>
  </si>
  <si>
    <t>Low</t>
  </si>
  <si>
    <t>High</t>
  </si>
  <si>
    <t>Mid-Point</t>
  </si>
  <si>
    <t>Financial Flexibility</t>
  </si>
  <si>
    <t>CUSTOMER BENEFITS</t>
  </si>
  <si>
    <t>Hedging Benefits</t>
  </si>
  <si>
    <t>Lower Debt Costs</t>
  </si>
  <si>
    <t>Total Customer Benefit</t>
  </si>
  <si>
    <t>Cost to Customers</t>
  </si>
  <si>
    <t>Average Balance      $ in mm's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</si>
  <si>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</si>
  <si>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</si>
  <si>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</si>
  <si>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</si>
  <si>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</si>
  <si>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</si>
  <si>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</si>
  <si>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</si>
  <si>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</si>
  <si>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</si>
  <si>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</si>
  <si>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</si>
  <si>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</si>
  <si>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???????</t>
  </si>
  <si>
    <t>PSE Requested Capital Structure</t>
  </si>
  <si>
    <t>Pre-tax</t>
  </si>
  <si>
    <t>Weighted</t>
  </si>
  <si>
    <t>Description</t>
  </si>
  <si>
    <t>Ratio</t>
  </si>
  <si>
    <t>Rate</t>
  </si>
  <si>
    <t>Short-term Debt</t>
  </si>
  <si>
    <t>Long-term Debt</t>
  </si>
  <si>
    <t>Trust Preferred</t>
  </si>
  <si>
    <t>Common Stock</t>
  </si>
  <si>
    <t>Total</t>
  </si>
  <si>
    <t>Short-term Debt (a)</t>
  </si>
  <si>
    <t>Preferred Stock</t>
  </si>
  <si>
    <t>Difference</t>
  </si>
  <si>
    <t>Rate Base</t>
  </si>
  <si>
    <t>Cost to Customers (in millions)</t>
  </si>
  <si>
    <t>(a) Adjusted to make ratios add to 100%.</t>
  </si>
  <si>
    <t>Hill's Estimated Revenue Requirement</t>
  </si>
  <si>
    <t>BENEFITS OF UPGRADE</t>
  </si>
  <si>
    <t>IMPACT OF DOWNGRADE</t>
  </si>
  <si>
    <t>Avg Capital Structure From Exhibit No. ___(SGH-7) at 1
and Requested Cost Rates
(Equity adjusted to 40%)</t>
  </si>
  <si>
    <t>(Equity adjusted to 40%)</t>
  </si>
  <si>
    <t>Rounded Average Balance      $ in mm's</t>
  </si>
  <si>
    <t>Avg Capital Structure From Exhibit ___ (SGH-7),
page 1 &amp; Requested Cost Rates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</si>
</sst>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0_);\(&quot;$&quot;#,##0.000\)"/>
    <numFmt numFmtId="166" formatCode="&quot;$&quot;#,##0.0_);\(&quot;$&quot;#,##0.0\)"/>
    <numFmt numFmtId="167" formatCode="0.0%"/>
  </numFmts>
  <fonts count="19">
    <font>
      <sz val="8"/>
      <name val="Arial"/>
      <family val="0"/>
    </font>
    <font>
      <u val="single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5"/>
      <name val="Arial"/>
      <family val="2"/>
    </font>
    <font>
      <b/>
      <sz val="11.25"/>
      <name val="Arial"/>
      <family val="2"/>
    </font>
    <font>
      <b/>
      <sz val="10.5"/>
      <name val="Arial"/>
      <family val="0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19" applyFont="1">
      <alignment/>
      <protection/>
    </xf>
    <xf numFmtId="10" fontId="6" fillId="0" borderId="0" xfId="20" applyNumberFormat="1" applyFont="1" applyBorder="1" applyAlignment="1">
      <alignment horizontal="center"/>
    </xf>
    <xf numFmtId="0" fontId="6" fillId="0" borderId="0" xfId="19" applyFont="1" applyAlignment="1">
      <alignment horizontal="center"/>
      <protection/>
    </xf>
    <xf numFmtId="10" fontId="8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/>
    </xf>
    <xf numFmtId="10" fontId="7" fillId="0" borderId="0" xfId="20" applyNumberFormat="1" applyFont="1" applyBorder="1" applyAlignment="1">
      <alignment horizontal="right"/>
    </xf>
    <xf numFmtId="10" fontId="7" fillId="0" borderId="0" xfId="19" applyNumberFormat="1" applyFont="1">
      <alignment/>
      <protection/>
    </xf>
    <xf numFmtId="10" fontId="9" fillId="0" borderId="0" xfId="20" applyNumberFormat="1" applyFont="1" applyBorder="1" applyAlignment="1">
      <alignment horizontal="right"/>
    </xf>
    <xf numFmtId="10" fontId="9" fillId="0" borderId="0" xfId="19" applyNumberFormat="1" applyFont="1">
      <alignment/>
      <protection/>
    </xf>
    <xf numFmtId="10" fontId="6" fillId="0" borderId="0" xfId="20" applyNumberFormat="1" applyFont="1" applyBorder="1" applyAlignment="1">
      <alignment horizontal="right"/>
    </xf>
    <xf numFmtId="10" fontId="6" fillId="0" borderId="0" xfId="20" applyNumberFormat="1" applyFont="1" applyAlignment="1">
      <alignment/>
    </xf>
    <xf numFmtId="5" fontId="9" fillId="0" borderId="0" xfId="19" applyNumberFormat="1" applyFont="1">
      <alignment/>
      <protection/>
    </xf>
    <xf numFmtId="0" fontId="6" fillId="0" borderId="0" xfId="19" applyFont="1">
      <alignment/>
      <protection/>
    </xf>
    <xf numFmtId="166" fontId="6" fillId="0" borderId="0" xfId="19" applyNumberFormat="1" applyFont="1">
      <alignment/>
      <protection/>
    </xf>
    <xf numFmtId="10" fontId="10" fillId="0" borderId="0" xfId="2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65" fontId="12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5" fontId="12" fillId="0" borderId="0" xfId="0" applyNumberFormat="1" applyFont="1" applyAlignment="1">
      <alignment/>
    </xf>
    <xf numFmtId="0" fontId="4" fillId="2" borderId="2" xfId="0" applyFont="1" applyFill="1" applyBorder="1" applyAlignment="1">
      <alignment/>
    </xf>
    <xf numFmtId="10" fontId="6" fillId="0" borderId="0" xfId="2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11" xfId="0" applyNumberFormat="1" applyFill="1" applyBorder="1" applyAlignment="1">
      <alignment horizontal="right"/>
    </xf>
    <xf numFmtId="37" fontId="4" fillId="0" borderId="11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8" xfId="0" applyFont="1" applyBorder="1" applyAlignment="1">
      <alignment/>
    </xf>
    <xf numFmtId="37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37" fontId="0" fillId="0" borderId="16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 horizontal="center"/>
    </xf>
    <xf numFmtId="37" fontId="0" fillId="0" borderId="1" xfId="0" applyNumberFormat="1" applyFill="1" applyBorder="1" applyAlignment="1">
      <alignment/>
    </xf>
    <xf numFmtId="37" fontId="0" fillId="0" borderId="1" xfId="0" applyNumberFormat="1" applyFill="1" applyBorder="1" applyAlignment="1">
      <alignment horizontal="right"/>
    </xf>
    <xf numFmtId="37" fontId="4" fillId="0" borderId="1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0" fillId="0" borderId="18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5" fillId="0" borderId="0" xfId="0" applyFont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7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10" fontId="8" fillId="0" borderId="0" xfId="2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0" fontId="6" fillId="0" borderId="0" xfId="2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ill Analysis - Draf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&amp; Benefit of Improved Credit Rating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(Dollars in Millions)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'[1]Chart'!$A$27</c:f>
              <c:strCache>
                <c:ptCount val="1"/>
                <c:pt idx="0">
                  <c:v>Hedging Benefits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'[1]Chart'!$B$25:$D$25</c:f>
              <c:strCache>
                <c:ptCount val="3"/>
                <c:pt idx="0">
                  <c:v>Low</c:v>
                </c:pt>
                <c:pt idx="1">
                  <c:v>Mid-Point</c:v>
                </c:pt>
                <c:pt idx="2">
                  <c:v>High</c:v>
                </c:pt>
              </c:strCache>
            </c:strRef>
          </c:cat>
          <c:val>
            <c:numRef>
              <c:f>'[1]Chart'!$B$27:$D$27</c:f>
              <c:numCache>
                <c:ptCount val="3"/>
                <c:pt idx="0">
                  <c:v>21.9</c:v>
                </c:pt>
                <c:pt idx="1">
                  <c:v>59</c:v>
                </c:pt>
                <c:pt idx="2">
                  <c:v>115.3</c:v>
                </c:pt>
              </c:numCache>
            </c:numRef>
          </c:val>
        </c:ser>
        <c:ser>
          <c:idx val="0"/>
          <c:order val="1"/>
          <c:tx>
            <c:strRef>
              <c:f>'[1]Chart'!$A$26</c:f>
              <c:strCache>
                <c:ptCount val="1"/>
                <c:pt idx="0">
                  <c:v>Lower Debt Costs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'[1]Chart'!$B$25:$D$25</c:f>
              <c:strCache>
                <c:ptCount val="3"/>
                <c:pt idx="0">
                  <c:v>Low</c:v>
                </c:pt>
                <c:pt idx="1">
                  <c:v>Mid-Point</c:v>
                </c:pt>
                <c:pt idx="2">
                  <c:v>High</c:v>
                </c:pt>
              </c:strCache>
            </c:strRef>
          </c:cat>
          <c:val>
            <c:numRef>
              <c:f>'[1]Chart'!$B$26:$D$26</c:f>
              <c:numCache>
                <c:ptCount val="3"/>
                <c:pt idx="0">
                  <c:v>1.0159999999999998</c:v>
                </c:pt>
                <c:pt idx="1">
                  <c:v>1.0503000000000002</c:v>
                </c:pt>
                <c:pt idx="2">
                  <c:v>1.2825000000000004</c:v>
                </c:pt>
              </c:numCache>
            </c:numRef>
          </c:val>
        </c:ser>
        <c:ser>
          <c:idx val="2"/>
          <c:order val="2"/>
          <c:tx>
            <c:strRef>
              <c:f>'[1]Chart'!$A$28</c:f>
              <c:strCache>
                <c:ptCount val="1"/>
                <c:pt idx="0">
                  <c:v>Financial Flexibility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'[1]Chart'!$B$25:$D$25</c:f>
              <c:strCache>
                <c:ptCount val="3"/>
                <c:pt idx="0">
                  <c:v>Low</c:v>
                </c:pt>
                <c:pt idx="1">
                  <c:v>Mid-Point</c:v>
                </c:pt>
                <c:pt idx="2">
                  <c:v>High</c:v>
                </c:pt>
              </c:strCache>
            </c:strRef>
          </c:cat>
          <c:val>
            <c:numRef>
              <c:f>'[1]Chart'!$B$28:$D$28</c:f>
              <c:numCache>
                <c:ptCount val="3"/>
                <c:pt idx="0">
                  <c:v>1.31678</c:v>
                </c:pt>
                <c:pt idx="1">
                  <c:v>1.47308</c:v>
                </c:pt>
                <c:pt idx="2">
                  <c:v>1.63778</c:v>
                </c:pt>
              </c:numCache>
            </c:numRef>
          </c:val>
        </c:ser>
        <c:overlap val="100"/>
        <c:gapWidth val="100"/>
        <c:axId val="45109661"/>
        <c:axId val="3333766"/>
      </c:barChart>
      <c:lineChart>
        <c:grouping val="standard"/>
        <c:varyColors val="0"/>
        <c:ser>
          <c:idx val="3"/>
          <c:order val="3"/>
          <c:tx>
            <c:strRef>
              <c:f>'[1]Chart'!$A$31</c:f>
              <c:strCache>
                <c:ptCount val="1"/>
                <c:pt idx="0">
                  <c:v>Cost to Customers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'[1]Chart'!$B$25:$D$25</c:f>
              <c:strCache>
                <c:ptCount val="3"/>
                <c:pt idx="0">
                  <c:v>Low</c:v>
                </c:pt>
                <c:pt idx="1">
                  <c:v>Mid-Point</c:v>
                </c:pt>
                <c:pt idx="2">
                  <c:v>High</c:v>
                </c:pt>
              </c:strCache>
            </c:strRef>
          </c:cat>
          <c:val>
            <c:numRef>
              <c:f>'[1]Chart'!$B$31:$D$31</c:f>
              <c:numCache>
                <c:ptCount val="3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</c:numCache>
            </c:numRef>
          </c:val>
          <c:smooth val="0"/>
        </c:ser>
        <c:axId val="45109661"/>
        <c:axId val="3333766"/>
      </c:lineChart>
      <c:catAx>
        <c:axId val="4510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Customer Benefits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</c:scaling>
        <c:axPos val="l"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09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0.647</cdr:x>
      <cdr:y>0.62325</cdr:y>
    </cdr:from>
    <cdr:to>
      <cdr:x>0.716</cdr:x>
      <cdr:y>0.6575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364807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885825</xdr:colOff>
      <xdr:row>41</xdr:row>
      <xdr:rowOff>19050</xdr:rowOff>
    </xdr:to>
    <xdr:graphicFrame>
      <xdr:nvGraphicFramePr>
        <xdr:cNvPr id="1" name="Chart 2"/>
        <xdr:cNvGraphicFramePr/>
      </xdr:nvGraphicFramePr>
      <xdr:xfrm>
        <a:off x="19050" y="19050"/>
        <a:ext cx="49720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mj\Local%20Settings\Temporary%20Internet%20Files\OLK3\DEG-15%20-%20Cost-Benefit%20of%20Improved%20Cre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Upgrade"/>
      <sheetName val="Downgrade"/>
      <sheetName val="Hill Analysis"/>
      <sheetName val="Using 40% Equity"/>
    </sheetNames>
    <sheetDataSet>
      <sheetData sheetId="0">
        <row r="25">
          <cell r="B25" t="str">
            <v>Low</v>
          </cell>
          <cell r="C25" t="str">
            <v>Mid-Point</v>
          </cell>
          <cell r="D25" t="str">
            <v>High</v>
          </cell>
        </row>
        <row r="26">
          <cell r="A26" t="str">
            <v>Lower Debt Costs</v>
          </cell>
          <cell r="B26">
            <v>1.0159999999999998</v>
          </cell>
          <cell r="C26">
            <v>1.0503000000000002</v>
          </cell>
          <cell r="D26">
            <v>1.2825000000000004</v>
          </cell>
        </row>
        <row r="27">
          <cell r="A27" t="str">
            <v>Hedging Benefits</v>
          </cell>
          <cell r="B27">
            <v>21.9</v>
          </cell>
          <cell r="C27">
            <v>59</v>
          </cell>
          <cell r="D27">
            <v>115.3</v>
          </cell>
        </row>
        <row r="28">
          <cell r="A28" t="str">
            <v>Financial Flexibility</v>
          </cell>
          <cell r="B28">
            <v>1.31678</v>
          </cell>
          <cell r="C28">
            <v>1.47308</v>
          </cell>
          <cell r="D28">
            <v>1.63778</v>
          </cell>
        </row>
        <row r="31">
          <cell r="A31" t="str">
            <v>Cost to Customers</v>
          </cell>
          <cell r="B31">
            <v>15.5</v>
          </cell>
          <cell r="C31">
            <v>15.5</v>
          </cell>
          <cell r="D31">
            <v>15.5</v>
          </cell>
        </row>
      </sheetData>
      <sheetData sheetId="2">
        <row r="33">
          <cell r="G33">
            <v>-13167800</v>
          </cell>
          <cell r="K33">
            <v>-14730800</v>
          </cell>
          <cell r="O33">
            <v>-16377800</v>
          </cell>
        </row>
      </sheetData>
      <sheetData sheetId="4">
        <row r="28">
          <cell r="E28">
            <v>15.5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4:E52"/>
  <sheetViews>
    <sheetView workbookViewId="0" topLeftCell="A28">
      <selection activeCell="J52" sqref="J52"/>
    </sheetView>
  </sheetViews>
  <sheetFormatPr defaultColWidth="9.33203125" defaultRowHeight="11.25"/>
  <cols>
    <col min="1" max="1" width="6.83203125" style="0" customWidth="1"/>
    <col min="2" max="2" width="33.33203125" style="0" customWidth="1"/>
    <col min="3" max="5" width="15.83203125" style="0" customWidth="1"/>
    <col min="6" max="6" width="6.83203125" style="0" customWidth="1"/>
  </cols>
  <sheetData>
    <row r="44" spans="2:5" ht="19.5">
      <c r="B44" s="88" t="s">
        <v>38</v>
      </c>
      <c r="C44" s="88"/>
      <c r="D44" s="88"/>
      <c r="E44" s="88"/>
    </row>
    <row r="45" spans="2:5" ht="15.75">
      <c r="B45" s="28"/>
      <c r="C45" s="29"/>
      <c r="D45" s="29"/>
      <c r="E45" s="29"/>
    </row>
    <row r="46" spans="2:5" ht="15.75">
      <c r="B46" s="29"/>
      <c r="C46" s="30" t="s">
        <v>34</v>
      </c>
      <c r="D46" s="30" t="s">
        <v>36</v>
      </c>
      <c r="E46" s="30" t="s">
        <v>35</v>
      </c>
    </row>
    <row r="47" spans="2:5" ht="15">
      <c r="B47" s="29" t="s">
        <v>40</v>
      </c>
      <c r="C47" s="31">
        <f>Upgrade!G28/1000000</f>
        <v>1.0159999999999998</v>
      </c>
      <c r="D47" s="31">
        <f>Upgrade!K28/1000000</f>
        <v>1.0503000000000002</v>
      </c>
      <c r="E47" s="31">
        <f>Upgrade!O28/1000000</f>
        <v>1.2825000000000004</v>
      </c>
    </row>
    <row r="48" spans="2:5" ht="15">
      <c r="B48" s="29" t="s">
        <v>39</v>
      </c>
      <c r="C48" s="31">
        <f>Upgrade!G30/1000000</f>
        <v>21.9</v>
      </c>
      <c r="D48" s="31">
        <f>Upgrade!K30/1000000</f>
        <v>59</v>
      </c>
      <c r="E48" s="31">
        <f>Upgrade!O30/1000000</f>
        <v>115.3</v>
      </c>
    </row>
    <row r="49" spans="2:5" ht="15">
      <c r="B49" s="29" t="s">
        <v>37</v>
      </c>
      <c r="C49" s="32">
        <f>Upgrade!G33/1000000</f>
        <v>1.31678</v>
      </c>
      <c r="D49" s="32">
        <f>Upgrade!K33/1000000</f>
        <v>1.47308</v>
      </c>
      <c r="E49" s="32">
        <f>Upgrade!O33/1000000</f>
        <v>1.63778</v>
      </c>
    </row>
    <row r="50" spans="2:5" ht="15">
      <c r="B50" s="29" t="s">
        <v>41</v>
      </c>
      <c r="C50" s="31">
        <f>SUM(C47:C49)</f>
        <v>24.232779999999998</v>
      </c>
      <c r="D50" s="31">
        <f>SUM(D47:D49)</f>
        <v>61.52338</v>
      </c>
      <c r="E50" s="31">
        <f>SUM(E47:E49)</f>
        <v>118.22028</v>
      </c>
    </row>
    <row r="51" spans="2:5" ht="15">
      <c r="B51" s="29"/>
      <c r="C51" s="33"/>
      <c r="D51" s="33"/>
      <c r="E51" s="33"/>
    </row>
    <row r="52" spans="2:5" ht="15">
      <c r="B52" s="29" t="s">
        <v>42</v>
      </c>
      <c r="C52" s="31">
        <f>'Using 40% Equity'!E31</f>
        <v>15.5</v>
      </c>
      <c r="D52" s="31">
        <f>C52</f>
        <v>15.5</v>
      </c>
      <c r="E52" s="31">
        <f>C52</f>
        <v>15.5</v>
      </c>
    </row>
  </sheetData>
  <mergeCells count="1">
    <mergeCell ref="B44:E44"/>
  </mergeCells>
  <printOptions horizontalCentered="1" verticalCentered="1"/>
  <pageMargins left="0.75" right="0.75" top="1" bottom="1" header="0.5" footer="0.5"/>
  <pageSetup horizontalDpi="600" verticalDpi="600" orientation="portrait" r:id="rId2"/>
  <headerFooter alignWithMargins="0">
    <oddHeader>&amp;L&amp;10Sixth Exhibit to the 
Prefiled Rebuttal Testimony of
Donald E. Gaines&amp;R&amp;10Exhibit No. ___(DEG-15)
Page 1 of 5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workbookViewId="0" topLeftCell="A1">
      <selection activeCell="D1" sqref="D1:O1"/>
    </sheetView>
  </sheetViews>
  <sheetFormatPr defaultColWidth="9.33203125" defaultRowHeight="11.25"/>
  <cols>
    <col min="1" max="1" width="4.83203125" style="0" customWidth="1"/>
    <col min="2" max="2" width="2.83203125" style="0" customWidth="1"/>
    <col min="3" max="3" width="41.33203125" style="0" customWidth="1"/>
    <col min="4" max="14" width="10.5" style="0" customWidth="1"/>
    <col min="15" max="15" width="11.83203125" style="0" customWidth="1"/>
    <col min="16" max="18" width="0" style="0" hidden="1" customWidth="1"/>
  </cols>
  <sheetData>
    <row r="1" spans="1:15" ht="27.75" customHeight="1">
      <c r="A1" s="10"/>
      <c r="D1" s="88" t="s">
        <v>76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11.25">
      <c r="A2" s="10"/>
    </row>
    <row r="3" spans="1:15" ht="12" thickBot="1">
      <c r="A3" s="10"/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</row>
    <row r="4" spans="4:15" ht="11.25">
      <c r="D4" s="89" t="s">
        <v>14</v>
      </c>
      <c r="E4" s="90"/>
      <c r="F4" s="90"/>
      <c r="G4" s="91"/>
      <c r="H4" s="92" t="s">
        <v>16</v>
      </c>
      <c r="I4" s="90"/>
      <c r="J4" s="90"/>
      <c r="K4" s="91"/>
      <c r="L4" s="92" t="s">
        <v>15</v>
      </c>
      <c r="M4" s="90"/>
      <c r="N4" s="90"/>
      <c r="O4" s="93"/>
    </row>
    <row r="5" spans="4:15" ht="24.75" customHeight="1">
      <c r="D5" s="98" t="s">
        <v>43</v>
      </c>
      <c r="E5" s="96" t="s">
        <v>80</v>
      </c>
      <c r="F5" s="96" t="s">
        <v>2</v>
      </c>
      <c r="G5" s="34"/>
      <c r="H5" s="94" t="s">
        <v>43</v>
      </c>
      <c r="I5" s="96" t="s">
        <v>80</v>
      </c>
      <c r="J5" s="96" t="s">
        <v>2</v>
      </c>
      <c r="K5" s="34"/>
      <c r="L5" s="94" t="s">
        <v>43</v>
      </c>
      <c r="M5" s="96" t="s">
        <v>80</v>
      </c>
      <c r="N5" s="96" t="s">
        <v>2</v>
      </c>
      <c r="O5" s="39"/>
    </row>
    <row r="6" spans="4:15" ht="31.5" customHeight="1" thickBot="1">
      <c r="D6" s="99"/>
      <c r="E6" s="97"/>
      <c r="F6" s="97"/>
      <c r="G6" s="40" t="s">
        <v>3</v>
      </c>
      <c r="H6" s="95"/>
      <c r="I6" s="97"/>
      <c r="J6" s="97"/>
      <c r="K6" s="40" t="s">
        <v>3</v>
      </c>
      <c r="L6" s="95"/>
      <c r="M6" s="97"/>
      <c r="N6" s="97"/>
      <c r="O6" s="41" t="s">
        <v>3</v>
      </c>
    </row>
    <row r="7" spans="1:15" ht="11.25">
      <c r="A7">
        <v>1</v>
      </c>
      <c r="B7" s="42" t="s">
        <v>0</v>
      </c>
      <c r="C7" s="43"/>
      <c r="D7" s="54"/>
      <c r="E7" s="55"/>
      <c r="F7" s="55"/>
      <c r="G7" s="56"/>
      <c r="H7" s="54"/>
      <c r="I7" s="55"/>
      <c r="J7" s="55"/>
      <c r="K7" s="56"/>
      <c r="L7" s="54"/>
      <c r="M7" s="55"/>
      <c r="N7" s="55"/>
      <c r="O7" s="56"/>
    </row>
    <row r="8" spans="1:17" ht="11.25">
      <c r="A8">
        <f>+A7+1</f>
        <v>2</v>
      </c>
      <c r="B8" s="44"/>
      <c r="C8" s="45" t="s">
        <v>1</v>
      </c>
      <c r="D8" s="57">
        <v>54996.719</v>
      </c>
      <c r="E8" s="4">
        <f>ROUND(D8,-3)</f>
        <v>55000</v>
      </c>
      <c r="F8" s="6">
        <v>0.0008</v>
      </c>
      <c r="G8" s="58">
        <f>ROUND(+F8*E8*1000,-2)</f>
        <v>44000</v>
      </c>
      <c r="H8" s="57">
        <v>54996.719</v>
      </c>
      <c r="I8" s="4">
        <f>ROUND(H8,-3)</f>
        <v>55000</v>
      </c>
      <c r="J8" s="6">
        <f>(+F8+N8)/2</f>
        <v>0.00115</v>
      </c>
      <c r="K8" s="58">
        <f>ROUND(+J8*I8*1000,-2)</f>
        <v>63300</v>
      </c>
      <c r="L8" s="57">
        <v>54996.719</v>
      </c>
      <c r="M8" s="4">
        <f>ROUND(L8,-3)</f>
        <v>55000</v>
      </c>
      <c r="N8" s="6">
        <v>0.0015</v>
      </c>
      <c r="O8" s="58">
        <f>ROUND(+N8*M8*1000,-2)</f>
        <v>82500</v>
      </c>
      <c r="Q8" s="1">
        <v>0</v>
      </c>
    </row>
    <row r="9" spans="1:17" ht="11.25">
      <c r="A9">
        <f aca="true" t="shared" si="0" ref="A9:A39">+A8+1</f>
        <v>3</v>
      </c>
      <c r="B9" s="44"/>
      <c r="C9" s="45" t="s">
        <v>10</v>
      </c>
      <c r="D9" s="57">
        <v>0</v>
      </c>
      <c r="E9" s="4">
        <f>ROUND(D9,-3)</f>
        <v>0</v>
      </c>
      <c r="F9" s="6">
        <v>0</v>
      </c>
      <c r="G9" s="58">
        <f>ROUND(+F9*E9*1000,-3)</f>
        <v>0</v>
      </c>
      <c r="H9" s="57">
        <v>0</v>
      </c>
      <c r="I9" s="4">
        <f>ROUND(H9,-3)</f>
        <v>0</v>
      </c>
      <c r="J9" s="6">
        <v>0</v>
      </c>
      <c r="K9" s="58">
        <f>ROUND(+J9*I9*1000,-2)</f>
        <v>0</v>
      </c>
      <c r="L9" s="57">
        <v>0</v>
      </c>
      <c r="M9" s="4">
        <f>ROUND(L9,-3)</f>
        <v>0</v>
      </c>
      <c r="N9" s="6">
        <v>0</v>
      </c>
      <c r="O9" s="58">
        <f>ROUND(+N9*M9*1000,-2)</f>
        <v>0</v>
      </c>
      <c r="Q9" s="1">
        <v>24607</v>
      </c>
    </row>
    <row r="10" spans="1:17" ht="11.25">
      <c r="A10">
        <f t="shared" si="0"/>
        <v>4</v>
      </c>
      <c r="B10" s="44"/>
      <c r="C10" s="45" t="s">
        <v>28</v>
      </c>
      <c r="D10" s="59">
        <v>82807.067</v>
      </c>
      <c r="E10" s="5">
        <f>ROUND(D10,-3)</f>
        <v>83000</v>
      </c>
      <c r="F10" s="6">
        <v>0.0005</v>
      </c>
      <c r="G10" s="60">
        <f>ROUND(+F10*E10*1000,-2)</f>
        <v>41500</v>
      </c>
      <c r="H10" s="59">
        <v>82807.067</v>
      </c>
      <c r="I10" s="5">
        <f>ROUND(H10,-3)</f>
        <v>83000</v>
      </c>
      <c r="J10" s="6">
        <v>0.0005</v>
      </c>
      <c r="K10" s="74">
        <f>ROUND(+J10*I10*1000,-2)</f>
        <v>41500</v>
      </c>
      <c r="L10" s="59">
        <v>82807.067</v>
      </c>
      <c r="M10" s="5">
        <f>ROUND(L10,-3)</f>
        <v>83000</v>
      </c>
      <c r="N10" s="6">
        <v>0.0005</v>
      </c>
      <c r="O10" s="74">
        <f>ROUND(+N10*M10*1000,-2)</f>
        <v>41500</v>
      </c>
      <c r="Q10" s="2">
        <v>113133</v>
      </c>
    </row>
    <row r="11" spans="1:17" ht="11.25">
      <c r="A11">
        <f t="shared" si="0"/>
        <v>5</v>
      </c>
      <c r="B11" s="44"/>
      <c r="C11" s="45"/>
      <c r="D11" s="57">
        <f>SUM(D8:D10)</f>
        <v>137803.786</v>
      </c>
      <c r="E11" s="4">
        <f>SUM(E8:E10)</f>
        <v>138000</v>
      </c>
      <c r="F11" s="3"/>
      <c r="G11" s="58">
        <f>SUM(G8:G10)</f>
        <v>85500</v>
      </c>
      <c r="H11" s="57">
        <f>SUM(H8:H10)</f>
        <v>137803.786</v>
      </c>
      <c r="I11" s="4">
        <f>SUM(I8:I10)</f>
        <v>138000</v>
      </c>
      <c r="J11" s="3"/>
      <c r="K11" s="58">
        <f>SUM(K8:K10)</f>
        <v>104800</v>
      </c>
      <c r="L11" s="57">
        <f>SUM(L8:L10)</f>
        <v>137803.786</v>
      </c>
      <c r="M11" s="4">
        <f>SUM(M8:M10)</f>
        <v>138000</v>
      </c>
      <c r="N11" s="3"/>
      <c r="O11" s="58">
        <f>SUM(O8:O10)</f>
        <v>124000</v>
      </c>
      <c r="Q11" s="1">
        <f>SUM(Q8:Q10)</f>
        <v>137740</v>
      </c>
    </row>
    <row r="12" spans="1:15" ht="11.25">
      <c r="A12">
        <f t="shared" si="0"/>
        <v>6</v>
      </c>
      <c r="B12" s="44"/>
      <c r="C12" s="45"/>
      <c r="D12" s="61"/>
      <c r="E12" s="3"/>
      <c r="F12" s="3"/>
      <c r="G12" s="62"/>
      <c r="H12" s="61"/>
      <c r="I12" s="3"/>
      <c r="J12" s="3"/>
      <c r="K12" s="62"/>
      <c r="L12" s="61"/>
      <c r="M12" s="3"/>
      <c r="N12" s="3"/>
      <c r="O12" s="62"/>
    </row>
    <row r="13" spans="1:15" ht="11.25">
      <c r="A13">
        <f t="shared" si="0"/>
        <v>7</v>
      </c>
      <c r="B13" s="44"/>
      <c r="C13" s="45" t="s">
        <v>30</v>
      </c>
      <c r="D13" s="57">
        <f>350000-D15</f>
        <v>349501</v>
      </c>
      <c r="E13" s="4">
        <f>ROUND(D13,-3)</f>
        <v>350000</v>
      </c>
      <c r="F13" s="6">
        <v>0.001</v>
      </c>
      <c r="G13" s="58">
        <f>ROUND(+F13*E13*1000,-2)</f>
        <v>350000</v>
      </c>
      <c r="H13" s="57">
        <f>350000-H15</f>
        <v>349501</v>
      </c>
      <c r="I13" s="4">
        <f>ROUND(H13,-3)</f>
        <v>350000</v>
      </c>
      <c r="J13" s="6">
        <v>0.001</v>
      </c>
      <c r="K13" s="58">
        <f>ROUND(+J13*I13*1000,-2)</f>
        <v>350000</v>
      </c>
      <c r="L13" s="57">
        <f>350000-L15</f>
        <v>349501</v>
      </c>
      <c r="M13" s="4">
        <f>ROUND(L13,-3)</f>
        <v>350000</v>
      </c>
      <c r="N13" s="6">
        <v>0.001</v>
      </c>
      <c r="O13" s="58">
        <f>ROUND(+N13*M13*1000,-2)</f>
        <v>350000</v>
      </c>
    </row>
    <row r="14" spans="1:15" ht="11.25">
      <c r="A14">
        <f t="shared" si="0"/>
        <v>8</v>
      </c>
      <c r="B14" s="44"/>
      <c r="C14" s="45" t="s">
        <v>4</v>
      </c>
      <c r="D14" s="57">
        <f>150000*1.02</f>
        <v>153000</v>
      </c>
      <c r="E14" s="4">
        <f>ROUND(D14,-3)</f>
        <v>153000</v>
      </c>
      <c r="F14" s="6">
        <v>0.0005</v>
      </c>
      <c r="G14" s="58">
        <f>ROUND(+F14*E14*1000,-2)</f>
        <v>76500</v>
      </c>
      <c r="H14" s="57">
        <f>150000*1.02</f>
        <v>153000</v>
      </c>
      <c r="I14" s="4">
        <f>ROUND(H14,-3)</f>
        <v>153000</v>
      </c>
      <c r="J14" s="6">
        <v>0.0005</v>
      </c>
      <c r="K14" s="58">
        <f>ROUND(+J14*I14*1000,-2)</f>
        <v>76500</v>
      </c>
      <c r="L14" s="57">
        <f>150000*1.02</f>
        <v>153000</v>
      </c>
      <c r="M14" s="4">
        <f>ROUND(L14,-3)</f>
        <v>153000</v>
      </c>
      <c r="N14" s="6">
        <v>0.0005</v>
      </c>
      <c r="O14" s="58">
        <f>ROUND(+N14*M14*1000,-2)</f>
        <v>76500</v>
      </c>
    </row>
    <row r="15" spans="1:15" ht="11.25">
      <c r="A15">
        <f t="shared" si="0"/>
        <v>9</v>
      </c>
      <c r="B15" s="44"/>
      <c r="C15" s="45" t="s">
        <v>31</v>
      </c>
      <c r="D15" s="57">
        <v>499</v>
      </c>
      <c r="E15" s="4">
        <f>ROUND(D15,-3)</f>
        <v>0</v>
      </c>
      <c r="F15" s="6">
        <v>0.0025</v>
      </c>
      <c r="G15" s="60">
        <f>ROUND(+F15*E15*1000,-2)</f>
        <v>0</v>
      </c>
      <c r="H15" s="57">
        <v>499</v>
      </c>
      <c r="I15" s="4">
        <f>ROUND(H15,-3)</f>
        <v>0</v>
      </c>
      <c r="J15" s="6">
        <v>0.0025</v>
      </c>
      <c r="K15" s="60">
        <f>ROUND(+J15*I15*1000,-2)</f>
        <v>0</v>
      </c>
      <c r="L15" s="57">
        <v>499</v>
      </c>
      <c r="M15" s="4">
        <f>ROUND(L15,-3)</f>
        <v>0</v>
      </c>
      <c r="N15" s="6">
        <v>0.0025</v>
      </c>
      <c r="O15" s="60">
        <f>ROUND(+N15*M15*1000,-2)</f>
        <v>0</v>
      </c>
    </row>
    <row r="16" spans="1:15" ht="11.25">
      <c r="A16">
        <f t="shared" si="0"/>
        <v>10</v>
      </c>
      <c r="B16" s="44"/>
      <c r="C16" s="45"/>
      <c r="D16" s="61"/>
      <c r="E16" s="3"/>
      <c r="F16" s="3"/>
      <c r="G16" s="58">
        <f>SUM(G13:G15)</f>
        <v>426500</v>
      </c>
      <c r="H16" s="61"/>
      <c r="I16" s="3"/>
      <c r="J16" s="3"/>
      <c r="K16" s="58">
        <f>SUM(K13:K15)</f>
        <v>426500</v>
      </c>
      <c r="L16" s="61"/>
      <c r="M16" s="3"/>
      <c r="N16" s="3"/>
      <c r="O16" s="58">
        <f>SUM(O13:O15)</f>
        <v>426500</v>
      </c>
    </row>
    <row r="17" spans="1:15" ht="11.25">
      <c r="A17">
        <f t="shared" si="0"/>
        <v>11</v>
      </c>
      <c r="B17" s="44"/>
      <c r="C17" s="45"/>
      <c r="D17" s="61"/>
      <c r="E17" s="3"/>
      <c r="F17" s="3"/>
      <c r="G17" s="58"/>
      <c r="H17" s="61"/>
      <c r="I17" s="3"/>
      <c r="J17" s="3"/>
      <c r="K17" s="58"/>
      <c r="L17" s="61"/>
      <c r="M17" s="3"/>
      <c r="N17" s="3"/>
      <c r="O17" s="58"/>
    </row>
    <row r="18" spans="1:15" ht="11.25">
      <c r="A18">
        <f t="shared" si="0"/>
        <v>12</v>
      </c>
      <c r="B18" s="46" t="s">
        <v>32</v>
      </c>
      <c r="C18" s="47"/>
      <c r="D18" s="63"/>
      <c r="E18" s="7"/>
      <c r="F18" s="7"/>
      <c r="G18" s="64">
        <f>+G16+G11</f>
        <v>512000</v>
      </c>
      <c r="H18" s="63"/>
      <c r="I18" s="7"/>
      <c r="J18" s="7"/>
      <c r="K18" s="64">
        <f>+K16+K11</f>
        <v>531300</v>
      </c>
      <c r="L18" s="63"/>
      <c r="M18" s="7"/>
      <c r="N18" s="7"/>
      <c r="O18" s="64">
        <f>+O16+O11</f>
        <v>550500</v>
      </c>
    </row>
    <row r="19" spans="1:15" ht="11.25">
      <c r="A19">
        <f t="shared" si="0"/>
        <v>13</v>
      </c>
      <c r="B19" s="44"/>
      <c r="C19" s="45"/>
      <c r="D19" s="61"/>
      <c r="E19" s="3"/>
      <c r="F19" s="3"/>
      <c r="G19" s="62"/>
      <c r="H19" s="61"/>
      <c r="I19" s="3"/>
      <c r="J19" s="3"/>
      <c r="K19" s="62"/>
      <c r="L19" s="61"/>
      <c r="M19" s="3"/>
      <c r="N19" s="3"/>
      <c r="O19" s="62"/>
    </row>
    <row r="20" spans="1:15" ht="11.25">
      <c r="A20">
        <f t="shared" si="0"/>
        <v>14</v>
      </c>
      <c r="B20" s="44" t="s">
        <v>5</v>
      </c>
      <c r="C20" s="45"/>
      <c r="D20" s="61"/>
      <c r="E20" s="3"/>
      <c r="F20" s="3"/>
      <c r="G20" s="62"/>
      <c r="H20" s="61"/>
      <c r="I20" s="3"/>
      <c r="J20" s="3"/>
      <c r="K20" s="62"/>
      <c r="L20" s="61"/>
      <c r="M20" s="3"/>
      <c r="N20" s="3"/>
      <c r="O20" s="62"/>
    </row>
    <row r="21" spans="1:15" ht="11.25">
      <c r="A21">
        <f t="shared" si="0"/>
        <v>15</v>
      </c>
      <c r="B21" s="44"/>
      <c r="C21" s="45" t="s">
        <v>6</v>
      </c>
      <c r="D21" s="61"/>
      <c r="E21" s="4">
        <v>250000</v>
      </c>
      <c r="F21" s="6">
        <f>0.00963-0.00795</f>
        <v>0.0016799999999999992</v>
      </c>
      <c r="G21" s="58">
        <f>+E21*F21*1000</f>
        <v>419999.99999999977</v>
      </c>
      <c r="H21" s="57"/>
      <c r="I21" s="4">
        <v>250000</v>
      </c>
      <c r="J21" s="6">
        <f>0.01691-0.01518</f>
        <v>0.0017300000000000006</v>
      </c>
      <c r="K21" s="58">
        <f>+I21*J21*1000</f>
        <v>432500.0000000002</v>
      </c>
      <c r="L21" s="57"/>
      <c r="M21" s="4">
        <v>250000</v>
      </c>
      <c r="N21" s="6">
        <f>0.03347-0.03103</f>
        <v>0.002440000000000001</v>
      </c>
      <c r="O21" s="58">
        <f>+M21*N21*1000</f>
        <v>610000.0000000003</v>
      </c>
    </row>
    <row r="22" spans="1:15" ht="11.25">
      <c r="A22">
        <f t="shared" si="0"/>
        <v>16</v>
      </c>
      <c r="B22" s="44"/>
      <c r="C22" s="45" t="s">
        <v>7</v>
      </c>
      <c r="D22" s="61"/>
      <c r="E22" s="4">
        <v>50000</v>
      </c>
      <c r="F22" s="6">
        <f>0.00963-0.00795</f>
        <v>0.0016799999999999992</v>
      </c>
      <c r="G22" s="58">
        <f>+E22*F22*1000</f>
        <v>83999.99999999996</v>
      </c>
      <c r="H22" s="57"/>
      <c r="I22" s="4">
        <v>50000</v>
      </c>
      <c r="J22" s="6">
        <f>0.01691-0.01518</f>
        <v>0.0017300000000000006</v>
      </c>
      <c r="K22" s="58">
        <f>+I22*J22*1000</f>
        <v>86500.00000000003</v>
      </c>
      <c r="L22" s="57"/>
      <c r="M22" s="4">
        <v>50000</v>
      </c>
      <c r="N22" s="6">
        <f>0.03347-0.03103</f>
        <v>0.002440000000000001</v>
      </c>
      <c r="O22" s="58">
        <f>+M22*N22*1000</f>
        <v>122000.00000000006</v>
      </c>
    </row>
    <row r="23" spans="1:15" ht="11.25">
      <c r="A23">
        <f t="shared" si="0"/>
        <v>17</v>
      </c>
      <c r="B23" s="44"/>
      <c r="C23" s="45"/>
      <c r="D23" s="61"/>
      <c r="E23" s="4"/>
      <c r="F23" s="3"/>
      <c r="G23" s="62"/>
      <c r="H23" s="57"/>
      <c r="I23" s="4"/>
      <c r="J23" s="3"/>
      <c r="K23" s="62"/>
      <c r="L23" s="57"/>
      <c r="M23" s="4"/>
      <c r="N23" s="3"/>
      <c r="O23" s="62"/>
    </row>
    <row r="24" spans="1:15" ht="11.25">
      <c r="A24">
        <f t="shared" si="0"/>
        <v>18</v>
      </c>
      <c r="B24" s="46" t="s">
        <v>33</v>
      </c>
      <c r="C24" s="47"/>
      <c r="D24" s="63"/>
      <c r="E24" s="7"/>
      <c r="F24" s="7"/>
      <c r="G24" s="64">
        <f>+G21+G22</f>
        <v>503999.9999999997</v>
      </c>
      <c r="H24" s="63"/>
      <c r="I24" s="7"/>
      <c r="J24" s="7"/>
      <c r="K24" s="64">
        <f>+K21+K22</f>
        <v>519000.00000000023</v>
      </c>
      <c r="L24" s="63"/>
      <c r="M24" s="7"/>
      <c r="N24" s="7"/>
      <c r="O24" s="64">
        <f>+O21+O22</f>
        <v>732000.0000000005</v>
      </c>
    </row>
    <row r="25" spans="1:15" ht="11.25">
      <c r="A25">
        <f t="shared" si="0"/>
        <v>19</v>
      </c>
      <c r="B25" s="44"/>
      <c r="C25" s="45"/>
      <c r="D25" s="61"/>
      <c r="E25" s="3"/>
      <c r="F25" s="3"/>
      <c r="G25" s="62"/>
      <c r="H25" s="61"/>
      <c r="I25" s="3"/>
      <c r="J25" s="3"/>
      <c r="K25" s="62"/>
      <c r="L25" s="61"/>
      <c r="M25" s="3"/>
      <c r="N25" s="3"/>
      <c r="O25" s="62"/>
    </row>
    <row r="26" spans="1:15" ht="11.25">
      <c r="A26">
        <f t="shared" si="0"/>
        <v>20</v>
      </c>
      <c r="B26" s="46" t="s">
        <v>12</v>
      </c>
      <c r="C26" s="47"/>
      <c r="D26" s="63"/>
      <c r="E26" s="7"/>
      <c r="F26" s="7"/>
      <c r="G26" s="65" t="s">
        <v>57</v>
      </c>
      <c r="H26" s="75"/>
      <c r="I26" s="11"/>
      <c r="J26" s="11"/>
      <c r="K26" s="65" t="s">
        <v>57</v>
      </c>
      <c r="L26" s="75"/>
      <c r="M26" s="11"/>
      <c r="N26" s="11"/>
      <c r="O26" s="65" t="s">
        <v>57</v>
      </c>
    </row>
    <row r="27" spans="1:15" ht="11.25">
      <c r="A27">
        <f t="shared" si="0"/>
        <v>21</v>
      </c>
      <c r="B27" s="44"/>
      <c r="C27" s="45"/>
      <c r="D27" s="61"/>
      <c r="E27" s="3"/>
      <c r="F27" s="3"/>
      <c r="G27" s="62"/>
      <c r="H27" s="61"/>
      <c r="I27" s="3"/>
      <c r="J27" s="3"/>
      <c r="K27" s="62"/>
      <c r="L27" s="61"/>
      <c r="M27" s="3"/>
      <c r="N27" s="3"/>
      <c r="O27" s="62"/>
    </row>
    <row r="28" spans="1:15" ht="11.25">
      <c r="A28">
        <f t="shared" si="0"/>
        <v>22</v>
      </c>
      <c r="B28" s="48" t="s">
        <v>20</v>
      </c>
      <c r="C28" s="49"/>
      <c r="D28" s="63"/>
      <c r="E28" s="7"/>
      <c r="F28" s="7"/>
      <c r="G28" s="66">
        <f>+G24+G18</f>
        <v>1015999.9999999998</v>
      </c>
      <c r="H28" s="63"/>
      <c r="I28" s="7"/>
      <c r="J28" s="7"/>
      <c r="K28" s="66">
        <f>+K24+K18</f>
        <v>1050300.0000000002</v>
      </c>
      <c r="L28" s="63"/>
      <c r="M28" s="7"/>
      <c r="N28" s="7"/>
      <c r="O28" s="66">
        <f>+O24+O18</f>
        <v>1282500.0000000005</v>
      </c>
    </row>
    <row r="29" spans="1:15" ht="11.25">
      <c r="A29">
        <f t="shared" si="0"/>
        <v>23</v>
      </c>
      <c r="B29" s="44"/>
      <c r="C29" s="45"/>
      <c r="D29" s="61"/>
      <c r="E29" s="3"/>
      <c r="F29" s="3"/>
      <c r="G29" s="62"/>
      <c r="H29" s="61"/>
      <c r="I29" s="3"/>
      <c r="J29" s="3"/>
      <c r="K29" s="62"/>
      <c r="L29" s="61"/>
      <c r="M29" s="3"/>
      <c r="N29" s="3"/>
      <c r="O29" s="62"/>
    </row>
    <row r="30" spans="1:15" ht="11.25">
      <c r="A30">
        <f t="shared" si="0"/>
        <v>24</v>
      </c>
      <c r="B30" s="48" t="s">
        <v>21</v>
      </c>
      <c r="C30" s="49"/>
      <c r="D30" s="63"/>
      <c r="E30" s="7"/>
      <c r="F30" s="7"/>
      <c r="G30" s="66">
        <v>21900000</v>
      </c>
      <c r="H30" s="63"/>
      <c r="I30" s="7"/>
      <c r="J30" s="7"/>
      <c r="K30" s="66">
        <v>59000000</v>
      </c>
      <c r="L30" s="63"/>
      <c r="M30" s="7"/>
      <c r="N30" s="7"/>
      <c r="O30" s="66">
        <v>115300000</v>
      </c>
    </row>
    <row r="31" spans="1:15" ht="11.25">
      <c r="A31">
        <f t="shared" si="0"/>
        <v>25</v>
      </c>
      <c r="B31" s="44"/>
      <c r="C31" s="45"/>
      <c r="D31" s="67"/>
      <c r="E31" s="8"/>
      <c r="F31" s="8"/>
      <c r="G31" s="68"/>
      <c r="H31" s="67"/>
      <c r="I31" s="8"/>
      <c r="J31" s="8"/>
      <c r="K31" s="68"/>
      <c r="L31" s="67"/>
      <c r="M31" s="8"/>
      <c r="N31" s="8"/>
      <c r="O31" s="68"/>
    </row>
    <row r="32" spans="1:15" ht="11.25">
      <c r="A32">
        <f t="shared" si="0"/>
        <v>26</v>
      </c>
      <c r="B32" s="44"/>
      <c r="C32" s="45"/>
      <c r="D32" s="67"/>
      <c r="E32" s="8"/>
      <c r="F32" s="8"/>
      <c r="G32" s="68"/>
      <c r="H32" s="67"/>
      <c r="I32" s="8"/>
      <c r="J32" s="8"/>
      <c r="K32" s="68"/>
      <c r="L32" s="67"/>
      <c r="M32" s="8"/>
      <c r="N32" s="8"/>
      <c r="O32" s="68"/>
    </row>
    <row r="33" spans="1:15" ht="11.25">
      <c r="A33">
        <f t="shared" si="0"/>
        <v>27</v>
      </c>
      <c r="B33" s="48" t="s">
        <v>22</v>
      </c>
      <c r="C33" s="49"/>
      <c r="D33" s="63"/>
      <c r="E33" s="7"/>
      <c r="F33" s="7"/>
      <c r="G33" s="66">
        <f>-'[1]Downgrade'!G33*0.1</f>
        <v>1316780</v>
      </c>
      <c r="H33" s="63"/>
      <c r="I33" s="7"/>
      <c r="J33" s="7"/>
      <c r="K33" s="66">
        <f>-'[1]Downgrade'!K33*0.1</f>
        <v>1473080</v>
      </c>
      <c r="L33" s="63"/>
      <c r="M33" s="7"/>
      <c r="N33" s="7"/>
      <c r="O33" s="66">
        <f>-'[1]Downgrade'!O33*0.1</f>
        <v>1637780</v>
      </c>
    </row>
    <row r="34" spans="1:15" ht="11.25">
      <c r="A34">
        <f t="shared" si="0"/>
        <v>28</v>
      </c>
      <c r="B34" s="44"/>
      <c r="C34" s="45"/>
      <c r="D34" s="61"/>
      <c r="E34" s="3"/>
      <c r="F34" s="3"/>
      <c r="G34" s="62"/>
      <c r="H34" s="61"/>
      <c r="I34" s="3"/>
      <c r="J34" s="3"/>
      <c r="K34" s="62"/>
      <c r="L34" s="61"/>
      <c r="M34" s="3"/>
      <c r="N34" s="3"/>
      <c r="O34" s="62"/>
    </row>
    <row r="35" spans="1:15" ht="11.25">
      <c r="A35">
        <f t="shared" si="0"/>
        <v>29</v>
      </c>
      <c r="B35" s="44"/>
      <c r="C35" s="45"/>
      <c r="D35" s="61"/>
      <c r="E35" s="3"/>
      <c r="F35" s="3"/>
      <c r="G35" s="62"/>
      <c r="H35" s="61"/>
      <c r="I35" s="3"/>
      <c r="J35" s="3"/>
      <c r="K35" s="62"/>
      <c r="L35" s="61"/>
      <c r="M35" s="3"/>
      <c r="N35" s="3"/>
      <c r="O35" s="62"/>
    </row>
    <row r="36" spans="1:15" ht="12" thickBot="1">
      <c r="A36">
        <f t="shared" si="0"/>
        <v>30</v>
      </c>
      <c r="B36" s="50" t="s">
        <v>11</v>
      </c>
      <c r="C36" s="51"/>
      <c r="D36" s="69"/>
      <c r="E36" s="9"/>
      <c r="F36" s="9"/>
      <c r="G36" s="70">
        <f>G28+G30+G33</f>
        <v>24232780</v>
      </c>
      <c r="H36" s="69"/>
      <c r="I36" s="9"/>
      <c r="J36" s="9"/>
      <c r="K36" s="70">
        <f>K28+K30+K33</f>
        <v>61523380</v>
      </c>
      <c r="L36" s="69"/>
      <c r="M36" s="9"/>
      <c r="N36" s="9"/>
      <c r="O36" s="70">
        <f>O28+O30+O33</f>
        <v>118220280</v>
      </c>
    </row>
    <row r="37" spans="1:15" ht="12" thickTop="1">
      <c r="A37">
        <f t="shared" si="0"/>
        <v>31</v>
      </c>
      <c r="B37" s="44"/>
      <c r="C37" s="45"/>
      <c r="D37" s="61"/>
      <c r="E37" s="3"/>
      <c r="F37" s="3"/>
      <c r="G37" s="62"/>
      <c r="H37" s="61"/>
      <c r="I37" s="3"/>
      <c r="J37" s="3"/>
      <c r="K37" s="62"/>
      <c r="L37" s="61"/>
      <c r="M37" s="3"/>
      <c r="N37" s="3"/>
      <c r="O37" s="62"/>
    </row>
    <row r="38" spans="1:15" ht="12" thickBot="1">
      <c r="A38">
        <f t="shared" si="0"/>
        <v>32</v>
      </c>
      <c r="B38" s="50" t="s">
        <v>75</v>
      </c>
      <c r="C38" s="51"/>
      <c r="D38" s="69"/>
      <c r="E38" s="9"/>
      <c r="F38" s="9"/>
      <c r="G38" s="70">
        <f>'[1]Using 40% Equity'!E28*1000000</f>
        <v>15500000</v>
      </c>
      <c r="H38" s="69"/>
      <c r="I38" s="9"/>
      <c r="J38" s="9"/>
      <c r="K38" s="70">
        <f>G38</f>
        <v>15500000</v>
      </c>
      <c r="L38" s="69"/>
      <c r="M38" s="9"/>
      <c r="N38" s="9"/>
      <c r="O38" s="70">
        <f>G38</f>
        <v>15500000</v>
      </c>
    </row>
    <row r="39" spans="1:15" ht="12.75" thickBot="1" thickTop="1">
      <c r="A39">
        <f t="shared" si="0"/>
        <v>33</v>
      </c>
      <c r="B39" s="52"/>
      <c r="C39" s="53"/>
      <c r="D39" s="71"/>
      <c r="E39" s="72"/>
      <c r="F39" s="72"/>
      <c r="G39" s="73"/>
      <c r="H39" s="71"/>
      <c r="I39" s="72"/>
      <c r="J39" s="72"/>
      <c r="K39" s="73"/>
      <c r="L39" s="71"/>
      <c r="M39" s="72"/>
      <c r="N39" s="72"/>
      <c r="O39" s="73"/>
    </row>
  </sheetData>
  <mergeCells count="13">
    <mergeCell ref="F5:F6"/>
    <mergeCell ref="H5:H6"/>
    <mergeCell ref="I5:I6"/>
    <mergeCell ref="D1:O1"/>
    <mergeCell ref="D4:G4"/>
    <mergeCell ref="L4:O4"/>
    <mergeCell ref="L5:L6"/>
    <mergeCell ref="N5:N6"/>
    <mergeCell ref="E5:E6"/>
    <mergeCell ref="M5:M6"/>
    <mergeCell ref="H4:K4"/>
    <mergeCell ref="J5:J6"/>
    <mergeCell ref="D5:D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7" r:id="rId3"/>
  <headerFooter alignWithMargins="0">
    <oddFooter>&amp;L&amp;10Sixth Exhibit to the 
Prefiled Rebuttal Testimony of
Donald E. Gaines&amp;R&amp;10Exhibit No. ___(DEG-15)
Page 2 of 5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">
      <selection activeCell="J16" sqref="J16"/>
    </sheetView>
  </sheetViews>
  <sheetFormatPr defaultColWidth="9.33203125" defaultRowHeight="11.25"/>
  <cols>
    <col min="1" max="1" width="4.83203125" style="0" customWidth="1"/>
    <col min="2" max="2" width="2.83203125" style="0" customWidth="1"/>
    <col min="3" max="3" width="33" style="0" customWidth="1"/>
    <col min="4" max="6" width="10.5" style="0" customWidth="1"/>
    <col min="7" max="7" width="11.5" style="0" customWidth="1"/>
    <col min="8" max="10" width="10.5" style="0" customWidth="1"/>
    <col min="11" max="11" width="11.5" style="0" customWidth="1"/>
    <col min="12" max="14" width="10.5" style="0" customWidth="1"/>
    <col min="15" max="15" width="11.5" style="0" customWidth="1"/>
    <col min="16" max="18" width="0" style="0" hidden="1" customWidth="1"/>
    <col min="20" max="20" width="9.83203125" style="0" bestFit="1" customWidth="1"/>
  </cols>
  <sheetData>
    <row r="1" spans="1:15" ht="19.5">
      <c r="A1" s="10"/>
      <c r="D1" s="88" t="s">
        <v>77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11.25">
      <c r="B2" s="10"/>
    </row>
    <row r="3" spans="2:15" ht="12" thickBot="1">
      <c r="B3" s="10"/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</row>
    <row r="4" spans="4:15" ht="11.25">
      <c r="D4" s="100" t="s">
        <v>17</v>
      </c>
      <c r="E4" s="101"/>
      <c r="F4" s="101"/>
      <c r="G4" s="101"/>
      <c r="H4" s="100" t="s">
        <v>18</v>
      </c>
      <c r="I4" s="101"/>
      <c r="J4" s="101"/>
      <c r="K4" s="102"/>
      <c r="L4" s="100" t="s">
        <v>19</v>
      </c>
      <c r="M4" s="101"/>
      <c r="N4" s="101"/>
      <c r="O4" s="102"/>
    </row>
    <row r="5" spans="4:15" ht="24.75" customHeight="1">
      <c r="D5" s="103" t="s">
        <v>43</v>
      </c>
      <c r="E5" s="105" t="s">
        <v>80</v>
      </c>
      <c r="F5" s="105" t="s">
        <v>8</v>
      </c>
      <c r="G5" s="76"/>
      <c r="H5" s="103" t="s">
        <v>43</v>
      </c>
      <c r="I5" s="105" t="s">
        <v>80</v>
      </c>
      <c r="J5" s="105" t="s">
        <v>8</v>
      </c>
      <c r="K5" s="37"/>
      <c r="L5" s="103" t="s">
        <v>43</v>
      </c>
      <c r="M5" s="105" t="s">
        <v>80</v>
      </c>
      <c r="N5" s="105" t="s">
        <v>8</v>
      </c>
      <c r="O5" s="37"/>
    </row>
    <row r="6" spans="4:15" ht="24.75" customHeight="1" thickBot="1">
      <c r="D6" s="104"/>
      <c r="E6" s="106"/>
      <c r="F6" s="106"/>
      <c r="G6" s="77" t="s">
        <v>9</v>
      </c>
      <c r="H6" s="104"/>
      <c r="I6" s="106"/>
      <c r="J6" s="106"/>
      <c r="K6" s="38" t="s">
        <v>9</v>
      </c>
      <c r="L6" s="104"/>
      <c r="M6" s="106"/>
      <c r="N6" s="106"/>
      <c r="O6" s="38" t="s">
        <v>9</v>
      </c>
    </row>
    <row r="7" spans="1:15" ht="11.25">
      <c r="A7">
        <v>1</v>
      </c>
      <c r="B7" s="42" t="s">
        <v>0</v>
      </c>
      <c r="C7" s="43"/>
      <c r="D7" s="8"/>
      <c r="E7" s="8"/>
      <c r="F7" s="8"/>
      <c r="G7" s="8"/>
      <c r="H7" s="61"/>
      <c r="I7" s="3"/>
      <c r="J7" s="3"/>
      <c r="K7" s="62"/>
      <c r="L7" s="61"/>
      <c r="M7" s="3"/>
      <c r="N7" s="3"/>
      <c r="O7" s="62"/>
    </row>
    <row r="8" spans="1:17" ht="11.25">
      <c r="A8">
        <f>+A7+1</f>
        <v>2</v>
      </c>
      <c r="B8" s="44"/>
      <c r="C8" s="45" t="s">
        <v>1</v>
      </c>
      <c r="D8" s="81">
        <v>0</v>
      </c>
      <c r="E8" s="81">
        <f>ROUND(D8,-3)</f>
        <v>0</v>
      </c>
      <c r="F8" s="82">
        <v>0</v>
      </c>
      <c r="G8" s="81">
        <f>ROUND(+F8*E8*1000,-2)</f>
        <v>0</v>
      </c>
      <c r="H8" s="57">
        <v>0</v>
      </c>
      <c r="I8" s="4">
        <f>ROUND(H8,-3)</f>
        <v>0</v>
      </c>
      <c r="J8" s="6">
        <v>0</v>
      </c>
      <c r="K8" s="58">
        <f>ROUND(+J8*I8*1000,-2)</f>
        <v>0</v>
      </c>
      <c r="L8" s="57">
        <v>0</v>
      </c>
      <c r="M8" s="4">
        <f>ROUND(L8,-3)</f>
        <v>0</v>
      </c>
      <c r="N8" s="6">
        <v>0</v>
      </c>
      <c r="O8" s="58">
        <f>ROUND(+N8*M8*1000,-2)</f>
        <v>0</v>
      </c>
      <c r="Q8" s="1">
        <v>0</v>
      </c>
    </row>
    <row r="9" spans="1:17" ht="11.25">
      <c r="A9">
        <f aca="true" t="shared" si="0" ref="A9:A34">+A8+1</f>
        <v>3</v>
      </c>
      <c r="B9" s="44"/>
      <c r="C9" s="45" t="s">
        <v>29</v>
      </c>
      <c r="D9" s="81">
        <v>54996.719</v>
      </c>
      <c r="E9" s="81">
        <f>ROUND(D9,-3)</f>
        <v>55000</v>
      </c>
      <c r="F9" s="82">
        <v>-0.015</v>
      </c>
      <c r="G9" s="81">
        <f>ROUND(+F9*E9*1000,-2)</f>
        <v>-825000</v>
      </c>
      <c r="H9" s="57">
        <v>54996.719</v>
      </c>
      <c r="I9" s="4">
        <f>ROUND(H9,-3)</f>
        <v>55000</v>
      </c>
      <c r="J9" s="6">
        <v>-0.015</v>
      </c>
      <c r="K9" s="58">
        <f>ROUND(+J9*I9*1000,-2)</f>
        <v>-825000</v>
      </c>
      <c r="L9" s="57">
        <v>54996.719</v>
      </c>
      <c r="M9" s="4">
        <f>ROUND(L9,-3)</f>
        <v>55000</v>
      </c>
      <c r="N9" s="6">
        <v>-0.015</v>
      </c>
      <c r="O9" s="58">
        <f>ROUND(+N9*M9*1000,-2)</f>
        <v>-825000</v>
      </c>
      <c r="Q9" s="1">
        <v>24607</v>
      </c>
    </row>
    <row r="10" spans="1:17" ht="11.25">
      <c r="A10">
        <f t="shared" si="0"/>
        <v>4</v>
      </c>
      <c r="B10" s="44"/>
      <c r="C10" s="45" t="s">
        <v>28</v>
      </c>
      <c r="D10" s="83">
        <v>82807.067</v>
      </c>
      <c r="E10" s="83">
        <f>ROUND(D10,-3)</f>
        <v>83000</v>
      </c>
      <c r="F10" s="82">
        <v>-0.001</v>
      </c>
      <c r="G10" s="84">
        <f>ROUND(+F10*E10*1000,-2)</f>
        <v>-83000</v>
      </c>
      <c r="H10" s="59">
        <v>82807.067</v>
      </c>
      <c r="I10" s="5">
        <f>ROUND(H10,-3)</f>
        <v>83000</v>
      </c>
      <c r="J10" s="6">
        <v>-0.001</v>
      </c>
      <c r="K10" s="74">
        <f>ROUND(+J10*I10*1000,-2)</f>
        <v>-83000</v>
      </c>
      <c r="L10" s="59">
        <v>82807.067</v>
      </c>
      <c r="M10" s="5">
        <f>ROUND(L10,-3)</f>
        <v>83000</v>
      </c>
      <c r="N10" s="6">
        <v>-0.001</v>
      </c>
      <c r="O10" s="74">
        <f>ROUND(+N10*M10*1000,-2)</f>
        <v>-83000</v>
      </c>
      <c r="Q10" s="2">
        <v>113133</v>
      </c>
    </row>
    <row r="11" spans="1:17" ht="11.25">
      <c r="A11">
        <f t="shared" si="0"/>
        <v>5</v>
      </c>
      <c r="B11" s="44"/>
      <c r="C11" s="45"/>
      <c r="D11" s="81">
        <f>SUM(D8:D10)</f>
        <v>137803.786</v>
      </c>
      <c r="E11" s="81">
        <f>SUM(E8:E10)</f>
        <v>138000</v>
      </c>
      <c r="F11" s="8"/>
      <c r="G11" s="81">
        <f>SUM(G8:G10)</f>
        <v>-908000</v>
      </c>
      <c r="H11" s="57">
        <f>SUM(H8:H10)</f>
        <v>137803.786</v>
      </c>
      <c r="I11" s="4">
        <f>SUM(I8:I10)</f>
        <v>138000</v>
      </c>
      <c r="J11" s="3"/>
      <c r="K11" s="58">
        <f>SUM(K8:K10)</f>
        <v>-908000</v>
      </c>
      <c r="L11" s="57">
        <f>SUM(L8:L10)</f>
        <v>137803.786</v>
      </c>
      <c r="M11" s="4">
        <f>SUM(M8:M10)</f>
        <v>138000</v>
      </c>
      <c r="N11" s="3"/>
      <c r="O11" s="58">
        <f>SUM(O8:O10)</f>
        <v>-908000</v>
      </c>
      <c r="Q11" s="1">
        <f>SUM(Q8:Q10)</f>
        <v>137740</v>
      </c>
    </row>
    <row r="12" spans="1:15" ht="11.25">
      <c r="A12">
        <f t="shared" si="0"/>
        <v>6</v>
      </c>
      <c r="B12" s="44"/>
      <c r="C12" s="45"/>
      <c r="D12" s="8"/>
      <c r="E12" s="8"/>
      <c r="F12" s="8"/>
      <c r="G12" s="8"/>
      <c r="H12" s="61"/>
      <c r="I12" s="3"/>
      <c r="J12" s="3"/>
      <c r="K12" s="62"/>
      <c r="L12" s="61"/>
      <c r="M12" s="3"/>
      <c r="N12" s="3"/>
      <c r="O12" s="62"/>
    </row>
    <row r="13" spans="1:15" ht="11.25">
      <c r="A13">
        <f t="shared" si="0"/>
        <v>7</v>
      </c>
      <c r="B13" s="44"/>
      <c r="C13" s="45" t="s">
        <v>30</v>
      </c>
      <c r="D13" s="81">
        <f>350000-D15-D9</f>
        <v>294504.281</v>
      </c>
      <c r="E13" s="81">
        <f>ROUND(D13,-3)</f>
        <v>295000</v>
      </c>
      <c r="F13" s="82">
        <v>-0.00125</v>
      </c>
      <c r="G13" s="81">
        <f>ROUND(+F13*E13*1000,-2)</f>
        <v>-368800</v>
      </c>
      <c r="H13" s="57">
        <f>350000-H15-H9</f>
        <v>294504.281</v>
      </c>
      <c r="I13" s="4">
        <f>ROUND(H13,-3)</f>
        <v>295000</v>
      </c>
      <c r="J13" s="6">
        <v>-0.00125</v>
      </c>
      <c r="K13" s="58">
        <f>ROUND(+J13*I13*1000,-2)</f>
        <v>-368800</v>
      </c>
      <c r="L13" s="57">
        <f>350000-L15-L9</f>
        <v>294504.281</v>
      </c>
      <c r="M13" s="4">
        <f>ROUND(L13,-3)</f>
        <v>295000</v>
      </c>
      <c r="N13" s="6">
        <v>-0.00125</v>
      </c>
      <c r="O13" s="58">
        <f>ROUND(+N13*M13*1000,-2)</f>
        <v>-368800</v>
      </c>
    </row>
    <row r="14" spans="1:15" ht="11.25">
      <c r="A14">
        <f t="shared" si="0"/>
        <v>8</v>
      </c>
      <c r="B14" s="44"/>
      <c r="C14" s="45" t="s">
        <v>4</v>
      </c>
      <c r="D14" s="81">
        <f>150000*1.02</f>
        <v>153000</v>
      </c>
      <c r="E14" s="81">
        <f>ROUND(D14,-3)</f>
        <v>153000</v>
      </c>
      <c r="F14" s="82">
        <v>-0.001</v>
      </c>
      <c r="G14" s="81">
        <f>ROUND(+F14*E14*1000,-2)</f>
        <v>-153000</v>
      </c>
      <c r="H14" s="57">
        <f>150000*1.02</f>
        <v>153000</v>
      </c>
      <c r="I14" s="4">
        <f>ROUND(H14,-3)</f>
        <v>153000</v>
      </c>
      <c r="J14" s="6">
        <v>-0.001</v>
      </c>
      <c r="K14" s="58">
        <f>ROUND(+J14*I14*1000,-2)</f>
        <v>-153000</v>
      </c>
      <c r="L14" s="57">
        <f>150000*1.02</f>
        <v>153000</v>
      </c>
      <c r="M14" s="4">
        <f>ROUND(L14,-3)</f>
        <v>153000</v>
      </c>
      <c r="N14" s="6">
        <v>-0.001</v>
      </c>
      <c r="O14" s="58">
        <f>ROUND(+N14*M14*1000,-2)</f>
        <v>-153000</v>
      </c>
    </row>
    <row r="15" spans="1:15" ht="11.25">
      <c r="A15">
        <f t="shared" si="0"/>
        <v>9</v>
      </c>
      <c r="B15" s="44"/>
      <c r="C15" s="45" t="s">
        <v>31</v>
      </c>
      <c r="D15" s="81">
        <v>499</v>
      </c>
      <c r="E15" s="81">
        <f>ROUND(D15,-3)</f>
        <v>0</v>
      </c>
      <c r="F15" s="82">
        <v>-0.00625</v>
      </c>
      <c r="G15" s="83">
        <f>ROUND(+F15*E15*1000,-2)</f>
        <v>0</v>
      </c>
      <c r="H15" s="57">
        <v>499</v>
      </c>
      <c r="I15" s="4">
        <f>ROUND(H15,-3)</f>
        <v>0</v>
      </c>
      <c r="J15" s="6">
        <v>-0.00625</v>
      </c>
      <c r="K15" s="60">
        <f>ROUND(+J15*I15*1000,-2)</f>
        <v>0</v>
      </c>
      <c r="L15" s="57">
        <v>499</v>
      </c>
      <c r="M15" s="4">
        <f>ROUND(L15,-3)</f>
        <v>0</v>
      </c>
      <c r="N15" s="6">
        <v>-0.00625</v>
      </c>
      <c r="O15" s="60">
        <f>ROUND(+N15*M15*1000,-2)</f>
        <v>0</v>
      </c>
    </row>
    <row r="16" spans="1:15" ht="11.25">
      <c r="A16">
        <f t="shared" si="0"/>
        <v>10</v>
      </c>
      <c r="B16" s="44"/>
      <c r="C16" s="45"/>
      <c r="D16" s="8"/>
      <c r="E16" s="8"/>
      <c r="F16" s="8"/>
      <c r="G16" s="81">
        <f>SUM(G13:G15)</f>
        <v>-521800</v>
      </c>
      <c r="H16" s="61"/>
      <c r="I16" s="3"/>
      <c r="J16" s="3"/>
      <c r="K16" s="58">
        <f>SUM(K13:K15)</f>
        <v>-521800</v>
      </c>
      <c r="L16" s="61"/>
      <c r="M16" s="3"/>
      <c r="N16" s="3"/>
      <c r="O16" s="58">
        <f>SUM(O13:O15)</f>
        <v>-521800</v>
      </c>
    </row>
    <row r="17" spans="1:15" ht="11.25">
      <c r="A17">
        <f t="shared" si="0"/>
        <v>11</v>
      </c>
      <c r="B17" s="44"/>
      <c r="C17" s="45"/>
      <c r="D17" s="8"/>
      <c r="E17" s="8"/>
      <c r="F17" s="8"/>
      <c r="G17" s="81"/>
      <c r="H17" s="61"/>
      <c r="I17" s="3"/>
      <c r="J17" s="3"/>
      <c r="K17" s="58"/>
      <c r="L17" s="61"/>
      <c r="M17" s="3"/>
      <c r="N17" s="3"/>
      <c r="O17" s="58"/>
    </row>
    <row r="18" spans="1:15" ht="11.25">
      <c r="A18">
        <f t="shared" si="0"/>
        <v>12</v>
      </c>
      <c r="B18" s="46" t="s">
        <v>23</v>
      </c>
      <c r="C18" s="47"/>
      <c r="D18" s="7"/>
      <c r="E18" s="7"/>
      <c r="F18" s="7"/>
      <c r="G18" s="78">
        <f>+G16+G11</f>
        <v>-1429800</v>
      </c>
      <c r="H18" s="63"/>
      <c r="I18" s="7"/>
      <c r="J18" s="7"/>
      <c r="K18" s="64">
        <f>+K16+K11</f>
        <v>-1429800</v>
      </c>
      <c r="L18" s="63"/>
      <c r="M18" s="7"/>
      <c r="N18" s="7"/>
      <c r="O18" s="64">
        <f>+O16+O11</f>
        <v>-1429800</v>
      </c>
    </row>
    <row r="19" spans="1:15" ht="11.25">
      <c r="A19">
        <f t="shared" si="0"/>
        <v>13</v>
      </c>
      <c r="B19" s="44"/>
      <c r="C19" s="45"/>
      <c r="D19" s="8"/>
      <c r="E19" s="8"/>
      <c r="F19" s="8"/>
      <c r="G19" s="8"/>
      <c r="H19" s="61"/>
      <c r="I19" s="3"/>
      <c r="J19" s="3"/>
      <c r="K19" s="62"/>
      <c r="L19" s="61"/>
      <c r="M19" s="3"/>
      <c r="N19" s="3"/>
      <c r="O19" s="62"/>
    </row>
    <row r="20" spans="1:15" ht="11.25">
      <c r="A20">
        <f t="shared" si="0"/>
        <v>14</v>
      </c>
      <c r="B20" s="44" t="s">
        <v>5</v>
      </c>
      <c r="C20" s="45"/>
      <c r="D20" s="8"/>
      <c r="E20" s="8"/>
      <c r="F20" s="8"/>
      <c r="G20" s="8"/>
      <c r="H20" s="61"/>
      <c r="I20" s="3"/>
      <c r="J20" s="3"/>
      <c r="K20" s="62"/>
      <c r="L20" s="61"/>
      <c r="M20" s="3"/>
      <c r="N20" s="3"/>
      <c r="O20" s="62"/>
    </row>
    <row r="21" spans="1:15" ht="11.25">
      <c r="A21">
        <f t="shared" si="0"/>
        <v>15</v>
      </c>
      <c r="B21" s="44"/>
      <c r="C21" s="45" t="s">
        <v>6</v>
      </c>
      <c r="D21" s="8"/>
      <c r="E21" s="81">
        <v>250000</v>
      </c>
      <c r="F21" s="82">
        <f>0.00963-0.01009</f>
        <v>-0.00046000000000000034</v>
      </c>
      <c r="G21" s="81">
        <f>+E21*F21*1000</f>
        <v>-115000.00000000009</v>
      </c>
      <c r="H21" s="61"/>
      <c r="I21" s="4">
        <v>250000</v>
      </c>
      <c r="J21" s="6">
        <f>-(0.02258-0.01691)</f>
        <v>-0.005669999999999998</v>
      </c>
      <c r="K21" s="58">
        <f>+I21*J21*1000</f>
        <v>-1417499.9999999995</v>
      </c>
      <c r="L21" s="61"/>
      <c r="M21" s="4">
        <v>250000</v>
      </c>
      <c r="N21" s="6">
        <f>-(0.04463-0.03347)</f>
        <v>-0.011160000000000003</v>
      </c>
      <c r="O21" s="58">
        <f>+M21*N21*1000</f>
        <v>-2790000.000000001</v>
      </c>
    </row>
    <row r="22" spans="1:15" ht="11.25">
      <c r="A22">
        <f t="shared" si="0"/>
        <v>16</v>
      </c>
      <c r="B22" s="44"/>
      <c r="C22" s="45" t="s">
        <v>7</v>
      </c>
      <c r="D22" s="8"/>
      <c r="E22" s="81">
        <v>50000</v>
      </c>
      <c r="F22" s="82">
        <f>0.00963-0.01009</f>
        <v>-0.00046000000000000034</v>
      </c>
      <c r="G22" s="81">
        <f>+E22*F22*1000</f>
        <v>-23000.00000000002</v>
      </c>
      <c r="H22" s="61"/>
      <c r="I22" s="4">
        <v>50000</v>
      </c>
      <c r="J22" s="6">
        <f>-(0.02258-0.01691)</f>
        <v>-0.005669999999999998</v>
      </c>
      <c r="K22" s="58">
        <f>+I22*J22*1000</f>
        <v>-283499.9999999999</v>
      </c>
      <c r="L22" s="61"/>
      <c r="M22" s="4">
        <v>50000</v>
      </c>
      <c r="N22" s="6">
        <f>-(0.04463-0.03347)</f>
        <v>-0.011160000000000003</v>
      </c>
      <c r="O22" s="58">
        <f>+M22*N22*1000</f>
        <v>-558000.0000000001</v>
      </c>
    </row>
    <row r="23" spans="1:15" ht="11.25">
      <c r="A23">
        <f t="shared" si="0"/>
        <v>17</v>
      </c>
      <c r="B23" s="44"/>
      <c r="C23" s="45"/>
      <c r="D23" s="81"/>
      <c r="E23" s="81"/>
      <c r="F23" s="8"/>
      <c r="G23" s="8"/>
      <c r="H23" s="57"/>
      <c r="I23" s="4"/>
      <c r="J23" s="3"/>
      <c r="K23" s="62"/>
      <c r="L23" s="57"/>
      <c r="M23" s="4"/>
      <c r="N23" s="3"/>
      <c r="O23" s="62"/>
    </row>
    <row r="24" spans="1:15" ht="11.25">
      <c r="A24">
        <f t="shared" si="0"/>
        <v>18</v>
      </c>
      <c r="B24" s="46" t="s">
        <v>24</v>
      </c>
      <c r="C24" s="47"/>
      <c r="D24" s="7"/>
      <c r="E24" s="7"/>
      <c r="F24" s="7"/>
      <c r="G24" s="78">
        <f>+G21+G22</f>
        <v>-138000.00000000012</v>
      </c>
      <c r="H24" s="63"/>
      <c r="I24" s="7"/>
      <c r="J24" s="7"/>
      <c r="K24" s="64">
        <f>+K21+K22</f>
        <v>-1700999.9999999995</v>
      </c>
      <c r="L24" s="63"/>
      <c r="M24" s="7"/>
      <c r="N24" s="7"/>
      <c r="O24" s="64">
        <f>+O21+O22</f>
        <v>-3348000.000000001</v>
      </c>
    </row>
    <row r="25" spans="1:15" ht="11.25">
      <c r="A25">
        <f t="shared" si="0"/>
        <v>19</v>
      </c>
      <c r="B25" s="44"/>
      <c r="C25" s="45"/>
      <c r="D25" s="8"/>
      <c r="E25" s="8"/>
      <c r="F25" s="8"/>
      <c r="G25" s="8"/>
      <c r="H25" s="61"/>
      <c r="I25" s="3"/>
      <c r="J25" s="3"/>
      <c r="K25" s="62"/>
      <c r="L25" s="61"/>
      <c r="M25" s="3"/>
      <c r="N25" s="3"/>
      <c r="O25" s="62"/>
    </row>
    <row r="26" spans="1:15" ht="11.25">
      <c r="A26">
        <f t="shared" si="0"/>
        <v>20</v>
      </c>
      <c r="B26" s="46" t="s">
        <v>12</v>
      </c>
      <c r="C26" s="47"/>
      <c r="D26" s="7"/>
      <c r="E26" s="7"/>
      <c r="F26" s="7"/>
      <c r="G26" s="79" t="s">
        <v>57</v>
      </c>
      <c r="H26" s="75"/>
      <c r="I26" s="11"/>
      <c r="J26" s="11"/>
      <c r="K26" s="65" t="s">
        <v>13</v>
      </c>
      <c r="L26" s="75"/>
      <c r="M26" s="11"/>
      <c r="N26" s="11"/>
      <c r="O26" s="65" t="s">
        <v>57</v>
      </c>
    </row>
    <row r="27" spans="1:15" ht="11.25">
      <c r="A27">
        <f t="shared" si="0"/>
        <v>21</v>
      </c>
      <c r="B27" s="44"/>
      <c r="C27" s="45"/>
      <c r="D27" s="8"/>
      <c r="E27" s="8"/>
      <c r="F27" s="8"/>
      <c r="G27" s="8"/>
      <c r="H27" s="61"/>
      <c r="I27" s="3"/>
      <c r="J27" s="3"/>
      <c r="K27" s="62"/>
      <c r="L27" s="61"/>
      <c r="M27" s="3"/>
      <c r="N27" s="3"/>
      <c r="O27" s="62"/>
    </row>
    <row r="28" spans="1:15" ht="11.25">
      <c r="A28">
        <f t="shared" si="0"/>
        <v>22</v>
      </c>
      <c r="B28" s="48" t="s">
        <v>26</v>
      </c>
      <c r="C28" s="49"/>
      <c r="D28" s="7"/>
      <c r="E28" s="7"/>
      <c r="F28" s="7"/>
      <c r="G28" s="80">
        <f>+G24+G18</f>
        <v>-1567800</v>
      </c>
      <c r="H28" s="63"/>
      <c r="I28" s="7"/>
      <c r="J28" s="7"/>
      <c r="K28" s="66">
        <f>+K24+K18</f>
        <v>-3130799.9999999995</v>
      </c>
      <c r="L28" s="63"/>
      <c r="M28" s="7"/>
      <c r="N28" s="7"/>
      <c r="O28" s="66">
        <f>+O24+O18</f>
        <v>-4777800.000000001</v>
      </c>
    </row>
    <row r="29" spans="1:15" ht="11.25">
      <c r="A29">
        <f t="shared" si="0"/>
        <v>23</v>
      </c>
      <c r="B29" s="44"/>
      <c r="C29" s="45"/>
      <c r="D29" s="8"/>
      <c r="E29" s="8"/>
      <c r="F29" s="8"/>
      <c r="G29" s="8"/>
      <c r="H29" s="61"/>
      <c r="I29" s="3"/>
      <c r="J29" s="3"/>
      <c r="K29" s="62"/>
      <c r="L29" s="61"/>
      <c r="M29" s="3"/>
      <c r="N29" s="3"/>
      <c r="O29" s="62"/>
    </row>
    <row r="30" spans="1:15" ht="11.25">
      <c r="A30">
        <f t="shared" si="0"/>
        <v>24</v>
      </c>
      <c r="B30" s="44"/>
      <c r="C30" s="45"/>
      <c r="D30" s="8"/>
      <c r="E30" s="8"/>
      <c r="F30" s="8"/>
      <c r="G30" s="8"/>
      <c r="H30" s="61"/>
      <c r="I30" s="3"/>
      <c r="J30" s="3"/>
      <c r="K30" s="62"/>
      <c r="L30" s="61"/>
      <c r="M30" s="3"/>
      <c r="N30" s="3"/>
      <c r="O30" s="62"/>
    </row>
    <row r="31" spans="1:15" ht="11.25">
      <c r="A31">
        <f t="shared" si="0"/>
        <v>25</v>
      </c>
      <c r="B31" s="48" t="s">
        <v>25</v>
      </c>
      <c r="C31" s="49"/>
      <c r="D31" s="7"/>
      <c r="E31" s="7"/>
      <c r="F31" s="7"/>
      <c r="G31" s="80">
        <v>-11600000</v>
      </c>
      <c r="H31" s="63"/>
      <c r="I31" s="7"/>
      <c r="J31" s="7"/>
      <c r="K31" s="66">
        <v>-11600000</v>
      </c>
      <c r="L31" s="63"/>
      <c r="M31" s="7"/>
      <c r="N31" s="7"/>
      <c r="O31" s="66">
        <v>-11600000</v>
      </c>
    </row>
    <row r="32" spans="1:15" ht="11.25">
      <c r="A32">
        <f t="shared" si="0"/>
        <v>26</v>
      </c>
      <c r="B32" s="44"/>
      <c r="C32" s="45"/>
      <c r="D32" s="8"/>
      <c r="E32" s="8"/>
      <c r="F32" s="8"/>
      <c r="G32" s="8"/>
      <c r="H32" s="61"/>
      <c r="I32" s="3"/>
      <c r="J32" s="3"/>
      <c r="K32" s="62"/>
      <c r="L32" s="61"/>
      <c r="M32" s="3"/>
      <c r="N32" s="3"/>
      <c r="O32" s="62"/>
    </row>
    <row r="33" spans="1:15" ht="12" thickBot="1">
      <c r="A33">
        <f t="shared" si="0"/>
        <v>27</v>
      </c>
      <c r="B33" s="50" t="s">
        <v>27</v>
      </c>
      <c r="C33" s="51"/>
      <c r="D33" s="85"/>
      <c r="E33" s="85"/>
      <c r="F33" s="85"/>
      <c r="G33" s="86">
        <f>+G31+G28</f>
        <v>-13167800</v>
      </c>
      <c r="H33" s="69"/>
      <c r="I33" s="9"/>
      <c r="J33" s="9"/>
      <c r="K33" s="70">
        <f>+K31+K28</f>
        <v>-14730800</v>
      </c>
      <c r="L33" s="69"/>
      <c r="M33" s="9"/>
      <c r="N33" s="9"/>
      <c r="O33" s="70">
        <f>+O31+O28</f>
        <v>-16377800</v>
      </c>
    </row>
    <row r="34" spans="1:15" ht="12.75" thickBot="1" thickTop="1">
      <c r="A34">
        <f t="shared" si="0"/>
        <v>28</v>
      </c>
      <c r="B34" s="52"/>
      <c r="C34" s="53"/>
      <c r="D34" s="87"/>
      <c r="E34" s="87"/>
      <c r="F34" s="87"/>
      <c r="G34" s="87"/>
      <c r="H34" s="71"/>
      <c r="I34" s="72"/>
      <c r="J34" s="72"/>
      <c r="K34" s="73"/>
      <c r="L34" s="71"/>
      <c r="M34" s="72"/>
      <c r="N34" s="72"/>
      <c r="O34" s="73"/>
    </row>
  </sheetData>
  <mergeCells count="13">
    <mergeCell ref="F5:F6"/>
    <mergeCell ref="E5:E6"/>
    <mergeCell ref="H5:H6"/>
    <mergeCell ref="D1:O1"/>
    <mergeCell ref="D4:G4"/>
    <mergeCell ref="L4:O4"/>
    <mergeCell ref="L5:L6"/>
    <mergeCell ref="N5:N6"/>
    <mergeCell ref="M5:M6"/>
    <mergeCell ref="H4:K4"/>
    <mergeCell ref="I5:I6"/>
    <mergeCell ref="J5:J6"/>
    <mergeCell ref="D5:D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&amp;L&amp;10Sixth Exhibit to the 
Prefiled Rebuttal Testimony of
Donald E. Gaines&amp;R&amp;10Exhibit No. ___(DEG-15)
Page 3 of 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H10" sqref="H10"/>
    </sheetView>
  </sheetViews>
  <sheetFormatPr defaultColWidth="9.33203125" defaultRowHeight="11.25"/>
  <cols>
    <col min="1" max="1" width="21.83203125" style="13" customWidth="1"/>
    <col min="2" max="2" width="10.66015625" style="13" customWidth="1"/>
    <col min="3" max="3" width="9.33203125" style="13" customWidth="1"/>
    <col min="4" max="4" width="12.33203125" style="13" customWidth="1"/>
    <col min="5" max="6" width="14" style="13" customWidth="1"/>
    <col min="7" max="16384" width="10.66015625" style="13" customWidth="1"/>
  </cols>
  <sheetData>
    <row r="3" spans="1:5" ht="15">
      <c r="A3" s="107" t="s">
        <v>58</v>
      </c>
      <c r="B3" s="108"/>
      <c r="C3" s="108"/>
      <c r="D3" s="108"/>
      <c r="E3" s="108"/>
    </row>
    <row r="4" spans="1:5" ht="15">
      <c r="A4" s="14"/>
      <c r="B4" s="14"/>
      <c r="C4" s="14"/>
      <c r="D4" s="14"/>
      <c r="E4" s="15" t="s">
        <v>59</v>
      </c>
    </row>
    <row r="5" spans="1:5" ht="15">
      <c r="A5" s="14"/>
      <c r="B5" s="14"/>
      <c r="C5" s="14" t="s">
        <v>9</v>
      </c>
      <c r="D5" s="14" t="s">
        <v>60</v>
      </c>
      <c r="E5" s="14" t="s">
        <v>60</v>
      </c>
    </row>
    <row r="6" spans="1:5" ht="15">
      <c r="A6" s="16" t="s">
        <v>61</v>
      </c>
      <c r="B6" s="16" t="s">
        <v>62</v>
      </c>
      <c r="C6" s="16" t="s">
        <v>63</v>
      </c>
      <c r="D6" s="16" t="s">
        <v>9</v>
      </c>
      <c r="E6" s="16" t="s">
        <v>9</v>
      </c>
    </row>
    <row r="7" spans="1:5" ht="14.25">
      <c r="A7" s="17" t="s">
        <v>64</v>
      </c>
      <c r="B7" s="18">
        <v>0.0309</v>
      </c>
      <c r="C7" s="18">
        <v>0.0481</v>
      </c>
      <c r="D7" s="18">
        <f>B7*C7</f>
        <v>0.00148629</v>
      </c>
      <c r="E7" s="19">
        <f>D7</f>
        <v>0.00148629</v>
      </c>
    </row>
    <row r="8" spans="1:5" ht="14.25">
      <c r="A8" s="17" t="s">
        <v>65</v>
      </c>
      <c r="B8" s="18">
        <v>0.4559</v>
      </c>
      <c r="C8" s="18">
        <v>0.06884</v>
      </c>
      <c r="D8" s="18">
        <f>B8*C8</f>
        <v>0.031384156</v>
      </c>
      <c r="E8" s="19">
        <f>D8</f>
        <v>0.031384156</v>
      </c>
    </row>
    <row r="9" spans="1:5" ht="14.25">
      <c r="A9" s="17" t="s">
        <v>66</v>
      </c>
      <c r="B9" s="18">
        <v>0.0628</v>
      </c>
      <c r="C9" s="18">
        <v>0.086</v>
      </c>
      <c r="D9" s="18">
        <f>B9*C9</f>
        <v>0.005400799999999999</v>
      </c>
      <c r="E9" s="19">
        <f>D9</f>
        <v>0.005400799999999999</v>
      </c>
    </row>
    <row r="10" spans="1:5" ht="14.25">
      <c r="A10" s="17" t="s">
        <v>70</v>
      </c>
      <c r="B10" s="18">
        <v>0.0004</v>
      </c>
      <c r="C10" s="18">
        <v>0.0851</v>
      </c>
      <c r="D10" s="18">
        <f>B10*C10</f>
        <v>3.404E-05</v>
      </c>
      <c r="E10" s="19">
        <f>D10/0.65</f>
        <v>5.2369230769230764E-05</v>
      </c>
    </row>
    <row r="11" spans="1:5" ht="14.25">
      <c r="A11" s="17" t="s">
        <v>67</v>
      </c>
      <c r="B11" s="20">
        <v>0.45</v>
      </c>
      <c r="C11" s="18">
        <v>0.1175</v>
      </c>
      <c r="D11" s="20">
        <f>B11*C11</f>
        <v>0.052875</v>
      </c>
      <c r="E11" s="21">
        <f>D11/0.65</f>
        <v>0.08134615384615385</v>
      </c>
    </row>
    <row r="12" spans="1:5" ht="15">
      <c r="A12" s="17" t="s">
        <v>68</v>
      </c>
      <c r="B12" s="18">
        <f>SUM(B7:B11)</f>
        <v>1</v>
      </c>
      <c r="C12" s="18"/>
      <c r="D12" s="22">
        <f>SUM(D7:D11)</f>
        <v>0.091180286</v>
      </c>
      <c r="E12" s="22">
        <f>ROUND(SUM(E7:E11),4)</f>
        <v>0.1197</v>
      </c>
    </row>
    <row r="16" spans="1:5" ht="31.5" customHeight="1">
      <c r="A16" s="109" t="s">
        <v>81</v>
      </c>
      <c r="B16" s="110"/>
      <c r="C16" s="110"/>
      <c r="D16" s="110"/>
      <c r="E16" s="110"/>
    </row>
    <row r="17" spans="1:5" ht="15">
      <c r="A17" s="27" t="s">
        <v>79</v>
      </c>
      <c r="B17" s="14"/>
      <c r="C17" s="14"/>
      <c r="D17" s="14"/>
      <c r="E17" s="15" t="s">
        <v>59</v>
      </c>
    </row>
    <row r="18" spans="1:5" ht="15">
      <c r="A18" s="14"/>
      <c r="B18" s="14"/>
      <c r="C18" s="14" t="s">
        <v>9</v>
      </c>
      <c r="D18" s="14" t="s">
        <v>60</v>
      </c>
      <c r="E18" s="14" t="s">
        <v>60</v>
      </c>
    </row>
    <row r="19" spans="1:5" ht="15">
      <c r="A19" s="16" t="s">
        <v>61</v>
      </c>
      <c r="B19" s="16" t="s">
        <v>62</v>
      </c>
      <c r="C19" s="16" t="s">
        <v>63</v>
      </c>
      <c r="D19" s="16" t="s">
        <v>9</v>
      </c>
      <c r="E19" s="16" t="s">
        <v>9</v>
      </c>
    </row>
    <row r="20" spans="1:5" ht="14.25">
      <c r="A20" s="17" t="s">
        <v>69</v>
      </c>
      <c r="B20" s="18">
        <v>0.0026</v>
      </c>
      <c r="C20" s="18">
        <v>0.0481</v>
      </c>
      <c r="D20" s="18">
        <f>B20*C20</f>
        <v>0.00012506</v>
      </c>
      <c r="E20" s="19">
        <f>D20</f>
        <v>0.00012506</v>
      </c>
    </row>
    <row r="21" spans="1:5" ht="14.25">
      <c r="A21" s="17" t="s">
        <v>65</v>
      </c>
      <c r="B21" s="18">
        <v>0.5163</v>
      </c>
      <c r="C21" s="18">
        <f>C8</f>
        <v>0.06884</v>
      </c>
      <c r="D21" s="18">
        <f>B21*C21</f>
        <v>0.035542092</v>
      </c>
      <c r="E21" s="19">
        <f>D21</f>
        <v>0.035542092</v>
      </c>
    </row>
    <row r="22" spans="1:6" ht="14.25">
      <c r="A22" s="17" t="s">
        <v>66</v>
      </c>
      <c r="B22" s="18">
        <v>0.0709</v>
      </c>
      <c r="C22" s="18">
        <f>C9</f>
        <v>0.086</v>
      </c>
      <c r="D22" s="18">
        <f>B22*C22</f>
        <v>0.0060974</v>
      </c>
      <c r="E22" s="19">
        <f>D22</f>
        <v>0.0060974</v>
      </c>
      <c r="F22" s="19"/>
    </row>
    <row r="23" spans="1:5" ht="14.25">
      <c r="A23" s="17" t="s">
        <v>70</v>
      </c>
      <c r="B23" s="18">
        <v>0.0102</v>
      </c>
      <c r="C23" s="18">
        <f>C10</f>
        <v>0.0851</v>
      </c>
      <c r="D23" s="18">
        <f>B23*C23</f>
        <v>0.0008680200000000001</v>
      </c>
      <c r="E23" s="19">
        <f>D23/0.65</f>
        <v>0.0013354153846153846</v>
      </c>
    </row>
    <row r="24" spans="1:5" ht="14.25">
      <c r="A24" s="17" t="s">
        <v>67</v>
      </c>
      <c r="B24" s="20">
        <v>0.4</v>
      </c>
      <c r="C24" s="18">
        <f>C11</f>
        <v>0.1175</v>
      </c>
      <c r="D24" s="20">
        <f>B24*C24</f>
        <v>0.047</v>
      </c>
      <c r="E24" s="21">
        <f>D24/0.65</f>
        <v>0.07230769230769231</v>
      </c>
    </row>
    <row r="25" spans="1:6" ht="15">
      <c r="A25" s="17" t="s">
        <v>68</v>
      </c>
      <c r="B25" s="18">
        <f>SUM(B20:B24)</f>
        <v>1</v>
      </c>
      <c r="C25" s="18"/>
      <c r="D25" s="22">
        <f>SUM(D20:D24)</f>
        <v>0.089632572</v>
      </c>
      <c r="E25" s="22">
        <f>ROUND(SUM(E20:E24),4)</f>
        <v>0.1154</v>
      </c>
      <c r="F25" s="23"/>
    </row>
    <row r="27" spans="1:6" ht="14.25">
      <c r="A27" s="13" t="s">
        <v>71</v>
      </c>
      <c r="E27" s="19">
        <f>ROUND(E12-E25,4)</f>
        <v>0.0043</v>
      </c>
      <c r="F27" s="19"/>
    </row>
    <row r="28" spans="1:6" ht="14.25">
      <c r="A28" s="13" t="s">
        <v>72</v>
      </c>
      <c r="E28" s="24">
        <v>3614</v>
      </c>
      <c r="F28" s="24"/>
    </row>
    <row r="29" spans="1:6" s="25" customFormat="1" ht="15">
      <c r="A29" s="25" t="s">
        <v>73</v>
      </c>
      <c r="E29" s="26">
        <f>ROUND(E27*E28,1)</f>
        <v>15.5</v>
      </c>
      <c r="F29" s="26"/>
    </row>
    <row r="31" ht="14.25">
      <c r="A31" s="13" t="s">
        <v>74</v>
      </c>
    </row>
  </sheetData>
  <mergeCells count="2">
    <mergeCell ref="A3:E3"/>
    <mergeCell ref="A16:E16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&amp;L&amp;10Sixth Exhibit to the 
Prefiled Rebuttal Testimony of
Donald E. Gaines&amp;R&amp;10Exhibit No. ___(DEG-15)
Page 4 of 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D39" sqref="D39"/>
    </sheetView>
  </sheetViews>
  <sheetFormatPr defaultColWidth="9.33203125" defaultRowHeight="11.25"/>
  <cols>
    <col min="1" max="1" width="21.83203125" style="13" customWidth="1"/>
    <col min="2" max="2" width="10.66015625" style="13" customWidth="1"/>
    <col min="3" max="3" width="9.33203125" style="13" customWidth="1"/>
    <col min="4" max="4" width="12.33203125" style="13" customWidth="1"/>
    <col min="5" max="6" width="14" style="13" customWidth="1"/>
    <col min="7" max="16384" width="10.66015625" style="13" customWidth="1"/>
  </cols>
  <sheetData>
    <row r="2" spans="1:5" ht="15">
      <c r="A2" s="109" t="s">
        <v>58</v>
      </c>
      <c r="B2" s="110"/>
      <c r="C2" s="110"/>
      <c r="D2" s="110"/>
      <c r="E2" s="110"/>
    </row>
    <row r="3" spans="1:5" ht="15">
      <c r="A3" s="35"/>
      <c r="B3" s="36"/>
      <c r="C3" s="36"/>
      <c r="D3" s="36"/>
      <c r="E3" s="36"/>
    </row>
    <row r="4" spans="1:5" ht="15">
      <c r="A4" s="14"/>
      <c r="B4" s="14"/>
      <c r="C4" s="14"/>
      <c r="D4" s="14"/>
      <c r="E4" s="15" t="s">
        <v>59</v>
      </c>
    </row>
    <row r="5" spans="1:5" ht="15">
      <c r="A5" s="14"/>
      <c r="B5" s="14"/>
      <c r="C5" s="14" t="s">
        <v>9</v>
      </c>
      <c r="D5" s="14" t="s">
        <v>60</v>
      </c>
      <c r="E5" s="14" t="s">
        <v>60</v>
      </c>
    </row>
    <row r="6" spans="1:5" ht="15">
      <c r="A6" s="16" t="s">
        <v>61</v>
      </c>
      <c r="B6" s="16" t="s">
        <v>62</v>
      </c>
      <c r="C6" s="16" t="s">
        <v>63</v>
      </c>
      <c r="D6" s="16" t="s">
        <v>9</v>
      </c>
      <c r="E6" s="16" t="s">
        <v>9</v>
      </c>
    </row>
    <row r="7" spans="1:5" ht="14.25">
      <c r="A7" s="17" t="s">
        <v>64</v>
      </c>
      <c r="B7" s="18">
        <v>0.0309</v>
      </c>
      <c r="C7" s="18">
        <v>0.0481</v>
      </c>
      <c r="D7" s="18">
        <f>B7*C7</f>
        <v>0.00148629</v>
      </c>
      <c r="E7" s="19">
        <f>D7</f>
        <v>0.00148629</v>
      </c>
    </row>
    <row r="8" spans="1:5" ht="14.25">
      <c r="A8" s="17" t="s">
        <v>65</v>
      </c>
      <c r="B8" s="18">
        <v>0.4559</v>
      </c>
      <c r="C8" s="18">
        <v>0.06884</v>
      </c>
      <c r="D8" s="18">
        <f>B8*C8</f>
        <v>0.031384156</v>
      </c>
      <c r="E8" s="19">
        <f>D8</f>
        <v>0.031384156</v>
      </c>
    </row>
    <row r="9" spans="1:5" ht="14.25">
      <c r="A9" s="17" t="s">
        <v>66</v>
      </c>
      <c r="B9" s="18">
        <v>0.0628</v>
      </c>
      <c r="C9" s="18">
        <v>0.086</v>
      </c>
      <c r="D9" s="18">
        <f>B9*C9</f>
        <v>0.005400799999999999</v>
      </c>
      <c r="E9" s="19">
        <f>D9</f>
        <v>0.005400799999999999</v>
      </c>
    </row>
    <row r="10" spans="1:5" ht="14.25">
      <c r="A10" s="17" t="s">
        <v>70</v>
      </c>
      <c r="B10" s="18">
        <v>0.0004</v>
      </c>
      <c r="C10" s="18">
        <v>0.0851</v>
      </c>
      <c r="D10" s="18">
        <f>B10*C10</f>
        <v>3.404E-05</v>
      </c>
      <c r="E10" s="19">
        <f>D10/0.65</f>
        <v>5.2369230769230764E-05</v>
      </c>
    </row>
    <row r="11" spans="1:5" ht="14.25">
      <c r="A11" s="17" t="s">
        <v>67</v>
      </c>
      <c r="B11" s="20">
        <v>0.45</v>
      </c>
      <c r="C11" s="18">
        <v>0.1175</v>
      </c>
      <c r="D11" s="20">
        <f>B11*C11</f>
        <v>0.052875</v>
      </c>
      <c r="E11" s="21">
        <f>D11/0.65</f>
        <v>0.08134615384615385</v>
      </c>
    </row>
    <row r="12" spans="1:5" ht="15">
      <c r="A12" s="17" t="s">
        <v>68</v>
      </c>
      <c r="B12" s="18">
        <f>SUM(B7:B11)</f>
        <v>1</v>
      </c>
      <c r="C12" s="18"/>
      <c r="D12" s="22">
        <f>SUM(D7:D11)</f>
        <v>0.091180286</v>
      </c>
      <c r="E12" s="22">
        <f>ROUND(SUM(E7:E11),4)</f>
        <v>0.1197</v>
      </c>
    </row>
    <row r="13" spans="1:5" ht="15">
      <c r="A13" s="17"/>
      <c r="B13" s="18"/>
      <c r="C13" s="18"/>
      <c r="D13" s="22"/>
      <c r="E13" s="22"/>
    </row>
    <row r="14" spans="1:5" ht="15">
      <c r="A14" s="17"/>
      <c r="B14" s="18"/>
      <c r="C14" s="18"/>
      <c r="D14" s="22"/>
      <c r="E14" s="22"/>
    </row>
    <row r="17" spans="1:5" ht="45" customHeight="1">
      <c r="A17" s="109" t="s">
        <v>78</v>
      </c>
      <c r="B17" s="110"/>
      <c r="C17" s="110"/>
      <c r="D17" s="110"/>
      <c r="E17" s="110"/>
    </row>
    <row r="18" spans="1:4" ht="15">
      <c r="A18" s="27"/>
      <c r="B18" s="14"/>
      <c r="C18" s="14"/>
      <c r="D18" s="14"/>
    </row>
    <row r="19" spans="1:5" ht="15">
      <c r="A19" s="35"/>
      <c r="B19" s="36"/>
      <c r="C19" s="36"/>
      <c r="D19" s="36"/>
      <c r="E19" s="15" t="s">
        <v>59</v>
      </c>
    </row>
    <row r="20" spans="1:5" ht="15">
      <c r="A20" s="14"/>
      <c r="B20" s="14"/>
      <c r="C20" s="14" t="s">
        <v>9</v>
      </c>
      <c r="D20" s="14" t="s">
        <v>60</v>
      </c>
      <c r="E20" s="14" t="s">
        <v>60</v>
      </c>
    </row>
    <row r="21" spans="1:5" ht="15">
      <c r="A21" s="16" t="s">
        <v>61</v>
      </c>
      <c r="B21" s="16" t="s">
        <v>62</v>
      </c>
      <c r="C21" s="16" t="s">
        <v>63</v>
      </c>
      <c r="D21" s="16" t="s">
        <v>9</v>
      </c>
      <c r="E21" s="16" t="s">
        <v>9</v>
      </c>
    </row>
    <row r="22" spans="1:5" ht="14.25">
      <c r="A22" s="17" t="s">
        <v>69</v>
      </c>
      <c r="B22" s="18">
        <v>0.0026</v>
      </c>
      <c r="C22" s="18">
        <v>0.0481</v>
      </c>
      <c r="D22" s="18">
        <f>B22*C22</f>
        <v>0.00012506</v>
      </c>
      <c r="E22" s="19">
        <f>D22</f>
        <v>0.00012506</v>
      </c>
    </row>
    <row r="23" spans="1:5" ht="14.25">
      <c r="A23" s="17" t="s">
        <v>65</v>
      </c>
      <c r="B23" s="18">
        <v>0.5163</v>
      </c>
      <c r="C23" s="18">
        <f>C8</f>
        <v>0.06884</v>
      </c>
      <c r="D23" s="18">
        <f>B23*C23</f>
        <v>0.035542092</v>
      </c>
      <c r="E23" s="19">
        <f>D23</f>
        <v>0.035542092</v>
      </c>
    </row>
    <row r="24" spans="1:6" ht="14.25">
      <c r="A24" s="17" t="s">
        <v>66</v>
      </c>
      <c r="B24" s="18">
        <v>0.0709</v>
      </c>
      <c r="C24" s="18">
        <f>C9</f>
        <v>0.086</v>
      </c>
      <c r="D24" s="18">
        <f>B24*C24</f>
        <v>0.0060974</v>
      </c>
      <c r="E24" s="19">
        <f>D24</f>
        <v>0.0060974</v>
      </c>
      <c r="F24" s="19"/>
    </row>
    <row r="25" spans="1:5" ht="14.25">
      <c r="A25" s="17" t="s">
        <v>70</v>
      </c>
      <c r="B25" s="18">
        <v>0.0102</v>
      </c>
      <c r="C25" s="18">
        <f>C10</f>
        <v>0.0851</v>
      </c>
      <c r="D25" s="18">
        <f>B25*C25</f>
        <v>0.0008680200000000001</v>
      </c>
      <c r="E25" s="19">
        <f>D25/0.65</f>
        <v>0.0013354153846153846</v>
      </c>
    </row>
    <row r="26" spans="1:5" ht="14.25">
      <c r="A26" s="17" t="s">
        <v>67</v>
      </c>
      <c r="B26" s="20">
        <v>0.4</v>
      </c>
      <c r="C26" s="18">
        <f>C11</f>
        <v>0.1175</v>
      </c>
      <c r="D26" s="20">
        <f>B26*C26</f>
        <v>0.047</v>
      </c>
      <c r="E26" s="21">
        <f>D26/0.65</f>
        <v>0.07230769230769231</v>
      </c>
    </row>
    <row r="27" spans="1:6" ht="15">
      <c r="A27" s="17" t="s">
        <v>68</v>
      </c>
      <c r="B27" s="18">
        <f>SUM(B22:B26)</f>
        <v>1</v>
      </c>
      <c r="C27" s="18"/>
      <c r="D27" s="22">
        <f>SUM(D22:D26)</f>
        <v>0.089632572</v>
      </c>
      <c r="E27" s="22">
        <f>ROUND(SUM(E22:E26),4)</f>
        <v>0.1154</v>
      </c>
      <c r="F27" s="23"/>
    </row>
    <row r="29" spans="1:6" ht="14.25">
      <c r="A29" s="13" t="s">
        <v>71</v>
      </c>
      <c r="E29" s="19">
        <f>ROUND(E12-E27,4)</f>
        <v>0.0043</v>
      </c>
      <c r="F29" s="19"/>
    </row>
    <row r="30" spans="1:6" ht="14.25">
      <c r="A30" s="13" t="s">
        <v>72</v>
      </c>
      <c r="E30" s="24">
        <v>3614</v>
      </c>
      <c r="F30" s="24"/>
    </row>
    <row r="31" spans="1:6" s="25" customFormat="1" ht="15">
      <c r="A31" s="25" t="s">
        <v>73</v>
      </c>
      <c r="E31" s="26">
        <f>ROUND(E29*E30,1)</f>
        <v>15.5</v>
      </c>
      <c r="F31" s="26"/>
    </row>
    <row r="33" ht="14.25">
      <c r="A33" s="13" t="s">
        <v>74</v>
      </c>
    </row>
  </sheetData>
  <mergeCells count="2">
    <mergeCell ref="A17:E17"/>
    <mergeCell ref="A2:E2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&amp;L&amp;10Sixth Exhibit to the 
Prefiled Rebuttal Testimony of
Donald E. Gaines&amp;R&amp;10Exhibit No. ___(DEG-15)
Page 5 of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2004-11-03T05:50:07Z</cp:lastPrinted>
  <dcterms:created xsi:type="dcterms:W3CDTF">2004-10-25T16:47:59Z</dcterms:created>
  <dcterms:modified xsi:type="dcterms:W3CDTF">2004-11-05T00:28:25Z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