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BFA4C390-8705-47C5-A48E-7D5008CAF507}" xr6:coauthVersionLast="47" xr6:coauthVersionMax="47" xr10:uidLastSave="{00000000-0000-0000-0000-000000000000}"/>
  <bookViews>
    <workbookView xWindow="-120" yWindow="480" windowWidth="19440" windowHeight="15000" tabRatio="904" xr2:uid="{F9F70C04-A958-4362-AB8B-C1725C2637F0}"/>
  </bookViews>
  <sheets>
    <sheet name="Summary PCORC 2026" sheetId="1" r:id="rId1"/>
    <sheet name="PrePost - RY2 MYRP Compliance" sheetId="70" r:id="rId2"/>
    <sheet name="PrePost - 2026 Initial Filing" sheetId="69" r:id="rId3"/>
    <sheet name="Production Factor Adjustment" sheetId="68" r:id="rId4"/>
    <sheet name="RY2 MYRP Production Factor" sheetId="72" r:id="rId5"/>
    <sheet name="2026 PCORC Production Factor" sheetId="66" r:id="rId6"/>
    <sheet name="PTC" sheetId="73" r:id="rId7"/>
  </sheet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4" hidden="1">{#N/A,#N/A,FALSE,"CRPT";#N/A,#N/A,FALSE,"TREND";#N/A,#N/A,FALSE,"%Curve"}</definedName>
    <definedName name="__________________six6" hidden="1">{#N/A,#N/A,FALSE,"CRPT";#N/A,#N/A,FALSE,"TREND";#N/A,#N/A,FALSE,"%Curve"}</definedName>
    <definedName name="__________________www1" localSheetId="4" hidden="1">{#N/A,#N/A,FALSE,"schA"}</definedName>
    <definedName name="__________________www1" hidden="1">{#N/A,#N/A,FALSE,"schA"}</definedName>
    <definedName name="_________________OM1" hidden="1">{#N/A,#N/A,FALSE,"Summary";#N/A,#N/A,FALSE,"SmPlants";#N/A,#N/A,FALSE,"Utah";#N/A,#N/A,FALSE,"Idaho";#N/A,#N/A,FALSE,"Lewis River";#N/A,#N/A,FALSE,"NrthUmpq";#N/A,#N/A,FALSE,"KlamRog"}</definedName>
    <definedName name="_________________six6" localSheetId="4" hidden="1">{#N/A,#N/A,FALSE,"CRPT";#N/A,#N/A,FALSE,"TREND";#N/A,#N/A,FALSE,"%Curve"}</definedName>
    <definedName name="_________________six6" hidden="1">{#N/A,#N/A,FALSE,"CRPT";#N/A,#N/A,FALSE,"TREND";#N/A,#N/A,FALSE,"%Curve"}</definedName>
    <definedName name="_________________www1" localSheetId="4" hidden="1">{#N/A,#N/A,FALSE,"schA"}</definedName>
    <definedName name="_________________www1" hidden="1">{#N/A,#N/A,FALSE,"schA"}</definedName>
    <definedName name="________________six6" localSheetId="4" hidden="1">{#N/A,#N/A,FALSE,"CRPT";#N/A,#N/A,FALSE,"TREND";#N/A,#N/A,FALSE,"%Curve"}</definedName>
    <definedName name="________________six6" hidden="1">{#N/A,#N/A,FALSE,"CRPT";#N/A,#N/A,FALSE,"TREND";#N/A,#N/A,FALSE,"%Curve"}</definedName>
    <definedName name="________________www1" localSheetId="4" hidden="1">{#N/A,#N/A,FALSE,"schA"}</definedName>
    <definedName name="________________www1" hidden="1">{#N/A,#N/A,FALSE,"schA"}</definedName>
    <definedName name="_______________six6" localSheetId="4" hidden="1">{#N/A,#N/A,FALSE,"CRPT";#N/A,#N/A,FALSE,"TREND";#N/A,#N/A,FALSE,"%Curve"}</definedName>
    <definedName name="_______________six6" hidden="1">{#N/A,#N/A,FALSE,"CRPT";#N/A,#N/A,FALSE,"TREND";#N/A,#N/A,FALSE,"%Curve"}</definedName>
    <definedName name="_______________www1" localSheetId="4" hidden="1">{#N/A,#N/A,FALSE,"schA"}</definedName>
    <definedName name="_______________www1" hidden="1">{#N/A,#N/A,FALSE,"schA"}</definedName>
    <definedName name="______________OM1" hidden="1">{#N/A,#N/A,FALSE,"Summary";#N/A,#N/A,FALSE,"SmPlants";#N/A,#N/A,FALSE,"Utah";#N/A,#N/A,FALSE,"Idaho";#N/A,#N/A,FALSE,"Lewis River";#N/A,#N/A,FALSE,"NrthUmpq";#N/A,#N/A,FALSE,"KlamRog"}</definedName>
    <definedName name="______________six6" localSheetId="4" hidden="1">{#N/A,#N/A,FALSE,"CRPT";#N/A,#N/A,FALSE,"TREND";#N/A,#N/A,FALSE,"%Curve"}</definedName>
    <definedName name="______________six6" hidden="1">{#N/A,#N/A,FALSE,"CRPT";#N/A,#N/A,FALSE,"TREND";#N/A,#N/A,FALSE,"%Curve"}</definedName>
    <definedName name="______________www1" localSheetId="4" hidden="1">{#N/A,#N/A,FALSE,"schA"}</definedName>
    <definedName name="______________www1" hidden="1">{#N/A,#N/A,FALSE,"schA"}</definedName>
    <definedName name="_____________six6" localSheetId="4" hidden="1">{#N/A,#N/A,FALSE,"CRPT";#N/A,#N/A,FALSE,"TREND";#N/A,#N/A,FALSE,"%Curve"}</definedName>
    <definedName name="_____________six6" hidden="1">{#N/A,#N/A,FALSE,"CRPT";#N/A,#N/A,FALSE,"TREND";#N/A,#N/A,FALSE,"%Curve"}</definedName>
    <definedName name="_____________www1" localSheetId="4" hidden="1">{#N/A,#N/A,FALSE,"schA"}</definedName>
    <definedName name="_____________www1" hidden="1">{#N/A,#N/A,FALSE,"schA"}</definedName>
    <definedName name="____________OM1" hidden="1">{#N/A,#N/A,FALSE,"Summary";#N/A,#N/A,FALSE,"SmPlants";#N/A,#N/A,FALSE,"Utah";#N/A,#N/A,FALSE,"Idaho";#N/A,#N/A,FALSE,"Lewis River";#N/A,#N/A,FALSE,"NrthUmpq";#N/A,#N/A,FALSE,"KlamRog"}</definedName>
    <definedName name="____________six6" localSheetId="4" hidden="1">{#N/A,#N/A,FALSE,"CRPT";#N/A,#N/A,FALSE,"TREND";#N/A,#N/A,FALSE,"%Curve"}</definedName>
    <definedName name="____________six6" hidden="1">{#N/A,#N/A,FALSE,"CRPT";#N/A,#N/A,FALSE,"TREND";#N/A,#N/A,FALSE,"%Curve"}</definedName>
    <definedName name="____________www1" localSheetId="4" hidden="1">{#N/A,#N/A,FALSE,"schA"}</definedName>
    <definedName name="____________www1" hidden="1">{#N/A,#N/A,FALSE,"schA"}</definedName>
    <definedName name="___________OM1" hidden="1">{#N/A,#N/A,FALSE,"Summary";#N/A,#N/A,FALSE,"SmPlants";#N/A,#N/A,FALSE,"Utah";#N/A,#N/A,FALSE,"Idaho";#N/A,#N/A,FALSE,"Lewis River";#N/A,#N/A,FALSE,"NrthUmpq";#N/A,#N/A,FALSE,"KlamRog"}</definedName>
    <definedName name="___________six6" localSheetId="4" hidden="1">{#N/A,#N/A,FALSE,"CRPT";#N/A,#N/A,FALSE,"TREND";#N/A,#N/A,FALSE,"%Curve"}</definedName>
    <definedName name="___________six6" hidden="1">{#N/A,#N/A,FALSE,"CRPT";#N/A,#N/A,FALSE,"TREND";#N/A,#N/A,FALSE,"%Curve"}</definedName>
    <definedName name="___________www1" localSheetId="4" hidden="1">{#N/A,#N/A,FALSE,"schA"}</definedName>
    <definedName name="___________www1" hidden="1">{#N/A,#N/A,FALSE,"schA"}</definedName>
    <definedName name="__________six6" localSheetId="4" hidden="1">{#N/A,#N/A,FALSE,"CRPT";#N/A,#N/A,FALSE,"TREND";#N/A,#N/A,FALSE,"%Curve"}</definedName>
    <definedName name="__________six6" hidden="1">{#N/A,#N/A,FALSE,"CRPT";#N/A,#N/A,FALSE,"TREND";#N/A,#N/A,FALSE,"%Curve"}</definedName>
    <definedName name="__________www1" localSheetId="4" hidden="1">{#N/A,#N/A,FALSE,"schA"}</definedName>
    <definedName name="__________www1" hidden="1">{#N/A,#N/A,FALSE,"schA"}</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_six6" localSheetId="4" hidden="1">{#N/A,#N/A,FALSE,"CRPT";#N/A,#N/A,FALSE,"TREND";#N/A,#N/A,FALSE,"%Curve"}</definedName>
    <definedName name="_________six6" hidden="1">{#N/A,#N/A,FALSE,"CRPT";#N/A,#N/A,FALSE,"TREND";#N/A,#N/A,FALSE,"%Curve"}</definedName>
    <definedName name="_________www1" localSheetId="4" hidden="1">{#N/A,#N/A,FALSE,"schA"}</definedName>
    <definedName name="_________www1" hidden="1">{#N/A,#N/A,FALSE,"schA"}</definedName>
    <definedName name="________j1" localSheetId="4"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4"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4"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4"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4" hidden="1">{#N/A,#N/A,FALSE,"CRPT";#N/A,#N/A,FALSE,"TREND";#N/A,#N/A,FALSE,"%Curve"}</definedName>
    <definedName name="________six6" hidden="1">{#N/A,#N/A,FALSE,"CRPT";#N/A,#N/A,FALSE,"TREND";#N/A,#N/A,FALSE,"%Curve"}</definedName>
    <definedName name="________www1" localSheetId="4" hidden="1">{#N/A,#N/A,FALSE,"schA"}</definedName>
    <definedName name="________www1" hidden="1">{#N/A,#N/A,FALSE,"schA"}</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_six6" localSheetId="4" hidden="1">{#N/A,#N/A,FALSE,"CRPT";#N/A,#N/A,FALSE,"TREND";#N/A,#N/A,FALSE,"%Curve"}</definedName>
    <definedName name="_______six6" hidden="1">{#N/A,#N/A,FALSE,"CRPT";#N/A,#N/A,FALSE,"TREND";#N/A,#N/A,FALSE,"%Curve"}</definedName>
    <definedName name="_______www1" localSheetId="4" hidden="1">{#N/A,#N/A,FALSE,"schA"}</definedName>
    <definedName name="_______www1" hidden="1">{#N/A,#N/A,FALSE,"schA"}</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_six6" localSheetId="4" hidden="1">{#N/A,#N/A,FALSE,"CRPT";#N/A,#N/A,FALSE,"TREND";#N/A,#N/A,FALSE,"%Curve"}</definedName>
    <definedName name="______six6" hidden="1">{#N/A,#N/A,FALSE,"CRPT";#N/A,#N/A,FALSE,"TREND";#N/A,#N/A,FALSE,"%Curve"}</definedName>
    <definedName name="______www1" localSheetId="4" hidden="1">{#N/A,#N/A,FALSE,"schA"}</definedName>
    <definedName name="______www1" hidden="1">{#N/A,#N/A,FALSE,"schA"}</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_six6" localSheetId="4" hidden="1">{#N/A,#N/A,FALSE,"CRPT";#N/A,#N/A,FALSE,"TREND";#N/A,#N/A,FALSE,"%Curve"}</definedName>
    <definedName name="_____six6" hidden="1">{#N/A,#N/A,FALSE,"CRPT";#N/A,#N/A,FALSE,"TREND";#N/A,#N/A,FALSE,"%Curve"}</definedName>
    <definedName name="_____www1" localSheetId="4" hidden="1">{#N/A,#N/A,FALSE,"schA"}</definedName>
    <definedName name="_____www1" hidden="1">{#N/A,#N/A,FALSE,"schA"}</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_six6" localSheetId="4" hidden="1">{#N/A,#N/A,FALSE,"CRPT";#N/A,#N/A,FALSE,"TREND";#N/A,#N/A,FALSE,"%Curve"}</definedName>
    <definedName name="____six6" hidden="1">{#N/A,#N/A,FALSE,"CRPT";#N/A,#N/A,FALSE,"TREND";#N/A,#N/A,FALSE,"%Curve"}</definedName>
    <definedName name="____www1" localSheetId="4" hidden="1">{#N/A,#N/A,FALSE,"schA"}</definedName>
    <definedName name="____www1" hidden="1">{#N/A,#N/A,FALSE,"schA"}</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_six6" localSheetId="4" hidden="1">{#N/A,#N/A,FALSE,"CRPT";#N/A,#N/A,FALSE,"TREND";#N/A,#N/A,FALSE,"%Curve"}</definedName>
    <definedName name="___six6" hidden="1">{#N/A,#N/A,FALSE,"CRPT";#N/A,#N/A,FALSE,"TREND";#N/A,#N/A,FALSE,"%Curve"}</definedName>
    <definedName name="___www1" localSheetId="4" hidden="1">{#N/A,#N/A,FALSE,"schA"}</definedName>
    <definedName name="___www1" hidden="1">{#N/A,#N/A,FALSE,"schA"}</definedName>
    <definedName name="__123Graph_A" hidden="1">#REF!</definedName>
    <definedName name="__123Graph_B" hidden="1">#REF!</definedName>
    <definedName name="__123Graph_D" hidden="1">#REF!</definedName>
    <definedName name="__123Graph_E" hidden="1">#REF!</definedName>
    <definedName name="__123Graph_ECURRENT" hidden="1">#REF!</definedName>
    <definedName name="__123Graph_F" hidden="1">#REF!</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_six6" localSheetId="4" hidden="1">{#N/A,#N/A,FALSE,"CRPT";#N/A,#N/A,FALSE,"TREND";#N/A,#N/A,FALSE,"%Curve"}</definedName>
    <definedName name="__six6" hidden="1">{#N/A,#N/A,FALSE,"CRPT";#N/A,#N/A,FALSE,"TREND";#N/A,#N/A,FALSE,"%Curve"}</definedName>
    <definedName name="__www1" localSheetId="4" hidden="1">{#N/A,#N/A,FALSE,"schA"}</definedName>
    <definedName name="__www1" hidden="1">{#N/A,#N/A,FALSE,"schA"}</definedName>
    <definedName name="_ex1" localSheetId="4" hidden="1">{#N/A,#N/A,FALSE,"Summ";#N/A,#N/A,FALSE,"General"}</definedName>
    <definedName name="_ex1" hidden="1">{#N/A,#N/A,FALSE,"Summ";#N/A,#N/A,FALSE,"General"}</definedName>
    <definedName name="_Fill" hidden="1">#REF!</definedName>
    <definedName name="_xlnm._FilterDatabase" hidden="1">#REF!</definedName>
    <definedName name="_j1" localSheetId="6"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ew1" localSheetId="4" hidden="1">{#N/A,#N/A,FALSE,"Summ";#N/A,#N/A,FALSE,"General"}</definedName>
    <definedName name="_new1" hidden="1">{#N/A,#N/A,FALSE,"Summ";#N/A,#N/A,FALSE,"General"}</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hidden="1">#REF!</definedName>
    <definedName name="_Regression_X" hidden="1">#REF!</definedName>
    <definedName name="_Regression_Y" hidden="1">#REF!</definedName>
    <definedName name="_six6" localSheetId="4" hidden="1">{#N/A,#N/A,FALSE,"CRPT";#N/A,#N/A,FALSE,"TREND";#N/A,#N/A,FALSE,"%Curve"}</definedName>
    <definedName name="_six6" hidden="1">{#N/A,#N/A,FALSE,"CRPT";#N/A,#N/A,FALSE,"TREND";#N/A,#N/A,FALSE,"%Curve"}</definedName>
    <definedName name="_Sort" hidden="1">#REF!</definedName>
    <definedName name="_www1" localSheetId="4" hidden="1">{#N/A,#N/A,FALSE,"schA"}</definedName>
    <definedName name="_www1" hidden="1">{#N/A,#N/A,FALSE,"schA"}</definedName>
    <definedName name="_x1" localSheetId="4"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4"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4"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4"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#REF!</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localSheetId="4"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4" hidden="1">{#N/A,#N/A,FALSE,"Coversheet";#N/A,#N/A,FALSE,"QA"}</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amas" hidden="1">{#N/A,#N/A,FALSE,"Summary";#N/A,#N/A,FALSE,"SmPlants";#N/A,#N/A,FALSE,"Utah";#N/A,#N/A,FALSE,"Idaho";#N/A,#N/A,FALSE,"Lewis River";#N/A,#N/A,FALSE,"NrthUmpq";#N/A,#N/A,FALSE,"KlamRog"}</definedName>
    <definedName name="CBWorkbookPriority" hidden="1">-2060790043</definedName>
    <definedName name="cgf" localSheetId="6"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localSheetId="4"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6"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ana" localSheetId="4"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4" hidden="1">{#N/A,#N/A,FALSE,"Summary 1";#N/A,#N/A,FALSE,"Domestic";#N/A,#N/A,FALSE,"Australia";#N/A,#N/A,FALSE,"Other"}</definedName>
    <definedName name="dana1" hidden="1">{#N/A,#N/A,FALSE,"Summary 1";#N/A,#N/A,FALSE,"Domestic";#N/A,#N/A,FALSE,"Australia";#N/A,#N/A,FALSE,"Other"}</definedName>
    <definedName name="DELETE01" localSheetId="4" hidden="1">{#N/A,#N/A,FALSE,"Coversheet";#N/A,#N/A,FALSE,"QA"}</definedName>
    <definedName name="DELETE01" hidden="1">{#N/A,#N/A,FALSE,"Coversheet";#N/A,#N/A,FALSE,"QA"}</definedName>
    <definedName name="DELETE02" localSheetId="4" hidden="1">{#N/A,#N/A,FALSE,"Schedule F";#N/A,#N/A,FALSE,"Schedule G"}</definedName>
    <definedName name="DELETE02" hidden="1">{#N/A,#N/A,FALSE,"Schedule F";#N/A,#N/A,FALSE,"Schedule G"}</definedName>
    <definedName name="Delete06" localSheetId="4" hidden="1">{#N/A,#N/A,FALSE,"Coversheet";#N/A,#N/A,FALSE,"QA"}</definedName>
    <definedName name="Delete06" hidden="1">{#N/A,#N/A,FALSE,"Coversheet";#N/A,#N/A,FALSE,"QA"}</definedName>
    <definedName name="Delete09" localSheetId="4" hidden="1">{#N/A,#N/A,FALSE,"Coversheet";#N/A,#N/A,FALSE,"QA"}</definedName>
    <definedName name="Delete09" hidden="1">{#N/A,#N/A,FALSE,"Coversheet";#N/A,#N/A,FALSE,"QA"}</definedName>
    <definedName name="Delete1" localSheetId="4" hidden="1">{#N/A,#N/A,FALSE,"Coversheet";#N/A,#N/A,FALSE,"QA"}</definedName>
    <definedName name="Delete1" hidden="1">{#N/A,#N/A,FALSE,"Coversheet";#N/A,#N/A,FALSE,"QA"}</definedName>
    <definedName name="Delete10" localSheetId="4" hidden="1">{#N/A,#N/A,FALSE,"Schedule F";#N/A,#N/A,FALSE,"Schedule G"}</definedName>
    <definedName name="Delete10" hidden="1">{#N/A,#N/A,FALSE,"Schedule F";#N/A,#N/A,FALSE,"Schedule G"}</definedName>
    <definedName name="Delete21" localSheetId="4" hidden="1">{#N/A,#N/A,FALSE,"Coversheet";#N/A,#N/A,FALSE,"QA"}</definedName>
    <definedName name="Delete21" hidden="1">{#N/A,#N/A,FALSE,"Coversheet";#N/A,#N/A,FALSE,"QA"}</definedName>
    <definedName name="DFIT" localSheetId="4" hidden="1">{#N/A,#N/A,FALSE,"Coversheet";#N/A,#N/A,FALSE,"QA"}</definedName>
    <definedName name="DFIT" hidden="1">{#N/A,#N/A,FALSE,"Coversheet";#N/A,#N/A,FALSE,"QA"}</definedName>
    <definedName name="dsd" hidden="1">#REF!</definedName>
    <definedName name="DUDE" hidden="1">#REF!</definedName>
    <definedName name="ee" localSheetId="4" hidden="1">{#N/A,#N/A,FALSE,"Month ";#N/A,#N/A,FALSE,"YTD";#N/A,#N/A,FALSE,"12 mo ended"}</definedName>
    <definedName name="ee" hidden="1">{#N/A,#N/A,FALSE,"Month ";#N/A,#N/A,FALSE,"YTD";#N/A,#N/A,FALSE,"12 mo ended"}</definedName>
    <definedName name="energy" localSheetId="6"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4" hidden="1">{#N/A,#N/A,FALSE,"Coversheet";#N/A,#N/A,FALSE,"QA"}</definedName>
    <definedName name="error" hidden="1">{#N/A,#N/A,FALSE,"Coversheet";#N/A,#N/A,FALSE,"QA"}</definedName>
    <definedName name="Estimate" localSheetId="4" hidden="1">{#N/A,#N/A,FALSE,"Summ";#N/A,#N/A,FALSE,"General"}</definedName>
    <definedName name="Estimate" hidden="1">{#N/A,#N/A,FALSE,"Summ";#N/A,#N/A,FALSE,"General"}</definedName>
    <definedName name="ex" localSheetId="4" hidden="1">{#N/A,#N/A,FALSE,"Summ";#N/A,#N/A,FALSE,"General"}</definedName>
    <definedName name="ex" hidden="1">{#N/A,#N/A,FALSE,"Summ";#N/A,#N/A,FALSE,"General"}</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dasfda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4" hidden="1">{#N/A,#N/A,FALSE,"Month ";#N/A,#N/A,FALSE,"YTD";#N/A,#N/A,FALSE,"12 mo ended"}</definedName>
    <definedName name="fdsafdasfdsa" hidden="1">{#N/A,#N/A,FALSE,"Month ";#N/A,#N/A,FALSE,"YTD";#N/A,#N/A,FALSE,"12 mo ended"}</definedName>
    <definedName name="ffff" localSheetId="4" hidden="1">{#N/A,#N/A,FALSE,"Coversheet";#N/A,#N/A,FALSE,"QA"}</definedName>
    <definedName name="ffff" hidden="1">{#N/A,#N/A,FALSE,"Coversheet";#N/A,#N/A,FALSE,"QA"}</definedName>
    <definedName name="fffgf" localSheetId="4"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6"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6"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localSheetId="4" hidden="1">{#N/A,#N/A,FALSE,"Pg 6b CustCount_Gas";#N/A,#N/A,FALSE,"QA";#N/A,#N/A,FALSE,"Report";#N/A,#N/A,FALSE,"forecast"}</definedName>
    <definedName name="helllo" hidden="1">{#N/A,#N/A,FALSE,"Pg 6b CustCount_Gas";#N/A,#N/A,FALSE,"QA";#N/A,#N/A,FALSE,"Report";#N/A,#N/A,FALSE,"forecast"}</definedName>
    <definedName name="Hello"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4" hidden="1">{#N/A,#N/A,FALSE,"Coversheet";#N/A,#N/A,FALSE,"QA"}</definedName>
    <definedName name="HELP" hidden="1">{#N/A,#N/A,FALSE,"Coversheet";#N/A,#N/A,FALSE,"QA"}</definedName>
    <definedName name="HROptim" hidden="1">{#N/A,#N/A,FALSE,"Summary";#N/A,#N/A,FALSE,"SmPlants";#N/A,#N/A,FALSE,"Utah";#N/A,#N/A,FALSE,"Idaho";#N/A,#N/A,FALSE,"Lewis River";#N/A,#N/A,FALSE,"NrthUmpq";#N/A,#N/A,FALSE,"KlamRog"}</definedName>
    <definedName name="HTML_CodePage" hidden="1">1252</definedName>
    <definedName name="HTML_Control" localSheetId="4"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localSheetId="4"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ventory" hidden="1">{#N/A,#N/A,FALSE,"Summary";#N/A,#N/A,FALSE,"SmPlants";#N/A,#N/A,FALSE,"Utah";#N/A,#N/A,FALSE,"Idaho";#N/A,#N/A,FALSE,"Lewis River";#N/A,#N/A,FALSE,"NrthUmpq";#N/A,#N/A,FALSE,"KlamRog"}</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41449.5882638889</definedName>
    <definedName name="IQ_QTD" hidden="1">750000</definedName>
    <definedName name="IQ_TODAY" hidden="1">0</definedName>
    <definedName name="IQ_YTDMONTH" hidden="1">130000</definedName>
    <definedName name="ISytd" localSheetId="4"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4"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localSheetId="4" hidden="1">{#N/A,#N/A,FALSE,"Summ";#N/A,#N/A,FALSE,"General"}</definedName>
    <definedName name="jfkljsdkljiejgr" hidden="1">{#N/A,#N/A,FALSE,"Summ";#N/A,#N/A,FALSE,"General"}</definedName>
    <definedName name="junk" localSheetId="6"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0"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0"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6"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localSheetId="4" hidden="1">{#N/A,#N/A,FALSE,"Coversheet";#N/A,#N/A,FALSE,"QA"}</definedName>
    <definedName name="lookup" hidden="1">{#N/A,#N/A,FALSE,"Coversheet";#N/A,#N/A,FALSE,"QA"}</definedName>
    <definedName name="Master" localSheetId="6" hidden="1">{#N/A,#N/A,FALSE,"Actual";#N/A,#N/A,FALSE,"Normalized";#N/A,#N/A,FALSE,"Electric Actual";#N/A,#N/A,FALSE,"Electric Normalized"}</definedName>
    <definedName name="Master" hidden="1">{#N/A,#N/A,FALSE,"Actual";#N/A,#N/A,FALSE,"Normalized";#N/A,#N/A,FALSE,"Electric Actual";#N/A,#N/A,FALSE,"Electric Normalized"}</definedName>
    <definedName name="Miller" localSheetId="4" hidden="1">{#N/A,#N/A,FALSE,"Expenditures";#N/A,#N/A,FALSE,"Property Placed In-Service";#N/A,#N/A,FALSE,"CWIP Balances"}</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ew" localSheetId="4"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4"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6"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6"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#REF!</definedName>
    <definedName name="_xlnm.Print_Area" localSheetId="5">'2026 PCORC Production Factor'!$A$1:$H$45</definedName>
    <definedName name="_xlnm.Print_Area" localSheetId="2">'PrePost - 2026 Initial Filing'!$A$1:$G$84</definedName>
    <definedName name="_xlnm.Print_Area" localSheetId="1">'PrePost - RY2 MYRP Compliance'!$A$1:$I$81</definedName>
    <definedName name="_xlnm.Print_Area" localSheetId="3">'Production Factor Adjustment'!$A$1:$D$17</definedName>
    <definedName name="_xlnm.Print_Area" localSheetId="6">PTC!$A$1:$O$81</definedName>
    <definedName name="_xlnm.Print_Area" localSheetId="4">'RY2 MYRP Production Factor'!$A$1:$H$30</definedName>
    <definedName name="_xlnm.Print_Area" localSheetId="0">'Summary PCORC 2026'!$B$1:$F$46</definedName>
    <definedName name="_xlnm.Print_Titles" localSheetId="0">'Summary PCORC 2026'!$B:$D</definedName>
    <definedName name="q" localSheetId="4" hidden="1">{#N/A,#N/A,FALSE,"Coversheet";#N/A,#N/A,FALSE,"QA"}</definedName>
    <definedName name="q" hidden="1">{#N/A,#N/A,FALSE,"Coversheet";#N/A,#N/A,FALSE,"QA"}</definedName>
    <definedName name="qqq" localSheetId="4" hidden="1">{#N/A,#N/A,FALSE,"schA"}</definedName>
    <definedName name="qqq" hidden="1">{#N/A,#N/A,FALSE,"schA"}</definedName>
    <definedName name="retail" localSheetId="6"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6" hidden="1">{"PRINT",#N/A,TRUE,"APPA";"PRINT",#N/A,TRUE,"APS";"PRINT",#N/A,TRUE,"BHPL";"PRINT",#N/A,TRUE,"BHPL2";"PRINT",#N/A,TRUE,"CDWR";"PRINT",#N/A,TRUE,"EWEB";"PRINT",#N/A,TRUE,"LADWP";"PRINT",#N/A,TRUE,"NEVBASE"}</definedName>
    <definedName name="rrr" localSheetId="0"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localSheetId="0" hidden="1">"45EQYSCWE9WJMGB34OOD1BOQZ"</definedName>
    <definedName name="SAPBEXwbID" hidden="1">"45E0HSXTFNPZNJBTUASVO6FBF"</definedName>
    <definedName name="SAPsysID" hidden="1">"708C5W7SBKP804JT78WJ0JNKI"</definedName>
    <definedName name="SAPwbID" hidden="1">"ARS"</definedName>
    <definedName name="sdlfhsdlhfkl" localSheetId="4" hidden="1">{#N/A,#N/A,FALSE,"Summ";#N/A,#N/A,FALSE,"General"}</definedName>
    <definedName name="sdlfhsdlhfkl" hidden="1">{#N/A,#N/A,FALSE,"Summ";#N/A,#N/A,FALSE,"General"}</definedName>
    <definedName name="seven" localSheetId="4" hidden="1">{#N/A,#N/A,FALSE,"CRPT";#N/A,#N/A,FALSE,"TREND";#N/A,#N/A,FALSE,"%Curve"}</definedName>
    <definedName name="seven" hidden="1">{#N/A,#N/A,FALSE,"CRPT";#N/A,#N/A,FALSE,"TREND";#N/A,#N/A,FALSE,"%Curve"}</definedName>
    <definedName name="shit" localSheetId="6"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localSheetId="4" hidden="1">{#N/A,#N/A,FALSE,"Drill Sites";"WP 212",#N/A,FALSE,"MWAG EOR";"WP 213",#N/A,FALSE,"MWAG EOR";#N/A,#N/A,FALSE,"Misc. Facility";#N/A,#N/A,FALSE,"WWTP"}</definedName>
    <definedName name="six" hidden="1">{#N/A,#N/A,FALSE,"Drill Sites";"WP 212",#N/A,FALSE,"MWAG EOR";"WP 213",#N/A,FALSE,"MWAG EOR";#N/A,#N/A,FALSE,"Misc. Facility";#N/A,#N/A,FALSE,"WWTP"}</definedName>
    <definedName name="SpecMaint" hidden="1">{#N/A,#N/A,FALSE,"Summary";#N/A,#N/A,FALSE,"SmPlants";#N/A,#N/A,FALSE,"Utah";#N/A,#N/A,FALSE,"Idaho";#N/A,#N/A,FALSE,"Lewis River";#N/A,#N/A,FALSE,"NrthUmpq";#N/A,#N/A,FALSE,"KlamRog"}</definedName>
    <definedName name="spippw" localSheetId="6" hidden="1">{#N/A,#N/A,FALSE,"Actual";#N/A,#N/A,FALSE,"Normalized";#N/A,#N/A,FALSE,"Electric Actual";#N/A,#N/A,FALSE,"Electric Normalized"}</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localSheetId="6" hidden="1">{"YTD-Total",#N/A,FALSE,"Provision"}</definedName>
    <definedName name="standard1" hidden="1">{"YTD-Total",#N/A,FALSE,"Provision"}</definedName>
    <definedName name="tem" localSheetId="4" hidden="1">{#N/A,#N/A,FALSE,"Summ";#N/A,#N/A,FALSE,"General"}</definedName>
    <definedName name="tem" hidden="1">{#N/A,#N/A,FALSE,"Summ";#N/A,#N/A,FALSE,"General"}</definedName>
    <definedName name="TEMP" localSheetId="4" hidden="1">{#N/A,#N/A,FALSE,"Summ";#N/A,#N/A,FALSE,"General"}</definedName>
    <definedName name="TEMP" hidden="1">{#N/A,#N/A,FALSE,"Summ";#N/A,#N/A,FALSE,"General"}</definedName>
    <definedName name="Temp1" localSheetId="4" hidden="1">{#N/A,#N/A,FALSE,"CESTSUM";#N/A,#N/A,FALSE,"est sum A";#N/A,#N/A,FALSE,"est detail A"}</definedName>
    <definedName name="Temp1" hidden="1">{#N/A,#N/A,FALSE,"CESTSUM";#N/A,#N/A,FALSE,"est sum A";#N/A,#N/A,FALSE,"est detail A"}</definedName>
    <definedName name="temp2" localSheetId="4" hidden="1">{#N/A,#N/A,FALSE,"CESTSUM";#N/A,#N/A,FALSE,"est sum A";#N/A,#N/A,FALSE,"est detail A"}</definedName>
    <definedName name="temp2" hidden="1">{#N/A,#N/A,FALSE,"CESTSUM";#N/A,#N/A,FALSE,"est sum A";#N/A,#N/A,FALSE,"est detail A"}</definedName>
    <definedName name="tr" localSheetId="4"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4"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4" hidden="1">{#N/A,#N/A,FALSE,"Coversheet";#N/A,#N/A,FALSE,"QA"}</definedName>
    <definedName name="v" hidden="1">{#N/A,#N/A,FALSE,"Coversheet";#N/A,#N/A,FALSE,"QA"}</definedName>
    <definedName name="Value" localSheetId="4" hidden="1">{#N/A,#N/A,FALSE,"Summ";#N/A,#N/A,FALSE,"General"}</definedName>
    <definedName name="Value" hidden="1">{#N/A,#N/A,FALSE,"Summ";#N/A,#N/A,FALSE,"General"}</definedName>
    <definedName name="w" hidden="1">#REF!</definedName>
    <definedName name="we" localSheetId="4" hidden="1">{#N/A,#N/A,FALSE,"Pg 6b CustCount_Gas";#N/A,#N/A,FALSE,"QA";#N/A,#N/A,FALSE,"Report";#N/A,#N/A,FALSE,"forecast"}</definedName>
    <definedName name="we" hidden="1">{#N/A,#N/A,FALSE,"Pg 6b CustCount_Gas";#N/A,#N/A,FALSE,"QA";#N/A,#N/A,FALSE,"Report";#N/A,#N/A,FALSE,"forecast"}</definedName>
    <definedName name="WH" localSheetId="4" hidden="1">{#N/A,#N/A,FALSE,"Coversheet";#N/A,#N/A,FALSE,"QA"}</definedName>
    <definedName name="WH" hidden="1">{#N/A,#N/A,FALSE,"Coversheet";#N/A,#N/A,FALSE,"QA"}</definedName>
    <definedName name="wrn.1._.Bi._.Monthly._.CR." localSheetId="4"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4"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hidden="1">{#N/A,#N/A,FALSE,"Summary";#N/A,#N/A,FALSE,"SmPlants";#N/A,#N/A,FALSE,"Utah";#N/A,#N/A,FALSE,"Idaho";#N/A,#N/A,FALSE,"Lewis River";#N/A,#N/A,FALSE,"NrthUmpq";#N/A,#N/A,FALSE,"KlamRog"}</definedName>
    <definedName name="wrn.AAI." localSheetId="4" hidden="1">{#N/A,#N/A,FALSE,"CRPT";#N/A,#N/A,FALSE,"TREND";#N/A,#N/A,FALSE,"%Curve"}</definedName>
    <definedName name="wrn.AAI." hidden="1">{#N/A,#N/A,FALSE,"CRPT";#N/A,#N/A,FALSE,"TREND";#N/A,#N/A,FALSE,"%Curve"}</definedName>
    <definedName name="wrn.AAI._.Report." localSheetId="4" hidden="1">{#N/A,#N/A,FALSE,"CRPT";#N/A,#N/A,FALSE,"TREND";#N/A,#N/A,FALSE,"% CURVE"}</definedName>
    <definedName name="wrn.AAI._.Report." hidden="1">{#N/A,#N/A,FALSE,"CRPT";#N/A,#N/A,FALSE,"TREND";#N/A,#N/A,FALSE,"% CURVE"}</definedName>
    <definedName name="wrn.Adj._.Back_Up." hidden="1">{"Page 3.4.1",#N/A,FALSE,"Totals";"Page 3.4.2",#N/A,FALSE,"Totals"}</definedName>
    <definedName name="wrn.ALL." localSheetId="6" hidden="1">{#N/A,#N/A,FALSE,"Summary EPS";#N/A,#N/A,FALSE,"1st Qtr Electric";#N/A,#N/A,FALSE,"1st Qtr Australia";#N/A,#N/A,FALSE,"1st Qtr Telecom";#N/A,#N/A,FALSE,"1st QTR Other"}</definedName>
    <definedName name="wrn.all." hidden="1">{#N/A,#N/A,FALSE,"September 1998";#N/A,#N/A,FALSE,"June 1998";#N/A,#N/A,FALSE,"December 1997";#N/A,#N/A,FALSE,"June 1997";#N/A,#N/A,FALSE,"December 1996";#N/A,#N/A,FALSE,"December 1995"}</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6" hidden="1">{#N/A,#N/A,FALSE,"Summary 1";#N/A,#N/A,FALSE,"Domestic";#N/A,#N/A,FALSE,"Australia";#N/A,#N/A,FALSE,"Other"}</definedName>
    <definedName name="wrn.All._.Pages." localSheetId="0" hidden="1">{#N/A,#N/A,FALSE,"Cover";#N/A,#N/A,FALSE,"Lead Sheet";#N/A,#N/A,FALSE,"T-Accounts";#N/A,#N/A,FALSE,"Ins &amp; Prem ActualEstimates"}</definedName>
    <definedName name="wrn.All._.Pages." hidden="1">{#N/A,#N/A,FALSE,"Cover";#N/A,#N/A,FALSE,"Lead Sheet";#N/A,#N/A,FALSE,"T-Accounts";#N/A,#N/A,FALSE,"Jars Summary";#N/A,#N/A,FALSE,"Utah Monthly Amort";#N/A,#N/A,FALSE,"Pivot";#N/A,#N/A,FALSE,"June 2002 Writedowns";#N/A,#N/A,FALSE,"March 2003 Writedowns"}</definedName>
    <definedName name="wrn.Anvil." localSheetId="4"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6"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6"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6"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4" hidden="1">{#N/A,#N/A,TRUE,"Cover";#N/A,#N/A,TRUE,"Contents"}</definedName>
    <definedName name="wrn.Cover." hidden="1">{#N/A,#N/A,TRUE,"Cover";#N/A,#N/A,TRUE,"Contents"}</definedName>
    <definedName name="wrn.CoverContents." localSheetId="4" hidden="1">{#N/A,#N/A,FALSE,"Cover";#N/A,#N/A,FALSE,"Contents"}</definedName>
    <definedName name="wrn.CoverContents." hidden="1">{#N/A,#N/A,FALSE,"Cover";#N/A,#N/A,FALSE,"Contents"}</definedName>
    <definedName name="wrn.Customer._.Counts._.Electric."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4" hidden="1">{#N/A,#N/A,FALSE,"Pg 6b CustCount_Gas";#N/A,#N/A,FALSE,"QA";#N/A,#N/A,FALSE,"Report";#N/A,#N/A,FALSE,"forecast"}</definedName>
    <definedName name="wrn.Customer._.Counts._.Gas." hidden="1">{#N/A,#N/A,FALSE,"Pg 6b CustCount_Gas";#N/A,#N/A,FALSE,"QA";#N/A,#N/A,FALSE,"Report";#N/A,#N/A,FALSE,"forecast"}</definedName>
    <definedName name="wrn.ECR." localSheetId="4" hidden="1">{#N/A,#N/A,FALSE,"schA"}</definedName>
    <definedName name="wrn.ECR." hidden="1">{#N/A,#N/A,FALSE,"schA"}</definedName>
    <definedName name="wrn.El._.Paso._.Offshore." localSheetId="4"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4" hidden="1">{#N/A,#N/A,FALSE,"CESTSUM";#N/A,#N/A,FALSE,"est sum A";#N/A,#N/A,FALSE,"est detail A"}</definedName>
    <definedName name="wrn.ESTIMATE." hidden="1">{#N/A,#N/A,FALSE,"CESTSUM";#N/A,#N/A,FALSE,"est sum A";#N/A,#N/A,FALSE,"est detail A"}</definedName>
    <definedName name="wrn.Exec._.Summary." hidden="1">{#N/A,#N/A,FALSE,"Output Ass";#N/A,#N/A,FALSE,"Sum Tot";#N/A,#N/A,FALSE,"Ex Sum Year";#N/A,#N/A,FALSE,"Sum Qtr"}</definedName>
    <definedName name="wrn.Factors._.Tab._.10." localSheetId="6"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6" hidden="1">{"FullView",#N/A,FALSE,"Consltd-For contngcy"}</definedName>
    <definedName name="wrn.Full._.View." hidden="1">{"FullView",#N/A,FALSE,"Consltd-For contngcy"}</definedName>
    <definedName name="wrn.Fundamental." localSheetId="4" hidden="1">{#N/A,#N/A,TRUE,"CoverPage";#N/A,#N/A,TRUE,"Gas";#N/A,#N/A,TRUE,"Power";#N/A,#N/A,TRUE,"Historical DJ Mthly Prices"}</definedName>
    <definedName name="wrn.Fundamental." hidden="1">{#N/A,#N/A,TRUE,"CoverPage";#N/A,#N/A,TRUE,"Gas";#N/A,#N/A,TRUE,"Power";#N/A,#N/A,TRUE,"Historical DJ Mthly Prices"}</definedName>
    <definedName name="wrn.Fundamental2" localSheetId="4" hidden="1">{#N/A,#N/A,TRUE,"CoverPage";#N/A,#N/A,TRUE,"Gas";#N/A,#N/A,TRUE,"Power";#N/A,#N/A,TRUE,"Historical DJ Mthly Prices"}</definedName>
    <definedName name="wrn.Fundamental2" hidden="1">{#N/A,#N/A,TRUE,"CoverPage";#N/A,#N/A,TRUE,"Gas";#N/A,#N/A,TRUE,"Power";#N/A,#N/A,TRUE,"Historical DJ Mthly Prices"}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4" hidden="1">{#N/A,#N/A,FALSE,"SUMMARY";#N/A,#N/A,FALSE,"AE7616";#N/A,#N/A,FALSE,"AE7617";#N/A,#N/A,FALSE,"AE7618";#N/A,#N/A,FALSE,"AE7619"}</definedName>
    <definedName name="wrn.IEO." hidden="1">{#N/A,#N/A,FALSE,"SUMMARY";#N/A,#N/A,FALSE,"AE7616";#N/A,#N/A,FALSE,"AE7617";#N/A,#N/A,FALSE,"AE7618";#N/A,#N/A,FALSE,"AE7619"}</definedName>
    <definedName name="wrn.Incentive._.Overhead." localSheetId="4" hidden="1">{#N/A,#N/A,FALSE,"Coversheet";#N/A,#N/A,FALSE,"QA"}</definedName>
    <definedName name="wrn.Incentive._.Overhead." hidden="1">{#N/A,#N/A,FALSE,"Coversheet";#N/A,#N/A,FALSE,"QA"}</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4" hidden="1">{#N/A,#N/A,FALSE,"Schedule F";#N/A,#N/A,FALSE,"Schedule G"}</definedName>
    <definedName name="wrn.limit_reports." hidden="1">{#N/A,#N/A,FALSE,"Schedule F";#N/A,#N/A,FALSE,"Schedule G"}</definedName>
    <definedName name="wrn.MARGIN_WO_QTR." localSheetId="4" hidden="1">{#N/A,#N/A,FALSE,"Month ";#N/A,#N/A,FALSE,"YTD";#N/A,#N/A,FALSE,"12 mo ended"}</definedName>
    <definedName name="wrn.MARGIN_WO_QTR." hidden="1">{#N/A,#N/A,FALSE,"Month ";#N/A,#N/A,FALSE,"YTD";#N/A,#N/A,FALSE,"12 mo ended"}</definedName>
    <definedName name="wrn.Municipal._.Report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4" hidden="1">{#N/A,#N/A,TRUE,"Filing Back-Up Pages_4.8.4-7";#N/A,#N/A,TRUE,"GI Back-up Page_4.8.8"}</definedName>
    <definedName name="wrn.new." hidden="1">{#N/A,#N/A,TRUE,"Filing Back-Up Pages_4.8.4-7";#N/A,#N/A,TRUE,"GI Back-up Page_4.8.8"}</definedName>
    <definedName name="wrn.om." localSheetId="4"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6" hidden="1">{"Open issues Only",#N/A,FALSE,"TIMELINE"}</definedName>
    <definedName name="wrn.Open._.Issues._.Only." hidden="1">{"Open issues Only",#N/A,FALSE,"TIMELINE"}</definedName>
    <definedName name="wrn.OR._.Carrying._.Charge._.JV." localSheetId="6"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6" hidden="1">{#N/A,#N/A,FALSE,"Consltd-For contngcy";"PaymentView",#N/A,FALSE,"Consltd-For contngcy"}</definedName>
    <definedName name="wrn.Payment._.View." hidden="1">{#N/A,#N/A,FALSE,"Consltd-For contngcy";"PaymentView",#N/A,FALSE,"Consltd-For contngcy"}</definedName>
    <definedName name="wrn.PFSreconview." localSheetId="6" hidden="1">{"PFS recon view",#N/A,FALSE,"Hyperion Proof"}</definedName>
    <definedName name="wrn.PFSreconview." hidden="1">{"PFS recon view",#N/A,FALSE,"Hyperion Proof"}</definedName>
    <definedName name="wrn.PGHCreconview." localSheetId="6" hidden="1">{"PGHC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localSheetId="6" hidden="1">{"PPM Co Code View",#N/A,FALSE,"Comp Codes"}</definedName>
    <definedName name="wrn.PPMCoCodeView." hidden="1">{"PPM Co Code View",#N/A,FALSE,"Comp Codes"}</definedName>
    <definedName name="wrn.PPMreconview." localSheetId="6" hidden="1">{"PPM Recon View",#N/A,FALSE,"Hyperion Proof"}</definedName>
    <definedName name="wrn.PPMreconview." hidden="1">{"PPM Recon View",#N/A,FALSE,"Hyperion Proof"}</definedName>
    <definedName name="wrn.print._.reports." localSheetId="4"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4" hidden="1">{"DATA_SET",#N/A,FALSE,"HOURLY SPREAD"}</definedName>
    <definedName name="wrn.PRINT._.SOURCE._.DATA." hidden="1">{"DATA_SET",#N/A,FALSE,"HOURLY SPREAD"}</definedName>
    <definedName name="wrn.PrintHistory." localSheetId="4"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4"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4" hidden="1">{#N/A,#N/A,FALSE,"BASE";#N/A,#N/A,FALSE,"LOOPS";#N/A,#N/A,FALSE,"PLC"}</definedName>
    <definedName name="wrn.Project._.Services." hidden="1">{#N/A,#N/A,FALSE,"BASE";#N/A,#N/A,FALSE,"LOOPS";#N/A,#N/A,FALSE,"PLC"}</definedName>
    <definedName name="wrn.ProofElectricOnly." localSheetId="6" hidden="1">{"Electric Only",#N/A,FALSE,"Hyperion Proof"}</definedName>
    <definedName name="wrn.ProofElectricOnly." hidden="1">{"Electric Only",#N/A,FALSE,"Hyperion Proof"}</definedName>
    <definedName name="wrn.ProofTotal." localSheetId="6" hidden="1">{"Proof Total",#N/A,FALSE,"Hyperion Proof"}</definedName>
    <definedName name="wrn.ProofTotal." hidden="1">{"Proof Total",#N/A,FALSE,"Hyperion Proof"}</definedName>
    <definedName name="wrn.Reformat._.only." localSheetId="6" hidden="1">{#N/A,#N/A,FALSE,"Dec 1999 mapping"}</definedName>
    <definedName name="wrn.Reformat._.only." hidden="1">{#N/A,#N/A,FALSE,"Dec 1999 mapping"}</definedName>
    <definedName name="wrn.SALES._.VAR._.95._.BUDGET." localSheetId="6"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4" hidden="1">{#N/A,#N/A,FALSE,"7617 Fab";#N/A,#N/A,FALSE,"7617 NSK"}</definedName>
    <definedName name="wrn.SCHEDULE." hidden="1">{#N/A,#N/A,FALSE,"7617 Fab";#N/A,#N/A,FALSE,"7617 NSK"}</definedName>
    <definedName name="wrn.Section1." localSheetId="4"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4"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4"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4"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4"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4"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4"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4"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4"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4"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4" hidden="1">{#N/A,#N/A,TRUE,"Section7";#N/A,#N/A,TRUE,"DebtService";#N/A,#N/A,TRUE,"LoanSchedules";#N/A,#N/A,TRUE,"GraphDebt"}</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4"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4" hidden="1">{#N/A,#N/A,FALSE,"2002 Small Tool OH";#N/A,#N/A,FALSE,"QA"}</definedName>
    <definedName name="wrn.Small._.Tools._.Overhead." hidden="1">{#N/A,#N/A,FALSE,"2002 Small Tool OH";#N/A,#N/A,FALSE,"QA"}</definedName>
    <definedName name="wrn.SponsorSection." localSheetId="4"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6" hidden="1">{"YTD-Total",#N/A,FALSE,"Provision"}</definedName>
    <definedName name="wrn.Standard." hidden="1">{"YTD-Total",#N/A,FALSE,"Provision"}</definedName>
    <definedName name="wrn.Standard._.NonUtility._.Only." localSheetId="6" hidden="1">{"YTD-NonUtility",#N/A,FALSE,"Prov NonUtility"}</definedName>
    <definedName name="wrn.Standard._.NonUtility._.Only." hidden="1">{"YTD-NonUtility",#N/A,FALSE,"Prov NonUtility"}</definedName>
    <definedName name="wrn.Standard._.Utility._.Only." localSheetId="6" hidden="1">{"YTD-Utility",#N/A,FALSE,"Prov Utility"}</definedName>
    <definedName name="wrn.Standard._.Utility._.Only." hidden="1">{"YTD-Utility",#N/A,FALSE,"Prov Utility"}</definedName>
    <definedName name="wrn.Summary." hidden="1">{#N/A,#N/A,FALSE,"Sum Qtr";#N/A,#N/A,FALSE,"Oper Sum";#N/A,#N/A,FALSE,"Land Sales";#N/A,#N/A,FALSE,"Finance";#N/A,#N/A,FALSE,"Oper Ass"}</definedName>
    <definedName name="wrn.Summary._.View." localSheetId="6" hidden="1">{#N/A,#N/A,FALSE,"Consltd-For contngcy"}</definedName>
    <definedName name="wrn.Summary._.View." hidden="1">{#N/A,#N/A,FALSE,"Consltd-For contngcy"}</definedName>
    <definedName name="wrn.Total._.Summary." localSheetId="4" hidden="1">{"Total Summary",#N/A,FALSE,"Summary"}</definedName>
    <definedName name="wrn.Total._.Summary." hidden="1">{"Total Summary",#N/A,FALSE,"Summary"}</definedName>
    <definedName name="wrn.UK._.Conversion._.Only." localSheetId="6" hidden="1">{#N/A,#N/A,FALSE,"Dec 1999 UK Continuing Ops"}</definedName>
    <definedName name="wrn.UK._.Conversion._.Only." hidden="1">{#N/A,#N/A,FALSE,"Dec 1999 UK Continuing Ops"}</definedName>
    <definedName name="wrn.USIM_Data." localSheetId="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4"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4" hidden="1">{#N/A,#N/A,FALSE,"Expenditures";#N/A,#N/A,FALSE,"Property Placed In-Service";#N/A,#N/A,FALSE,"CWIP Balances"}</definedName>
    <definedName name="wrn.USIM_Data_Abbrev3." hidden="1">{#N/A,#N/A,FALSE,"Expenditures";#N/A,#N/A,FALSE,"Property Placed In-Service";#N/A,#N/A,FALSE,"CWIP Balances"}</definedName>
    <definedName name="wrn.VERIFY." localSheetId="4"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6"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4" hidden="1">{#N/A,#N/A,FALSE,"schA"}</definedName>
    <definedName name="www" hidden="1">{#N/A,#N/A,FALSE,"schA"}</definedName>
    <definedName name="xx" localSheetId="4"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hidden="1">#REF!</definedName>
    <definedName name="yuf" localSheetId="4" hidden="1">{#N/A,#N/A,FALSE,"Summ";#N/A,#N/A,FALSE,"General"}</definedName>
    <definedName name="yuf" hidden="1">{#N/A,#N/A,FALSE,"Summ";#N/A,#N/A,FALSE,"General"}</definedName>
    <definedName name="z" hidden="1">#REF!</definedName>
    <definedName name="Z_01844156_6462_4A28_9785_1A86F4D0C834_.wvu.PrintTitles"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69" l="1"/>
  <c r="F73" i="69"/>
  <c r="F71" i="69"/>
  <c r="F79" i="69" s="1"/>
  <c r="G56" i="69"/>
  <c r="G55" i="69"/>
  <c r="G54" i="69"/>
  <c r="G53" i="69"/>
  <c r="G52" i="69"/>
  <c r="G51" i="69"/>
  <c r="G50" i="69"/>
  <c r="G49" i="69"/>
  <c r="G48" i="69"/>
  <c r="G47" i="69"/>
  <c r="G46" i="69"/>
  <c r="G45" i="69"/>
  <c r="G44" i="69"/>
  <c r="G43" i="69"/>
  <c r="G42" i="69"/>
  <c r="G41" i="69"/>
  <c r="G40" i="69"/>
  <c r="G39" i="69"/>
  <c r="G38" i="69"/>
  <c r="G37" i="69"/>
  <c r="G36" i="69"/>
  <c r="G35" i="69"/>
  <c r="G34" i="69"/>
  <c r="G57" i="69" s="1"/>
  <c r="F17" i="1" s="1"/>
  <c r="G33" i="69"/>
  <c r="G32" i="69"/>
  <c r="G31" i="69"/>
  <c r="G30" i="69"/>
  <c r="G29" i="69"/>
  <c r="G11" i="69"/>
  <c r="F61" i="73"/>
  <c r="G61" i="73" s="1"/>
  <c r="I61" i="73" s="1"/>
  <c r="N61" i="73" s="1"/>
  <c r="F53" i="73"/>
  <c r="G53" i="73" s="1"/>
  <c r="I53" i="73" s="1"/>
  <c r="F50" i="73"/>
  <c r="G50" i="73" s="1"/>
  <c r="I50" i="73" s="1"/>
  <c r="F49" i="73"/>
  <c r="G49" i="73" s="1"/>
  <c r="I49" i="73" s="1"/>
  <c r="F45" i="73"/>
  <c r="G45" i="73" s="1"/>
  <c r="I45" i="73" s="1"/>
  <c r="G83" i="69"/>
  <c r="F83" i="69"/>
  <c r="E83" i="69"/>
  <c r="D83" i="69"/>
  <c r="C83" i="69"/>
  <c r="G79" i="69"/>
  <c r="E79" i="69"/>
  <c r="D79" i="69"/>
  <c r="C79" i="69"/>
  <c r="G66" i="69"/>
  <c r="F66" i="69"/>
  <c r="E66" i="69"/>
  <c r="D66" i="69"/>
  <c r="F23" i="1"/>
  <c r="F27" i="1" s="1"/>
  <c r="C66" i="69"/>
  <c r="G27" i="69"/>
  <c r="F27" i="69"/>
  <c r="E27" i="69"/>
  <c r="F16" i="1" s="1"/>
  <c r="D27" i="69"/>
  <c r="C27" i="69"/>
  <c r="G23" i="69"/>
  <c r="F18" i="1" s="1"/>
  <c r="F23" i="69"/>
  <c r="F60" i="69"/>
  <c r="E23" i="69"/>
  <c r="F15" i="1"/>
  <c r="D23" i="69"/>
  <c r="D60" i="69" s="1"/>
  <c r="C23" i="69"/>
  <c r="G14" i="69"/>
  <c r="C14" i="69"/>
  <c r="C57" i="69"/>
  <c r="C60" i="69" s="1"/>
  <c r="A2" i="72"/>
  <c r="L65" i="73"/>
  <c r="L64" i="73"/>
  <c r="L63" i="73"/>
  <c r="L62" i="73"/>
  <c r="L61" i="73"/>
  <c r="L60" i="73"/>
  <c r="L59" i="73"/>
  <c r="L58" i="73"/>
  <c r="L57" i="73"/>
  <c r="L56" i="73"/>
  <c r="L55" i="73"/>
  <c r="L54" i="73"/>
  <c r="L53" i="73"/>
  <c r="L52" i="73"/>
  <c r="L51" i="73"/>
  <c r="L50" i="73"/>
  <c r="L49" i="73"/>
  <c r="L48" i="73"/>
  <c r="L47" i="73"/>
  <c r="L46" i="73"/>
  <c r="L45" i="73"/>
  <c r="L44" i="73"/>
  <c r="F64" i="73"/>
  <c r="G64" i="73" s="1"/>
  <c r="I64" i="73" s="1"/>
  <c r="N64" i="73" s="1"/>
  <c r="F52" i="73"/>
  <c r="G52" i="73" s="1"/>
  <c r="I52" i="73" s="1"/>
  <c r="N52" i="73" s="1"/>
  <c r="F48" i="73"/>
  <c r="G48" i="73" s="1"/>
  <c r="I48" i="73" s="1"/>
  <c r="F44" i="73"/>
  <c r="G44" i="73" s="1"/>
  <c r="H32" i="73"/>
  <c r="D32" i="73"/>
  <c r="H31" i="73"/>
  <c r="L30" i="73"/>
  <c r="H30" i="73"/>
  <c r="H28" i="73"/>
  <c r="D28" i="73"/>
  <c r="L26" i="73"/>
  <c r="L25" i="73"/>
  <c r="H25" i="73"/>
  <c r="D23" i="73"/>
  <c r="K20" i="73"/>
  <c r="L19" i="73"/>
  <c r="D17" i="73"/>
  <c r="L16" i="73"/>
  <c r="D16" i="73"/>
  <c r="L14" i="73"/>
  <c r="D14" i="73"/>
  <c r="K11" i="73"/>
  <c r="F47" i="73"/>
  <c r="G47" i="73" s="1"/>
  <c r="I47" i="73" s="1"/>
  <c r="F55" i="73"/>
  <c r="G55" i="73" s="1"/>
  <c r="I55" i="73" s="1"/>
  <c r="F56" i="73"/>
  <c r="G56" i="73" s="1"/>
  <c r="I56" i="73" s="1"/>
  <c r="F60" i="73"/>
  <c r="G60" i="73" s="1"/>
  <c r="I60" i="73" s="1"/>
  <c r="N60" i="73" s="1"/>
  <c r="B66" i="73"/>
  <c r="K30" i="73"/>
  <c r="F59" i="73"/>
  <c r="G59" i="73" s="1"/>
  <c r="I59" i="73" s="1"/>
  <c r="H24" i="73"/>
  <c r="F28" i="72"/>
  <c r="C13" i="72"/>
  <c r="C21" i="72" s="1"/>
  <c r="C8" i="68" s="1"/>
  <c r="B36" i="1"/>
  <c r="B37" i="1"/>
  <c r="B38" i="1"/>
  <c r="B39" i="1"/>
  <c r="B40" i="1"/>
  <c r="B41" i="1"/>
  <c r="B42" i="1"/>
  <c r="B43" i="1"/>
  <c r="B44" i="1"/>
  <c r="B45" i="1"/>
  <c r="B46" i="1"/>
  <c r="B47" i="1"/>
  <c r="B48" i="1"/>
  <c r="B49" i="1"/>
  <c r="B50" i="1"/>
  <c r="B35" i="1"/>
  <c r="F32" i="1"/>
  <c r="F31" i="1"/>
  <c r="F33" i="1"/>
  <c r="E33" i="1"/>
  <c r="E32" i="1"/>
  <c r="E31" i="1"/>
  <c r="E30" i="1"/>
  <c r="E18" i="1"/>
  <c r="E15" i="1"/>
  <c r="E14" i="1"/>
  <c r="E9" i="1"/>
  <c r="E11" i="1" s="1"/>
  <c r="I78" i="70"/>
  <c r="H78" i="70"/>
  <c r="G78" i="70"/>
  <c r="F78" i="70"/>
  <c r="D78" i="70"/>
  <c r="I73" i="70"/>
  <c r="H73" i="70"/>
  <c r="G73" i="70"/>
  <c r="F73" i="70"/>
  <c r="D73" i="70"/>
  <c r="I63" i="70"/>
  <c r="H63" i="70"/>
  <c r="G63" i="70"/>
  <c r="F63" i="70"/>
  <c r="E23" i="1" s="1"/>
  <c r="E27" i="1" s="1"/>
  <c r="D63" i="70"/>
  <c r="I54" i="70"/>
  <c r="E17" i="1" s="1"/>
  <c r="H54" i="70"/>
  <c r="H56" i="70" s="1"/>
  <c r="G54" i="70"/>
  <c r="G56" i="70" s="1"/>
  <c r="F54" i="70"/>
  <c r="F56" i="70" s="1"/>
  <c r="D54" i="70"/>
  <c r="G28" i="70"/>
  <c r="E16" i="1" s="1"/>
  <c r="F28" i="70"/>
  <c r="D28" i="70"/>
  <c r="I23" i="70"/>
  <c r="H23" i="70"/>
  <c r="G23" i="70"/>
  <c r="F23" i="70"/>
  <c r="D23" i="70"/>
  <c r="I16" i="70"/>
  <c r="H16" i="70"/>
  <c r="G16" i="70"/>
  <c r="F16" i="70"/>
  <c r="D16" i="70"/>
  <c r="F28" i="66"/>
  <c r="F30" i="66" s="1"/>
  <c r="C10" i="68" s="1"/>
  <c r="C13" i="66"/>
  <c r="F27" i="66"/>
  <c r="C21" i="66"/>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F9" i="1"/>
  <c r="F11" i="1" s="1"/>
  <c r="F34" i="1" l="1"/>
  <c r="F84" i="69"/>
  <c r="G60" i="69"/>
  <c r="G84" i="69" s="1"/>
  <c r="F14" i="1"/>
  <c r="F20" i="1" s="1"/>
  <c r="F36" i="1" s="1"/>
  <c r="I56" i="70"/>
  <c r="I80" i="70"/>
  <c r="H80" i="70"/>
  <c r="G80" i="70"/>
  <c r="D12" i="73"/>
  <c r="H13" i="73"/>
  <c r="K14" i="73"/>
  <c r="D20" i="73"/>
  <c r="L27" i="73"/>
  <c r="F54" i="73"/>
  <c r="G54" i="73" s="1"/>
  <c r="I54" i="73" s="1"/>
  <c r="F62" i="73"/>
  <c r="G62" i="73" s="1"/>
  <c r="I62" i="73" s="1"/>
  <c r="N62" i="73" s="1"/>
  <c r="R62" i="73" s="1"/>
  <c r="S62" i="73" s="1"/>
  <c r="K13" i="73"/>
  <c r="M13" i="73" s="1"/>
  <c r="O13" i="73" s="1"/>
  <c r="M46" i="73" s="1"/>
  <c r="H16" i="73"/>
  <c r="K17" i="73"/>
  <c r="L13" i="73"/>
  <c r="L28" i="73"/>
  <c r="L29" i="73"/>
  <c r="F65" i="73"/>
  <c r="G65" i="73" s="1"/>
  <c r="I65" i="73" s="1"/>
  <c r="H14" i="73"/>
  <c r="L15" i="73"/>
  <c r="L20" i="73"/>
  <c r="K23" i="73"/>
  <c r="K24" i="73"/>
  <c r="D30" i="73"/>
  <c r="K31" i="73"/>
  <c r="F58" i="73"/>
  <c r="G58" i="73" s="1"/>
  <c r="I58" i="73" s="1"/>
  <c r="K18" i="73"/>
  <c r="L32" i="73"/>
  <c r="F51" i="73"/>
  <c r="G51" i="73" s="1"/>
  <c r="I51" i="73" s="1"/>
  <c r="H11" i="73"/>
  <c r="L17" i="73"/>
  <c r="K21" i="73"/>
  <c r="H19" i="73"/>
  <c r="L21" i="73"/>
  <c r="D24" i="73"/>
  <c r="D66" i="73"/>
  <c r="F46" i="73"/>
  <c r="G46" i="73" s="1"/>
  <c r="F63" i="73"/>
  <c r="G63" i="73" s="1"/>
  <c r="I63" i="73" s="1"/>
  <c r="D22" i="73"/>
  <c r="D27" i="73"/>
  <c r="K22" i="73"/>
  <c r="M22" i="73" s="1"/>
  <c r="O22" i="73" s="1"/>
  <c r="M55" i="73" s="1"/>
  <c r="L23" i="73"/>
  <c r="M23" i="73" s="1"/>
  <c r="O23" i="73" s="1"/>
  <c r="M56" i="73" s="1"/>
  <c r="K27" i="73"/>
  <c r="M27" i="73" s="1"/>
  <c r="O27" i="73" s="1"/>
  <c r="M60" i="73" s="1"/>
  <c r="D11" i="73"/>
  <c r="H17" i="73"/>
  <c r="L22" i="73"/>
  <c r="L24" i="73"/>
  <c r="D26" i="73"/>
  <c r="K28" i="73"/>
  <c r="M28" i="73" s="1"/>
  <c r="O28" i="73" s="1"/>
  <c r="M61" i="73" s="1"/>
  <c r="H21" i="73"/>
  <c r="D25" i="73"/>
  <c r="F57" i="73"/>
  <c r="G57" i="73" s="1"/>
  <c r="I57" i="73" s="1"/>
  <c r="I44" i="73"/>
  <c r="M24" i="73"/>
  <c r="O24" i="73" s="1"/>
  <c r="M57" i="73" s="1"/>
  <c r="H18" i="73"/>
  <c r="M20" i="73"/>
  <c r="O20" i="73" s="1"/>
  <c r="M53" i="73" s="1"/>
  <c r="H22" i="73"/>
  <c r="H20" i="73"/>
  <c r="K29" i="73"/>
  <c r="D18" i="73"/>
  <c r="L31" i="73"/>
  <c r="M14" i="73"/>
  <c r="O14" i="73" s="1"/>
  <c r="M47" i="73" s="1"/>
  <c r="N59" i="73"/>
  <c r="R59" i="73" s="1"/>
  <c r="S59" i="73" s="1"/>
  <c r="H12" i="73"/>
  <c r="D21" i="73"/>
  <c r="D31" i="73"/>
  <c r="M30" i="73"/>
  <c r="O30" i="73" s="1"/>
  <c r="M63" i="73" s="1"/>
  <c r="D15" i="73"/>
  <c r="K16" i="73"/>
  <c r="M16" i="73" s="1"/>
  <c r="O16" i="73" s="1"/>
  <c r="M49" i="73" s="1"/>
  <c r="L18" i="73"/>
  <c r="K26" i="73"/>
  <c r="M26" i="73" s="1"/>
  <c r="O26" i="73" s="1"/>
  <c r="M59" i="73" s="1"/>
  <c r="M17" i="73"/>
  <c r="O17" i="73" s="1"/>
  <c r="M50" i="73" s="1"/>
  <c r="K12" i="73"/>
  <c r="K32" i="73"/>
  <c r="M32" i="73" s="1"/>
  <c r="O32" i="73" s="1"/>
  <c r="M65" i="73" s="1"/>
  <c r="D13" i="73"/>
  <c r="H15" i="73"/>
  <c r="D19" i="73"/>
  <c r="D29" i="73"/>
  <c r="D84" i="69"/>
  <c r="E60" i="69"/>
  <c r="E84" i="69" s="1"/>
  <c r="C84" i="69"/>
  <c r="E34" i="1"/>
  <c r="F80" i="70"/>
  <c r="E20" i="1"/>
  <c r="F27" i="72"/>
  <c r="F30" i="72" s="1"/>
  <c r="R52" i="73"/>
  <c r="S52" i="73" s="1"/>
  <c r="R60" i="73"/>
  <c r="S60" i="73" s="1"/>
  <c r="R64" i="73"/>
  <c r="S64" i="73" s="1"/>
  <c r="R61" i="73"/>
  <c r="S61" i="73" s="1"/>
  <c r="F33" i="73"/>
  <c r="N50" i="73"/>
  <c r="R50" i="73" s="1"/>
  <c r="S50" i="73" s="1"/>
  <c r="N57" i="73"/>
  <c r="R57" i="73" s="1"/>
  <c r="S57" i="73" s="1"/>
  <c r="N44" i="73"/>
  <c r="K15" i="73"/>
  <c r="L11" i="73"/>
  <c r="N45" i="73"/>
  <c r="R45" i="73" s="1"/>
  <c r="S45" i="73" s="1"/>
  <c r="H27" i="73"/>
  <c r="N54" i="73"/>
  <c r="R54" i="73" s="1"/>
  <c r="S54" i="73" s="1"/>
  <c r="N49" i="73"/>
  <c r="R49" i="73" s="1"/>
  <c r="S49" i="73" s="1"/>
  <c r="H23" i="73"/>
  <c r="K19" i="73"/>
  <c r="M19" i="73" s="1"/>
  <c r="O19" i="73" s="1"/>
  <c r="M52" i="73" s="1"/>
  <c r="H26" i="73"/>
  <c r="B33" i="73"/>
  <c r="G33" i="73"/>
  <c r="N55" i="73"/>
  <c r="R55" i="73" s="1"/>
  <c r="S55" i="73" s="1"/>
  <c r="N56" i="73"/>
  <c r="R56" i="73" s="1"/>
  <c r="S56" i="73" s="1"/>
  <c r="N51" i="73"/>
  <c r="R51" i="73" s="1"/>
  <c r="S51" i="73" s="1"/>
  <c r="K25" i="73"/>
  <c r="M25" i="73" s="1"/>
  <c r="O25" i="73" s="1"/>
  <c r="M58" i="73" s="1"/>
  <c r="N47" i="73"/>
  <c r="R47" i="73" s="1"/>
  <c r="S47" i="73" s="1"/>
  <c r="N53" i="73"/>
  <c r="R53" i="73" s="1"/>
  <c r="S53" i="73" s="1"/>
  <c r="L12" i="73"/>
  <c r="N58" i="73"/>
  <c r="R58" i="73" s="1"/>
  <c r="S58" i="73" s="1"/>
  <c r="N65" i="73"/>
  <c r="R65" i="73" s="1"/>
  <c r="S65" i="73" s="1"/>
  <c r="N63" i="73"/>
  <c r="R63" i="73" s="1"/>
  <c r="S63" i="73" s="1"/>
  <c r="C33" i="73"/>
  <c r="H29" i="73"/>
  <c r="N48" i="73"/>
  <c r="R48" i="73" s="1"/>
  <c r="S48" i="73" s="1"/>
  <c r="E36" i="1" l="1"/>
  <c r="B8" i="68" s="1"/>
  <c r="D8" i="68" s="1"/>
  <c r="E8" i="68" s="1"/>
  <c r="E38" i="1" s="1"/>
  <c r="E54" i="1" s="1"/>
  <c r="D56" i="70"/>
  <c r="D80" i="70" s="1"/>
  <c r="M18" i="73"/>
  <c r="O18" i="73" s="1"/>
  <c r="M51" i="73" s="1"/>
  <c r="M31" i="73"/>
  <c r="O31" i="73" s="1"/>
  <c r="M64" i="73" s="1"/>
  <c r="M12" i="73"/>
  <c r="O12" i="73" s="1"/>
  <c r="M45" i="73" s="1"/>
  <c r="M15" i="73"/>
  <c r="O15" i="73" s="1"/>
  <c r="M48" i="73" s="1"/>
  <c r="D33" i="73"/>
  <c r="M29" i="73"/>
  <c r="O29" i="73" s="1"/>
  <c r="M62" i="73" s="1"/>
  <c r="F66" i="73"/>
  <c r="I46" i="73"/>
  <c r="N46" i="73" s="1"/>
  <c r="R46" i="73" s="1"/>
  <c r="S46" i="73" s="1"/>
  <c r="G66" i="73"/>
  <c r="M21" i="73"/>
  <c r="O21" i="73" s="1"/>
  <c r="M54" i="73" s="1"/>
  <c r="H33" i="73"/>
  <c r="F53" i="1"/>
  <c r="B10" i="68"/>
  <c r="D10" i="68" s="1"/>
  <c r="E10" i="68" s="1"/>
  <c r="F38" i="1" s="1"/>
  <c r="F40" i="1" s="1"/>
  <c r="K33" i="73"/>
  <c r="R44" i="73"/>
  <c r="L33" i="73"/>
  <c r="M11" i="73"/>
  <c r="E53" i="1" l="1"/>
  <c r="N66" i="73"/>
  <c r="N67" i="73" s="1"/>
  <c r="N68" i="73" s="1"/>
  <c r="N71" i="73" s="1"/>
  <c r="I66" i="73"/>
  <c r="I68" i="73" s="1"/>
  <c r="F54" i="1"/>
  <c r="E40" i="1"/>
  <c r="F42" i="1" s="1"/>
  <c r="O11" i="73"/>
  <c r="M33" i="73"/>
  <c r="S44" i="73"/>
  <c r="S66" i="73" s="1"/>
  <c r="R66" i="73"/>
  <c r="M44" i="73" l="1"/>
  <c r="M66" i="73" s="1"/>
  <c r="O33" i="73"/>
  <c r="O35" i="73" s="1"/>
  <c r="R67" i="73"/>
  <c r="K84" i="73" l="1"/>
  <c r="M68" i="73"/>
  <c r="M71" i="73" s="1"/>
  <c r="N72" i="73" s="1"/>
  <c r="F44" i="1" s="1"/>
  <c r="F46" i="1" l="1"/>
</calcChain>
</file>

<file path=xl/sharedStrings.xml><?xml version="1.0" encoding="utf-8"?>
<sst xmlns="http://schemas.openxmlformats.org/spreadsheetml/2006/main" count="441" uniqueCount="221">
  <si>
    <t>PacifiCorp</t>
  </si>
  <si>
    <t>ACCT.</t>
  </si>
  <si>
    <t>Sales for Resale</t>
  </si>
  <si>
    <t>Existing Firm PPL</t>
  </si>
  <si>
    <t>Existing Firm UPL</t>
  </si>
  <si>
    <t>Post-Merger Firm</t>
  </si>
  <si>
    <t>Non-Firm</t>
  </si>
  <si>
    <t>Total Sales for Resale</t>
  </si>
  <si>
    <t>Purchased Power</t>
  </si>
  <si>
    <t>Existing Firm Demand PPL</t>
  </si>
  <si>
    <t>Existing Firm Energy</t>
  </si>
  <si>
    <t>Post-merger Firm</t>
  </si>
  <si>
    <t>Other Generation Expense</t>
  </si>
  <si>
    <t>Total Purchased Power</t>
  </si>
  <si>
    <t>Wheeling Expense</t>
  </si>
  <si>
    <t>Total Wheeling Expense</t>
  </si>
  <si>
    <t xml:space="preserve"> </t>
  </si>
  <si>
    <t>Fuel Expense</t>
  </si>
  <si>
    <t>Fuel Consumed - Coal</t>
  </si>
  <si>
    <t>Fuel Consumed - Gas</t>
  </si>
  <si>
    <t>Steam from Other Sources</t>
  </si>
  <si>
    <t>Total Fuel Expense</t>
  </si>
  <si>
    <t>Study Results</t>
  </si>
  <si>
    <t>MERGED PEAK/ENERGY SPLIT</t>
  </si>
  <si>
    <t>Period Ending</t>
  </si>
  <si>
    <t>($)</t>
  </si>
  <si>
    <t>Merged</t>
  </si>
  <si>
    <t xml:space="preserve">Pre-Merger </t>
  </si>
  <si>
    <t>Demand</t>
  </si>
  <si>
    <t>Energy</t>
  </si>
  <si>
    <t>Post-Merger</t>
  </si>
  <si>
    <t>SPECIAL SALES FOR RESALE</t>
  </si>
  <si>
    <t>Pacific Pre Merger</t>
  </si>
  <si>
    <t>Post Merger</t>
  </si>
  <si>
    <t>Utah Pre Merger</t>
  </si>
  <si>
    <t>NonFirm Sub Total</t>
  </si>
  <si>
    <t>--------------------</t>
  </si>
  <si>
    <t>TOTAL SPECIAL SALES</t>
  </si>
  <si>
    <t>PURCHASED POWER &amp; NET INTERCHANGE</t>
  </si>
  <si>
    <t>BPA Peak Purchase</t>
  </si>
  <si>
    <t>Pacific Capacity</t>
  </si>
  <si>
    <t>Mid Columbia</t>
  </si>
  <si>
    <t>Misc/Pacific</t>
  </si>
  <si>
    <t>Q.F. Contracts/PPL</t>
  </si>
  <si>
    <t>Small Purchases west</t>
  </si>
  <si>
    <t>---------------------------------------------------------</t>
  </si>
  <si>
    <t>Pacific Sub Total</t>
  </si>
  <si>
    <t>Gemstate</t>
  </si>
  <si>
    <t>Small Purchases east</t>
  </si>
  <si>
    <t>Utah Sub Total</t>
  </si>
  <si>
    <t>New Firm Sub Total</t>
  </si>
  <si>
    <t>Non Firm Sub Total</t>
  </si>
  <si>
    <t>TOTAL PURCHASED PW &amp; NET INT.</t>
  </si>
  <si>
    <t>WHEELING &amp; U. OF F. EXPENSE</t>
  </si>
  <si>
    <t>Pacific Firm Wheeling and Use of Facilities</t>
  </si>
  <si>
    <t>TOTAL WHEELING &amp; U. OF F. EXPENSE</t>
  </si>
  <si>
    <t>THERMAL FUEL BURN EXPENSE</t>
  </si>
  <si>
    <t>Chehalis</t>
  </si>
  <si>
    <t>TOTAL FUEL BURN EXPENSE</t>
  </si>
  <si>
    <t>OTHER GENERATION EXPENSE</t>
  </si>
  <si>
    <t>TOTAL OTHER GEN. EXPENSE</t>
  </si>
  <si>
    <t>=</t>
  </si>
  <si>
    <t>NET POWER COST</t>
  </si>
  <si>
    <t>Short Term Firm Purchases</t>
  </si>
  <si>
    <t>Colstrip</t>
  </si>
  <si>
    <t>Hermiston</t>
  </si>
  <si>
    <t>Jim Bridger</t>
  </si>
  <si>
    <t>Blundell</t>
  </si>
  <si>
    <t>Naughton - Gas</t>
  </si>
  <si>
    <t>Line no</t>
  </si>
  <si>
    <t>Nucor</t>
  </si>
  <si>
    <t>Three Buttes Wind</t>
  </si>
  <si>
    <t>Top of the World Wind</t>
  </si>
  <si>
    <t>Wolverine Creek Wind</t>
  </si>
  <si>
    <t>Check</t>
  </si>
  <si>
    <t>Monsanto Reserves</t>
  </si>
  <si>
    <t>Cove Mountain Solar</t>
  </si>
  <si>
    <t>Hunter Solar</t>
  </si>
  <si>
    <t>Milican Solar</t>
  </si>
  <si>
    <t>Milford Solar</t>
  </si>
  <si>
    <t>Prineville Solar</t>
  </si>
  <si>
    <t>Sigurd Solar</t>
  </si>
  <si>
    <t>Cedar Springs Wind</t>
  </si>
  <si>
    <t>Cedar Springs Wind III</t>
  </si>
  <si>
    <t>Washington Allocated</t>
  </si>
  <si>
    <t xml:space="preserve"> Total Net Power Cost</t>
  </si>
  <si>
    <t>Increase/(Decrease) in Net Power Cost</t>
  </si>
  <si>
    <t>Description</t>
  </si>
  <si>
    <t>tax per unit)</t>
  </si>
  <si>
    <t>Goodnoe KWh</t>
  </si>
  <si>
    <t>Leaning Juniper 1 KWh</t>
  </si>
  <si>
    <t>Marengo II KWh</t>
  </si>
  <si>
    <t>McFadden Ridge</t>
  </si>
  <si>
    <t>Seven Mile KWh</t>
  </si>
  <si>
    <t>Seven Mile II KWh</t>
  </si>
  <si>
    <t>Dunlap I Wind KWh</t>
  </si>
  <si>
    <t>Cedar Springs Wind II</t>
  </si>
  <si>
    <t>Total KWh Production</t>
  </si>
  <si>
    <t>Federal Tax Rate</t>
  </si>
  <si>
    <t>Production Factor Adjustment</t>
  </si>
  <si>
    <t>Washington</t>
  </si>
  <si>
    <t>Actual MWh</t>
  </si>
  <si>
    <t>Normalizing Adjustments</t>
  </si>
  <si>
    <t>Temperature Normalization</t>
  </si>
  <si>
    <t>Normalized Retail Sales (MWh)</t>
  </si>
  <si>
    <t>Numerator in Production Factor Calculation</t>
  </si>
  <si>
    <t>Pro Forma Retail Sales (MWh)</t>
  </si>
  <si>
    <t>Denominator in Production Factor Calculation</t>
  </si>
  <si>
    <t>Production Factor</t>
  </si>
  <si>
    <t>Washington Historical Temperature Adjusted Load (at Sales)</t>
  </si>
  <si>
    <t>MWh</t>
  </si>
  <si>
    <t>PTC Adjustment</t>
  </si>
  <si>
    <t>Total Net Power Cost after adjustments</t>
  </si>
  <si>
    <t>Washington Allocated Net Power Costs</t>
  </si>
  <si>
    <t>Before Production Factor</t>
  </si>
  <si>
    <t>After Production Factor</t>
  </si>
  <si>
    <t>Adjustment</t>
  </si>
  <si>
    <t>Increase/(Decrease) in Base Rates</t>
  </si>
  <si>
    <t>Special Sales For Resale</t>
  </si>
  <si>
    <t>Total Special Sales For Resale</t>
  </si>
  <si>
    <t>Purchased Power &amp; Net Interchange</t>
  </si>
  <si>
    <t>Cedar Springs Wind IV</t>
  </si>
  <si>
    <t>PGE Cove</t>
  </si>
  <si>
    <t>Hornshadow I Solar</t>
  </si>
  <si>
    <t>Hornshadow II Solar</t>
  </si>
  <si>
    <t>Green River Energy Center Solar</t>
  </si>
  <si>
    <t>Anticline Wind</t>
  </si>
  <si>
    <t>Boswell Springs Wind</t>
  </si>
  <si>
    <t>Cedar Creek</t>
  </si>
  <si>
    <t>UT Schedule Adjustment</t>
  </si>
  <si>
    <t>Green River Energy Center Storage</t>
  </si>
  <si>
    <t>Dominguez Grid</t>
  </si>
  <si>
    <t>Enterprise Storage</t>
  </si>
  <si>
    <t>Escalante BESS 1</t>
  </si>
  <si>
    <t>Granite Mountain BESS East</t>
  </si>
  <si>
    <t>Iron Springs</t>
  </si>
  <si>
    <t>Total Short Term Firm Purchases &amp; Total System Balancing Purchases</t>
  </si>
  <si>
    <t>Total Purchased Power &amp; Net Interchange</t>
  </si>
  <si>
    <t>Wheeling &amp; U. of F. Expense</t>
  </si>
  <si>
    <t>Total Wheeling &amp; U. of F. Expense</t>
  </si>
  <si>
    <t>Thermal Fuel Burn Expense</t>
  </si>
  <si>
    <t>Jim Bridger - Gas</t>
  </si>
  <si>
    <t>Gas Physical</t>
  </si>
  <si>
    <t>Gas Swaps</t>
  </si>
  <si>
    <t>Clay Basin Gas Storage</t>
  </si>
  <si>
    <t>Pipeline Reservation Fees</t>
  </si>
  <si>
    <t>Total Fuel Burn Expense</t>
  </si>
  <si>
    <t>Total Other Generation Expense</t>
  </si>
  <si>
    <t>Net Power Cost</t>
  </si>
  <si>
    <t>4/2025 - 3/2026</t>
  </si>
  <si>
    <t>UE-230172
Rate Year 2 - 
Compliance</t>
  </si>
  <si>
    <t>PCORC
CY 2026 - 
Initial Filing</t>
  </si>
  <si>
    <t>WA Qualifying Facilities</t>
  </si>
  <si>
    <t>Post-merger Firm Energy</t>
  </si>
  <si>
    <t>Fuel Consumed - Natural Gas</t>
  </si>
  <si>
    <t>1/2026 - 12/2026</t>
  </si>
  <si>
    <t>Washington Historical Normalized Retail Sales (12-Months Ended June 2022)</t>
  </si>
  <si>
    <t>Forecast Loads Used for Production Factor (12-Months Ending December 2026)</t>
  </si>
  <si>
    <t>Washington Pro Forma 12-Months Ending December 2026</t>
  </si>
  <si>
    <t>Forecast Loads Used for Production Factor (12-Months Ending March 26)</t>
  </si>
  <si>
    <t>Washington Pro Forma 12-Months Ending March 2026</t>
  </si>
  <si>
    <t>MYRP RY2</t>
  </si>
  <si>
    <t>2026 PCORC</t>
  </si>
  <si>
    <t xml:space="preserve">Federal Income </t>
  </si>
  <si>
    <t xml:space="preserve">Total </t>
  </si>
  <si>
    <t xml:space="preserve">Total PTC </t>
  </si>
  <si>
    <t xml:space="preserve">Factor (inflated </t>
  </si>
  <si>
    <t xml:space="preserve">Credit, before </t>
  </si>
  <si>
    <t>Tax Credit, before</t>
  </si>
  <si>
    <t>Bonus Credit</t>
  </si>
  <si>
    <t>Tax Credit, with</t>
  </si>
  <si>
    <t>Available KWh</t>
  </si>
  <si>
    <t>In-Service Date</t>
  </si>
  <si>
    <t>Eligible KWh</t>
  </si>
  <si>
    <t>if applicable</t>
  </si>
  <si>
    <t>Wind/Geothermal</t>
  </si>
  <si>
    <r>
      <t xml:space="preserve">Glenrock KWh </t>
    </r>
    <r>
      <rPr>
        <b/>
        <sz val="10"/>
        <color theme="1"/>
        <rFont val="Arial"/>
        <family val="2"/>
      </rPr>
      <t>[a]</t>
    </r>
  </si>
  <si>
    <r>
      <t>Glenrock III KWh</t>
    </r>
    <r>
      <rPr>
        <sz val="10"/>
        <color theme="1"/>
        <rFont val="Arial"/>
        <family val="2"/>
      </rPr>
      <t xml:space="preserve"> </t>
    </r>
    <r>
      <rPr>
        <b/>
        <sz val="10"/>
        <color theme="1"/>
        <rFont val="Arial"/>
        <family val="2"/>
      </rPr>
      <t>[a]</t>
    </r>
  </si>
  <si>
    <t>High Plains Wind</t>
  </si>
  <si>
    <t>Marengo KWh</t>
  </si>
  <si>
    <r>
      <t xml:space="preserve">Rolling Hills KWh </t>
    </r>
    <r>
      <rPr>
        <b/>
        <sz val="10"/>
        <color theme="1"/>
        <rFont val="Arial"/>
        <family val="2"/>
      </rPr>
      <t>[a]</t>
    </r>
  </si>
  <si>
    <t>Foote Creek I Wind</t>
  </si>
  <si>
    <r>
      <t>Pryor Mountain Wind</t>
    </r>
    <r>
      <rPr>
        <b/>
        <sz val="10"/>
        <rFont val="Arial"/>
        <family val="2"/>
      </rPr>
      <t xml:space="preserve"> [b]</t>
    </r>
  </si>
  <si>
    <t>VARIOUS</t>
  </si>
  <si>
    <r>
      <t xml:space="preserve">Ekola Flats Wind </t>
    </r>
    <r>
      <rPr>
        <b/>
        <sz val="10"/>
        <rFont val="Arial"/>
        <family val="2"/>
      </rPr>
      <t>[b]</t>
    </r>
  </si>
  <si>
    <r>
      <t>TB Flats Wind</t>
    </r>
    <r>
      <rPr>
        <b/>
        <sz val="10"/>
        <rFont val="Arial"/>
        <family val="2"/>
      </rPr>
      <t xml:space="preserve"> [b]</t>
    </r>
  </si>
  <si>
    <t>Foote Creek II-IV Wind</t>
  </si>
  <si>
    <t>Rock River I Wind</t>
  </si>
  <si>
    <r>
      <t xml:space="preserve">Rock Creek I Wind - 2024 PIS </t>
    </r>
    <r>
      <rPr>
        <b/>
        <sz val="10"/>
        <rFont val="Arial"/>
        <family val="2"/>
      </rPr>
      <t>[b]</t>
    </r>
  </si>
  <si>
    <t>Rock Creek I Wind - 2025 PIS</t>
  </si>
  <si>
    <t>Rock Creek II</t>
  </si>
  <si>
    <t>Total Federal Production Tax Credit</t>
  </si>
  <si>
    <r>
      <t xml:space="preserve">In Service dates in </t>
    </r>
    <r>
      <rPr>
        <b/>
        <sz val="10"/>
        <color theme="1"/>
        <rFont val="Arial"/>
        <family val="2"/>
      </rPr>
      <t>bold</t>
    </r>
    <r>
      <rPr>
        <sz val="10"/>
        <rFont val="Arial"/>
        <family val="2"/>
      </rPr>
      <t xml:space="preserve"> reflect actual in-service dates.</t>
    </r>
  </si>
  <si>
    <r>
      <rPr>
        <b/>
        <sz val="10"/>
        <color theme="1"/>
        <rFont val="Arial"/>
        <family val="2"/>
      </rPr>
      <t>[a]</t>
    </r>
    <r>
      <rPr>
        <sz val="10"/>
        <color theme="1"/>
        <rFont val="Arial"/>
        <family val="2"/>
      </rPr>
      <t xml:space="preserve"> </t>
    </r>
    <r>
      <rPr>
        <sz val="10"/>
        <rFont val="Arial"/>
        <family val="2"/>
      </rPr>
      <t xml:space="preserve"> Total available Kwh is reflected net of the generation that is not considered PTC eligible because the facility was not fully repowered.  For Glenrock, Glenrock III and Rolling Hills, approximately 8.3%, 17% and 23.4%, respectively, of the Kwh generation is not considered PTC eligible.</t>
    </r>
  </si>
  <si>
    <r>
      <t>[b]</t>
    </r>
    <r>
      <rPr>
        <sz val="10"/>
        <color theme="1"/>
        <rFont val="Arial"/>
        <family val="2"/>
      </rPr>
      <t xml:space="preserve"> Pryor Mountain, Ekola Flats, TB Flats and Rock Creek I were placed in service using circuits which results in multiple placed in service dates.</t>
    </r>
  </si>
  <si>
    <t>Washington Allocation</t>
  </si>
  <si>
    <t>2023 MYRP</t>
  </si>
  <si>
    <t>Rate Year 2</t>
  </si>
  <si>
    <t>CY 2026</t>
  </si>
  <si>
    <r>
      <rPr>
        <b/>
        <sz val="10"/>
        <rFont val="Arial"/>
        <family val="2"/>
      </rPr>
      <t xml:space="preserve">[c] </t>
    </r>
    <r>
      <rPr>
        <sz val="10"/>
        <rFont val="Arial"/>
        <family val="2"/>
      </rPr>
      <t>Allocation Factors:</t>
    </r>
  </si>
  <si>
    <t>Approved System Generation</t>
  </si>
  <si>
    <t>Proposed Fixed Factor - Rolling Hills</t>
  </si>
  <si>
    <t>Proposed Fixed Factor - All Renewable Except Rolling Hills</t>
  </si>
  <si>
    <t>PTCs Before Production Factor</t>
  </si>
  <si>
    <t>PTC in Rates</t>
  </si>
  <si>
    <t>Rev Req of PTC in Rates</t>
  </si>
  <si>
    <t>Check Production Factor Adj</t>
  </si>
  <si>
    <t>Check NPC</t>
  </si>
  <si>
    <t>Initial Filing</t>
  </si>
  <si>
    <t>Production Factor Adj by Resource:</t>
  </si>
  <si>
    <t>WA Alloc.</t>
  </si>
  <si>
    <t>TC</t>
  </si>
  <si>
    <t>Washington 2025 Power Cost Only Rate Case</t>
  </si>
  <si>
    <t>UE-230172 Rate Year 2 Net Power Cost Forecast</t>
  </si>
  <si>
    <t>Calendar Year 2026 Net Power Cost Forecast</t>
  </si>
  <si>
    <t>Production Factor Adjustments</t>
  </si>
  <si>
    <t>Production Tax Credits</t>
  </si>
  <si>
    <t>UE-230172 - Rate Year 2 (12 Months Ending March 2026)</t>
  </si>
  <si>
    <t>2025 PCORC -12 Months Ending December 2026</t>
  </si>
  <si>
    <t xml:space="preserve">UE-230172 Rate Year 2 - Production Factor </t>
  </si>
  <si>
    <t>Calendar Year 2026 Forecast - Production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</si>
</sst>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3" formatCode="_(* #,##0.00_);_(* \(#,##0.00\);_(* &quot;-&quot;??_);_(@_)"/>
    <numFmt numFmtId="164" formatCode="0.000%"/>
    <numFmt numFmtId="165" formatCode="_(* #,##0_);_(* \(#,##0\);_(* &quot;-&quot;??_);_(@_)"/>
    <numFmt numFmtId="166" formatCode="0.0%"/>
    <numFmt numFmtId="167" formatCode="[$-409]mmm\-yy;@"/>
    <numFmt numFmtId="168" formatCode="#,##0\ ;[Red]\(#,##0\);0\ "/>
    <numFmt numFmtId="169" formatCode="0\ \ ;@\ \ "/>
    <numFmt numFmtId="170" formatCode="#,##0\ ;[Red]\(#,##0\)"/>
    <numFmt numFmtId="171" formatCode="#,##0.000000\ ;[Red]\(#,##0.000000\);0.000000\ "/>
    <numFmt numFmtId="172" formatCode="#,##0.00\ ;[Red]\(#,##0.00\)"/>
    <numFmt numFmtId="173" formatCode="_(* #,##0.000_);_(* \(#,##0.000\);_(* &quot;-&quot;_);_(@_)"/>
    <numFmt numFmtId="174" formatCode="_(* #,##0_);[Red]_(* \(#,##0\);_(* &quot;-&quot;??_);_(@_)"/>
    <numFmt numFmtId="175" formatCode="_(* #,##0.000_);_(* \(#,##0.000\);_(* &quot;-&quot;??_);_(@_)"/>
    <numFmt numFmtId="176" formatCode="0.00\ ;[Red]\(0.00\)"/>
    <numFmt numFmtId="177" formatCode="_(* #,##0.000_);_(* \(#,##0.000\);_(* &quot;-&quot;???_);_(@_)"/>
    <numFmt numFmtId="178" formatCode="0.0"/>
  </numFmts>
  <fonts count="24"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color theme="1"/>
      <name val="Arial"/>
      <family val="2"/>
    </font>
    <font>
      <b/>
      <sz val="10"/>
      <color rgb="FFFF0000"/>
      <name val="Arial"/>
      <family val="2"/>
    </font>
    <font>
      <b/>
      <sz val="10"/>
      <name val="Arial"/>
      <family val="2"/>
    </font>
    <font>
      <sz val="11"/>
      <color theme="1"/>
      <name val="Arial"/>
      <family val="2"/>
    </font>
    <font>
      <u/>
      <sz val="10"/>
      <name val="Arial"/>
      <family val="2"/>
    </font>
    <font>
      <sz val="9"/>
      <color rgb="FFFF0000"/>
      <name val="Arial"/>
      <family val="2"/>
    </font>
    <font>
      <b/>
      <u/>
      <sz val="10"/>
      <name val="Arial"/>
      <family val="2"/>
    </font>
    <font>
      <i/>
      <sz val="10"/>
      <name val="Arial"/>
      <family val="2"/>
    </font>
    <font>
      <sz val="11"/>
      <name val="Arial"/>
      <family val="2"/>
    </font>
    <font>
      <b/>
      <sz val="9"/>
      <name val="Arial"/>
      <family val="2"/>
    </font>
    <font>
      <sz val="9"/>
      <color theme="1"/>
      <name val="Arial"/>
      <family val="2"/>
    </font>
    <font>
      <sz val="9"/>
      <name val="Arial"/>
      <family val="2"/>
    </font>
    <font>
      <b/>
      <i/>
      <sz val="9"/>
      <name val="Arial"/>
      <family val="2"/>
    </font>
    <font>
      <i/>
      <sz val="9"/>
      <name val="Arial"/>
      <family val="2"/>
    </font>
    <font>
      <u/>
      <sz val="9"/>
      <name val="Arial"/>
      <family val="2"/>
    </font>
    <font>
      <b/>
      <sz val="9"/>
      <color indexed="14"/>
      <name val="Arial"/>
      <family val="2"/>
    </font>
    <font>
      <b/>
      <sz val="9"/>
      <color indexed="10"/>
      <name val="Arial"/>
      <family val="2"/>
    </font>
    <font>
      <sz val="9"/>
      <name val="Helv"/>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s>
  <cellStyleXfs count="4">
    <xf numFmtId="0" fontId="0" fillId="0" borderId="0"/>
    <xf numFmtId="9" fontId="9" fillId="0" borderId="0" applyFont="0" applyFill="0" applyBorder="0" applyAlignment="0" applyProtection="0"/>
    <xf numFmtId="43" fontId="9" fillId="0" borderId="0" applyFont="0" applyFill="0" applyBorder="0" applyAlignment="0" applyProtection="0"/>
    <xf numFmtId="41" fontId="23" fillId="0" borderId="0"/>
  </cellStyleXfs>
  <cellXfs count="226">
    <xf numFmtId="0" fontId="0" fillId="0" borderId="0" xfId="0"/>
    <xf numFmtId="0" fontId="6" fillId="0" borderId="0" xfId="0" applyFont="1"/>
    <xf numFmtId="14" fontId="0" fillId="0" borderId="0" xfId="0" applyNumberFormat="1" applyAlignment="1">
      <alignment horizontal="center"/>
    </xf>
    <xf numFmtId="0" fontId="0" fillId="0" borderId="0" xfId="0" applyAlignment="1">
      <alignment horizontal="center"/>
    </xf>
    <xf numFmtId="0" fontId="7" fillId="0" borderId="0" xfId="0" applyFont="1"/>
    <xf numFmtId="0" fontId="5" fillId="0" borderId="0" xfId="0" applyFont="1" applyAlignment="1">
      <alignment horizontal="center"/>
    </xf>
    <xf numFmtId="0" fontId="5" fillId="0" borderId="0" xfId="0" applyFont="1"/>
    <xf numFmtId="0" fontId="5" fillId="0" borderId="2" xfId="0" applyFont="1" applyBorder="1" applyAlignment="1">
      <alignment horizontal="center" wrapText="1"/>
    </xf>
    <xf numFmtId="0" fontId="8" fillId="0" borderId="0" xfId="0" applyFont="1" applyAlignment="1">
      <alignment horizontal="left"/>
    </xf>
    <xf numFmtId="41" fontId="5" fillId="0" borderId="0" xfId="0" applyNumberFormat="1" applyFont="1" applyAlignment="1">
      <alignment horizontal="center"/>
    </xf>
    <xf numFmtId="0" fontId="5" fillId="0" borderId="0" xfId="0" applyFont="1" applyAlignment="1">
      <alignment horizontal="left" indent="1"/>
    </xf>
    <xf numFmtId="0" fontId="5" fillId="0" borderId="0" xfId="0" quotePrefix="1" applyFont="1" applyAlignment="1">
      <alignment horizontal="left" indent="1"/>
    </xf>
    <xf numFmtId="41" fontId="5" fillId="0" borderId="2" xfId="0" applyNumberFormat="1" applyFont="1" applyBorder="1" applyAlignment="1">
      <alignment horizontal="center"/>
    </xf>
    <xf numFmtId="0" fontId="8" fillId="0" borderId="0" xfId="0" applyFont="1"/>
    <xf numFmtId="0" fontId="5" fillId="0" borderId="0" xfId="0" quotePrefix="1" applyFont="1" applyAlignment="1">
      <alignment horizontal="left"/>
    </xf>
    <xf numFmtId="0" fontId="8" fillId="0" borderId="0" xfId="0" quotePrefix="1" applyFont="1" applyAlignment="1">
      <alignment horizontal="left"/>
    </xf>
    <xf numFmtId="0" fontId="8" fillId="0" borderId="0" xfId="0" applyFont="1" applyAlignment="1">
      <alignment horizontal="left" indent="1"/>
    </xf>
    <xf numFmtId="41" fontId="5" fillId="0" borderId="3" xfId="0" applyNumberFormat="1" applyFont="1" applyBorder="1" applyAlignment="1">
      <alignment horizontal="center"/>
    </xf>
    <xf numFmtId="41" fontId="0" fillId="0" borderId="0" xfId="0" applyNumberFormat="1"/>
    <xf numFmtId="3" fontId="8" fillId="0" borderId="0" xfId="0" applyNumberFormat="1" applyFont="1" applyAlignment="1">
      <alignment horizontal="left"/>
    </xf>
    <xf numFmtId="41" fontId="8" fillId="0" borderId="0" xfId="0" applyNumberFormat="1" applyFont="1" applyAlignment="1">
      <alignment horizontal="right"/>
    </xf>
    <xf numFmtId="0" fontId="8" fillId="0" borderId="0" xfId="0" applyFont="1" applyAlignment="1">
      <alignment horizontal="right"/>
    </xf>
    <xf numFmtId="0" fontId="10" fillId="0" borderId="0" xfId="0" applyFont="1" applyAlignment="1">
      <alignment horizontal="center"/>
    </xf>
    <xf numFmtId="10" fontId="5" fillId="0" borderId="0" xfId="1" applyNumberFormat="1" applyFont="1" applyFill="1" applyBorder="1" applyAlignment="1">
      <alignment horizontal="center"/>
    </xf>
    <xf numFmtId="41" fontId="5" fillId="0" borderId="0" xfId="1" applyNumberFormat="1" applyFont="1" applyFill="1" applyBorder="1" applyAlignment="1">
      <alignment horizontal="center"/>
    </xf>
    <xf numFmtId="0" fontId="4" fillId="0" borderId="0" xfId="0" applyFont="1"/>
    <xf numFmtId="165" fontId="5" fillId="0" borderId="0" xfId="0" applyNumberFormat="1" applyFont="1" applyAlignment="1">
      <alignment horizontal="center"/>
    </xf>
    <xf numFmtId="0" fontId="5" fillId="0" borderId="0" xfId="0" applyFont="1" applyAlignment="1">
      <alignment horizontal="center" wrapText="1"/>
    </xf>
    <xf numFmtId="0" fontId="4" fillId="0" borderId="0" xfId="0" applyFont="1" applyAlignment="1">
      <alignment horizontal="right"/>
    </xf>
    <xf numFmtId="10" fontId="4" fillId="0" borderId="0" xfId="1" applyNumberFormat="1" applyFont="1"/>
    <xf numFmtId="41" fontId="4" fillId="0" borderId="0" xfId="0" applyNumberFormat="1" applyFont="1"/>
    <xf numFmtId="165" fontId="4" fillId="0" borderId="0" xfId="0" applyNumberFormat="1" applyFont="1"/>
    <xf numFmtId="164" fontId="4" fillId="0" borderId="0" xfId="0" applyNumberFormat="1" applyFont="1"/>
    <xf numFmtId="43" fontId="4" fillId="0" borderId="0" xfId="0" applyNumberFormat="1" applyFont="1"/>
    <xf numFmtId="0" fontId="11" fillId="0" borderId="0" xfId="0" applyFont="1" applyAlignment="1">
      <alignment horizontal="left"/>
    </xf>
    <xf numFmtId="0" fontId="8" fillId="0" borderId="0" xfId="0" applyFont="1" applyAlignment="1">
      <alignment horizontal="center"/>
    </xf>
    <xf numFmtId="41" fontId="8" fillId="0" borderId="0" xfId="0" applyNumberFormat="1" applyFont="1"/>
    <xf numFmtId="42" fontId="8" fillId="0" borderId="0" xfId="0" applyNumberFormat="1" applyFont="1"/>
    <xf numFmtId="0" fontId="0" fillId="0" borderId="0" xfId="0" applyAlignment="1">
      <alignment vertical="top" wrapText="1"/>
    </xf>
    <xf numFmtId="0" fontId="0" fillId="0" borderId="0" xfId="0" applyAlignment="1">
      <alignment vertical="top"/>
    </xf>
    <xf numFmtId="41" fontId="8" fillId="0" borderId="3" xfId="0" applyNumberFormat="1" applyFont="1" applyBorder="1"/>
    <xf numFmtId="0" fontId="8" fillId="0" borderId="0" xfId="0" applyFont="1" applyAlignment="1">
      <alignment horizontal="right" indent="1"/>
    </xf>
    <xf numFmtId="0" fontId="6" fillId="0" borderId="0" xfId="0" applyFont="1" applyAlignment="1">
      <alignment horizontal="center" wrapText="1"/>
    </xf>
    <xf numFmtId="0" fontId="5" fillId="0" borderId="0" xfId="0" applyFont="1" applyAlignment="1">
      <alignment horizontal="right"/>
    </xf>
    <xf numFmtId="14" fontId="8" fillId="0" borderId="0" xfId="0" applyNumberFormat="1" applyFont="1" applyAlignment="1">
      <alignment horizontal="center"/>
    </xf>
    <xf numFmtId="0" fontId="5" fillId="0" borderId="9" xfId="0" applyFont="1" applyBorder="1"/>
    <xf numFmtId="0" fontId="8" fillId="0" borderId="10" xfId="0" applyFont="1" applyBorder="1" applyAlignment="1">
      <alignment horizontal="center"/>
    </xf>
    <xf numFmtId="0" fontId="8" fillId="0" borderId="7" xfId="0" applyFont="1" applyBorder="1" applyAlignment="1">
      <alignment horizontal="center" wrapText="1"/>
    </xf>
    <xf numFmtId="0" fontId="5" fillId="0" borderId="4" xfId="0" applyFont="1" applyBorder="1"/>
    <xf numFmtId="0" fontId="5" fillId="0" borderId="4" xfId="0" applyFont="1" applyBorder="1" applyAlignment="1">
      <alignment horizontal="left"/>
    </xf>
    <xf numFmtId="0" fontId="5" fillId="0" borderId="12" xfId="0" applyFont="1" applyBorder="1" applyAlignment="1">
      <alignment horizontal="left"/>
    </xf>
    <xf numFmtId="0" fontId="0" fillId="0" borderId="0" xfId="0" applyAlignment="1">
      <alignment horizontal="right"/>
    </xf>
    <xf numFmtId="0" fontId="12" fillId="0" borderId="0" xfId="0" applyFont="1"/>
    <xf numFmtId="0" fontId="13" fillId="0" borderId="0" xfId="0" applyFont="1"/>
    <xf numFmtId="165" fontId="5" fillId="0" borderId="0" xfId="0" applyNumberFormat="1" applyFont="1"/>
    <xf numFmtId="165" fontId="8" fillId="0" borderId="0" xfId="0" applyNumberFormat="1" applyFont="1"/>
    <xf numFmtId="165" fontId="5" fillId="0" borderId="1" xfId="0" applyNumberFormat="1" applyFont="1" applyBorder="1"/>
    <xf numFmtId="164" fontId="8" fillId="0" borderId="0" xfId="0" applyNumberFormat="1" applyFont="1"/>
    <xf numFmtId="165" fontId="5" fillId="0" borderId="0" xfId="0" applyNumberFormat="1" applyFont="1" applyAlignment="1">
      <alignment horizontal="right"/>
    </xf>
    <xf numFmtId="164" fontId="5" fillId="0" borderId="2" xfId="0" applyNumberFormat="1" applyFont="1" applyBorder="1"/>
    <xf numFmtId="164" fontId="5" fillId="0" borderId="0" xfId="0" applyNumberFormat="1" applyFont="1" applyAlignment="1">
      <alignment horizontal="right"/>
    </xf>
    <xf numFmtId="41" fontId="5" fillId="0" borderId="3" xfId="1" applyNumberFormat="1" applyFont="1" applyFill="1" applyBorder="1" applyAlignment="1">
      <alignment horizontal="center"/>
    </xf>
    <xf numFmtId="0" fontId="8" fillId="0" borderId="14" xfId="0" applyFont="1" applyBorder="1" applyAlignment="1">
      <alignment horizontal="center" wrapText="1"/>
    </xf>
    <xf numFmtId="0" fontId="6" fillId="0" borderId="14" xfId="0" applyFont="1" applyBorder="1" applyAlignment="1">
      <alignment horizontal="center" wrapText="1"/>
    </xf>
    <xf numFmtId="0" fontId="8" fillId="0" borderId="0" xfId="0" applyFont="1" applyAlignment="1">
      <alignment horizontal="center" wrapText="1"/>
    </xf>
    <xf numFmtId="43" fontId="0" fillId="0" borderId="0" xfId="2" applyFont="1" applyBorder="1"/>
    <xf numFmtId="164" fontId="5" fillId="0" borderId="0" xfId="0" applyNumberFormat="1" applyFont="1"/>
    <xf numFmtId="164" fontId="5" fillId="0" borderId="0" xfId="1" applyNumberFormat="1" applyFont="1"/>
    <xf numFmtId="0" fontId="6" fillId="0" borderId="14" xfId="0" applyFont="1" applyBorder="1"/>
    <xf numFmtId="164" fontId="5" fillId="0" borderId="5" xfId="1" applyNumberFormat="1" applyFont="1" applyFill="1" applyBorder="1"/>
    <xf numFmtId="0" fontId="8" fillId="0" borderId="0" xfId="0" applyFont="1" applyAlignment="1">
      <alignment horizontal="centerContinuous"/>
    </xf>
    <xf numFmtId="0" fontId="8" fillId="0" borderId="9"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5" fillId="0" borderId="0" xfId="0" applyFont="1" applyAlignment="1">
      <alignment horizontal="left"/>
    </xf>
    <xf numFmtId="0" fontId="8" fillId="0" borderId="6" xfId="0" applyFont="1" applyBorder="1" applyAlignment="1">
      <alignment horizontal="center"/>
    </xf>
    <xf numFmtId="0" fontId="8" fillId="0" borderId="1" xfId="0" applyFont="1" applyBorder="1" applyAlignment="1">
      <alignment horizontal="center" wrapText="1"/>
    </xf>
    <xf numFmtId="0" fontId="8" fillId="0" borderId="8" xfId="0" applyFont="1" applyBorder="1" applyAlignment="1">
      <alignment horizontal="center" wrapText="1"/>
    </xf>
    <xf numFmtId="0" fontId="5" fillId="0" borderId="10" xfId="0" applyFont="1" applyBorder="1"/>
    <xf numFmtId="41" fontId="5" fillId="0" borderId="11" xfId="0" applyNumberFormat="1"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41" fontId="5" fillId="0" borderId="6" xfId="0" applyNumberFormat="1" applyFont="1" applyBorder="1" applyAlignment="1">
      <alignment horizontal="center"/>
    </xf>
    <xf numFmtId="14" fontId="6" fillId="0" borderId="0" xfId="0" applyNumberFormat="1" applyFont="1" applyAlignment="1">
      <alignment horizontal="center"/>
    </xf>
    <xf numFmtId="175" fontId="5" fillId="0" borderId="0" xfId="0" applyNumberFormat="1" applyFont="1" applyAlignment="1">
      <alignment horizontal="center"/>
    </xf>
    <xf numFmtId="175" fontId="5" fillId="3" borderId="0" xfId="0" applyNumberFormat="1" applyFont="1" applyFill="1" applyAlignment="1">
      <alignment horizontal="center"/>
    </xf>
    <xf numFmtId="165" fontId="5" fillId="0" borderId="6" xfId="0" applyNumberFormat="1" applyFont="1" applyBorder="1" applyAlignment="1">
      <alignment horizontal="center"/>
    </xf>
    <xf numFmtId="0" fontId="5" fillId="0" borderId="4" xfId="0" applyFont="1" applyBorder="1" applyAlignment="1">
      <alignment vertical="center"/>
    </xf>
    <xf numFmtId="14" fontId="5" fillId="0" borderId="0" xfId="0" applyNumberFormat="1" applyFont="1" applyAlignment="1">
      <alignment horizontal="center"/>
    </xf>
    <xf numFmtId="43" fontId="5" fillId="0" borderId="0" xfId="0" applyNumberFormat="1" applyFont="1" applyAlignment="1">
      <alignment horizontal="left"/>
    </xf>
    <xf numFmtId="173" fontId="5" fillId="0" borderId="6" xfId="0" applyNumberFormat="1" applyFont="1" applyBorder="1" applyAlignment="1">
      <alignment horizontal="center"/>
    </xf>
    <xf numFmtId="41" fontId="5" fillId="0" borderId="0" xfId="0" applyNumberFormat="1" applyFont="1"/>
    <xf numFmtId="41" fontId="5" fillId="0" borderId="0" xfId="0" applyNumberFormat="1" applyFont="1" applyAlignment="1">
      <alignment horizontal="right"/>
    </xf>
    <xf numFmtId="41" fontId="5" fillId="0" borderId="13" xfId="0" applyNumberFormat="1" applyFont="1" applyBorder="1" applyAlignment="1">
      <alignment horizontal="center"/>
    </xf>
    <xf numFmtId="165" fontId="5" fillId="0" borderId="1" xfId="2" applyNumberFormat="1" applyFont="1" applyBorder="1"/>
    <xf numFmtId="177" fontId="5" fillId="0" borderId="0" xfId="0" applyNumberFormat="1" applyFont="1"/>
    <xf numFmtId="0" fontId="8" fillId="0" borderId="7" xfId="0" applyFont="1" applyBorder="1" applyAlignment="1">
      <alignment horizontal="left"/>
    </xf>
    <xf numFmtId="0" fontId="8" fillId="0" borderId="1" xfId="0" applyFont="1" applyBorder="1" applyAlignment="1">
      <alignment horizontal="center"/>
    </xf>
    <xf numFmtId="41" fontId="8" fillId="0" borderId="13" xfId="0" applyNumberFormat="1" applyFont="1" applyBorder="1" applyAlignment="1">
      <alignment horizontal="center"/>
    </xf>
    <xf numFmtId="9" fontId="5" fillId="0" borderId="0" xfId="0" applyNumberFormat="1" applyFont="1" applyAlignment="1">
      <alignment horizontal="right"/>
    </xf>
    <xf numFmtId="0" fontId="5" fillId="0" borderId="9" xfId="0" applyFont="1" applyBorder="1" applyAlignment="1">
      <alignment horizontal="left"/>
    </xf>
    <xf numFmtId="0" fontId="5" fillId="0" borderId="10" xfId="0" applyFont="1" applyBorder="1" applyAlignment="1">
      <alignment horizontal="left"/>
    </xf>
    <xf numFmtId="0" fontId="5" fillId="0" borderId="6" xfId="0" applyFont="1" applyBorder="1"/>
    <xf numFmtId="165" fontId="5" fillId="0" borderId="0" xfId="2" applyNumberFormat="1" applyFont="1" applyBorder="1"/>
    <xf numFmtId="165" fontId="5" fillId="0" borderId="6" xfId="0" applyNumberFormat="1" applyFont="1" applyBorder="1"/>
    <xf numFmtId="165" fontId="5" fillId="0" borderId="8" xfId="0" applyNumberFormat="1" applyFont="1" applyBorder="1"/>
    <xf numFmtId="0" fontId="5" fillId="0" borderId="7" xfId="0" applyFont="1" applyBorder="1"/>
    <xf numFmtId="0" fontId="5" fillId="0" borderId="1" xfId="0" applyFont="1" applyBorder="1" applyAlignment="1">
      <alignment horizontal="right"/>
    </xf>
    <xf numFmtId="0" fontId="3" fillId="0" borderId="0" xfId="0" applyFont="1" applyAlignment="1">
      <alignment horizontal="right"/>
    </xf>
    <xf numFmtId="41" fontId="14" fillId="0" borderId="0" xfId="0" applyNumberFormat="1" applyFont="1"/>
    <xf numFmtId="0" fontId="8" fillId="0" borderId="12" xfId="0" applyFont="1" applyBorder="1" applyAlignment="1">
      <alignment horizontal="right"/>
    </xf>
    <xf numFmtId="165" fontId="8" fillId="0" borderId="13" xfId="0" applyNumberFormat="1" applyFont="1" applyBorder="1"/>
    <xf numFmtId="164" fontId="5" fillId="0" borderId="0" xfId="1" applyNumberFormat="1" applyFont="1" applyBorder="1"/>
    <xf numFmtId="164" fontId="5" fillId="0" borderId="0" xfId="0" applyNumberFormat="1" applyFont="1" applyAlignment="1">
      <alignment horizontal="center"/>
    </xf>
    <xf numFmtId="0" fontId="8" fillId="0" borderId="0" xfId="0" applyFont="1" applyAlignment="1">
      <alignment horizontal="left" wrapText="1"/>
    </xf>
    <xf numFmtId="43" fontId="8" fillId="0" borderId="0" xfId="2" applyFont="1" applyFill="1" applyBorder="1"/>
    <xf numFmtId="0" fontId="12" fillId="0" borderId="0" xfId="0" applyFont="1" applyAlignment="1">
      <alignment horizontal="left"/>
    </xf>
    <xf numFmtId="0" fontId="8" fillId="0" borderId="7" xfId="0" applyFont="1" applyBorder="1" applyAlignment="1">
      <alignment horizontal="left" wrapText="1"/>
    </xf>
    <xf numFmtId="0" fontId="8" fillId="0" borderId="11" xfId="0" applyFont="1" applyBorder="1" applyAlignment="1">
      <alignment horizontal="center"/>
    </xf>
    <xf numFmtId="0" fontId="5" fillId="0" borderId="11" xfId="0" applyFont="1" applyBorder="1"/>
    <xf numFmtId="0" fontId="6" fillId="0" borderId="0" xfId="0" applyFont="1" applyAlignment="1">
      <alignment horizontal="right"/>
    </xf>
    <xf numFmtId="165" fontId="6" fillId="0" borderId="0" xfId="0" applyNumberFormat="1" applyFont="1"/>
    <xf numFmtId="165" fontId="5" fillId="4" borderId="0" xfId="0" applyNumberFormat="1" applyFont="1" applyFill="1"/>
    <xf numFmtId="41" fontId="5" fillId="0" borderId="0" xfId="0" applyNumberFormat="1" applyFont="1" applyAlignment="1">
      <alignment horizontal="left" indent="1"/>
    </xf>
    <xf numFmtId="0" fontId="2" fillId="0" borderId="0" xfId="0" applyFont="1"/>
    <xf numFmtId="0" fontId="2" fillId="0" borderId="0" xfId="0" applyFont="1" applyAlignment="1">
      <alignment horizontal="center"/>
    </xf>
    <xf numFmtId="0" fontId="2" fillId="0" borderId="0" xfId="0" applyFont="1" applyAlignment="1">
      <alignment horizontal="right"/>
    </xf>
    <xf numFmtId="41" fontId="2" fillId="0" borderId="0" xfId="0" applyNumberFormat="1" applyFont="1"/>
    <xf numFmtId="165" fontId="2" fillId="0" borderId="0" xfId="0" applyNumberFormat="1" applyFont="1"/>
    <xf numFmtId="38" fontId="2" fillId="0" borderId="0" xfId="0" applyNumberFormat="1" applyFont="1"/>
    <xf numFmtId="164" fontId="2" fillId="0" borderId="0" xfId="0" applyNumberFormat="1" applyFont="1"/>
    <xf numFmtId="0" fontId="2" fillId="0" borderId="0" xfId="0" applyFont="1" applyAlignment="1">
      <alignment horizontal="left"/>
    </xf>
    <xf numFmtId="0" fontId="2" fillId="0" borderId="0" xfId="0" applyFont="1" applyAlignment="1">
      <alignment horizontal="center" wrapText="1"/>
    </xf>
    <xf numFmtId="178" fontId="5" fillId="0" borderId="0" xfId="0" applyNumberFormat="1" applyFont="1" applyAlignment="1">
      <alignment horizontal="center"/>
    </xf>
    <xf numFmtId="0" fontId="15" fillId="0" borderId="0" xfId="0" applyFont="1"/>
    <xf numFmtId="0" fontId="16" fillId="0" borderId="0" xfId="0" applyFont="1"/>
    <xf numFmtId="0" fontId="16" fillId="0" borderId="0" xfId="0" applyFont="1" applyAlignment="1">
      <alignment horizontal="center"/>
    </xf>
    <xf numFmtId="41" fontId="16" fillId="0" borderId="0" xfId="0" applyNumberFormat="1" applyFont="1"/>
    <xf numFmtId="165" fontId="16" fillId="0" borderId="0" xfId="0" applyNumberFormat="1" applyFont="1"/>
    <xf numFmtId="0" fontId="15" fillId="0" borderId="0" xfId="0" applyFont="1" applyAlignment="1">
      <alignment horizontal="center"/>
    </xf>
    <xf numFmtId="0" fontId="2" fillId="0" borderId="5" xfId="0" applyFont="1" applyBorder="1"/>
    <xf numFmtId="41" fontId="2" fillId="0" borderId="5" xfId="0" applyNumberFormat="1" applyFont="1" applyBorder="1" applyAlignment="1">
      <alignment horizontal="center" wrapText="1"/>
    </xf>
    <xf numFmtId="165" fontId="2" fillId="0" borderId="5" xfId="0" applyNumberFormat="1" applyFont="1" applyBorder="1" applyAlignment="1">
      <alignment horizontal="center" wrapText="1"/>
    </xf>
    <xf numFmtId="165" fontId="2" fillId="0" borderId="5" xfId="0" applyNumberFormat="1" applyFont="1" applyBorder="1"/>
    <xf numFmtId="41" fontId="2" fillId="0" borderId="5" xfId="0" applyNumberFormat="1" applyFont="1" applyBorder="1"/>
    <xf numFmtId="43" fontId="2" fillId="0" borderId="0" xfId="0" applyNumberFormat="1" applyFont="1"/>
    <xf numFmtId="0" fontId="2" fillId="0" borderId="0" xfId="0" quotePrefix="1" applyFont="1" applyAlignment="1">
      <alignment horizontal="center" wrapText="1"/>
    </xf>
    <xf numFmtId="164" fontId="2" fillId="0" borderId="0" xfId="0" applyNumberFormat="1" applyFont="1" applyAlignment="1">
      <alignment horizontal="center"/>
    </xf>
    <xf numFmtId="1" fontId="2" fillId="0" borderId="0" xfId="0" applyNumberFormat="1" applyFont="1" applyAlignment="1">
      <alignment horizontal="center"/>
    </xf>
    <xf numFmtId="0" fontId="18" fillId="0" borderId="0" xfId="0" applyFont="1"/>
    <xf numFmtId="1" fontId="19" fillId="0" borderId="0" xfId="0" applyNumberFormat="1" applyFont="1"/>
    <xf numFmtId="0" fontId="19" fillId="0" borderId="0" xfId="0" applyFont="1"/>
    <xf numFmtId="0" fontId="16" fillId="0" borderId="0" xfId="0" applyFont="1" applyAlignment="1">
      <alignment horizontal="right"/>
    </xf>
    <xf numFmtId="168" fontId="16" fillId="0" borderId="0" xfId="0" applyNumberFormat="1" applyFont="1" applyAlignment="1">
      <alignment horizontal="center"/>
    </xf>
    <xf numFmtId="0" fontId="20" fillId="0" borderId="0" xfId="0" applyFont="1" applyAlignment="1">
      <alignment horizontal="right"/>
    </xf>
    <xf numFmtId="169" fontId="20" fillId="0" borderId="0" xfId="0" applyNumberFormat="1" applyFont="1" applyAlignment="1">
      <alignment horizontal="right"/>
    </xf>
    <xf numFmtId="168" fontId="20" fillId="0" borderId="0" xfId="0" applyNumberFormat="1" applyFont="1" applyAlignment="1">
      <alignment horizontal="center"/>
    </xf>
    <xf numFmtId="168" fontId="16" fillId="0" borderId="0" xfId="0" applyNumberFormat="1" applyFont="1"/>
    <xf numFmtId="170" fontId="16" fillId="0" borderId="0" xfId="0" applyNumberFormat="1" applyFont="1"/>
    <xf numFmtId="3" fontId="16" fillId="0" borderId="0" xfId="0" applyNumberFormat="1" applyFont="1"/>
    <xf numFmtId="0" fontId="16" fillId="0" borderId="0" xfId="0" applyFont="1" applyAlignment="1">
      <alignment horizontal="fill"/>
    </xf>
    <xf numFmtId="171" fontId="16" fillId="0" borderId="0" xfId="0" applyNumberFormat="1" applyFont="1"/>
    <xf numFmtId="41" fontId="16" fillId="0" borderId="0" xfId="0" quotePrefix="1" applyNumberFormat="1" applyFont="1"/>
    <xf numFmtId="0" fontId="16" fillId="0" borderId="0" xfId="0" quotePrefix="1" applyFont="1" applyAlignment="1">
      <alignment horizontal="left"/>
    </xf>
    <xf numFmtId="38" fontId="16" fillId="0" borderId="0" xfId="0" applyNumberFormat="1" applyFont="1" applyAlignment="1">
      <alignment horizontal="fill"/>
    </xf>
    <xf numFmtId="0" fontId="15" fillId="0" borderId="0" xfId="0" applyFont="1" applyAlignment="1">
      <alignment horizontal="right"/>
    </xf>
    <xf numFmtId="1" fontId="15" fillId="2" borderId="0" xfId="0" applyNumberFormat="1" applyFont="1" applyFill="1"/>
    <xf numFmtId="0" fontId="17" fillId="2" borderId="0" xfId="0" applyFont="1" applyFill="1"/>
    <xf numFmtId="1" fontId="15" fillId="2" borderId="0" xfId="0" applyNumberFormat="1" applyFont="1" applyFill="1" applyAlignment="1">
      <alignment horizontal="center"/>
    </xf>
    <xf numFmtId="0" fontId="15" fillId="2" borderId="0" xfId="0" applyFont="1" applyFill="1" applyAlignment="1">
      <alignment horizontal="center"/>
    </xf>
    <xf numFmtId="0" fontId="17" fillId="2" borderId="0" xfId="0" applyFont="1" applyFill="1" applyAlignment="1">
      <alignment horizontal="center"/>
    </xf>
    <xf numFmtId="14" fontId="17" fillId="2" borderId="0" xfId="0" applyNumberFormat="1" applyFont="1" applyFill="1"/>
    <xf numFmtId="49" fontId="15" fillId="2" borderId="0" xfId="0" applyNumberFormat="1" applyFont="1" applyFill="1"/>
    <xf numFmtId="0" fontId="19" fillId="2" borderId="0" xfId="0" applyFont="1" applyFill="1"/>
    <xf numFmtId="0" fontId="17" fillId="2" borderId="0" xfId="0" applyFont="1" applyFill="1" applyAlignment="1">
      <alignment horizontal="right"/>
    </xf>
    <xf numFmtId="167" fontId="19" fillId="2" borderId="0" xfId="0" applyNumberFormat="1" applyFont="1" applyFill="1" applyAlignment="1">
      <alignment horizontal="left"/>
    </xf>
    <xf numFmtId="0" fontId="21" fillId="2" borderId="0" xfId="0" applyFont="1" applyFill="1"/>
    <xf numFmtId="168" fontId="17" fillId="2" borderId="0" xfId="0" applyNumberFormat="1" applyFont="1" applyFill="1" applyAlignment="1">
      <alignment horizontal="center"/>
    </xf>
    <xf numFmtId="0" fontId="15" fillId="2" borderId="0" xfId="0" applyFont="1" applyFill="1"/>
    <xf numFmtId="0" fontId="20" fillId="2" borderId="0" xfId="0" applyFont="1" applyFill="1" applyAlignment="1">
      <alignment horizontal="right"/>
    </xf>
    <xf numFmtId="168" fontId="20" fillId="2" borderId="0" xfId="0" applyNumberFormat="1" applyFont="1" applyFill="1" applyAlignment="1">
      <alignment horizontal="center"/>
    </xf>
    <xf numFmtId="165" fontId="17" fillId="2" borderId="0" xfId="2" applyNumberFormat="1" applyFont="1" applyFill="1"/>
    <xf numFmtId="174" fontId="17" fillId="2" borderId="0" xfId="0" applyNumberFormat="1" applyFont="1" applyFill="1"/>
    <xf numFmtId="0" fontId="17" fillId="2" borderId="0" xfId="0" applyFont="1" applyFill="1" applyAlignment="1">
      <alignment horizontal="left" indent="1"/>
    </xf>
    <xf numFmtId="16" fontId="17" fillId="2" borderId="0" xfId="0" applyNumberFormat="1" applyFont="1" applyFill="1"/>
    <xf numFmtId="0" fontId="17" fillId="2" borderId="1" xfId="0" applyFont="1" applyFill="1" applyBorder="1" applyAlignment="1">
      <alignment horizontal="left" indent="1"/>
    </xf>
    <xf numFmtId="165" fontId="17" fillId="2" borderId="1" xfId="2" applyNumberFormat="1" applyFont="1" applyFill="1" applyBorder="1"/>
    <xf numFmtId="170" fontId="15" fillId="2" borderId="0" xfId="0" applyNumberFormat="1" applyFont="1" applyFill="1"/>
    <xf numFmtId="0" fontId="22" fillId="2" borderId="0" xfId="0" applyFont="1" applyFill="1" applyAlignment="1">
      <alignment horizontal="center"/>
    </xf>
    <xf numFmtId="10" fontId="17" fillId="2" borderId="0" xfId="0" applyNumberFormat="1" applyFont="1" applyFill="1"/>
    <xf numFmtId="170" fontId="17" fillId="2" borderId="0" xfId="0" applyNumberFormat="1" applyFont="1" applyFill="1"/>
    <xf numFmtId="172" fontId="17" fillId="2" borderId="0" xfId="0" applyNumberFormat="1" applyFont="1" applyFill="1"/>
    <xf numFmtId="166" fontId="17" fillId="2" borderId="0" xfId="0" applyNumberFormat="1" applyFont="1" applyFill="1"/>
    <xf numFmtId="0" fontId="15" fillId="2" borderId="10" xfId="0" applyFont="1" applyFill="1" applyBorder="1"/>
    <xf numFmtId="165" fontId="17" fillId="2" borderId="10" xfId="2" applyNumberFormat="1" applyFont="1" applyFill="1" applyBorder="1"/>
    <xf numFmtId="3" fontId="17" fillId="2" borderId="0" xfId="0" applyNumberFormat="1" applyFont="1" applyFill="1"/>
    <xf numFmtId="0" fontId="17" fillId="2" borderId="10" xfId="0" applyFont="1" applyFill="1" applyBorder="1"/>
    <xf numFmtId="165" fontId="17" fillId="2" borderId="0" xfId="2" applyNumberFormat="1" applyFont="1" applyFill="1" applyAlignment="1">
      <alignment horizontal="fill"/>
    </xf>
    <xf numFmtId="0" fontId="15" fillId="2" borderId="0" xfId="0" applyFont="1" applyFill="1" applyAlignment="1">
      <alignment horizontal="left"/>
    </xf>
    <xf numFmtId="38" fontId="17" fillId="2" borderId="0" xfId="0" applyNumberFormat="1" applyFont="1" applyFill="1"/>
    <xf numFmtId="170" fontId="17" fillId="2" borderId="0" xfId="0" applyNumberFormat="1" applyFont="1" applyFill="1" applyAlignment="1">
      <alignment horizontal="left" indent="1"/>
    </xf>
    <xf numFmtId="0" fontId="15" fillId="2" borderId="3" xfId="0" applyFont="1" applyFill="1" applyBorder="1"/>
    <xf numFmtId="165" fontId="17" fillId="2" borderId="3" xfId="2" applyNumberFormat="1" applyFont="1" applyFill="1" applyBorder="1"/>
    <xf numFmtId="0" fontId="15" fillId="2" borderId="15" xfId="0" applyFont="1" applyFill="1" applyBorder="1"/>
    <xf numFmtId="165" fontId="17" fillId="2" borderId="15" xfId="2" applyNumberFormat="1" applyFont="1" applyFill="1" applyBorder="1"/>
    <xf numFmtId="175" fontId="17" fillId="2" borderId="0" xfId="0" applyNumberFormat="1" applyFont="1" applyFill="1"/>
    <xf numFmtId="0" fontId="17" fillId="2" borderId="0" xfId="0" applyFont="1" applyFill="1" applyAlignment="1">
      <alignment horizontal="fill"/>
    </xf>
    <xf numFmtId="176" fontId="17" fillId="2" borderId="0" xfId="0" applyNumberFormat="1" applyFont="1" applyFill="1"/>
    <xf numFmtId="169" fontId="17" fillId="2" borderId="0" xfId="0" applyNumberFormat="1" applyFont="1" applyFill="1" applyAlignment="1">
      <alignment horizontal="right"/>
    </xf>
    <xf numFmtId="38" fontId="17" fillId="2" borderId="0" xfId="0" applyNumberFormat="1" applyFont="1" applyFill="1" applyAlignment="1">
      <alignment horizontal="fill"/>
    </xf>
    <xf numFmtId="0" fontId="8" fillId="0" borderId="1" xfId="0" applyFont="1" applyBorder="1" applyAlignment="1">
      <alignment horizontal="center"/>
    </xf>
    <xf numFmtId="167" fontId="19" fillId="0" borderId="0" xfId="0" applyNumberFormat="1" applyFont="1" applyAlignment="1">
      <alignment horizontal="left"/>
    </xf>
    <xf numFmtId="0" fontId="5" fillId="0" borderId="0" xfId="0" applyFont="1" applyAlignment="1">
      <alignment horizont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13"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6" fillId="0" borderId="0" xfId="0" applyFont="1" applyAlignment="1">
      <alignment horizontal="left" vertical="top" wrapText="1"/>
    </xf>
    <xf numFmtId="41" fontId="17" fillId="2" borderId="0" xfId="3" applyFont="1" applyFill="1"/>
    <xf numFmtId="3" fontId="17" fillId="2" borderId="0" xfId="3" applyNumberFormat="1" applyFont="1" applyFill="1"/>
    <xf numFmtId="168" fontId="17" fillId="2" borderId="0" xfId="3" applyNumberFormat="1" applyFont="1" applyFill="1"/>
    <xf numFmtId="41" fontId="17" fillId="2" borderId="0" xfId="3" quotePrefix="1" applyFont="1" applyFill="1"/>
    <xf numFmtId="41" fontId="17" fillId="2" borderId="0" xfId="3" applyFont="1" applyFill="1" applyAlignment="1">
      <alignment horizontal="fill"/>
    </xf>
  </cellXfs>
  <cellStyles count="4">
    <cellStyle name="Comma" xfId="2" builtinId="3"/>
    <cellStyle name="Normal" xfId="0" builtinId="0"/>
    <cellStyle name="Normal 17" xfId="3" xr:uid="{2AA8010E-9068-4206-935C-8F867F2B2C7F}"/>
    <cellStyle name="Percent" xfId="1" builtinId="5"/>
  </cellStyles>
  <dxfs count="2">
    <dxf>
      <font>
        <b/>
        <i val="0"/>
        <condense val="0"/>
        <extend val="0"/>
        <color indexed="12"/>
      </font>
    </dxf>
    <dxf>
      <font>
        <b/>
        <i val="0"/>
        <condense val="0"/>
        <extend val="0"/>
        <color indexed="1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55"/>
  <sheetViews>
    <sheetView tabSelected="1" view="pageBreakPreview" zoomScaleNormal="100" zoomScaleSheetLayoutView="100" workbookViewId="0">
      <selection activeCell="G45" sqref="G45"/>
    </sheetView>
  </sheetViews>
  <sheetFormatPr defaultColWidth="7" defaultRowHeight="12.75" customHeight="1" x14ac:dyDescent="0.2"/>
  <cols>
    <col min="1" max="1" width="1.5" customWidth="1"/>
    <col min="2" max="2" width="6.625" style="3" customWidth="1"/>
    <col min="3" max="3" width="33.625" customWidth="1"/>
    <col min="4" max="4" width="7" customWidth="1"/>
    <col min="5" max="5" width="13.75" customWidth="1"/>
    <col min="6" max="6" width="14.375" customWidth="1"/>
    <col min="7" max="7" width="13.5" customWidth="1"/>
    <col min="8" max="8" width="11.375" style="25" bestFit="1" customWidth="1"/>
    <col min="9" max="9" width="5.875" style="25" customWidth="1"/>
    <col min="10" max="10" width="13.125" style="25" bestFit="1" customWidth="1"/>
    <col min="11" max="11" width="15.5" style="25" customWidth="1"/>
    <col min="12" max="12" width="13.125" style="25" bestFit="1" customWidth="1"/>
    <col min="13" max="13" width="10.25" style="25" customWidth="1"/>
  </cols>
  <sheetData>
    <row r="1" spans="2:12" ht="12.75" customHeight="1" x14ac:dyDescent="0.2">
      <c r="B1" s="1" t="s">
        <v>0</v>
      </c>
      <c r="C1" s="1"/>
    </row>
    <row r="2" spans="2:12" ht="12.75" customHeight="1" x14ac:dyDescent="0.2">
      <c r="B2" s="1" t="s">
        <v>212</v>
      </c>
      <c r="C2" s="1"/>
      <c r="E2" s="2"/>
      <c r="F2" s="2"/>
      <c r="G2" s="2"/>
    </row>
    <row r="3" spans="2:12" ht="12.75" customHeight="1" x14ac:dyDescent="0.2">
      <c r="B3" s="1" t="s">
        <v>208</v>
      </c>
      <c r="C3" s="1"/>
      <c r="E3" s="2"/>
      <c r="F3" s="2"/>
      <c r="G3" s="2"/>
    </row>
    <row r="4" spans="2:12" ht="12.75" customHeight="1" x14ac:dyDescent="0.2">
      <c r="B4" s="1"/>
      <c r="C4" s="4"/>
      <c r="D4" s="5"/>
      <c r="E4" s="210" t="s">
        <v>84</v>
      </c>
      <c r="F4" s="210"/>
      <c r="G4" s="35"/>
      <c r="J4" s="1"/>
      <c r="K4" s="1"/>
    </row>
    <row r="5" spans="2:12" ht="38.25" x14ac:dyDescent="0.2">
      <c r="B5" s="22" t="s">
        <v>69</v>
      </c>
      <c r="C5" s="6"/>
      <c r="D5" s="5" t="s">
        <v>1</v>
      </c>
      <c r="E5" s="7" t="s">
        <v>150</v>
      </c>
      <c r="F5" s="7" t="s">
        <v>151</v>
      </c>
      <c r="G5" s="27"/>
      <c r="H5" s="64"/>
      <c r="J5" s="42"/>
      <c r="K5" s="42"/>
      <c r="L5" s="28"/>
    </row>
    <row r="6" spans="2:12" ht="12.75" customHeight="1" x14ac:dyDescent="0.2">
      <c r="B6" s="3">
        <v>1</v>
      </c>
      <c r="C6" s="8" t="s">
        <v>2</v>
      </c>
      <c r="D6" s="5"/>
    </row>
    <row r="7" spans="2:12" ht="12.75" customHeight="1" x14ac:dyDescent="0.2">
      <c r="B7" s="3">
        <f>+B6+1</f>
        <v>2</v>
      </c>
      <c r="C7" s="10" t="s">
        <v>3</v>
      </c>
      <c r="D7" s="5">
        <v>447</v>
      </c>
      <c r="E7" s="9">
        <v>0</v>
      </c>
      <c r="F7" s="9"/>
      <c r="G7" s="9"/>
      <c r="H7" s="9"/>
      <c r="I7" s="29"/>
      <c r="J7" s="9"/>
      <c r="K7" s="26"/>
      <c r="L7" s="30"/>
    </row>
    <row r="8" spans="2:12" ht="12.75" customHeight="1" x14ac:dyDescent="0.2">
      <c r="B8" s="3">
        <f t="shared" ref="B8:B50" si="0">+B7+1</f>
        <v>3</v>
      </c>
      <c r="C8" s="10" t="s">
        <v>4</v>
      </c>
      <c r="D8" s="5">
        <v>447</v>
      </c>
      <c r="E8" s="9">
        <v>0</v>
      </c>
      <c r="F8" s="9"/>
      <c r="G8" s="9"/>
      <c r="H8" s="9"/>
      <c r="I8" s="29"/>
      <c r="J8" s="29"/>
      <c r="K8" s="31"/>
    </row>
    <row r="9" spans="2:12" ht="12.75" customHeight="1" x14ac:dyDescent="0.2">
      <c r="B9" s="3">
        <f t="shared" si="0"/>
        <v>4</v>
      </c>
      <c r="C9" s="11" t="s">
        <v>5</v>
      </c>
      <c r="D9" s="5">
        <v>447</v>
      </c>
      <c r="E9" s="9">
        <f>'PrePost - RY2 MYRP Compliance'!I12</f>
        <v>10332940.126933573</v>
      </c>
      <c r="F9" s="9">
        <f>'PrePost - 2026 Initial Filing'!C14</f>
        <v>12050660.593778942</v>
      </c>
      <c r="G9" s="9"/>
      <c r="H9" s="9"/>
      <c r="I9" s="29"/>
      <c r="J9" s="9"/>
      <c r="K9" s="26"/>
      <c r="L9" s="30"/>
    </row>
    <row r="10" spans="2:12" ht="12.75" customHeight="1" x14ac:dyDescent="0.2">
      <c r="B10" s="3">
        <f t="shared" si="0"/>
        <v>5</v>
      </c>
      <c r="C10" s="10" t="s">
        <v>6</v>
      </c>
      <c r="D10" s="5">
        <v>447</v>
      </c>
      <c r="E10" s="9">
        <v>0</v>
      </c>
      <c r="F10" s="9"/>
      <c r="G10" s="9"/>
      <c r="H10" s="9"/>
      <c r="I10" s="29"/>
      <c r="J10" s="29"/>
      <c r="K10" s="31"/>
    </row>
    <row r="11" spans="2:12" ht="12.75" customHeight="1" x14ac:dyDescent="0.2">
      <c r="B11" s="3">
        <f t="shared" si="0"/>
        <v>6</v>
      </c>
      <c r="C11" s="8" t="s">
        <v>7</v>
      </c>
      <c r="D11" s="5"/>
      <c r="E11" s="12">
        <f t="shared" ref="E11" si="1">SUM(E7:E10)</f>
        <v>10332940.126933573</v>
      </c>
      <c r="F11" s="12">
        <f t="shared" ref="F11" si="2">SUM(F7:F10)</f>
        <v>12050660.593778942</v>
      </c>
      <c r="G11" s="9"/>
      <c r="H11" s="9"/>
      <c r="I11" s="29"/>
      <c r="J11" s="9"/>
      <c r="K11" s="26"/>
      <c r="L11" s="30"/>
    </row>
    <row r="12" spans="2:12" ht="12.75" customHeight="1" x14ac:dyDescent="0.2">
      <c r="B12" s="3">
        <f t="shared" si="0"/>
        <v>7</v>
      </c>
      <c r="C12" s="6"/>
      <c r="D12" s="5"/>
      <c r="F12" s="18"/>
      <c r="G12" s="18"/>
      <c r="H12" s="30"/>
      <c r="I12" s="30"/>
      <c r="K12" s="31"/>
    </row>
    <row r="13" spans="2:12" ht="12.75" customHeight="1" x14ac:dyDescent="0.2">
      <c r="B13" s="3">
        <f t="shared" si="0"/>
        <v>8</v>
      </c>
      <c r="C13" s="13" t="s">
        <v>8</v>
      </c>
      <c r="D13" s="5"/>
      <c r="K13" s="31"/>
    </row>
    <row r="14" spans="2:12" ht="12.75" customHeight="1" x14ac:dyDescent="0.2">
      <c r="B14" s="3">
        <f t="shared" si="0"/>
        <v>9</v>
      </c>
      <c r="C14" s="11" t="s">
        <v>9</v>
      </c>
      <c r="D14" s="5">
        <v>555</v>
      </c>
      <c r="E14" s="9">
        <f>'PrePost - RY2 MYRP Compliance'!F19</f>
        <v>2447271.0528196297</v>
      </c>
      <c r="F14" s="9">
        <f>'PrePost - 2026 Initial Filing'!D23</f>
        <v>1759429.9099909985</v>
      </c>
      <c r="G14" s="9"/>
      <c r="H14" s="9"/>
      <c r="I14" s="29"/>
      <c r="J14" s="9"/>
      <c r="K14" s="26"/>
      <c r="L14" s="30"/>
    </row>
    <row r="15" spans="2:12" ht="12.75" customHeight="1" x14ac:dyDescent="0.2">
      <c r="B15" s="3">
        <f t="shared" si="0"/>
        <v>10</v>
      </c>
      <c r="C15" s="10" t="s">
        <v>9</v>
      </c>
      <c r="D15" s="5">
        <v>555</v>
      </c>
      <c r="E15" s="9">
        <f>'PrePost - RY2 MYRP Compliance'!G19</f>
        <v>5710299.1232458027</v>
      </c>
      <c r="F15" s="9">
        <f>'PrePost - 2026 Initial Filing'!E23</f>
        <v>4105336.4566456629</v>
      </c>
      <c r="G15" s="9"/>
      <c r="H15" s="9"/>
      <c r="I15" s="29"/>
      <c r="J15" s="9"/>
      <c r="K15" s="26"/>
      <c r="L15" s="30"/>
    </row>
    <row r="16" spans="2:12" ht="12.75" customHeight="1" x14ac:dyDescent="0.2">
      <c r="B16" s="3">
        <f t="shared" si="0"/>
        <v>11</v>
      </c>
      <c r="C16" s="10" t="s">
        <v>10</v>
      </c>
      <c r="D16" s="5">
        <v>555</v>
      </c>
      <c r="E16" s="18">
        <f>'PrePost - RY2 MYRP Compliance'!G28</f>
        <v>1169.6892804557926</v>
      </c>
      <c r="F16" s="9">
        <f>'PrePost - 2026 Initial Filing'!E27</f>
        <v>1212.7924341655987</v>
      </c>
      <c r="G16" s="9"/>
      <c r="H16" s="9"/>
      <c r="I16" s="29"/>
      <c r="J16" s="9"/>
      <c r="K16" s="26"/>
      <c r="L16" s="30"/>
    </row>
    <row r="17" spans="2:12" ht="12.75" customHeight="1" x14ac:dyDescent="0.2">
      <c r="B17" s="3">
        <f t="shared" si="0"/>
        <v>12</v>
      </c>
      <c r="C17" s="10" t="s">
        <v>153</v>
      </c>
      <c r="D17" s="5">
        <v>555</v>
      </c>
      <c r="E17" s="9">
        <f>'PrePost - RY2 MYRP Compliance'!I54</f>
        <v>91055545.998800203</v>
      </c>
      <c r="F17" s="9">
        <f>'PrePost - 2026 Initial Filing'!G57</f>
        <v>79145516.761888891</v>
      </c>
      <c r="G17" s="9"/>
      <c r="H17" s="9"/>
      <c r="I17" s="29"/>
      <c r="J17" s="9"/>
      <c r="K17" s="26"/>
      <c r="L17" s="30"/>
    </row>
    <row r="18" spans="2:12" ht="12.75" customHeight="1" x14ac:dyDescent="0.2">
      <c r="B18" s="3">
        <f t="shared" si="0"/>
        <v>13</v>
      </c>
      <c r="C18" s="10" t="s">
        <v>152</v>
      </c>
      <c r="D18" s="5">
        <v>555</v>
      </c>
      <c r="E18" s="9">
        <f>'PrePost - RY2 MYRP Compliance'!I21</f>
        <v>995833.75301209989</v>
      </c>
      <c r="F18" s="9">
        <f>'PrePost - 2026 Initial Filing'!G23</f>
        <v>516171.5862154999</v>
      </c>
      <c r="G18" s="9"/>
      <c r="H18" s="9"/>
      <c r="I18" s="29"/>
      <c r="J18" s="9"/>
      <c r="K18" s="26"/>
      <c r="L18" s="30"/>
    </row>
    <row r="19" spans="2:12" ht="12.75" customHeight="1" x14ac:dyDescent="0.2">
      <c r="B19" s="3">
        <f t="shared" si="0"/>
        <v>14</v>
      </c>
      <c r="C19" s="10" t="s">
        <v>12</v>
      </c>
      <c r="D19" s="5">
        <v>555</v>
      </c>
      <c r="E19" s="9">
        <v>0</v>
      </c>
      <c r="F19" s="9"/>
      <c r="G19" s="9"/>
      <c r="H19" s="9"/>
      <c r="I19" s="29"/>
      <c r="J19" s="9"/>
      <c r="K19" s="26"/>
      <c r="L19" s="30"/>
    </row>
    <row r="20" spans="2:12" ht="12.75" customHeight="1" x14ac:dyDescent="0.2">
      <c r="B20" s="3">
        <f t="shared" si="0"/>
        <v>15</v>
      </c>
      <c r="C20" s="13" t="s">
        <v>13</v>
      </c>
      <c r="D20" s="5"/>
      <c r="E20" s="12">
        <f t="shared" ref="E20" si="3">SUM(E14:E19)</f>
        <v>100210119.61715819</v>
      </c>
      <c r="F20" s="12">
        <f t="shared" ref="F20" si="4">SUM(F14:F19)</f>
        <v>85527667.507175207</v>
      </c>
      <c r="G20" s="9"/>
      <c r="K20" s="31"/>
    </row>
    <row r="21" spans="2:12" ht="12.75" customHeight="1" x14ac:dyDescent="0.2">
      <c r="B21" s="3">
        <f t="shared" si="0"/>
        <v>16</v>
      </c>
      <c r="C21" s="14"/>
      <c r="D21" s="5"/>
      <c r="E21" s="18"/>
      <c r="F21" s="18"/>
      <c r="G21" s="18"/>
      <c r="H21" s="32"/>
      <c r="I21" s="32"/>
      <c r="J21" s="33"/>
      <c r="K21" s="31"/>
    </row>
    <row r="22" spans="2:12" ht="12.75" customHeight="1" x14ac:dyDescent="0.2">
      <c r="B22" s="3">
        <f t="shared" si="0"/>
        <v>17</v>
      </c>
      <c r="C22" s="8" t="s">
        <v>14</v>
      </c>
      <c r="D22" s="5"/>
      <c r="K22" s="31"/>
    </row>
    <row r="23" spans="2:12" ht="12.75" customHeight="1" x14ac:dyDescent="0.2">
      <c r="B23" s="3">
        <f t="shared" si="0"/>
        <v>18</v>
      </c>
      <c r="C23" s="10" t="s">
        <v>3</v>
      </c>
      <c r="D23" s="5">
        <v>565</v>
      </c>
      <c r="E23" s="9">
        <f>'PrePost - RY2 MYRP Compliance'!F63</f>
        <v>15122153.274574272</v>
      </c>
      <c r="F23" s="9">
        <f>'PrePost - 2026 Initial Filing'!D66</f>
        <v>16480952.834160658</v>
      </c>
      <c r="G23" s="9"/>
      <c r="H23" s="9"/>
      <c r="I23" s="29"/>
      <c r="J23" s="9"/>
      <c r="K23" s="26"/>
      <c r="L23" s="30"/>
    </row>
    <row r="24" spans="2:12" ht="12.75" customHeight="1" x14ac:dyDescent="0.2">
      <c r="B24" s="3">
        <f t="shared" si="0"/>
        <v>19</v>
      </c>
      <c r="C24" s="10" t="s">
        <v>4</v>
      </c>
      <c r="D24" s="5">
        <v>565</v>
      </c>
      <c r="E24" s="9">
        <v>0</v>
      </c>
      <c r="F24" s="9"/>
      <c r="G24" s="9"/>
      <c r="H24" s="9"/>
      <c r="I24" s="29"/>
      <c r="J24" s="29"/>
      <c r="K24" s="31"/>
      <c r="L24" s="30"/>
    </row>
    <row r="25" spans="2:12" ht="12.75" customHeight="1" x14ac:dyDescent="0.2">
      <c r="B25" s="3">
        <f t="shared" si="0"/>
        <v>20</v>
      </c>
      <c r="C25" s="11" t="s">
        <v>11</v>
      </c>
      <c r="D25" s="5">
        <v>565</v>
      </c>
      <c r="E25" s="9">
        <v>0</v>
      </c>
      <c r="F25" s="9"/>
      <c r="G25" s="9"/>
      <c r="H25" s="9"/>
      <c r="I25" s="29"/>
      <c r="J25" s="9"/>
      <c r="K25" s="26"/>
      <c r="L25" s="30"/>
    </row>
    <row r="26" spans="2:12" ht="12.75" customHeight="1" x14ac:dyDescent="0.2">
      <c r="B26" s="3">
        <f t="shared" si="0"/>
        <v>21</v>
      </c>
      <c r="C26" s="11" t="s">
        <v>6</v>
      </c>
      <c r="D26" s="5">
        <v>565</v>
      </c>
      <c r="E26" s="9">
        <v>0</v>
      </c>
      <c r="F26" s="9"/>
      <c r="G26" s="9"/>
      <c r="H26" s="9"/>
      <c r="I26" s="29"/>
      <c r="J26" s="9"/>
      <c r="K26" s="26"/>
      <c r="L26" s="30"/>
    </row>
    <row r="27" spans="2:12" ht="12.75" customHeight="1" x14ac:dyDescent="0.2">
      <c r="B27" s="3">
        <f t="shared" si="0"/>
        <v>22</v>
      </c>
      <c r="C27" s="15" t="s">
        <v>15</v>
      </c>
      <c r="D27" s="5"/>
      <c r="E27" s="12">
        <f t="shared" ref="E27" si="5">SUM(E23:E26)</f>
        <v>15122153.274574272</v>
      </c>
      <c r="F27" s="12">
        <f t="shared" ref="F27" si="6">SUM(F23:F26)</f>
        <v>16480952.834160658</v>
      </c>
      <c r="G27" s="9"/>
      <c r="H27" s="29"/>
      <c r="I27" s="29"/>
      <c r="J27" s="29"/>
      <c r="K27" s="31"/>
    </row>
    <row r="28" spans="2:12" ht="12.75" customHeight="1" x14ac:dyDescent="0.2">
      <c r="B28" s="3">
        <f t="shared" si="0"/>
        <v>23</v>
      </c>
      <c r="C28" s="14" t="s">
        <v>16</v>
      </c>
      <c r="D28" s="5"/>
      <c r="F28" s="18"/>
      <c r="G28" s="18"/>
      <c r="K28" s="31"/>
    </row>
    <row r="29" spans="2:12" ht="12.75" customHeight="1" x14ac:dyDescent="0.2">
      <c r="B29" s="3">
        <f t="shared" si="0"/>
        <v>24</v>
      </c>
      <c r="C29" s="15" t="s">
        <v>17</v>
      </c>
      <c r="D29" s="5"/>
      <c r="K29" s="31"/>
    </row>
    <row r="30" spans="2:12" ht="12.75" customHeight="1" x14ac:dyDescent="0.2">
      <c r="B30" s="3">
        <f t="shared" si="0"/>
        <v>25</v>
      </c>
      <c r="C30" s="11" t="s">
        <v>18</v>
      </c>
      <c r="D30" s="5">
        <v>501</v>
      </c>
      <c r="E30" s="9">
        <f>'PrePost - RY2 MYRP Compliance'!D66+'PrePost - RY2 MYRP Compliance'!D69</f>
        <v>15208566.713212984</v>
      </c>
      <c r="F30" s="9">
        <v>0</v>
      </c>
      <c r="G30" s="9"/>
      <c r="H30" s="9"/>
      <c r="I30" s="29"/>
      <c r="J30" s="123"/>
      <c r="K30" s="26"/>
      <c r="L30" s="30"/>
    </row>
    <row r="31" spans="2:12" ht="12.75" customHeight="1" x14ac:dyDescent="0.2">
      <c r="B31" s="3">
        <f t="shared" si="0"/>
        <v>26</v>
      </c>
      <c r="C31" s="11" t="s">
        <v>19</v>
      </c>
      <c r="D31" s="5">
        <v>501</v>
      </c>
      <c r="E31" s="9">
        <f>'PrePost - RY2 MYRP Compliance'!D71</f>
        <v>8681431.6953141838</v>
      </c>
      <c r="F31" s="9">
        <f>'PrePost - 2026 Initial Filing'!C78+'PrePost - 2026 Initial Filing'!C76</f>
        <v>16556459.738527883</v>
      </c>
      <c r="G31" s="9"/>
      <c r="H31" s="9"/>
      <c r="I31" s="29"/>
      <c r="J31" s="9"/>
      <c r="K31" s="26"/>
      <c r="L31" s="30"/>
    </row>
    <row r="32" spans="2:12" ht="12.75" customHeight="1" x14ac:dyDescent="0.2">
      <c r="B32" s="3">
        <f t="shared" si="0"/>
        <v>27</v>
      </c>
      <c r="C32" s="10" t="s">
        <v>20</v>
      </c>
      <c r="D32" s="5">
        <v>503</v>
      </c>
      <c r="E32" s="9">
        <f>'PrePost - RY2 MYRP Compliance'!D76</f>
        <v>389048.09982438071</v>
      </c>
      <c r="F32" s="9">
        <f>'PrePost - 2026 Initial Filing'!C82</f>
        <v>448238.84241259028</v>
      </c>
      <c r="G32" s="9"/>
      <c r="H32" s="9"/>
      <c r="I32" s="29"/>
      <c r="J32" s="9"/>
      <c r="K32" s="26"/>
      <c r="L32" s="30"/>
    </row>
    <row r="33" spans="2:12" ht="12.75" customHeight="1" x14ac:dyDescent="0.2">
      <c r="B33" s="3">
        <f t="shared" si="0"/>
        <v>28</v>
      </c>
      <c r="C33" s="11" t="s">
        <v>154</v>
      </c>
      <c r="D33" s="5">
        <v>547</v>
      </c>
      <c r="E33" s="9">
        <f>'PrePost - RY2 MYRP Compliance'!D67+'PrePost - RY2 MYRP Compliance'!D68+'PrePost - RY2 MYRP Compliance'!D70</f>
        <v>54739152.865361638</v>
      </c>
      <c r="F33" s="9">
        <f>'PrePost - 2026 Initial Filing'!C71+'PrePost - 2026 Initial Filing'!C73</f>
        <v>87623236.104095221</v>
      </c>
      <c r="G33" s="9"/>
      <c r="H33" s="9"/>
      <c r="I33" s="29"/>
      <c r="J33" s="9"/>
      <c r="K33" s="26"/>
      <c r="L33" s="30"/>
    </row>
    <row r="34" spans="2:12" ht="12.75" customHeight="1" x14ac:dyDescent="0.2">
      <c r="B34" s="3">
        <f t="shared" si="0"/>
        <v>29</v>
      </c>
      <c r="C34" s="15" t="s">
        <v>21</v>
      </c>
      <c r="D34" s="5"/>
      <c r="E34" s="12">
        <f>SUM(E30:E33)</f>
        <v>79018199.37371318</v>
      </c>
      <c r="F34" s="12">
        <f>SUM(F30:F33)</f>
        <v>104627934.68503569</v>
      </c>
      <c r="G34" s="9"/>
    </row>
    <row r="35" spans="2:12" ht="12.75" customHeight="1" x14ac:dyDescent="0.2">
      <c r="B35" s="3">
        <f t="shared" si="0"/>
        <v>30</v>
      </c>
      <c r="C35" s="14"/>
      <c r="D35" s="5"/>
      <c r="E35" s="9"/>
      <c r="F35" s="18"/>
      <c r="G35" s="18"/>
      <c r="H35" s="30"/>
      <c r="I35" s="30"/>
    </row>
    <row r="36" spans="2:12" ht="12.75" customHeight="1" thickBot="1" x14ac:dyDescent="0.25">
      <c r="B36" s="3">
        <f t="shared" si="0"/>
        <v>31</v>
      </c>
      <c r="C36" s="16"/>
      <c r="D36" s="41" t="s">
        <v>85</v>
      </c>
      <c r="E36" s="17">
        <f>E34+E27+E20-E11</f>
        <v>184017532.13851207</v>
      </c>
      <c r="F36" s="17">
        <f>F34+F27+F20-F11</f>
        <v>194585894.4325926</v>
      </c>
      <c r="G36" s="9"/>
      <c r="H36" s="9"/>
      <c r="I36" s="29"/>
      <c r="J36" s="9"/>
      <c r="K36" s="9"/>
      <c r="L36" s="9"/>
    </row>
    <row r="37" spans="2:12" ht="12.75" customHeight="1" thickTop="1" x14ac:dyDescent="0.2">
      <c r="B37" s="3">
        <f t="shared" si="0"/>
        <v>32</v>
      </c>
      <c r="C37" s="16"/>
      <c r="D37" s="41"/>
      <c r="E37" s="9"/>
      <c r="F37" s="9"/>
      <c r="G37" s="9"/>
      <c r="H37" s="9"/>
      <c r="I37" s="29"/>
      <c r="J37" s="9"/>
      <c r="K37" s="9"/>
      <c r="L37" s="9"/>
    </row>
    <row r="38" spans="2:12" ht="12.75" customHeight="1" x14ac:dyDescent="0.2">
      <c r="B38" s="3">
        <f t="shared" si="0"/>
        <v>33</v>
      </c>
      <c r="C38" s="16"/>
      <c r="D38" s="41" t="s">
        <v>99</v>
      </c>
      <c r="E38" s="9">
        <f>'Production Factor Adjustment'!E8</f>
        <v>2852271.7481469512</v>
      </c>
      <c r="F38" s="9">
        <f>'Production Factor Adjustment'!E10</f>
        <v>8575400.3676443696</v>
      </c>
      <c r="G38" s="9"/>
      <c r="H38" s="9"/>
      <c r="I38" s="29"/>
      <c r="J38" s="9"/>
      <c r="K38" s="9"/>
      <c r="L38" s="9"/>
    </row>
    <row r="39" spans="2:12" ht="12.75" customHeight="1" x14ac:dyDescent="0.2">
      <c r="B39" s="3">
        <f t="shared" si="0"/>
        <v>34</v>
      </c>
      <c r="C39" s="16"/>
      <c r="D39" s="41"/>
      <c r="E39" s="9"/>
      <c r="F39" s="9"/>
      <c r="G39" s="9"/>
      <c r="H39" s="9"/>
      <c r="I39" s="29"/>
      <c r="J39" s="9"/>
      <c r="K39" s="9"/>
      <c r="L39" s="9"/>
    </row>
    <row r="40" spans="2:12" ht="12.75" customHeight="1" thickBot="1" x14ac:dyDescent="0.25">
      <c r="B40" s="3">
        <f t="shared" si="0"/>
        <v>35</v>
      </c>
      <c r="D40" s="21" t="s">
        <v>112</v>
      </c>
      <c r="E40" s="61">
        <f>SUM(E36:E39)</f>
        <v>186869803.88665903</v>
      </c>
      <c r="F40" s="61">
        <f t="shared" ref="F40" si="7">SUM(F36:F39)</f>
        <v>203161294.80023697</v>
      </c>
      <c r="G40" s="24"/>
    </row>
    <row r="41" spans="2:12" ht="12.75" customHeight="1" thickTop="1" x14ac:dyDescent="0.2">
      <c r="B41" s="3">
        <f t="shared" si="0"/>
        <v>36</v>
      </c>
      <c r="E41" s="23"/>
      <c r="F41" s="24"/>
      <c r="G41" s="24"/>
    </row>
    <row r="42" spans="2:12" ht="12.75" customHeight="1" thickBot="1" x14ac:dyDescent="0.25">
      <c r="B42" s="3">
        <f t="shared" si="0"/>
        <v>37</v>
      </c>
      <c r="C42" s="19"/>
      <c r="E42" s="20" t="s">
        <v>86</v>
      </c>
      <c r="F42" s="40">
        <f>F40-$E$40</f>
        <v>16291490.913577944</v>
      </c>
      <c r="G42" s="9"/>
      <c r="H42" s="18"/>
      <c r="I42" s="18"/>
    </row>
    <row r="43" spans="2:12" ht="12.75" customHeight="1" thickTop="1" x14ac:dyDescent="0.2">
      <c r="B43" s="3">
        <f t="shared" si="0"/>
        <v>38</v>
      </c>
      <c r="C43" s="19"/>
      <c r="E43" s="20"/>
      <c r="F43" s="36"/>
      <c r="G43" s="9"/>
      <c r="H43" s="18"/>
      <c r="I43" s="18"/>
    </row>
    <row r="44" spans="2:12" ht="12.75" customHeight="1" x14ac:dyDescent="0.2">
      <c r="B44" s="3">
        <f t="shared" si="0"/>
        <v>39</v>
      </c>
      <c r="C44" s="16"/>
      <c r="D44" s="41" t="s">
        <v>111</v>
      </c>
      <c r="E44" s="9"/>
      <c r="F44" s="9">
        <f>-PTC!N72</f>
        <v>-1392908.9762902819</v>
      </c>
      <c r="G44" s="9"/>
      <c r="H44" s="9"/>
      <c r="I44" s="29"/>
      <c r="J44" s="9"/>
      <c r="K44" s="9"/>
      <c r="L44" s="9"/>
    </row>
    <row r="45" spans="2:12" ht="12.75" customHeight="1" x14ac:dyDescent="0.2">
      <c r="B45" s="3">
        <f t="shared" si="0"/>
        <v>40</v>
      </c>
      <c r="E45" s="23"/>
      <c r="F45" s="24"/>
      <c r="G45" s="24"/>
    </row>
    <row r="46" spans="2:12" ht="12.75" customHeight="1" thickBot="1" x14ac:dyDescent="0.25">
      <c r="B46" s="3">
        <f t="shared" si="0"/>
        <v>41</v>
      </c>
      <c r="C46" s="19"/>
      <c r="E46" s="20" t="s">
        <v>117</v>
      </c>
      <c r="F46" s="40">
        <f>SUM(F42:F45)</f>
        <v>14898581.937287662</v>
      </c>
      <c r="G46" s="9"/>
      <c r="H46" s="18"/>
      <c r="I46" s="18"/>
    </row>
    <row r="47" spans="2:12" ht="12.75" customHeight="1" thickTop="1" x14ac:dyDescent="0.2">
      <c r="B47" s="3">
        <f t="shared" si="0"/>
        <v>42</v>
      </c>
      <c r="C47" s="19"/>
      <c r="E47" s="20"/>
      <c r="F47" s="36"/>
      <c r="G47" s="9"/>
      <c r="H47" s="18"/>
      <c r="I47" s="18"/>
    </row>
    <row r="48" spans="2:12" ht="12.75" customHeight="1" x14ac:dyDescent="0.2">
      <c r="B48" s="3">
        <f t="shared" si="0"/>
        <v>43</v>
      </c>
      <c r="E48" s="18"/>
      <c r="F48" s="18"/>
      <c r="G48" s="18"/>
    </row>
    <row r="49" spans="2:7" ht="12.75" customHeight="1" x14ac:dyDescent="0.2">
      <c r="B49" s="3">
        <f t="shared" si="0"/>
        <v>44</v>
      </c>
      <c r="C49" s="39"/>
      <c r="D49" s="38"/>
      <c r="E49" s="21"/>
      <c r="F49" s="37"/>
      <c r="G49" s="36"/>
    </row>
    <row r="50" spans="2:7" ht="12.75" customHeight="1" x14ac:dyDescent="0.2">
      <c r="B50" s="3">
        <f t="shared" si="0"/>
        <v>45</v>
      </c>
      <c r="E50" s="21"/>
      <c r="F50" s="21"/>
      <c r="G50" s="36"/>
    </row>
    <row r="51" spans="2:7" ht="12.75" customHeight="1" x14ac:dyDescent="0.2">
      <c r="E51" s="21"/>
      <c r="F51" s="21"/>
    </row>
    <row r="53" spans="2:7" ht="12.75" customHeight="1" x14ac:dyDescent="0.2">
      <c r="C53" s="34"/>
      <c r="D53" s="108" t="s">
        <v>207</v>
      </c>
      <c r="E53" s="109">
        <f>E36-'PrePost - RY2 MYRP Compliance'!D80</f>
        <v>0</v>
      </c>
      <c r="F53" s="18">
        <f>F36-'PrePost - 2026 Initial Filing'!C84</f>
        <v>0</v>
      </c>
      <c r="G53" s="34"/>
    </row>
    <row r="54" spans="2:7" ht="12.75" customHeight="1" x14ac:dyDescent="0.2">
      <c r="D54" s="28" t="s">
        <v>206</v>
      </c>
      <c r="E54" s="109">
        <f>E38-'Production Factor Adjustment'!E8</f>
        <v>0</v>
      </c>
      <c r="F54" s="18">
        <f>F38-'Production Factor Adjustment'!E10</f>
        <v>0</v>
      </c>
    </row>
    <row r="55" spans="2:7" ht="12.75" customHeight="1" x14ac:dyDescent="0.2">
      <c r="D55" s="51"/>
      <c r="E55" s="65"/>
    </row>
  </sheetData>
  <mergeCells count="1">
    <mergeCell ref="E4:F4"/>
  </mergeCells>
  <conditionalFormatting sqref="C6">
    <cfRule type="cellIs" dxfId="1" priority="1" stopIfTrue="1" operator="equal">
      <formula>"Title"</formula>
    </cfRule>
  </conditionalFormatting>
  <dataValidations count="1">
    <dataValidation type="list" errorStyle="warning" allowBlank="1" showInputMessage="1" showErrorMessage="1" errorTitle="FERC ACCOUNT" error="This FERC Account is not included in the drop-down list. Is this the account you want to use?" sqref="D40:D41 D45 D6:D35" xr:uid="{00000000-0002-0000-0000-000000000000}">
      <formula1>$D$49:$D$366</formula1>
    </dataValidation>
  </dataValidations>
  <pageMargins left="0.7" right="0.7" top="0.75" bottom="0.75" header="0.3" footer="0.3"/>
  <pageSetup fitToWidth="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AF3E-C91D-4C21-8E85-3DD2131626CA}">
  <sheetPr codeName="Sheet2">
    <pageSetUpPr fitToPage="1"/>
  </sheetPr>
  <dimension ref="A1:I135"/>
  <sheetViews>
    <sheetView view="pageBreakPreview" topLeftCell="A53" zoomScale="80" zoomScaleNormal="100" zoomScaleSheetLayoutView="80" workbookViewId="0">
      <selection activeCell="D32" sqref="D32"/>
    </sheetView>
  </sheetViews>
  <sheetFormatPr defaultColWidth="8.25" defaultRowHeight="12" x14ac:dyDescent="0.2"/>
  <cols>
    <col min="1" max="1" width="2.25" style="135" customWidth="1"/>
    <col min="2" max="2" width="2" style="135" customWidth="1"/>
    <col min="3" max="3" width="36.5" style="135" customWidth="1"/>
    <col min="4" max="4" width="15.875" style="135" customWidth="1"/>
    <col min="5" max="5" width="1.75" style="135" customWidth="1"/>
    <col min="6" max="6" width="14.75" style="135" customWidth="1"/>
    <col min="7" max="7" width="13.5" style="135" customWidth="1"/>
    <col min="8" max="8" width="14.625" style="135" customWidth="1"/>
    <col min="9" max="9" width="15.875" style="135" customWidth="1"/>
    <col min="10" max="16384" width="8.25" style="135"/>
  </cols>
  <sheetData>
    <row r="1" spans="1:9" x14ac:dyDescent="0.2">
      <c r="A1" s="134" t="s">
        <v>0</v>
      </c>
      <c r="E1" s="136"/>
    </row>
    <row r="2" spans="1:9" x14ac:dyDescent="0.2">
      <c r="A2" s="134" t="s">
        <v>212</v>
      </c>
      <c r="E2" s="136"/>
      <c r="F2" s="139"/>
    </row>
    <row r="3" spans="1:9" x14ac:dyDescent="0.2">
      <c r="A3" s="134" t="s">
        <v>213</v>
      </c>
      <c r="E3" s="136"/>
      <c r="F3" s="139"/>
    </row>
    <row r="4" spans="1:9" x14ac:dyDescent="0.2">
      <c r="A4" s="149"/>
      <c r="E4" s="136"/>
      <c r="F4" s="139" t="s">
        <v>22</v>
      </c>
    </row>
    <row r="5" spans="1:9" x14ac:dyDescent="0.2">
      <c r="A5" s="150"/>
      <c r="E5" s="136"/>
      <c r="F5" s="136" t="s">
        <v>23</v>
      </c>
    </row>
    <row r="6" spans="1:9" x14ac:dyDescent="0.2">
      <c r="A6" s="151" t="s">
        <v>24</v>
      </c>
      <c r="D6" s="152"/>
      <c r="E6" s="152"/>
      <c r="F6" s="139" t="s">
        <v>25</v>
      </c>
    </row>
    <row r="7" spans="1:9" x14ac:dyDescent="0.2">
      <c r="A7" s="211">
        <v>46082</v>
      </c>
      <c r="B7" s="211"/>
      <c r="C7" s="211"/>
      <c r="D7" s="152"/>
      <c r="E7" s="152"/>
      <c r="F7" s="136"/>
    </row>
    <row r="8" spans="1:9" x14ac:dyDescent="0.2">
      <c r="B8" s="151"/>
      <c r="D8" s="152" t="s">
        <v>26</v>
      </c>
      <c r="E8" s="152"/>
      <c r="F8" s="153" t="s">
        <v>27</v>
      </c>
      <c r="G8" s="153" t="s">
        <v>27</v>
      </c>
      <c r="H8" s="153"/>
      <c r="I8" s="153"/>
    </row>
    <row r="9" spans="1:9" s="152" customFormat="1" x14ac:dyDescent="0.2">
      <c r="A9" s="135"/>
      <c r="B9" s="135"/>
      <c r="C9" s="135"/>
      <c r="D9" s="154" t="s">
        <v>149</v>
      </c>
      <c r="E9" s="155"/>
      <c r="F9" s="156" t="s">
        <v>28</v>
      </c>
      <c r="G9" s="156" t="s">
        <v>29</v>
      </c>
      <c r="H9" s="156" t="s">
        <v>6</v>
      </c>
      <c r="I9" s="156" t="s">
        <v>30</v>
      </c>
    </row>
    <row r="10" spans="1:9" x14ac:dyDescent="0.2">
      <c r="A10" s="135" t="s">
        <v>31</v>
      </c>
      <c r="F10" s="157"/>
      <c r="G10" s="157"/>
      <c r="H10" s="157"/>
      <c r="I10" s="157"/>
    </row>
    <row r="11" spans="1:9" x14ac:dyDescent="0.2">
      <c r="B11" s="135" t="s">
        <v>32</v>
      </c>
      <c r="D11" s="137">
        <v>0</v>
      </c>
      <c r="E11" s="158"/>
      <c r="F11" s="137">
        <v>0</v>
      </c>
    </row>
    <row r="12" spans="1:9" ht="12.75" customHeight="1" x14ac:dyDescent="0.2">
      <c r="B12" s="135" t="s">
        <v>33</v>
      </c>
      <c r="D12" s="137">
        <v>10332940.126933573</v>
      </c>
      <c r="E12" s="158"/>
      <c r="F12" s="159"/>
      <c r="G12" s="157"/>
      <c r="H12" s="157"/>
      <c r="I12" s="137">
        <v>10332940.126933573</v>
      </c>
    </row>
    <row r="13" spans="1:9" x14ac:dyDescent="0.2">
      <c r="B13" s="135" t="s">
        <v>34</v>
      </c>
      <c r="D13" s="137">
        <v>0</v>
      </c>
      <c r="E13" s="158"/>
      <c r="F13" s="137">
        <v>0</v>
      </c>
      <c r="G13" s="157"/>
      <c r="H13" s="157"/>
      <c r="I13" s="157"/>
    </row>
    <row r="14" spans="1:9" ht="12.75" customHeight="1" x14ac:dyDescent="0.2">
      <c r="B14" s="135" t="s">
        <v>35</v>
      </c>
      <c r="D14" s="137">
        <v>0</v>
      </c>
      <c r="E14" s="158"/>
      <c r="F14" s="157"/>
      <c r="G14" s="157"/>
      <c r="H14" s="137">
        <v>0</v>
      </c>
      <c r="I14" s="157"/>
    </row>
    <row r="15" spans="1:9" x14ac:dyDescent="0.2">
      <c r="D15" s="152" t="s">
        <v>36</v>
      </c>
      <c r="E15" s="160" t="s">
        <v>16</v>
      </c>
      <c r="F15" s="152" t="s">
        <v>36</v>
      </c>
      <c r="G15" s="152" t="s">
        <v>36</v>
      </c>
      <c r="H15" s="152" t="s">
        <v>36</v>
      </c>
      <c r="I15" s="152" t="s">
        <v>36</v>
      </c>
    </row>
    <row r="16" spans="1:9" ht="12.75" customHeight="1" x14ac:dyDescent="0.2">
      <c r="A16" s="135" t="s">
        <v>37</v>
      </c>
      <c r="D16" s="137">
        <f>SUM(D11:D14)</f>
        <v>10332940.126933573</v>
      </c>
      <c r="E16" s="158"/>
      <c r="F16" s="137">
        <f>SUM(F11:F14)</f>
        <v>0</v>
      </c>
      <c r="G16" s="137">
        <f>SUM(G11:G14)</f>
        <v>0</v>
      </c>
      <c r="H16" s="137">
        <f>SUM(H11:H14)</f>
        <v>0</v>
      </c>
      <c r="I16" s="137">
        <f>SUM(I11:I14)</f>
        <v>10332940.126933573</v>
      </c>
    </row>
    <row r="17" spans="1:9" x14ac:dyDescent="0.2">
      <c r="D17" s="158"/>
      <c r="E17" s="158"/>
      <c r="F17" s="158"/>
      <c r="G17" s="158"/>
      <c r="H17" s="158"/>
      <c r="I17" s="158"/>
    </row>
    <row r="18" spans="1:9" x14ac:dyDescent="0.2">
      <c r="A18" s="135" t="s">
        <v>38</v>
      </c>
      <c r="D18" s="158"/>
      <c r="E18" s="158"/>
      <c r="F18" s="161"/>
      <c r="G18" s="157"/>
      <c r="H18" s="157"/>
      <c r="I18" s="157"/>
    </row>
    <row r="19" spans="1:9" x14ac:dyDescent="0.2">
      <c r="C19" s="135" t="s">
        <v>41</v>
      </c>
      <c r="D19" s="137">
        <v>8157570.1760654328</v>
      </c>
      <c r="E19" s="158"/>
      <c r="F19" s="137">
        <v>2447271.0528196297</v>
      </c>
      <c r="G19" s="137">
        <v>5710299.1232458027</v>
      </c>
      <c r="H19" s="157"/>
      <c r="I19" s="157"/>
    </row>
    <row r="20" spans="1:9" x14ac:dyDescent="0.2">
      <c r="C20" s="135" t="s">
        <v>42</v>
      </c>
      <c r="D20" s="137">
        <v>0</v>
      </c>
      <c r="E20" s="158"/>
      <c r="F20" s="137">
        <v>0</v>
      </c>
      <c r="G20" s="137">
        <v>0</v>
      </c>
      <c r="H20" s="157"/>
      <c r="I20" s="157"/>
    </row>
    <row r="21" spans="1:9" x14ac:dyDescent="0.2">
      <c r="C21" s="135" t="s">
        <v>43</v>
      </c>
      <c r="D21" s="137">
        <v>995833.75301209989</v>
      </c>
      <c r="E21" s="158"/>
      <c r="F21" s="162">
        <v>0</v>
      </c>
      <c r="G21" s="162">
        <v>0</v>
      </c>
      <c r="H21" s="157"/>
      <c r="I21" s="162">
        <v>995833.75301209989</v>
      </c>
    </row>
    <row r="22" spans="1:9" ht="12.75" customHeight="1" x14ac:dyDescent="0.2">
      <c r="B22" s="163" t="s">
        <v>45</v>
      </c>
      <c r="C22" s="160"/>
      <c r="D22" s="152" t="s">
        <v>36</v>
      </c>
      <c r="E22" s="160" t="s">
        <v>16</v>
      </c>
      <c r="F22" s="152" t="s">
        <v>36</v>
      </c>
      <c r="G22" s="152" t="s">
        <v>36</v>
      </c>
      <c r="H22" s="152" t="s">
        <v>36</v>
      </c>
      <c r="I22" s="152" t="s">
        <v>36</v>
      </c>
    </row>
    <row r="23" spans="1:9" ht="12.75" customHeight="1" x14ac:dyDescent="0.2">
      <c r="B23" s="135" t="s">
        <v>46</v>
      </c>
      <c r="D23" s="137">
        <f>SUM(D19:D21)</f>
        <v>9153403.9290775321</v>
      </c>
      <c r="E23" s="158"/>
      <c r="F23" s="137">
        <f>SUM(F19:F21)</f>
        <v>2447271.0528196297</v>
      </c>
      <c r="G23" s="137">
        <f>SUM(G19:G21)</f>
        <v>5710299.1232458027</v>
      </c>
      <c r="H23" s="137">
        <f>SUM(H19:H21)</f>
        <v>0</v>
      </c>
      <c r="I23" s="137">
        <f>SUM(I19:I21)</f>
        <v>995833.75301209989</v>
      </c>
    </row>
    <row r="24" spans="1:9" x14ac:dyDescent="0.2">
      <c r="D24" s="159"/>
      <c r="E24" s="158"/>
      <c r="F24" s="159"/>
      <c r="G24" s="159"/>
      <c r="H24" s="157"/>
      <c r="I24" s="157"/>
    </row>
    <row r="25" spans="1:9" x14ac:dyDescent="0.2">
      <c r="C25" s="135" t="s">
        <v>47</v>
      </c>
      <c r="D25" s="137">
        <v>0</v>
      </c>
      <c r="E25" s="158"/>
      <c r="F25" s="137"/>
      <c r="G25" s="137">
        <v>0</v>
      </c>
      <c r="H25" s="157"/>
      <c r="I25" s="157"/>
    </row>
    <row r="26" spans="1:9" x14ac:dyDescent="0.2">
      <c r="C26" s="135" t="s">
        <v>48</v>
      </c>
      <c r="D26" s="137">
        <v>1169.6892804557926</v>
      </c>
      <c r="E26" s="158"/>
      <c r="F26" s="157"/>
      <c r="G26" s="137">
        <v>1169.6892804557926</v>
      </c>
      <c r="H26" s="157"/>
      <c r="I26" s="157"/>
    </row>
    <row r="27" spans="1:9" ht="12.75" customHeight="1" x14ac:dyDescent="0.2">
      <c r="B27" s="163" t="s">
        <v>45</v>
      </c>
      <c r="C27" s="160"/>
      <c r="D27" s="152" t="s">
        <v>36</v>
      </c>
      <c r="E27" s="160" t="s">
        <v>16</v>
      </c>
      <c r="F27" s="152" t="s">
        <v>36</v>
      </c>
      <c r="G27" s="152" t="s">
        <v>36</v>
      </c>
      <c r="H27" s="152" t="s">
        <v>36</v>
      </c>
      <c r="I27" s="152" t="s">
        <v>36</v>
      </c>
    </row>
    <row r="28" spans="1:9" x14ac:dyDescent="0.2">
      <c r="B28" s="135" t="s">
        <v>49</v>
      </c>
      <c r="D28" s="137">
        <f>SUM(D25:D26)</f>
        <v>1169.6892804557926</v>
      </c>
      <c r="E28" s="158"/>
      <c r="F28" s="137">
        <f>SUM(F25:F26)</f>
        <v>0</v>
      </c>
      <c r="G28" s="137">
        <f>SUM(G25:G26)</f>
        <v>1169.6892804557926</v>
      </c>
      <c r="H28" s="137">
        <v>0</v>
      </c>
      <c r="I28" s="137">
        <v>0</v>
      </c>
    </row>
    <row r="29" spans="1:9" x14ac:dyDescent="0.2">
      <c r="D29" s="158"/>
      <c r="E29" s="158"/>
      <c r="F29" s="157"/>
      <c r="G29" s="157"/>
      <c r="H29" s="157"/>
      <c r="I29" s="157"/>
    </row>
    <row r="30" spans="1:9" x14ac:dyDescent="0.2">
      <c r="B30" s="135" t="s">
        <v>82</v>
      </c>
      <c r="D30" s="137">
        <v>935376.45337355218</v>
      </c>
      <c r="E30" s="158"/>
      <c r="F30" s="157"/>
      <c r="G30" s="157"/>
      <c r="H30" s="157"/>
      <c r="I30" s="137">
        <v>935376.45337355218</v>
      </c>
    </row>
    <row r="31" spans="1:9" x14ac:dyDescent="0.2">
      <c r="B31" s="135" t="s">
        <v>83</v>
      </c>
      <c r="D31" s="137">
        <v>710759.00847435871</v>
      </c>
      <c r="E31" s="158"/>
      <c r="F31" s="157"/>
      <c r="G31" s="157"/>
      <c r="H31" s="157"/>
      <c r="I31" s="137">
        <v>710759.00847435871</v>
      </c>
    </row>
    <row r="32" spans="1:9" ht="12.75" customHeight="1" x14ac:dyDescent="0.2">
      <c r="B32" s="135" t="s">
        <v>121</v>
      </c>
      <c r="D32" s="137">
        <v>3400293.483386735</v>
      </c>
      <c r="E32" s="158"/>
      <c r="F32" s="157"/>
      <c r="G32" s="157"/>
      <c r="H32" s="157"/>
      <c r="I32" s="137">
        <v>3400293.483386735</v>
      </c>
    </row>
    <row r="33" spans="2:9" ht="12.75" customHeight="1" x14ac:dyDescent="0.2">
      <c r="B33" s="135" t="s">
        <v>76</v>
      </c>
      <c r="D33" s="137">
        <v>361023.85510913632</v>
      </c>
      <c r="E33" s="158"/>
      <c r="F33" s="157"/>
      <c r="G33" s="157"/>
      <c r="H33" s="157"/>
      <c r="I33" s="137">
        <v>361023.85510913632</v>
      </c>
    </row>
    <row r="34" spans="2:9" ht="12.75" customHeight="1" x14ac:dyDescent="0.2">
      <c r="B34" s="135" t="s">
        <v>77</v>
      </c>
      <c r="D34" s="137">
        <v>556405.51633336779</v>
      </c>
      <c r="E34" s="158"/>
      <c r="F34" s="157"/>
      <c r="G34" s="157"/>
      <c r="H34" s="157"/>
      <c r="I34" s="137">
        <v>556405.51633336779</v>
      </c>
    </row>
    <row r="35" spans="2:9" x14ac:dyDescent="0.2">
      <c r="B35" s="135" t="s">
        <v>78</v>
      </c>
      <c r="D35" s="137">
        <v>238302.38593781024</v>
      </c>
      <c r="E35" s="158"/>
      <c r="F35" s="157"/>
      <c r="G35" s="157"/>
      <c r="H35" s="157"/>
      <c r="I35" s="137">
        <v>238302.38593781024</v>
      </c>
    </row>
    <row r="36" spans="2:9" ht="12.75" customHeight="1" x14ac:dyDescent="0.2">
      <c r="B36" s="135" t="s">
        <v>79</v>
      </c>
      <c r="D36" s="137">
        <v>547411.83722532925</v>
      </c>
      <c r="E36" s="158"/>
      <c r="F36" s="157"/>
      <c r="G36" s="157"/>
      <c r="H36" s="157"/>
      <c r="I36" s="137">
        <v>547411.83722532925</v>
      </c>
    </row>
    <row r="37" spans="2:9" x14ac:dyDescent="0.2">
      <c r="B37" s="135" t="s">
        <v>70</v>
      </c>
      <c r="D37" s="137">
        <v>651070.07999999973</v>
      </c>
      <c r="E37" s="158"/>
      <c r="F37" s="157"/>
      <c r="G37" s="157"/>
      <c r="H37" s="157"/>
      <c r="I37" s="137">
        <v>651070.07999999973</v>
      </c>
    </row>
    <row r="38" spans="2:9" x14ac:dyDescent="0.2">
      <c r="B38" s="135" t="s">
        <v>75</v>
      </c>
      <c r="D38" s="137">
        <v>1643632.7610410519</v>
      </c>
      <c r="E38" s="158"/>
      <c r="F38" s="157"/>
      <c r="G38" s="157"/>
      <c r="H38" s="157"/>
      <c r="I38" s="137">
        <v>1643632.7610410519</v>
      </c>
    </row>
    <row r="39" spans="2:9" x14ac:dyDescent="0.2">
      <c r="B39" s="135" t="s">
        <v>122</v>
      </c>
      <c r="D39" s="137">
        <v>18642.358116750616</v>
      </c>
      <c r="E39" s="158"/>
      <c r="F39" s="157"/>
      <c r="G39" s="157"/>
      <c r="H39" s="157"/>
      <c r="I39" s="137">
        <v>18642.358116750616</v>
      </c>
    </row>
    <row r="40" spans="2:9" ht="12.75" customHeight="1" x14ac:dyDescent="0.2">
      <c r="B40" s="135" t="s">
        <v>80</v>
      </c>
      <c r="D40" s="137">
        <v>158768.61948640764</v>
      </c>
      <c r="E40" s="158"/>
      <c r="F40" s="157"/>
      <c r="G40" s="157"/>
      <c r="H40" s="157"/>
      <c r="I40" s="137">
        <v>158768.61948640764</v>
      </c>
    </row>
    <row r="41" spans="2:9" ht="12.75" customHeight="1" x14ac:dyDescent="0.2">
      <c r="B41" s="135" t="s">
        <v>81</v>
      </c>
      <c r="D41" s="137">
        <v>466962.19435877836</v>
      </c>
      <c r="E41" s="158"/>
      <c r="F41" s="157"/>
      <c r="G41" s="157"/>
      <c r="H41" s="157"/>
      <c r="I41" s="137">
        <v>466962.19435877836</v>
      </c>
    </row>
    <row r="42" spans="2:9" ht="12.75" customHeight="1" x14ac:dyDescent="0.2">
      <c r="B42" s="135" t="s">
        <v>71</v>
      </c>
      <c r="D42" s="137">
        <v>1637702.0543291194</v>
      </c>
      <c r="E42" s="158"/>
      <c r="F42" s="157"/>
      <c r="G42" s="157"/>
      <c r="H42" s="157"/>
      <c r="I42" s="137">
        <v>1637702.0543291194</v>
      </c>
    </row>
    <row r="43" spans="2:9" ht="12.75" customHeight="1" x14ac:dyDescent="0.2">
      <c r="B43" s="135" t="s">
        <v>72</v>
      </c>
      <c r="D43" s="137">
        <v>2873668.8404882806</v>
      </c>
      <c r="E43" s="158"/>
      <c r="F43" s="157"/>
      <c r="G43" s="157"/>
      <c r="H43" s="157"/>
      <c r="I43" s="137">
        <v>2873668.8404882806</v>
      </c>
    </row>
    <row r="44" spans="2:9" x14ac:dyDescent="0.2">
      <c r="B44" s="135" t="s">
        <v>73</v>
      </c>
      <c r="D44" s="137">
        <v>742128.32005517278</v>
      </c>
      <c r="E44" s="158"/>
      <c r="F44" s="157"/>
      <c r="G44" s="157"/>
      <c r="H44" s="157"/>
      <c r="I44" s="137">
        <v>742128.32005517278</v>
      </c>
    </row>
    <row r="45" spans="2:9" x14ac:dyDescent="0.2">
      <c r="B45" s="135" t="s">
        <v>123</v>
      </c>
      <c r="D45" s="137">
        <v>540003.26709621225</v>
      </c>
      <c r="E45" s="158"/>
      <c r="F45" s="157"/>
      <c r="G45" s="157"/>
      <c r="H45" s="157"/>
      <c r="I45" s="137">
        <v>540003.26709621225</v>
      </c>
    </row>
    <row r="46" spans="2:9" ht="12.75" customHeight="1" x14ac:dyDescent="0.2">
      <c r="B46" s="135" t="s">
        <v>124</v>
      </c>
      <c r="D46" s="137">
        <v>1080006.5341924485</v>
      </c>
      <c r="E46" s="158"/>
      <c r="F46" s="157"/>
      <c r="G46" s="157"/>
      <c r="H46" s="157"/>
      <c r="I46" s="137">
        <v>1080006.5341924485</v>
      </c>
    </row>
    <row r="47" spans="2:9" ht="12.75" customHeight="1" x14ac:dyDescent="0.2">
      <c r="B47" s="135" t="s">
        <v>126</v>
      </c>
      <c r="D47" s="137">
        <v>1426064.2771919074</v>
      </c>
      <c r="E47" s="158"/>
      <c r="F47" s="157"/>
      <c r="G47" s="157"/>
      <c r="H47" s="157"/>
      <c r="I47" s="137">
        <v>1426064.2771919074</v>
      </c>
    </row>
    <row r="48" spans="2:9" x14ac:dyDescent="0.2">
      <c r="B48" s="135" t="s">
        <v>127</v>
      </c>
      <c r="D48" s="137">
        <v>2673697.3994004102</v>
      </c>
      <c r="E48" s="158"/>
      <c r="F48" s="157"/>
      <c r="G48" s="157"/>
      <c r="H48" s="157"/>
      <c r="I48" s="137">
        <v>2673697.3994004102</v>
      </c>
    </row>
    <row r="49" spans="1:9" ht="12.75" customHeight="1" x14ac:dyDescent="0.2">
      <c r="B49" s="135" t="s">
        <v>128</v>
      </c>
      <c r="D49" s="137">
        <v>1646931.7396596791</v>
      </c>
      <c r="E49" s="158"/>
      <c r="F49" s="157"/>
      <c r="G49" s="157"/>
      <c r="H49" s="157"/>
      <c r="I49" s="137">
        <v>1646931.7396596791</v>
      </c>
    </row>
    <row r="50" spans="1:9" ht="12.75" customHeight="1" x14ac:dyDescent="0.2">
      <c r="B50" s="135" t="s">
        <v>129</v>
      </c>
      <c r="D50" s="137">
        <v>1312437.8800287251</v>
      </c>
      <c r="E50" s="158"/>
      <c r="F50" s="157"/>
      <c r="G50" s="157"/>
      <c r="H50" s="157"/>
      <c r="I50" s="137">
        <v>1312437.8800287251</v>
      </c>
    </row>
    <row r="51" spans="1:9" ht="12.75" customHeight="1" x14ac:dyDescent="0.2">
      <c r="D51" s="137"/>
      <c r="E51" s="158"/>
      <c r="F51" s="157"/>
      <c r="G51" s="157"/>
      <c r="H51" s="157"/>
      <c r="I51" s="137"/>
    </row>
    <row r="52" spans="1:9" ht="12.75" customHeight="1" x14ac:dyDescent="0.2">
      <c r="C52" s="135" t="s">
        <v>63</v>
      </c>
      <c r="D52" s="137">
        <v>67434257.133514971</v>
      </c>
      <c r="E52" s="158"/>
      <c r="F52" s="157"/>
      <c r="G52" s="157"/>
      <c r="H52" s="157"/>
      <c r="I52" s="137">
        <v>67434257.133514971</v>
      </c>
    </row>
    <row r="53" spans="1:9" ht="12.75" customHeight="1" x14ac:dyDescent="0.2">
      <c r="B53" s="163" t="s">
        <v>45</v>
      </c>
      <c r="C53" s="160"/>
      <c r="D53" s="152" t="s">
        <v>36</v>
      </c>
      <c r="E53" s="160" t="s">
        <v>16</v>
      </c>
      <c r="F53" s="152" t="s">
        <v>36</v>
      </c>
      <c r="G53" s="152" t="s">
        <v>36</v>
      </c>
      <c r="H53" s="152" t="s">
        <v>36</v>
      </c>
      <c r="I53" s="152" t="s">
        <v>36</v>
      </c>
    </row>
    <row r="54" spans="1:9" ht="12.75" customHeight="1" x14ac:dyDescent="0.2">
      <c r="B54" s="135" t="s">
        <v>50</v>
      </c>
      <c r="D54" s="137">
        <f>SUM(D30:D53)</f>
        <v>91055545.998800203</v>
      </c>
      <c r="E54" s="158"/>
      <c r="F54" s="137">
        <f>SUM(F30:F53)</f>
        <v>0</v>
      </c>
      <c r="G54" s="137">
        <f>SUM(G30:G53)</f>
        <v>0</v>
      </c>
      <c r="H54" s="137">
        <f>SUM(H30:H53)</f>
        <v>0</v>
      </c>
      <c r="I54" s="137">
        <f>SUM(I30:I53)</f>
        <v>91055545.998800203</v>
      </c>
    </row>
    <row r="55" spans="1:9" ht="12.75" customHeight="1" x14ac:dyDescent="0.2">
      <c r="D55" s="152" t="s">
        <v>36</v>
      </c>
      <c r="E55" s="160" t="s">
        <v>16</v>
      </c>
      <c r="F55" s="152" t="s">
        <v>36</v>
      </c>
      <c r="G55" s="152" t="s">
        <v>36</v>
      </c>
      <c r="H55" s="152" t="s">
        <v>36</v>
      </c>
      <c r="I55" s="152" t="s">
        <v>36</v>
      </c>
    </row>
    <row r="56" spans="1:9" ht="12.75" customHeight="1" x14ac:dyDescent="0.2">
      <c r="A56" s="135" t="s">
        <v>52</v>
      </c>
      <c r="D56" s="137">
        <f>SUM(F56:I56)</f>
        <v>100210119.6171582</v>
      </c>
      <c r="E56" s="158"/>
      <c r="F56" s="137">
        <f>F54+F28+F23</f>
        <v>2447271.0528196297</v>
      </c>
      <c r="G56" s="137">
        <f>G54+G28+G23</f>
        <v>5711468.8125262586</v>
      </c>
      <c r="H56" s="137">
        <f>H54+H28+H23</f>
        <v>0</v>
      </c>
      <c r="I56" s="137">
        <f>I54+I28+I23</f>
        <v>92051379.751812309</v>
      </c>
    </row>
    <row r="57" spans="1:9" ht="12.75" customHeight="1" x14ac:dyDescent="0.2">
      <c r="D57" s="158"/>
      <c r="E57" s="158"/>
      <c r="F57" s="158"/>
      <c r="G57" s="158"/>
      <c r="H57" s="158"/>
      <c r="I57" s="158"/>
    </row>
    <row r="58" spans="1:9" ht="12.75" customHeight="1" x14ac:dyDescent="0.2">
      <c r="D58" s="158"/>
      <c r="E58" s="158"/>
      <c r="F58" s="158"/>
      <c r="G58" s="158"/>
      <c r="H58" s="158"/>
      <c r="I58" s="158"/>
    </row>
    <row r="59" spans="1:9" x14ac:dyDescent="0.2">
      <c r="A59" s="135" t="s">
        <v>53</v>
      </c>
      <c r="F59" s="157"/>
      <c r="G59" s="157"/>
      <c r="H59" s="157"/>
      <c r="I59" s="157"/>
    </row>
    <row r="60" spans="1:9" ht="12.75" customHeight="1" x14ac:dyDescent="0.2">
      <c r="F60" s="157"/>
      <c r="G60" s="157"/>
      <c r="H60" s="157"/>
      <c r="I60" s="157"/>
    </row>
    <row r="61" spans="1:9" ht="12.75" customHeight="1" x14ac:dyDescent="0.2">
      <c r="B61" s="135" t="s">
        <v>54</v>
      </c>
      <c r="D61" s="137">
        <v>15122153.274574272</v>
      </c>
      <c r="E61" s="158"/>
      <c r="F61" s="137">
        <v>15122153.274574272</v>
      </c>
      <c r="G61" s="157"/>
      <c r="H61" s="157"/>
      <c r="I61" s="157"/>
    </row>
    <row r="62" spans="1:9" x14ac:dyDescent="0.2">
      <c r="D62" s="152" t="s">
        <v>36</v>
      </c>
      <c r="E62" s="160" t="s">
        <v>16</v>
      </c>
      <c r="F62" s="152" t="s">
        <v>36</v>
      </c>
      <c r="G62" s="152" t="s">
        <v>36</v>
      </c>
      <c r="H62" s="152" t="s">
        <v>36</v>
      </c>
      <c r="I62" s="152" t="s">
        <v>36</v>
      </c>
    </row>
    <row r="63" spans="1:9" x14ac:dyDescent="0.2">
      <c r="A63" s="135" t="s">
        <v>55</v>
      </c>
      <c r="D63" s="137">
        <f>SUM(D61:D62)</f>
        <v>15122153.274574272</v>
      </c>
      <c r="E63" s="158"/>
      <c r="F63" s="137">
        <f>SUM(F61:F62)</f>
        <v>15122153.274574272</v>
      </c>
      <c r="G63" s="137">
        <f>SUM(G61:G62)</f>
        <v>0</v>
      </c>
      <c r="H63" s="137">
        <f>SUM(H61:H62)</f>
        <v>0</v>
      </c>
      <c r="I63" s="137">
        <f>SUM(I61:I62)</f>
        <v>0</v>
      </c>
    </row>
    <row r="65" spans="1:9" x14ac:dyDescent="0.2">
      <c r="A65" s="135" t="s">
        <v>56</v>
      </c>
    </row>
    <row r="66" spans="1:9" ht="12.75" customHeight="1" x14ac:dyDescent="0.2">
      <c r="B66" s="158" t="s">
        <v>64</v>
      </c>
      <c r="D66" s="137">
        <v>1823877.2136094032</v>
      </c>
      <c r="E66" s="158"/>
      <c r="H66" s="137">
        <v>1823877.2136094032</v>
      </c>
      <c r="I66" s="159"/>
    </row>
    <row r="67" spans="1:9" x14ac:dyDescent="0.2">
      <c r="B67" s="158" t="s">
        <v>57</v>
      </c>
      <c r="D67" s="137">
        <v>21704497.040051103</v>
      </c>
      <c r="E67" s="158"/>
      <c r="H67" s="137">
        <v>21704497.040051103</v>
      </c>
      <c r="I67" s="159"/>
    </row>
    <row r="68" spans="1:9" x14ac:dyDescent="0.2">
      <c r="B68" s="158" t="s">
        <v>65</v>
      </c>
      <c r="D68" s="137">
        <v>7691513.1304658148</v>
      </c>
      <c r="E68" s="158"/>
      <c r="F68" s="160"/>
      <c r="H68" s="137">
        <v>7691513.1304658148</v>
      </c>
      <c r="I68" s="159"/>
    </row>
    <row r="69" spans="1:9" x14ac:dyDescent="0.2">
      <c r="B69" s="158" t="s">
        <v>66</v>
      </c>
      <c r="D69" s="137">
        <v>13384689.499603581</v>
      </c>
      <c r="E69" s="158"/>
      <c r="F69" s="160"/>
      <c r="H69" s="137">
        <v>13384689.499603581</v>
      </c>
      <c r="I69" s="159"/>
    </row>
    <row r="70" spans="1:9" ht="12.75" customHeight="1" x14ac:dyDescent="0.2">
      <c r="B70" s="158" t="s">
        <v>141</v>
      </c>
      <c r="D70" s="137">
        <v>25343142.694844723</v>
      </c>
      <c r="E70" s="158"/>
      <c r="F70" s="160"/>
      <c r="H70" s="137">
        <v>25343142.694844723</v>
      </c>
      <c r="I70" s="159"/>
    </row>
    <row r="71" spans="1:9" x14ac:dyDescent="0.2">
      <c r="B71" s="158" t="s">
        <v>145</v>
      </c>
      <c r="D71" s="137">
        <v>8681431.6953141838</v>
      </c>
      <c r="E71" s="158"/>
      <c r="F71" s="160"/>
      <c r="H71" s="137">
        <v>8681431.6953141838</v>
      </c>
      <c r="I71" s="159"/>
    </row>
    <row r="72" spans="1:9" ht="12.75" customHeight="1" x14ac:dyDescent="0.2">
      <c r="D72" s="152" t="s">
        <v>36</v>
      </c>
      <c r="E72" s="160" t="s">
        <v>16</v>
      </c>
      <c r="F72" s="152" t="s">
        <v>36</v>
      </c>
      <c r="G72" s="152" t="s">
        <v>36</v>
      </c>
      <c r="H72" s="152" t="s">
        <v>36</v>
      </c>
      <c r="I72" s="152" t="s">
        <v>36</v>
      </c>
    </row>
    <row r="73" spans="1:9" ht="12.75" customHeight="1" x14ac:dyDescent="0.2">
      <c r="A73" s="135" t="s">
        <v>58</v>
      </c>
      <c r="D73" s="137">
        <f>SUM(D66:D71)</f>
        <v>78629151.273888811</v>
      </c>
      <c r="E73" s="158"/>
      <c r="F73" s="137">
        <f>SUM(F66:F71)</f>
        <v>0</v>
      </c>
      <c r="G73" s="137">
        <f>SUM(G66:G71)</f>
        <v>0</v>
      </c>
      <c r="H73" s="137">
        <f>SUM(H66:H71)</f>
        <v>78629151.273888811</v>
      </c>
      <c r="I73" s="137">
        <f>SUM(I66:I71)</f>
        <v>0</v>
      </c>
    </row>
    <row r="74" spans="1:9" x14ac:dyDescent="0.2">
      <c r="D74" s="158"/>
      <c r="E74" s="158"/>
      <c r="F74" s="158"/>
      <c r="G74" s="158"/>
      <c r="H74" s="158"/>
      <c r="I74" s="158"/>
    </row>
    <row r="75" spans="1:9" x14ac:dyDescent="0.2">
      <c r="A75" s="135" t="s">
        <v>59</v>
      </c>
      <c r="D75" s="158"/>
      <c r="E75" s="158"/>
      <c r="F75" s="158"/>
      <c r="G75" s="158"/>
      <c r="H75" s="158"/>
      <c r="I75" s="158"/>
    </row>
    <row r="76" spans="1:9" x14ac:dyDescent="0.2">
      <c r="B76" s="158" t="s">
        <v>67</v>
      </c>
      <c r="D76" s="137">
        <v>389048.09982438071</v>
      </c>
      <c r="E76" s="158"/>
      <c r="F76" s="160"/>
      <c r="H76" s="137">
        <v>389048.09982438071</v>
      </c>
      <c r="I76" s="159"/>
    </row>
    <row r="77" spans="1:9" x14ac:dyDescent="0.2">
      <c r="D77" s="152" t="s">
        <v>36</v>
      </c>
      <c r="E77" s="160" t="s">
        <v>16</v>
      </c>
      <c r="F77" s="152" t="s">
        <v>36</v>
      </c>
      <c r="G77" s="152" t="s">
        <v>36</v>
      </c>
      <c r="H77" s="152" t="s">
        <v>36</v>
      </c>
      <c r="I77" s="152" t="s">
        <v>36</v>
      </c>
    </row>
    <row r="78" spans="1:9" ht="12.75" customHeight="1" x14ac:dyDescent="0.2">
      <c r="A78" s="135" t="s">
        <v>60</v>
      </c>
      <c r="D78" s="138">
        <f>D76</f>
        <v>389048.09982438071</v>
      </c>
      <c r="E78" s="158"/>
      <c r="F78" s="137">
        <f>SUM(F76:F76)</f>
        <v>0</v>
      </c>
      <c r="G78" s="137">
        <f>SUM(G76:G76)</f>
        <v>0</v>
      </c>
      <c r="H78" s="137">
        <f>SUM(H76:H76)</f>
        <v>389048.09982438071</v>
      </c>
      <c r="I78" s="137">
        <f>SUM(I76:I76)</f>
        <v>0</v>
      </c>
    </row>
    <row r="79" spans="1:9" ht="12.75" customHeight="1" x14ac:dyDescent="0.2">
      <c r="D79" s="164" t="s">
        <v>61</v>
      </c>
      <c r="E79" s="160" t="s">
        <v>16</v>
      </c>
      <c r="F79" s="164" t="s">
        <v>61</v>
      </c>
      <c r="G79" s="164" t="s">
        <v>61</v>
      </c>
      <c r="H79" s="164" t="s">
        <v>61</v>
      </c>
      <c r="I79" s="164" t="s">
        <v>61</v>
      </c>
    </row>
    <row r="80" spans="1:9" ht="12.75" customHeight="1" x14ac:dyDescent="0.2">
      <c r="A80" s="135" t="s">
        <v>62</v>
      </c>
      <c r="D80" s="137">
        <f>D73+D63+D56+D78-D16</f>
        <v>184017532.13851207</v>
      </c>
      <c r="E80" s="158"/>
      <c r="F80" s="137">
        <f>F73+F63+F56+F78-F16</f>
        <v>17569424.327393901</v>
      </c>
      <c r="G80" s="137">
        <f>G73+G63+G56+G78-G16</f>
        <v>5711468.8125262586</v>
      </c>
      <c r="H80" s="137">
        <f>H73+H63+H56+H78-H16</f>
        <v>79018199.373713195</v>
      </c>
      <c r="I80" s="137">
        <f>I73+I63+I56+I78-I16</f>
        <v>81718439.624878734</v>
      </c>
    </row>
    <row r="81" spans="4:9" x14ac:dyDescent="0.2">
      <c r="D81" s="164" t="s">
        <v>61</v>
      </c>
      <c r="E81" s="160" t="s">
        <v>16</v>
      </c>
      <c r="F81" s="164" t="s">
        <v>61</v>
      </c>
      <c r="G81" s="164" t="s">
        <v>61</v>
      </c>
      <c r="H81" s="164" t="s">
        <v>61</v>
      </c>
      <c r="I81" s="164" t="s">
        <v>61</v>
      </c>
    </row>
    <row r="82" spans="4:9" ht="12.75" customHeight="1" x14ac:dyDescent="0.2">
      <c r="D82" s="165"/>
    </row>
    <row r="96" spans="4:9" ht="12.75" customHeight="1" x14ac:dyDescent="0.2"/>
    <row r="97" ht="12.75" customHeight="1" x14ac:dyDescent="0.2"/>
    <row r="98" ht="12.75" customHeight="1" x14ac:dyDescent="0.2"/>
    <row r="99" ht="12.75" customHeight="1" x14ac:dyDescent="0.2"/>
    <row r="104" ht="12.75" customHeight="1" x14ac:dyDescent="0.2"/>
    <row r="105" ht="12.75" customHeight="1" x14ac:dyDescent="0.2"/>
    <row r="118"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6" ht="12.75" customHeight="1" x14ac:dyDescent="0.2"/>
    <row r="127" ht="12.75" customHeight="1" x14ac:dyDescent="0.2"/>
    <row r="130" ht="12.75" customHeight="1" x14ac:dyDescent="0.2"/>
    <row r="131" ht="12.75" customHeight="1" x14ac:dyDescent="0.2"/>
    <row r="132" ht="12.75" customHeight="1" x14ac:dyDescent="0.2"/>
    <row r="133" ht="12.75" customHeight="1" x14ac:dyDescent="0.2"/>
    <row r="135" ht="12.75" customHeight="1" x14ac:dyDescent="0.2"/>
  </sheetData>
  <mergeCells count="1">
    <mergeCell ref="A7:C7"/>
  </mergeCells>
  <pageMargins left="0.7" right="0.7" top="0.75" bottom="0.75" header="0.3" footer="0.3"/>
  <pageSetup scale="71" fitToHeight="0"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52EE8-32FF-44AC-8B49-879227278A6F}">
  <sheetPr codeName="Sheet3">
    <pageSetUpPr fitToPage="1"/>
  </sheetPr>
  <dimension ref="A1:Q497"/>
  <sheetViews>
    <sheetView view="pageBreakPreview" zoomScale="90" zoomScaleNormal="100" zoomScaleSheetLayoutView="90" workbookViewId="0">
      <selection activeCell="K23" sqref="K23"/>
    </sheetView>
  </sheetViews>
  <sheetFormatPr defaultColWidth="8.25" defaultRowHeight="12" x14ac:dyDescent="0.2"/>
  <cols>
    <col min="1" max="1" width="1" style="167" customWidth="1"/>
    <col min="2" max="2" width="39.625" style="167" customWidth="1"/>
    <col min="3" max="3" width="14.625" style="167" customWidth="1"/>
    <col min="4" max="4" width="16.625" style="167" customWidth="1"/>
    <col min="5" max="5" width="14" style="167" customWidth="1"/>
    <col min="6" max="6" width="16.375" style="167" customWidth="1"/>
    <col min="7" max="7" width="13.125" style="167" bestFit="1" customWidth="1"/>
    <col min="8" max="8" width="2.875" style="167" customWidth="1"/>
    <col min="9" max="9" width="11.625" style="167" customWidth="1"/>
    <col min="10" max="10" width="6.75" style="167" bestFit="1" customWidth="1"/>
    <col min="11" max="11" width="13.125" style="167" customWidth="1"/>
    <col min="12" max="12" width="15.875" style="167" bestFit="1" customWidth="1"/>
    <col min="13" max="13" width="15.625" style="167" customWidth="1"/>
    <col min="14" max="14" width="10.625" style="167" customWidth="1"/>
    <col min="15" max="15" width="10.375" style="167" bestFit="1" customWidth="1"/>
    <col min="16" max="16" width="13.375" style="167" bestFit="1" customWidth="1"/>
    <col min="17" max="17" width="10.75" style="167" customWidth="1"/>
    <col min="18" max="16384" width="8.25" style="167"/>
  </cols>
  <sheetData>
    <row r="1" spans="1:17" x14ac:dyDescent="0.2">
      <c r="A1" s="166"/>
      <c r="B1" s="166" t="s">
        <v>0</v>
      </c>
      <c r="H1" s="168"/>
    </row>
    <row r="2" spans="1:17" x14ac:dyDescent="0.2">
      <c r="A2" s="166"/>
      <c r="B2" s="166" t="s">
        <v>212</v>
      </c>
      <c r="D2" s="169"/>
      <c r="H2" s="168"/>
    </row>
    <row r="3" spans="1:17" x14ac:dyDescent="0.2">
      <c r="A3" s="166"/>
      <c r="B3" s="166" t="s">
        <v>214</v>
      </c>
      <c r="D3" s="169" t="s">
        <v>22</v>
      </c>
      <c r="H3" s="168"/>
    </row>
    <row r="4" spans="1:17" x14ac:dyDescent="0.2">
      <c r="A4" s="166"/>
      <c r="D4" s="170" t="s">
        <v>23</v>
      </c>
      <c r="H4" s="170"/>
      <c r="I4" s="171"/>
    </row>
    <row r="5" spans="1:17" x14ac:dyDescent="0.2">
      <c r="A5" s="172"/>
      <c r="B5" s="173" t="s">
        <v>24</v>
      </c>
      <c r="C5" s="174"/>
      <c r="D5" s="169" t="s">
        <v>25</v>
      </c>
      <c r="H5" s="170"/>
    </row>
    <row r="6" spans="1:17" x14ac:dyDescent="0.2">
      <c r="B6" s="175">
        <v>46357</v>
      </c>
      <c r="C6" s="174"/>
      <c r="D6" s="170"/>
    </row>
    <row r="7" spans="1:17" x14ac:dyDescent="0.2">
      <c r="A7" s="176"/>
      <c r="B7" s="173"/>
      <c r="C7" s="174" t="s">
        <v>26</v>
      </c>
      <c r="D7" s="177" t="s">
        <v>27</v>
      </c>
      <c r="E7" s="177" t="s">
        <v>27</v>
      </c>
      <c r="F7" s="177"/>
      <c r="G7" s="177"/>
      <c r="H7" s="174"/>
    </row>
    <row r="8" spans="1:17" s="174" customFormat="1" x14ac:dyDescent="0.2">
      <c r="A8" s="178"/>
      <c r="B8" s="167"/>
      <c r="C8" s="179" t="s">
        <v>155</v>
      </c>
      <c r="D8" s="180" t="s">
        <v>28</v>
      </c>
      <c r="E8" s="180" t="s">
        <v>29</v>
      </c>
      <c r="F8" s="180" t="s">
        <v>6</v>
      </c>
      <c r="G8" s="180" t="s">
        <v>30</v>
      </c>
      <c r="H8" s="167"/>
    </row>
    <row r="9" spans="1:17" x14ac:dyDescent="0.2">
      <c r="B9" s="178" t="s">
        <v>118</v>
      </c>
      <c r="C9" s="181"/>
      <c r="D9" s="181"/>
      <c r="E9" s="181"/>
      <c r="F9" s="181"/>
      <c r="G9" s="181"/>
      <c r="H9" s="182"/>
    </row>
    <row r="10" spans="1:17" x14ac:dyDescent="0.2">
      <c r="B10" s="183" t="s">
        <v>32</v>
      </c>
      <c r="C10" s="181">
        <v>0</v>
      </c>
      <c r="D10" s="181">
        <v>0</v>
      </c>
      <c r="E10" s="181"/>
      <c r="F10" s="181"/>
      <c r="G10" s="181"/>
      <c r="H10" s="182"/>
    </row>
    <row r="11" spans="1:17" x14ac:dyDescent="0.2">
      <c r="B11" s="183" t="s">
        <v>33</v>
      </c>
      <c r="C11" s="221">
        <v>12050660.593778942</v>
      </c>
      <c r="D11" s="222"/>
      <c r="E11" s="223"/>
      <c r="F11" s="223"/>
      <c r="G11" s="221">
        <f>C11</f>
        <v>12050660.593778942</v>
      </c>
      <c r="H11" s="182"/>
      <c r="P11" s="184"/>
    </row>
    <row r="12" spans="1:17" x14ac:dyDescent="0.2">
      <c r="B12" s="183" t="s">
        <v>34</v>
      </c>
      <c r="C12" s="181">
        <v>0</v>
      </c>
      <c r="D12" s="181">
        <v>0</v>
      </c>
      <c r="E12" s="181"/>
      <c r="F12" s="181"/>
      <c r="G12" s="181"/>
      <c r="H12" s="182"/>
    </row>
    <row r="13" spans="1:17" x14ac:dyDescent="0.2">
      <c r="B13" s="185" t="s">
        <v>35</v>
      </c>
      <c r="C13" s="186">
        <v>0</v>
      </c>
      <c r="D13" s="186"/>
      <c r="E13" s="186"/>
      <c r="F13" s="186">
        <v>0</v>
      </c>
      <c r="G13" s="186"/>
      <c r="H13" s="182"/>
    </row>
    <row r="14" spans="1:17" x14ac:dyDescent="0.2">
      <c r="A14" s="178"/>
      <c r="B14" s="178" t="s">
        <v>119</v>
      </c>
      <c r="C14" s="181">
        <f>SUM(C10:C13)</f>
        <v>12050660.593778942</v>
      </c>
      <c r="D14" s="181">
        <v>0</v>
      </c>
      <c r="E14" s="181">
        <v>0</v>
      </c>
      <c r="F14" s="181">
        <v>0</v>
      </c>
      <c r="G14" s="181">
        <f>SUM(G10:G13)</f>
        <v>12050660.593778942</v>
      </c>
      <c r="H14" s="182"/>
      <c r="I14" s="187"/>
      <c r="J14" s="188"/>
      <c r="K14" s="187"/>
    </row>
    <row r="15" spans="1:17" x14ac:dyDescent="0.2">
      <c r="C15" s="181"/>
      <c r="D15" s="181"/>
      <c r="E15" s="181"/>
      <c r="F15" s="181"/>
      <c r="G15" s="181"/>
      <c r="H15" s="182"/>
      <c r="N15" s="169"/>
    </row>
    <row r="16" spans="1:17" x14ac:dyDescent="0.2">
      <c r="B16" s="178" t="s">
        <v>120</v>
      </c>
      <c r="C16" s="181"/>
      <c r="D16" s="181"/>
      <c r="E16" s="181"/>
      <c r="F16" s="181"/>
      <c r="G16" s="181"/>
      <c r="H16" s="182"/>
      <c r="L16" s="178"/>
      <c r="M16" s="189"/>
      <c r="N16" s="190"/>
      <c r="O16" s="191"/>
      <c r="P16" s="192"/>
      <c r="Q16" s="190"/>
    </row>
    <row r="17" spans="2:17" x14ac:dyDescent="0.2">
      <c r="B17" s="183" t="s">
        <v>39</v>
      </c>
      <c r="C17" s="181"/>
      <c r="D17" s="181"/>
      <c r="E17" s="181"/>
      <c r="F17" s="181"/>
      <c r="G17" s="181"/>
      <c r="H17" s="182"/>
      <c r="L17" s="178"/>
      <c r="M17" s="189"/>
      <c r="N17" s="190"/>
      <c r="O17" s="191"/>
      <c r="P17" s="192"/>
      <c r="Q17" s="190"/>
    </row>
    <row r="18" spans="2:17" x14ac:dyDescent="0.2">
      <c r="B18" s="183" t="s">
        <v>40</v>
      </c>
      <c r="C18" s="181"/>
      <c r="D18" s="181"/>
      <c r="E18" s="181"/>
      <c r="F18" s="181"/>
      <c r="G18" s="181"/>
      <c r="H18" s="182"/>
      <c r="L18" s="178"/>
      <c r="M18" s="189"/>
      <c r="N18" s="190"/>
      <c r="O18" s="191"/>
      <c r="P18" s="192"/>
      <c r="Q18" s="190"/>
    </row>
    <row r="19" spans="2:17" x14ac:dyDescent="0.2">
      <c r="B19" s="183" t="s">
        <v>41</v>
      </c>
      <c r="C19" s="221">
        <v>5864766.3666366618</v>
      </c>
      <c r="D19" s="221">
        <v>1759429.9099909985</v>
      </c>
      <c r="E19" s="221">
        <v>4105336.4566456629</v>
      </c>
      <c r="F19" s="223"/>
      <c r="G19" s="223"/>
      <c r="H19" s="182"/>
      <c r="L19" s="178"/>
      <c r="M19" s="189"/>
      <c r="N19" s="190"/>
      <c r="O19" s="191"/>
      <c r="P19" s="192"/>
      <c r="Q19" s="190"/>
    </row>
    <row r="20" spans="2:17" x14ac:dyDescent="0.2">
      <c r="B20" s="183" t="s">
        <v>42</v>
      </c>
      <c r="C20" s="221">
        <v>0</v>
      </c>
      <c r="D20" s="221">
        <v>0</v>
      </c>
      <c r="E20" s="221">
        <v>0</v>
      </c>
      <c r="F20" s="223"/>
      <c r="G20" s="223"/>
      <c r="H20" s="182"/>
    </row>
    <row r="21" spans="2:17" x14ac:dyDescent="0.2">
      <c r="B21" s="183" t="s">
        <v>43</v>
      </c>
      <c r="C21" s="221">
        <v>516171.5862154999</v>
      </c>
      <c r="D21" s="224">
        <v>0</v>
      </c>
      <c r="E21" s="224">
        <v>0</v>
      </c>
      <c r="F21" s="223"/>
      <c r="G21" s="224">
        <v>516171.5862154999</v>
      </c>
      <c r="H21" s="182"/>
      <c r="I21" s="189"/>
      <c r="J21" s="189"/>
    </row>
    <row r="22" spans="2:17" x14ac:dyDescent="0.2">
      <c r="B22" s="183" t="s">
        <v>44</v>
      </c>
      <c r="C22" s="221">
        <v>0</v>
      </c>
      <c r="D22" s="223"/>
      <c r="E22" s="221">
        <v>0</v>
      </c>
      <c r="F22" s="223"/>
      <c r="G22" s="221"/>
      <c r="H22" s="182"/>
    </row>
    <row r="23" spans="2:17" x14ac:dyDescent="0.2">
      <c r="B23" s="193" t="s">
        <v>46</v>
      </c>
      <c r="C23" s="194">
        <f>SUM(C19:C22)</f>
        <v>6380937.9528521616</v>
      </c>
      <c r="D23" s="194">
        <f t="shared" ref="D23:G23" si="0">SUM(D19:D22)</f>
        <v>1759429.9099909985</v>
      </c>
      <c r="E23" s="194">
        <f t="shared" si="0"/>
        <v>4105336.4566456629</v>
      </c>
      <c r="F23" s="194">
        <f t="shared" si="0"/>
        <v>0</v>
      </c>
      <c r="G23" s="194">
        <f t="shared" si="0"/>
        <v>516171.5862154999</v>
      </c>
      <c r="H23" s="182"/>
      <c r="I23" s="189"/>
      <c r="J23" s="189"/>
    </row>
    <row r="24" spans="2:17" x14ac:dyDescent="0.2">
      <c r="C24" s="181"/>
      <c r="D24" s="181"/>
      <c r="E24" s="181"/>
      <c r="F24" s="181"/>
      <c r="G24" s="181"/>
      <c r="H24" s="182"/>
      <c r="I24" s="189"/>
      <c r="J24" s="189"/>
    </row>
    <row r="25" spans="2:17" x14ac:dyDescent="0.2">
      <c r="B25" s="183" t="s">
        <v>47</v>
      </c>
      <c r="C25" s="181">
        <v>0</v>
      </c>
      <c r="D25" s="181"/>
      <c r="E25" s="181">
        <v>0</v>
      </c>
      <c r="F25" s="181"/>
      <c r="G25" s="181"/>
      <c r="H25" s="182"/>
      <c r="I25" s="189"/>
      <c r="J25" s="189"/>
      <c r="L25" s="178"/>
      <c r="M25" s="195"/>
    </row>
    <row r="26" spans="2:17" x14ac:dyDescent="0.2">
      <c r="B26" s="183" t="s">
        <v>48</v>
      </c>
      <c r="C26" s="181">
        <v>1212.7924341655987</v>
      </c>
      <c r="D26" s="181"/>
      <c r="E26" s="181">
        <v>1212.7924341655987</v>
      </c>
      <c r="F26" s="181"/>
      <c r="G26" s="181"/>
      <c r="H26" s="182"/>
    </row>
    <row r="27" spans="2:17" x14ac:dyDescent="0.2">
      <c r="B27" s="193" t="s">
        <v>49</v>
      </c>
      <c r="C27" s="194">
        <f>SUM(C25:C26)</f>
        <v>1212.7924341655987</v>
      </c>
      <c r="D27" s="194">
        <f t="shared" ref="D27:G27" si="1">SUM(D25:D26)</f>
        <v>0</v>
      </c>
      <c r="E27" s="194">
        <f t="shared" si="1"/>
        <v>1212.7924341655987</v>
      </c>
      <c r="F27" s="194">
        <f t="shared" si="1"/>
        <v>0</v>
      </c>
      <c r="G27" s="194">
        <f t="shared" si="1"/>
        <v>0</v>
      </c>
      <c r="H27" s="182"/>
    </row>
    <row r="28" spans="2:17" x14ac:dyDescent="0.2">
      <c r="C28" s="181"/>
      <c r="D28" s="181"/>
      <c r="E28" s="181"/>
      <c r="F28" s="181"/>
      <c r="G28" s="181"/>
      <c r="H28" s="182"/>
    </row>
    <row r="29" spans="2:17" x14ac:dyDescent="0.2">
      <c r="B29" s="183" t="s">
        <v>82</v>
      </c>
      <c r="C29" s="221">
        <v>925794.1782538183</v>
      </c>
      <c r="D29" s="223"/>
      <c r="E29" s="221">
        <v>0</v>
      </c>
      <c r="F29" s="223"/>
      <c r="G29" s="221">
        <f>C29</f>
        <v>925794.1782538183</v>
      </c>
      <c r="H29" s="182"/>
    </row>
    <row r="30" spans="2:17" x14ac:dyDescent="0.2">
      <c r="B30" s="183" t="s">
        <v>83</v>
      </c>
      <c r="C30" s="221">
        <v>703477.70443123777</v>
      </c>
      <c r="D30" s="223"/>
      <c r="E30" s="221">
        <v>0</v>
      </c>
      <c r="F30" s="223"/>
      <c r="G30" s="221">
        <f t="shared" ref="G30:G56" si="2">C30</f>
        <v>703477.70443123777</v>
      </c>
      <c r="H30" s="182"/>
    </row>
    <row r="31" spans="2:17" x14ac:dyDescent="0.2">
      <c r="B31" s="183" t="s">
        <v>121</v>
      </c>
      <c r="C31" s="221">
        <v>2847006.615158869</v>
      </c>
      <c r="D31" s="223"/>
      <c r="E31" s="221">
        <v>0</v>
      </c>
      <c r="F31" s="223"/>
      <c r="G31" s="221">
        <f t="shared" si="2"/>
        <v>2847006.615158869</v>
      </c>
      <c r="H31" s="182"/>
    </row>
    <row r="32" spans="2:17" x14ac:dyDescent="0.2">
      <c r="B32" s="183" t="s">
        <v>76</v>
      </c>
      <c r="C32" s="221">
        <v>356340.46631248563</v>
      </c>
      <c r="D32" s="223"/>
      <c r="E32" s="221">
        <v>0</v>
      </c>
      <c r="F32" s="223"/>
      <c r="G32" s="221">
        <f t="shared" si="2"/>
        <v>356340.46631248563</v>
      </c>
      <c r="H32" s="182"/>
    </row>
    <row r="33" spans="2:8" x14ac:dyDescent="0.2">
      <c r="B33" s="183" t="s">
        <v>77</v>
      </c>
      <c r="C33" s="221">
        <v>548509.74501920515</v>
      </c>
      <c r="D33" s="223"/>
      <c r="E33" s="221">
        <v>0</v>
      </c>
      <c r="F33" s="223"/>
      <c r="G33" s="221">
        <f t="shared" si="2"/>
        <v>548509.74501920515</v>
      </c>
      <c r="H33" s="182"/>
    </row>
    <row r="34" spans="2:8" x14ac:dyDescent="0.2">
      <c r="B34" s="183" t="s">
        <v>78</v>
      </c>
      <c r="C34" s="221">
        <v>241100.04952752218</v>
      </c>
      <c r="D34" s="223"/>
      <c r="E34" s="221">
        <v>0</v>
      </c>
      <c r="F34" s="223"/>
      <c r="G34" s="221">
        <f t="shared" si="2"/>
        <v>241100.04952752218</v>
      </c>
      <c r="H34" s="182"/>
    </row>
    <row r="35" spans="2:8" x14ac:dyDescent="0.2">
      <c r="B35" s="183" t="s">
        <v>79</v>
      </c>
      <c r="C35" s="221">
        <v>538531.39319145342</v>
      </c>
      <c r="D35" s="223"/>
      <c r="E35" s="221">
        <v>0</v>
      </c>
      <c r="F35" s="223"/>
      <c r="G35" s="221">
        <f t="shared" si="2"/>
        <v>538531.39319145342</v>
      </c>
      <c r="H35" s="182"/>
    </row>
    <row r="36" spans="2:8" x14ac:dyDescent="0.2">
      <c r="B36" s="183" t="s">
        <v>70</v>
      </c>
      <c r="C36" s="221">
        <v>644400.50525685109</v>
      </c>
      <c r="D36" s="223"/>
      <c r="E36" s="221">
        <v>0</v>
      </c>
      <c r="F36" s="223"/>
      <c r="G36" s="221">
        <f t="shared" si="2"/>
        <v>644400.50525685109</v>
      </c>
      <c r="H36" s="182"/>
    </row>
    <row r="37" spans="2:8" x14ac:dyDescent="0.2">
      <c r="B37" s="183" t="s">
        <v>75</v>
      </c>
      <c r="C37" s="221">
        <v>1626795.3546130799</v>
      </c>
      <c r="D37" s="223"/>
      <c r="E37" s="221">
        <v>0</v>
      </c>
      <c r="F37" s="223"/>
      <c r="G37" s="221">
        <f t="shared" si="2"/>
        <v>1626795.3546130799</v>
      </c>
      <c r="H37" s="182"/>
    </row>
    <row r="38" spans="2:8" x14ac:dyDescent="0.2">
      <c r="B38" s="183" t="s">
        <v>122</v>
      </c>
      <c r="C38" s="221">
        <v>19329.339704036371</v>
      </c>
      <c r="D38" s="223"/>
      <c r="E38" s="221">
        <v>0</v>
      </c>
      <c r="F38" s="223"/>
      <c r="G38" s="221">
        <f t="shared" si="2"/>
        <v>19329.339704036371</v>
      </c>
      <c r="H38" s="182"/>
    </row>
    <row r="39" spans="2:8" x14ac:dyDescent="0.2">
      <c r="B39" s="183" t="s">
        <v>80</v>
      </c>
      <c r="C39" s="221">
        <v>160662.87947933038</v>
      </c>
      <c r="D39" s="223"/>
      <c r="E39" s="221">
        <v>0</v>
      </c>
      <c r="F39" s="223"/>
      <c r="G39" s="221">
        <f t="shared" si="2"/>
        <v>160662.87947933038</v>
      </c>
      <c r="H39" s="182"/>
    </row>
    <row r="40" spans="2:8" x14ac:dyDescent="0.2">
      <c r="B40" s="183" t="s">
        <v>81</v>
      </c>
      <c r="C40" s="221">
        <v>460330.56227684132</v>
      </c>
      <c r="D40" s="223"/>
      <c r="E40" s="221">
        <v>0</v>
      </c>
      <c r="F40" s="223"/>
      <c r="G40" s="221">
        <f t="shared" si="2"/>
        <v>460330.56227684132</v>
      </c>
      <c r="H40" s="182"/>
    </row>
    <row r="41" spans="2:8" x14ac:dyDescent="0.2">
      <c r="B41" s="183" t="s">
        <v>71</v>
      </c>
      <c r="C41" s="221">
        <v>1582853.8320059082</v>
      </c>
      <c r="D41" s="223"/>
      <c r="E41" s="221">
        <v>0</v>
      </c>
      <c r="F41" s="223"/>
      <c r="G41" s="221">
        <f t="shared" si="2"/>
        <v>1582853.8320059082</v>
      </c>
      <c r="H41" s="182"/>
    </row>
    <row r="42" spans="2:8" x14ac:dyDescent="0.2">
      <c r="B42" s="183" t="s">
        <v>72</v>
      </c>
      <c r="C42" s="221">
        <v>2032549.0229372662</v>
      </c>
      <c r="D42" s="223"/>
      <c r="E42" s="221">
        <v>0</v>
      </c>
      <c r="F42" s="223"/>
      <c r="G42" s="221">
        <f t="shared" si="2"/>
        <v>2032549.0229372662</v>
      </c>
      <c r="H42" s="182"/>
    </row>
    <row r="43" spans="2:8" x14ac:dyDescent="0.2">
      <c r="B43" s="183" t="s">
        <v>73</v>
      </c>
      <c r="C43" s="221">
        <v>89194.601956965576</v>
      </c>
      <c r="D43" s="223"/>
      <c r="E43" s="221">
        <v>0</v>
      </c>
      <c r="F43" s="223"/>
      <c r="G43" s="221">
        <f t="shared" si="2"/>
        <v>89194.601956965576</v>
      </c>
      <c r="H43" s="182"/>
    </row>
    <row r="44" spans="2:8" x14ac:dyDescent="0.2">
      <c r="B44" s="183" t="s">
        <v>123</v>
      </c>
      <c r="C44" s="221">
        <v>777039.06989910558</v>
      </c>
      <c r="D44" s="223"/>
      <c r="E44" s="221">
        <v>0</v>
      </c>
      <c r="F44" s="223"/>
      <c r="G44" s="221">
        <f t="shared" si="2"/>
        <v>777039.06989910558</v>
      </c>
      <c r="H44" s="182"/>
    </row>
    <row r="45" spans="2:8" x14ac:dyDescent="0.2">
      <c r="B45" s="183" t="s">
        <v>124</v>
      </c>
      <c r="C45" s="221">
        <v>1554078.1397982584</v>
      </c>
      <c r="D45" s="223"/>
      <c r="E45" s="221">
        <v>0</v>
      </c>
      <c r="F45" s="223"/>
      <c r="G45" s="221">
        <f t="shared" si="2"/>
        <v>1554078.1397982584</v>
      </c>
      <c r="H45" s="182"/>
    </row>
    <row r="46" spans="2:8" x14ac:dyDescent="0.2">
      <c r="B46" s="183" t="s">
        <v>125</v>
      </c>
      <c r="C46" s="221">
        <v>1450989.0679114745</v>
      </c>
      <c r="D46" s="223"/>
      <c r="E46" s="221">
        <v>0</v>
      </c>
      <c r="F46" s="223"/>
      <c r="G46" s="221">
        <f t="shared" si="2"/>
        <v>1450989.0679114745</v>
      </c>
      <c r="H46" s="182"/>
    </row>
    <row r="47" spans="2:8" x14ac:dyDescent="0.2">
      <c r="B47" s="183" t="s">
        <v>126</v>
      </c>
      <c r="C47" s="221">
        <v>1247415.5650270435</v>
      </c>
      <c r="D47" s="223"/>
      <c r="E47" s="221">
        <v>0</v>
      </c>
      <c r="F47" s="223"/>
      <c r="G47" s="221">
        <f t="shared" si="2"/>
        <v>1247415.5650270435</v>
      </c>
      <c r="H47" s="182"/>
    </row>
    <row r="48" spans="2:8" x14ac:dyDescent="0.2">
      <c r="B48" s="183" t="s">
        <v>127</v>
      </c>
      <c r="C48" s="221">
        <v>2646306.7469406612</v>
      </c>
      <c r="D48" s="223"/>
      <c r="E48" s="221">
        <v>0</v>
      </c>
      <c r="F48" s="223"/>
      <c r="G48" s="221">
        <f t="shared" si="2"/>
        <v>2646306.7469406612</v>
      </c>
      <c r="H48" s="182"/>
    </row>
    <row r="49" spans="2:13" x14ac:dyDescent="0.2">
      <c r="B49" s="183" t="s">
        <v>128</v>
      </c>
      <c r="C49" s="221">
        <v>1639408.9205009534</v>
      </c>
      <c r="D49" s="223"/>
      <c r="E49" s="221">
        <v>0</v>
      </c>
      <c r="F49" s="223"/>
      <c r="G49" s="221">
        <f t="shared" si="2"/>
        <v>1639408.9205009534</v>
      </c>
      <c r="H49" s="182"/>
    </row>
    <row r="50" spans="2:13" x14ac:dyDescent="0.2">
      <c r="B50" s="183" t="s">
        <v>130</v>
      </c>
      <c r="C50" s="221">
        <v>2665641.5591362123</v>
      </c>
      <c r="D50" s="223"/>
      <c r="E50" s="221">
        <v>0</v>
      </c>
      <c r="F50" s="223"/>
      <c r="G50" s="221">
        <f t="shared" si="2"/>
        <v>2665641.5591362123</v>
      </c>
      <c r="H50" s="182"/>
    </row>
    <row r="51" spans="2:13" x14ac:dyDescent="0.2">
      <c r="B51" s="183" t="s">
        <v>131</v>
      </c>
      <c r="C51" s="221">
        <v>1601998.609024568</v>
      </c>
      <c r="D51" s="223"/>
      <c r="E51" s="221">
        <v>0</v>
      </c>
      <c r="F51" s="223"/>
      <c r="G51" s="221">
        <f t="shared" si="2"/>
        <v>1601998.609024568</v>
      </c>
      <c r="H51" s="182"/>
    </row>
    <row r="52" spans="2:13" x14ac:dyDescent="0.2">
      <c r="B52" s="183" t="s">
        <v>132</v>
      </c>
      <c r="C52" s="221">
        <v>610285.18439031171</v>
      </c>
      <c r="D52" s="223"/>
      <c r="E52" s="221">
        <v>0</v>
      </c>
      <c r="F52" s="223"/>
      <c r="G52" s="221">
        <f t="shared" si="2"/>
        <v>610285.18439031171</v>
      </c>
      <c r="H52" s="182"/>
    </row>
    <row r="53" spans="2:13" x14ac:dyDescent="0.2">
      <c r="B53" s="183" t="s">
        <v>133</v>
      </c>
      <c r="C53" s="221">
        <v>610285.18439031171</v>
      </c>
      <c r="D53" s="223"/>
      <c r="E53" s="221">
        <v>0</v>
      </c>
      <c r="F53" s="223"/>
      <c r="G53" s="221">
        <f t="shared" si="2"/>
        <v>610285.18439031171</v>
      </c>
      <c r="H53" s="182"/>
    </row>
    <row r="54" spans="2:13" x14ac:dyDescent="0.2">
      <c r="B54" s="183" t="s">
        <v>134</v>
      </c>
      <c r="C54" s="221">
        <v>610285.18439031171</v>
      </c>
      <c r="D54" s="223"/>
      <c r="E54" s="221">
        <v>0</v>
      </c>
      <c r="F54" s="223"/>
      <c r="G54" s="221">
        <f t="shared" si="2"/>
        <v>610285.18439031171</v>
      </c>
      <c r="H54" s="182"/>
    </row>
    <row r="55" spans="2:13" x14ac:dyDescent="0.2">
      <c r="B55" s="183" t="s">
        <v>135</v>
      </c>
      <c r="C55" s="221">
        <v>610285.18439031171</v>
      </c>
      <c r="D55" s="223"/>
      <c r="E55" s="221">
        <v>0</v>
      </c>
      <c r="F55" s="223"/>
      <c r="G55" s="221">
        <f t="shared" si="2"/>
        <v>610285.18439031171</v>
      </c>
      <c r="H55" s="182"/>
    </row>
    <row r="56" spans="2:13" x14ac:dyDescent="0.2">
      <c r="B56" s="183" t="s">
        <v>136</v>
      </c>
      <c r="C56" s="221">
        <v>50344622.095964499</v>
      </c>
      <c r="D56" s="223"/>
      <c r="E56" s="221">
        <v>0</v>
      </c>
      <c r="F56" s="223"/>
      <c r="G56" s="221">
        <f t="shared" si="2"/>
        <v>50344622.095964499</v>
      </c>
      <c r="H56" s="182"/>
      <c r="J56" s="188"/>
      <c r="K56" s="187"/>
    </row>
    <row r="57" spans="2:13" x14ac:dyDescent="0.2">
      <c r="B57" s="196" t="s">
        <v>50</v>
      </c>
      <c r="C57" s="194">
        <f>SUM(C29:C56)</f>
        <v>79145516.761888891</v>
      </c>
      <c r="D57" s="194">
        <v>0</v>
      </c>
      <c r="E57" s="194">
        <v>0</v>
      </c>
      <c r="F57" s="194">
        <v>0</v>
      </c>
      <c r="G57" s="194">
        <f>SUM(G29:G56)</f>
        <v>79145516.761888891</v>
      </c>
      <c r="H57" s="182"/>
      <c r="I57" s="187"/>
      <c r="J57" s="188"/>
      <c r="K57" s="187"/>
    </row>
    <row r="58" spans="2:13" x14ac:dyDescent="0.2">
      <c r="C58" s="181"/>
      <c r="D58" s="197"/>
      <c r="E58" s="181"/>
      <c r="F58" s="181"/>
      <c r="G58" s="181"/>
      <c r="H58" s="182"/>
    </row>
    <row r="59" spans="2:13" x14ac:dyDescent="0.2">
      <c r="B59" s="167" t="s">
        <v>51</v>
      </c>
      <c r="C59" s="181">
        <v>0</v>
      </c>
      <c r="D59" s="181"/>
      <c r="E59" s="181"/>
      <c r="F59" s="181">
        <v>0</v>
      </c>
      <c r="G59" s="181"/>
      <c r="H59" s="182"/>
    </row>
    <row r="60" spans="2:13" x14ac:dyDescent="0.2">
      <c r="B60" s="193" t="s">
        <v>137</v>
      </c>
      <c r="C60" s="194">
        <f>C57+C27+C23</f>
        <v>85527667.507175222</v>
      </c>
      <c r="D60" s="194">
        <f t="shared" ref="D60:G60" si="3">D57+D27+D23</f>
        <v>1759429.9099909985</v>
      </c>
      <c r="E60" s="194">
        <f t="shared" si="3"/>
        <v>4106549.2490798286</v>
      </c>
      <c r="F60" s="194">
        <f t="shared" si="3"/>
        <v>0</v>
      </c>
      <c r="G60" s="194">
        <f t="shared" si="3"/>
        <v>79661688.348104388</v>
      </c>
      <c r="H60" s="182"/>
      <c r="I60" s="187"/>
      <c r="J60" s="188"/>
      <c r="K60" s="187"/>
    </row>
    <row r="61" spans="2:13" x14ac:dyDescent="0.2">
      <c r="C61" s="181"/>
      <c r="D61" s="181"/>
      <c r="E61" s="181"/>
      <c r="F61" s="181"/>
      <c r="G61" s="181"/>
      <c r="H61" s="182"/>
    </row>
    <row r="62" spans="2:13" x14ac:dyDescent="0.2">
      <c r="C62" s="181"/>
      <c r="D62" s="181"/>
      <c r="E62" s="181"/>
      <c r="F62" s="181"/>
      <c r="G62" s="181"/>
      <c r="H62" s="182"/>
    </row>
    <row r="63" spans="2:13" x14ac:dyDescent="0.2">
      <c r="B63" s="198" t="s">
        <v>138</v>
      </c>
      <c r="C63" s="181"/>
      <c r="D63" s="181"/>
      <c r="E63" s="181"/>
      <c r="F63" s="181"/>
      <c r="G63" s="181"/>
      <c r="H63" s="182"/>
      <c r="L63" s="169"/>
      <c r="M63" s="169"/>
    </row>
    <row r="64" spans="2:13" x14ac:dyDescent="0.2">
      <c r="B64" s="183"/>
      <c r="C64" s="181"/>
      <c r="D64" s="181"/>
      <c r="E64" s="181"/>
      <c r="F64" s="181"/>
      <c r="G64" s="181"/>
      <c r="H64" s="182"/>
    </row>
    <row r="65" spans="2:13" x14ac:dyDescent="0.2">
      <c r="B65" s="183" t="s">
        <v>54</v>
      </c>
      <c r="C65" s="181">
        <v>16480952.834160658</v>
      </c>
      <c r="D65" s="181">
        <v>16480952.834160658</v>
      </c>
      <c r="E65" s="181"/>
      <c r="F65" s="181"/>
      <c r="G65" s="181"/>
      <c r="H65" s="182"/>
      <c r="I65" s="199"/>
      <c r="L65" s="169"/>
      <c r="M65" s="169"/>
    </row>
    <row r="66" spans="2:13" x14ac:dyDescent="0.2">
      <c r="B66" s="193" t="s">
        <v>139</v>
      </c>
      <c r="C66" s="194">
        <f>C65</f>
        <v>16480952.834160658</v>
      </c>
      <c r="D66" s="194">
        <f t="shared" ref="D66:G66" si="4">D65</f>
        <v>16480952.834160658</v>
      </c>
      <c r="E66" s="194">
        <f t="shared" si="4"/>
        <v>0</v>
      </c>
      <c r="F66" s="194">
        <f t="shared" si="4"/>
        <v>0</v>
      </c>
      <c r="G66" s="194">
        <f t="shared" si="4"/>
        <v>0</v>
      </c>
      <c r="H66" s="182"/>
      <c r="I66" s="187"/>
      <c r="L66" s="169"/>
      <c r="M66" s="169"/>
    </row>
    <row r="67" spans="2:13" x14ac:dyDescent="0.2">
      <c r="C67" s="181"/>
      <c r="D67" s="181"/>
      <c r="E67" s="181"/>
      <c r="F67" s="181"/>
      <c r="G67" s="181"/>
      <c r="H67" s="182"/>
    </row>
    <row r="68" spans="2:13" x14ac:dyDescent="0.2">
      <c r="B68" s="198" t="s">
        <v>140</v>
      </c>
      <c r="C68" s="181"/>
      <c r="D68" s="181"/>
      <c r="E68" s="181"/>
      <c r="F68" s="181"/>
      <c r="G68" s="181"/>
      <c r="H68" s="182"/>
      <c r="L68" s="169"/>
      <c r="M68" s="169"/>
    </row>
    <row r="69" spans="2:13" x14ac:dyDescent="0.2">
      <c r="B69" s="200" t="s">
        <v>64</v>
      </c>
      <c r="C69" s="181">
        <v>0</v>
      </c>
      <c r="D69" s="181"/>
      <c r="E69" s="181"/>
      <c r="F69" s="181">
        <v>0</v>
      </c>
      <c r="G69" s="181"/>
      <c r="H69" s="182"/>
    </row>
    <row r="70" spans="2:13" x14ac:dyDescent="0.2">
      <c r="B70" s="200" t="s">
        <v>66</v>
      </c>
      <c r="C70" s="181">
        <v>0</v>
      </c>
      <c r="D70" s="197"/>
      <c r="E70" s="181"/>
      <c r="F70" s="181">
        <v>0</v>
      </c>
      <c r="G70" s="181"/>
      <c r="H70" s="182"/>
    </row>
    <row r="71" spans="2:13" x14ac:dyDescent="0.2">
      <c r="B71" s="200" t="s">
        <v>57</v>
      </c>
      <c r="C71" s="221">
        <v>82173599.472046003</v>
      </c>
      <c r="D71" s="221"/>
      <c r="E71" s="221"/>
      <c r="F71" s="221">
        <f>C71</f>
        <v>82173599.472046003</v>
      </c>
      <c r="G71" s="181"/>
      <c r="H71" s="182"/>
    </row>
    <row r="72" spans="2:13" x14ac:dyDescent="0.2">
      <c r="B72" s="200" t="s">
        <v>65</v>
      </c>
      <c r="C72" s="221">
        <v>0</v>
      </c>
      <c r="D72" s="225"/>
      <c r="E72" s="221"/>
      <c r="F72" s="221">
        <v>0</v>
      </c>
      <c r="G72" s="181"/>
      <c r="H72" s="182"/>
    </row>
    <row r="73" spans="2:13" x14ac:dyDescent="0.2">
      <c r="B73" s="200" t="s">
        <v>141</v>
      </c>
      <c r="C73" s="221">
        <v>5449636.6320492104</v>
      </c>
      <c r="D73" s="225"/>
      <c r="E73" s="221"/>
      <c r="F73" s="221">
        <f>C73</f>
        <v>5449636.6320492104</v>
      </c>
      <c r="G73" s="181"/>
      <c r="H73" s="182"/>
      <c r="L73" s="169"/>
      <c r="M73" s="169"/>
    </row>
    <row r="74" spans="2:13" x14ac:dyDescent="0.2">
      <c r="B74" s="200" t="s">
        <v>68</v>
      </c>
      <c r="C74" s="221">
        <v>0</v>
      </c>
      <c r="D74" s="225"/>
      <c r="E74" s="221"/>
      <c r="F74" s="221">
        <v>0</v>
      </c>
      <c r="G74" s="181"/>
      <c r="H74" s="182"/>
    </row>
    <row r="75" spans="2:13" x14ac:dyDescent="0.2">
      <c r="B75" s="183" t="s">
        <v>142</v>
      </c>
      <c r="C75" s="221">
        <v>0</v>
      </c>
      <c r="D75" s="225"/>
      <c r="E75" s="221"/>
      <c r="F75" s="221">
        <v>0</v>
      </c>
      <c r="G75" s="181"/>
      <c r="H75" s="199"/>
    </row>
    <row r="76" spans="2:13" x14ac:dyDescent="0.2">
      <c r="B76" s="183" t="s">
        <v>143</v>
      </c>
      <c r="C76" s="221">
        <v>5577615.8746082457</v>
      </c>
      <c r="D76" s="225"/>
      <c r="E76" s="221"/>
      <c r="F76" s="221">
        <f>C76</f>
        <v>5577615.8746082457</v>
      </c>
      <c r="G76" s="181"/>
      <c r="H76" s="199"/>
      <c r="L76" s="169"/>
      <c r="M76" s="169"/>
    </row>
    <row r="77" spans="2:13" x14ac:dyDescent="0.2">
      <c r="B77" s="183" t="s">
        <v>144</v>
      </c>
      <c r="C77" s="221">
        <v>0</v>
      </c>
      <c r="D77" s="225"/>
      <c r="E77" s="221"/>
      <c r="F77" s="221">
        <v>0</v>
      </c>
      <c r="G77" s="181"/>
      <c r="H77" s="199"/>
    </row>
    <row r="78" spans="2:13" x14ac:dyDescent="0.2">
      <c r="B78" s="183" t="s">
        <v>145</v>
      </c>
      <c r="C78" s="221">
        <v>10978843.863919636</v>
      </c>
      <c r="D78" s="225"/>
      <c r="E78" s="221"/>
      <c r="F78" s="221">
        <v>10978843.863919636</v>
      </c>
      <c r="G78" s="181"/>
      <c r="H78" s="199"/>
      <c r="L78" s="169"/>
      <c r="M78" s="169"/>
    </row>
    <row r="79" spans="2:13" x14ac:dyDescent="0.2">
      <c r="B79" s="193" t="s">
        <v>146</v>
      </c>
      <c r="C79" s="194">
        <f>SUM(C69:C78)</f>
        <v>104179695.8426231</v>
      </c>
      <c r="D79" s="194">
        <f t="shared" ref="D79:G79" si="5">SUM(D69:D78)</f>
        <v>0</v>
      </c>
      <c r="E79" s="194">
        <f t="shared" si="5"/>
        <v>0</v>
      </c>
      <c r="F79" s="194">
        <f t="shared" si="5"/>
        <v>104179695.8426231</v>
      </c>
      <c r="G79" s="194">
        <f t="shared" si="5"/>
        <v>0</v>
      </c>
      <c r="H79" s="199"/>
    </row>
    <row r="80" spans="2:13" ht="3.75" customHeight="1" x14ac:dyDescent="0.2">
      <c r="C80" s="181"/>
      <c r="D80" s="181"/>
      <c r="E80" s="181"/>
      <c r="F80" s="181"/>
      <c r="G80" s="181"/>
      <c r="H80" s="199"/>
      <c r="L80" s="169"/>
      <c r="M80" s="169"/>
    </row>
    <row r="81" spans="1:13" x14ac:dyDescent="0.2">
      <c r="A81" s="178"/>
      <c r="B81" s="178" t="s">
        <v>12</v>
      </c>
      <c r="C81" s="181"/>
      <c r="D81" s="181"/>
      <c r="E81" s="181"/>
      <c r="F81" s="181"/>
      <c r="G81" s="181"/>
      <c r="H81" s="199"/>
    </row>
    <row r="82" spans="1:13" x14ac:dyDescent="0.2">
      <c r="B82" s="200" t="s">
        <v>67</v>
      </c>
      <c r="C82" s="181">
        <v>448238.84241259028</v>
      </c>
      <c r="D82" s="197"/>
      <c r="E82" s="181"/>
      <c r="F82" s="181">
        <v>448238.84241259028</v>
      </c>
      <c r="G82" s="181"/>
      <c r="H82" s="199"/>
      <c r="L82" s="169"/>
      <c r="M82" s="169"/>
    </row>
    <row r="83" spans="1:13" ht="12.75" thickBot="1" x14ac:dyDescent="0.25">
      <c r="B83" s="201" t="s">
        <v>147</v>
      </c>
      <c r="C83" s="202">
        <f>C82</f>
        <v>448238.84241259028</v>
      </c>
      <c r="D83" s="202">
        <f t="shared" ref="D83:G83" si="6">D82</f>
        <v>0</v>
      </c>
      <c r="E83" s="202">
        <f t="shared" si="6"/>
        <v>0</v>
      </c>
      <c r="F83" s="202">
        <f t="shared" si="6"/>
        <v>448238.84241259028</v>
      </c>
      <c r="G83" s="202">
        <f t="shared" si="6"/>
        <v>0</v>
      </c>
      <c r="H83" s="199"/>
    </row>
    <row r="84" spans="1:13" ht="13.5" thickTop="1" thickBot="1" x14ac:dyDescent="0.25">
      <c r="B84" s="203" t="s">
        <v>148</v>
      </c>
      <c r="C84" s="204">
        <f>C83+C79+C66+C60-C14</f>
        <v>194585894.43259263</v>
      </c>
      <c r="D84" s="204">
        <f t="shared" ref="D84:G84" si="7">D83+D79+D66+D60-D14</f>
        <v>18240382.744151656</v>
      </c>
      <c r="E84" s="204">
        <f t="shared" si="7"/>
        <v>4106549.2490798286</v>
      </c>
      <c r="F84" s="204">
        <f t="shared" si="7"/>
        <v>104627934.68503569</v>
      </c>
      <c r="G84" s="204">
        <f t="shared" si="7"/>
        <v>67611027.754325449</v>
      </c>
      <c r="H84" s="182"/>
      <c r="K84" s="187"/>
    </row>
    <row r="85" spans="1:13" ht="12.75" thickTop="1" x14ac:dyDescent="0.2">
      <c r="H85" s="182"/>
    </row>
    <row r="86" spans="1:13" x14ac:dyDescent="0.2">
      <c r="H86" s="182"/>
    </row>
    <row r="87" spans="1:13" x14ac:dyDescent="0.2">
      <c r="H87" s="182"/>
    </row>
    <row r="88" spans="1:13" x14ac:dyDescent="0.2">
      <c r="H88" s="182"/>
    </row>
    <row r="89" spans="1:13" x14ac:dyDescent="0.2">
      <c r="H89" s="182"/>
    </row>
    <row r="90" spans="1:13" x14ac:dyDescent="0.2">
      <c r="H90" s="182"/>
    </row>
    <row r="91" spans="1:13" x14ac:dyDescent="0.2">
      <c r="H91" s="182"/>
    </row>
    <row r="92" spans="1:13" x14ac:dyDescent="0.2">
      <c r="H92" s="182"/>
    </row>
    <row r="93" spans="1:13" x14ac:dyDescent="0.2">
      <c r="A93" s="178"/>
      <c r="H93" s="182"/>
    </row>
    <row r="94" spans="1:13" x14ac:dyDescent="0.2">
      <c r="H94" s="182"/>
    </row>
    <row r="95" spans="1:13" x14ac:dyDescent="0.2">
      <c r="H95" s="182"/>
    </row>
    <row r="96" spans="1:13" x14ac:dyDescent="0.2">
      <c r="H96" s="182"/>
    </row>
    <row r="97" spans="1:8" x14ac:dyDescent="0.2">
      <c r="H97" s="182"/>
    </row>
    <row r="98" spans="1:8" x14ac:dyDescent="0.2">
      <c r="H98" s="182"/>
    </row>
    <row r="99" spans="1:8" x14ac:dyDescent="0.2">
      <c r="H99" s="182"/>
    </row>
    <row r="100" spans="1:8" x14ac:dyDescent="0.2">
      <c r="H100" s="182"/>
    </row>
    <row r="101" spans="1:8" x14ac:dyDescent="0.2">
      <c r="H101" s="182"/>
    </row>
    <row r="102" spans="1:8" x14ac:dyDescent="0.2">
      <c r="H102" s="182"/>
    </row>
    <row r="103" spans="1:8" x14ac:dyDescent="0.2">
      <c r="H103" s="182"/>
    </row>
    <row r="104" spans="1:8" x14ac:dyDescent="0.2">
      <c r="H104" s="182"/>
    </row>
    <row r="105" spans="1:8" x14ac:dyDescent="0.2">
      <c r="H105" s="182"/>
    </row>
    <row r="106" spans="1:8" x14ac:dyDescent="0.2">
      <c r="H106" s="182"/>
    </row>
    <row r="107" spans="1:8" x14ac:dyDescent="0.2">
      <c r="H107" s="182"/>
    </row>
    <row r="108" spans="1:8" x14ac:dyDescent="0.2">
      <c r="H108" s="182"/>
    </row>
    <row r="109" spans="1:8" x14ac:dyDescent="0.2">
      <c r="H109" s="182"/>
    </row>
    <row r="110" spans="1:8" x14ac:dyDescent="0.2">
      <c r="A110" s="178"/>
      <c r="H110" s="199"/>
    </row>
    <row r="111" spans="1:8" x14ac:dyDescent="0.2">
      <c r="H111" s="199"/>
    </row>
    <row r="112" spans="1:8" x14ac:dyDescent="0.2">
      <c r="H112" s="199"/>
    </row>
    <row r="113" spans="8:8" x14ac:dyDescent="0.2">
      <c r="H113" s="199"/>
    </row>
    <row r="114" spans="8:8" x14ac:dyDescent="0.2">
      <c r="H114" s="199"/>
    </row>
    <row r="115" spans="8:8" x14ac:dyDescent="0.2">
      <c r="H115" s="199"/>
    </row>
    <row r="116" spans="8:8" x14ac:dyDescent="0.2">
      <c r="H116" s="199"/>
    </row>
    <row r="117" spans="8:8" x14ac:dyDescent="0.2">
      <c r="H117" s="199"/>
    </row>
    <row r="118" spans="8:8" x14ac:dyDescent="0.2">
      <c r="H118" s="199"/>
    </row>
    <row r="119" spans="8:8" x14ac:dyDescent="0.2">
      <c r="H119" s="199"/>
    </row>
    <row r="120" spans="8:8" x14ac:dyDescent="0.2">
      <c r="H120" s="199"/>
    </row>
    <row r="121" spans="8:8" x14ac:dyDescent="0.2">
      <c r="H121" s="199"/>
    </row>
    <row r="122" spans="8:8" x14ac:dyDescent="0.2">
      <c r="H122" s="199"/>
    </row>
    <row r="123" spans="8:8" x14ac:dyDescent="0.2">
      <c r="H123" s="199"/>
    </row>
    <row r="124" spans="8:8" x14ac:dyDescent="0.2">
      <c r="H124" s="199"/>
    </row>
    <row r="125" spans="8:8" x14ac:dyDescent="0.2">
      <c r="H125" s="199"/>
    </row>
    <row r="126" spans="8:8" x14ac:dyDescent="0.2">
      <c r="H126" s="199"/>
    </row>
    <row r="127" spans="8:8" x14ac:dyDescent="0.2">
      <c r="H127" s="199"/>
    </row>
    <row r="128" spans="8:8" x14ac:dyDescent="0.2">
      <c r="H128" s="199"/>
    </row>
    <row r="129" spans="1:8" x14ac:dyDescent="0.2">
      <c r="H129" s="199"/>
    </row>
    <row r="130" spans="1:8" x14ac:dyDescent="0.2">
      <c r="H130" s="199"/>
    </row>
    <row r="131" spans="1:8" x14ac:dyDescent="0.2">
      <c r="H131" s="205"/>
    </row>
    <row r="132" spans="1:8" x14ac:dyDescent="0.2">
      <c r="H132" s="205"/>
    </row>
    <row r="133" spans="1:8" x14ac:dyDescent="0.2">
      <c r="H133" s="205"/>
    </row>
    <row r="134" spans="1:8" x14ac:dyDescent="0.2">
      <c r="H134" s="205"/>
    </row>
    <row r="135" spans="1:8" x14ac:dyDescent="0.2">
      <c r="H135" s="205"/>
    </row>
    <row r="136" spans="1:8" x14ac:dyDescent="0.2">
      <c r="H136" s="205"/>
    </row>
    <row r="137" spans="1:8" x14ac:dyDescent="0.2">
      <c r="H137" s="205"/>
    </row>
    <row r="138" spans="1:8" x14ac:dyDescent="0.2">
      <c r="H138" s="205"/>
    </row>
    <row r="139" spans="1:8" x14ac:dyDescent="0.2">
      <c r="H139" s="205"/>
    </row>
    <row r="140" spans="1:8" x14ac:dyDescent="0.2">
      <c r="A140" s="178"/>
      <c r="H140" s="199"/>
    </row>
    <row r="141" spans="1:8" x14ac:dyDescent="0.2">
      <c r="A141" s="178"/>
      <c r="H141" s="199"/>
    </row>
    <row r="142" spans="1:8" x14ac:dyDescent="0.2">
      <c r="H142" s="206"/>
    </row>
    <row r="143" spans="1:8" x14ac:dyDescent="0.2">
      <c r="H143" s="207"/>
    </row>
    <row r="144" spans="1:8" x14ac:dyDescent="0.2">
      <c r="H144" s="190"/>
    </row>
    <row r="146" spans="1:8" x14ac:dyDescent="0.2">
      <c r="H146" s="208"/>
    </row>
    <row r="147" spans="1:8" x14ac:dyDescent="0.2">
      <c r="H147" s="182"/>
    </row>
    <row r="148" spans="1:8" x14ac:dyDescent="0.2">
      <c r="H148" s="182"/>
    </row>
    <row r="149" spans="1:8" x14ac:dyDescent="0.2">
      <c r="H149" s="182"/>
    </row>
    <row r="150" spans="1:8" x14ac:dyDescent="0.2">
      <c r="H150" s="182"/>
    </row>
    <row r="151" spans="1:8" x14ac:dyDescent="0.2">
      <c r="H151" s="182"/>
    </row>
    <row r="152" spans="1:8" x14ac:dyDescent="0.2">
      <c r="H152" s="182"/>
    </row>
    <row r="153" spans="1:8" x14ac:dyDescent="0.2">
      <c r="H153" s="182"/>
    </row>
    <row r="154" spans="1:8" x14ac:dyDescent="0.2">
      <c r="H154" s="182"/>
    </row>
    <row r="155" spans="1:8" x14ac:dyDescent="0.2">
      <c r="A155" s="178"/>
      <c r="H155" s="182"/>
    </row>
    <row r="156" spans="1:8" x14ac:dyDescent="0.2">
      <c r="H156" s="182"/>
    </row>
    <row r="157" spans="1:8" x14ac:dyDescent="0.2">
      <c r="H157" s="182"/>
    </row>
    <row r="158" spans="1:8" x14ac:dyDescent="0.2">
      <c r="H158" s="182"/>
    </row>
    <row r="159" spans="1:8" x14ac:dyDescent="0.2">
      <c r="H159" s="182"/>
    </row>
    <row r="160" spans="1:8" x14ac:dyDescent="0.2">
      <c r="H160" s="182"/>
    </row>
    <row r="161" spans="1:8" x14ac:dyDescent="0.2">
      <c r="H161" s="182"/>
    </row>
    <row r="162" spans="1:8" x14ac:dyDescent="0.2">
      <c r="H162" s="182"/>
    </row>
    <row r="163" spans="1:8" x14ac:dyDescent="0.2">
      <c r="H163" s="199"/>
    </row>
    <row r="164" spans="1:8" x14ac:dyDescent="0.2">
      <c r="H164" s="182"/>
    </row>
    <row r="165" spans="1:8" x14ac:dyDescent="0.2">
      <c r="H165" s="182"/>
    </row>
    <row r="166" spans="1:8" x14ac:dyDescent="0.2">
      <c r="H166" s="199"/>
    </row>
    <row r="167" spans="1:8" x14ac:dyDescent="0.2">
      <c r="A167" s="178"/>
      <c r="H167" s="199"/>
    </row>
    <row r="168" spans="1:8" x14ac:dyDescent="0.2">
      <c r="H168" s="199"/>
    </row>
    <row r="169" spans="1:8" x14ac:dyDescent="0.2">
      <c r="H169" s="199"/>
    </row>
    <row r="170" spans="1:8" x14ac:dyDescent="0.2">
      <c r="H170" s="199"/>
    </row>
    <row r="171" spans="1:8" x14ac:dyDescent="0.2">
      <c r="H171" s="182"/>
    </row>
    <row r="172" spans="1:8" x14ac:dyDescent="0.2">
      <c r="H172" s="182"/>
    </row>
    <row r="173" spans="1:8" x14ac:dyDescent="0.2">
      <c r="H173" s="182"/>
    </row>
    <row r="174" spans="1:8" x14ac:dyDescent="0.2">
      <c r="H174" s="182"/>
    </row>
    <row r="175" spans="1:8" x14ac:dyDescent="0.2">
      <c r="H175" s="182"/>
    </row>
    <row r="176" spans="1:8" x14ac:dyDescent="0.2">
      <c r="H176" s="182"/>
    </row>
    <row r="177" spans="8:8" x14ac:dyDescent="0.2">
      <c r="H177" s="182"/>
    </row>
    <row r="178" spans="8:8" x14ac:dyDescent="0.2">
      <c r="H178" s="182"/>
    </row>
    <row r="179" spans="8:8" x14ac:dyDescent="0.2">
      <c r="H179" s="182"/>
    </row>
    <row r="180" spans="8:8" x14ac:dyDescent="0.2">
      <c r="H180" s="182"/>
    </row>
    <row r="181" spans="8:8" x14ac:dyDescent="0.2">
      <c r="H181" s="182"/>
    </row>
    <row r="182" spans="8:8" x14ac:dyDescent="0.2">
      <c r="H182" s="182"/>
    </row>
    <row r="183" spans="8:8" x14ac:dyDescent="0.2">
      <c r="H183" s="182"/>
    </row>
    <row r="184" spans="8:8" x14ac:dyDescent="0.2">
      <c r="H184" s="182"/>
    </row>
    <row r="185" spans="8:8" x14ac:dyDescent="0.2">
      <c r="H185" s="182"/>
    </row>
    <row r="186" spans="8:8" x14ac:dyDescent="0.2">
      <c r="H186" s="182"/>
    </row>
    <row r="187" spans="8:8" x14ac:dyDescent="0.2">
      <c r="H187" s="182"/>
    </row>
    <row r="188" spans="8:8" x14ac:dyDescent="0.2">
      <c r="H188" s="182"/>
    </row>
    <row r="189" spans="8:8" x14ac:dyDescent="0.2">
      <c r="H189" s="182"/>
    </row>
    <row r="190" spans="8:8" x14ac:dyDescent="0.2">
      <c r="H190" s="182"/>
    </row>
    <row r="191" spans="8:8" x14ac:dyDescent="0.2">
      <c r="H191" s="182"/>
    </row>
    <row r="192" spans="8:8" x14ac:dyDescent="0.2">
      <c r="H192" s="182"/>
    </row>
    <row r="193" spans="8:8" x14ac:dyDescent="0.2">
      <c r="H193" s="182"/>
    </row>
    <row r="194" spans="8:8" x14ac:dyDescent="0.2">
      <c r="H194" s="182"/>
    </row>
    <row r="195" spans="8:8" x14ac:dyDescent="0.2">
      <c r="H195" s="182"/>
    </row>
    <row r="196" spans="8:8" x14ac:dyDescent="0.2">
      <c r="H196" s="182"/>
    </row>
    <row r="197" spans="8:8" x14ac:dyDescent="0.2">
      <c r="H197" s="182"/>
    </row>
    <row r="198" spans="8:8" x14ac:dyDescent="0.2">
      <c r="H198" s="182"/>
    </row>
    <row r="199" spans="8:8" x14ac:dyDescent="0.2">
      <c r="H199" s="182"/>
    </row>
    <row r="200" spans="8:8" x14ac:dyDescent="0.2">
      <c r="H200" s="182"/>
    </row>
    <row r="201" spans="8:8" x14ac:dyDescent="0.2">
      <c r="H201" s="182"/>
    </row>
    <row r="202" spans="8:8" x14ac:dyDescent="0.2">
      <c r="H202" s="182"/>
    </row>
    <row r="203" spans="8:8" x14ac:dyDescent="0.2">
      <c r="H203" s="182"/>
    </row>
    <row r="204" spans="8:8" x14ac:dyDescent="0.2">
      <c r="H204" s="182"/>
    </row>
    <row r="205" spans="8:8" x14ac:dyDescent="0.2">
      <c r="H205" s="182"/>
    </row>
    <row r="206" spans="8:8" x14ac:dyDescent="0.2">
      <c r="H206" s="182"/>
    </row>
    <row r="207" spans="8:8" x14ac:dyDescent="0.2">
      <c r="H207" s="182"/>
    </row>
    <row r="208" spans="8:8" x14ac:dyDescent="0.2">
      <c r="H208" s="182"/>
    </row>
    <row r="209" spans="8:8" x14ac:dyDescent="0.2">
      <c r="H209" s="182"/>
    </row>
    <row r="210" spans="8:8" x14ac:dyDescent="0.2">
      <c r="H210" s="182"/>
    </row>
    <row r="211" spans="8:8" x14ac:dyDescent="0.2">
      <c r="H211" s="182"/>
    </row>
    <row r="212" spans="8:8" x14ac:dyDescent="0.2">
      <c r="H212" s="182"/>
    </row>
    <row r="213" spans="8:8" x14ac:dyDescent="0.2">
      <c r="H213" s="182"/>
    </row>
    <row r="214" spans="8:8" x14ac:dyDescent="0.2">
      <c r="H214" s="182"/>
    </row>
    <row r="215" spans="8:8" x14ac:dyDescent="0.2">
      <c r="H215" s="182"/>
    </row>
    <row r="216" spans="8:8" x14ac:dyDescent="0.2">
      <c r="H216" s="182"/>
    </row>
    <row r="217" spans="8:8" x14ac:dyDescent="0.2">
      <c r="H217" s="182"/>
    </row>
    <row r="218" spans="8:8" x14ac:dyDescent="0.2">
      <c r="H218" s="182"/>
    </row>
    <row r="219" spans="8:8" x14ac:dyDescent="0.2">
      <c r="H219" s="182"/>
    </row>
    <row r="220" spans="8:8" x14ac:dyDescent="0.2">
      <c r="H220" s="182"/>
    </row>
    <row r="221" spans="8:8" x14ac:dyDescent="0.2">
      <c r="H221" s="182"/>
    </row>
    <row r="222" spans="8:8" x14ac:dyDescent="0.2">
      <c r="H222" s="182"/>
    </row>
    <row r="223" spans="8:8" x14ac:dyDescent="0.2">
      <c r="H223" s="182"/>
    </row>
    <row r="224" spans="8:8" x14ac:dyDescent="0.2">
      <c r="H224" s="182"/>
    </row>
    <row r="225" spans="8:8" x14ac:dyDescent="0.2">
      <c r="H225" s="182"/>
    </row>
    <row r="226" spans="8:8" x14ac:dyDescent="0.2">
      <c r="H226" s="182"/>
    </row>
    <row r="227" spans="8:8" x14ac:dyDescent="0.2">
      <c r="H227" s="182"/>
    </row>
    <row r="228" spans="8:8" x14ac:dyDescent="0.2">
      <c r="H228" s="182"/>
    </row>
    <row r="229" spans="8:8" x14ac:dyDescent="0.2">
      <c r="H229" s="182"/>
    </row>
    <row r="230" spans="8:8" x14ac:dyDescent="0.2">
      <c r="H230" s="182"/>
    </row>
    <row r="231" spans="8:8" x14ac:dyDescent="0.2">
      <c r="H231" s="182"/>
    </row>
    <row r="232" spans="8:8" x14ac:dyDescent="0.2">
      <c r="H232" s="182"/>
    </row>
    <row r="233" spans="8:8" x14ac:dyDescent="0.2">
      <c r="H233" s="182"/>
    </row>
    <row r="234" spans="8:8" x14ac:dyDescent="0.2">
      <c r="H234" s="182"/>
    </row>
    <row r="235" spans="8:8" x14ac:dyDescent="0.2">
      <c r="H235" s="182"/>
    </row>
    <row r="236" spans="8:8" x14ac:dyDescent="0.2">
      <c r="H236" s="182"/>
    </row>
    <row r="237" spans="8:8" x14ac:dyDescent="0.2">
      <c r="H237" s="182"/>
    </row>
    <row r="238" spans="8:8" x14ac:dyDescent="0.2">
      <c r="H238" s="182"/>
    </row>
    <row r="239" spans="8:8" x14ac:dyDescent="0.2">
      <c r="H239" s="182"/>
    </row>
    <row r="240" spans="8:8" x14ac:dyDescent="0.2">
      <c r="H240" s="182"/>
    </row>
    <row r="241" spans="8:8" x14ac:dyDescent="0.2">
      <c r="H241" s="182"/>
    </row>
    <row r="242" spans="8:8" x14ac:dyDescent="0.2">
      <c r="H242" s="182"/>
    </row>
    <row r="243" spans="8:8" x14ac:dyDescent="0.2">
      <c r="H243" s="182"/>
    </row>
    <row r="244" spans="8:8" x14ac:dyDescent="0.2">
      <c r="H244" s="182"/>
    </row>
    <row r="245" spans="8:8" x14ac:dyDescent="0.2">
      <c r="H245" s="182"/>
    </row>
    <row r="246" spans="8:8" x14ac:dyDescent="0.2">
      <c r="H246" s="182"/>
    </row>
    <row r="247" spans="8:8" x14ac:dyDescent="0.2">
      <c r="H247" s="182"/>
    </row>
    <row r="248" spans="8:8" x14ac:dyDescent="0.2">
      <c r="H248" s="182"/>
    </row>
    <row r="249" spans="8:8" x14ac:dyDescent="0.2">
      <c r="H249" s="182"/>
    </row>
    <row r="250" spans="8:8" x14ac:dyDescent="0.2">
      <c r="H250" s="182"/>
    </row>
    <row r="251" spans="8:8" x14ac:dyDescent="0.2">
      <c r="H251" s="182"/>
    </row>
    <row r="252" spans="8:8" x14ac:dyDescent="0.2">
      <c r="H252" s="182"/>
    </row>
    <row r="253" spans="8:8" x14ac:dyDescent="0.2">
      <c r="H253" s="182"/>
    </row>
    <row r="254" spans="8:8" x14ac:dyDescent="0.2">
      <c r="H254" s="182"/>
    </row>
    <row r="255" spans="8:8" x14ac:dyDescent="0.2">
      <c r="H255" s="182"/>
    </row>
    <row r="256" spans="8:8" x14ac:dyDescent="0.2">
      <c r="H256" s="182"/>
    </row>
    <row r="257" spans="8:8" x14ac:dyDescent="0.2">
      <c r="H257" s="182"/>
    </row>
    <row r="258" spans="8:8" x14ac:dyDescent="0.2">
      <c r="H258" s="182"/>
    </row>
    <row r="259" spans="8:8" x14ac:dyDescent="0.2">
      <c r="H259" s="182"/>
    </row>
    <row r="260" spans="8:8" x14ac:dyDescent="0.2">
      <c r="H260" s="182"/>
    </row>
    <row r="261" spans="8:8" x14ac:dyDescent="0.2">
      <c r="H261" s="182"/>
    </row>
    <row r="262" spans="8:8" x14ac:dyDescent="0.2">
      <c r="H262" s="182"/>
    </row>
    <row r="263" spans="8:8" x14ac:dyDescent="0.2">
      <c r="H263" s="182"/>
    </row>
    <row r="264" spans="8:8" x14ac:dyDescent="0.2">
      <c r="H264" s="182"/>
    </row>
    <row r="265" spans="8:8" x14ac:dyDescent="0.2">
      <c r="H265" s="182"/>
    </row>
    <row r="266" spans="8:8" x14ac:dyDescent="0.2">
      <c r="H266" s="182"/>
    </row>
    <row r="267" spans="8:8" x14ac:dyDescent="0.2">
      <c r="H267" s="182"/>
    </row>
    <row r="268" spans="8:8" x14ac:dyDescent="0.2">
      <c r="H268" s="182"/>
    </row>
    <row r="269" spans="8:8" x14ac:dyDescent="0.2">
      <c r="H269" s="182"/>
    </row>
    <row r="270" spans="8:8" x14ac:dyDescent="0.2">
      <c r="H270" s="182"/>
    </row>
    <row r="271" spans="8:8" x14ac:dyDescent="0.2">
      <c r="H271" s="182"/>
    </row>
    <row r="272" spans="8:8" x14ac:dyDescent="0.2">
      <c r="H272" s="182"/>
    </row>
    <row r="273" spans="1:8" x14ac:dyDescent="0.2">
      <c r="H273" s="182"/>
    </row>
    <row r="274" spans="1:8" x14ac:dyDescent="0.2">
      <c r="H274" s="182"/>
    </row>
    <row r="275" spans="1:8" x14ac:dyDescent="0.2">
      <c r="H275" s="199"/>
    </row>
    <row r="276" spans="1:8" x14ac:dyDescent="0.2">
      <c r="A276" s="178"/>
      <c r="H276" s="199"/>
    </row>
    <row r="277" spans="1:8" x14ac:dyDescent="0.2">
      <c r="H277" s="199"/>
    </row>
    <row r="278" spans="1:8" x14ac:dyDescent="0.2">
      <c r="H278" s="199"/>
    </row>
    <row r="279" spans="1:8" x14ac:dyDescent="0.2">
      <c r="H279" s="182"/>
    </row>
    <row r="280" spans="1:8" x14ac:dyDescent="0.2">
      <c r="H280" s="182"/>
    </row>
    <row r="281" spans="1:8" x14ac:dyDescent="0.2">
      <c r="H281" s="182"/>
    </row>
    <row r="282" spans="1:8" x14ac:dyDescent="0.2">
      <c r="H282" s="182"/>
    </row>
    <row r="283" spans="1:8" x14ac:dyDescent="0.2">
      <c r="H283" s="182"/>
    </row>
    <row r="284" spans="1:8" x14ac:dyDescent="0.2">
      <c r="H284" s="182"/>
    </row>
    <row r="285" spans="1:8" x14ac:dyDescent="0.2">
      <c r="H285" s="182"/>
    </row>
    <row r="286" spans="1:8" x14ac:dyDescent="0.2">
      <c r="H286" s="182"/>
    </row>
    <row r="287" spans="1:8" x14ac:dyDescent="0.2">
      <c r="H287" s="182"/>
    </row>
    <row r="288" spans="1:8" x14ac:dyDescent="0.2">
      <c r="A288" s="178"/>
      <c r="H288" s="182"/>
    </row>
    <row r="289" spans="1:8" x14ac:dyDescent="0.2">
      <c r="H289" s="182"/>
    </row>
    <row r="290" spans="1:8" x14ac:dyDescent="0.2">
      <c r="H290" s="182"/>
    </row>
    <row r="291" spans="1:8" x14ac:dyDescent="0.2">
      <c r="H291" s="182"/>
    </row>
    <row r="292" spans="1:8" x14ac:dyDescent="0.2">
      <c r="H292" s="182"/>
    </row>
    <row r="293" spans="1:8" x14ac:dyDescent="0.2">
      <c r="H293" s="182"/>
    </row>
    <row r="294" spans="1:8" x14ac:dyDescent="0.2">
      <c r="H294" s="182"/>
    </row>
    <row r="295" spans="1:8" x14ac:dyDescent="0.2">
      <c r="H295" s="182"/>
    </row>
    <row r="296" spans="1:8" x14ac:dyDescent="0.2">
      <c r="H296" s="182"/>
    </row>
    <row r="297" spans="1:8" x14ac:dyDescent="0.2">
      <c r="H297" s="182"/>
    </row>
    <row r="298" spans="1:8" x14ac:dyDescent="0.2">
      <c r="H298" s="182"/>
    </row>
    <row r="299" spans="1:8" x14ac:dyDescent="0.2">
      <c r="H299" s="182"/>
    </row>
    <row r="300" spans="1:8" x14ac:dyDescent="0.2">
      <c r="A300" s="178"/>
      <c r="H300" s="199"/>
    </row>
    <row r="301" spans="1:8" x14ac:dyDescent="0.2">
      <c r="H301" s="199"/>
    </row>
    <row r="302" spans="1:8" x14ac:dyDescent="0.2">
      <c r="H302" s="199"/>
    </row>
    <row r="303" spans="1:8" x14ac:dyDescent="0.2">
      <c r="H303" s="182"/>
    </row>
    <row r="304" spans="1:8" x14ac:dyDescent="0.2">
      <c r="H304" s="182"/>
    </row>
    <row r="305" spans="8:8" x14ac:dyDescent="0.2">
      <c r="H305" s="199"/>
    </row>
    <row r="306" spans="8:8" x14ac:dyDescent="0.2">
      <c r="H306" s="199"/>
    </row>
    <row r="307" spans="8:8" x14ac:dyDescent="0.2">
      <c r="H307" s="199"/>
    </row>
    <row r="308" spans="8:8" x14ac:dyDescent="0.2">
      <c r="H308" s="182"/>
    </row>
    <row r="309" spans="8:8" x14ac:dyDescent="0.2">
      <c r="H309" s="182"/>
    </row>
    <row r="310" spans="8:8" x14ac:dyDescent="0.2">
      <c r="H310" s="182"/>
    </row>
    <row r="311" spans="8:8" x14ac:dyDescent="0.2">
      <c r="H311" s="182"/>
    </row>
    <row r="312" spans="8:8" x14ac:dyDescent="0.2">
      <c r="H312" s="182"/>
    </row>
    <row r="313" spans="8:8" x14ac:dyDescent="0.2">
      <c r="H313" s="182"/>
    </row>
    <row r="314" spans="8:8" x14ac:dyDescent="0.2">
      <c r="H314" s="182"/>
    </row>
    <row r="315" spans="8:8" x14ac:dyDescent="0.2">
      <c r="H315" s="182"/>
    </row>
    <row r="316" spans="8:8" x14ac:dyDescent="0.2">
      <c r="H316" s="182"/>
    </row>
    <row r="317" spans="8:8" x14ac:dyDescent="0.2">
      <c r="H317" s="199"/>
    </row>
    <row r="318" spans="8:8" x14ac:dyDescent="0.2">
      <c r="H318" s="199"/>
    </row>
    <row r="319" spans="8:8" x14ac:dyDescent="0.2">
      <c r="H319" s="199"/>
    </row>
    <row r="320" spans="8:8" x14ac:dyDescent="0.2">
      <c r="H320" s="199"/>
    </row>
    <row r="321" spans="1:8" x14ac:dyDescent="0.2">
      <c r="H321" s="199"/>
    </row>
    <row r="322" spans="1:8" x14ac:dyDescent="0.2">
      <c r="H322" s="199"/>
    </row>
    <row r="323" spans="1:8" x14ac:dyDescent="0.2">
      <c r="H323" s="199"/>
    </row>
    <row r="324" spans="1:8" x14ac:dyDescent="0.2">
      <c r="H324" s="199"/>
    </row>
    <row r="325" spans="1:8" x14ac:dyDescent="0.2">
      <c r="H325" s="199"/>
    </row>
    <row r="326" spans="1:8" x14ac:dyDescent="0.2">
      <c r="H326" s="199"/>
    </row>
    <row r="327" spans="1:8" x14ac:dyDescent="0.2">
      <c r="H327" s="199"/>
    </row>
    <row r="328" spans="1:8" x14ac:dyDescent="0.2">
      <c r="H328" s="199"/>
    </row>
    <row r="329" spans="1:8" x14ac:dyDescent="0.2">
      <c r="H329" s="199"/>
    </row>
    <row r="330" spans="1:8" x14ac:dyDescent="0.2">
      <c r="H330" s="199"/>
    </row>
    <row r="331" spans="1:8" x14ac:dyDescent="0.2">
      <c r="H331" s="199"/>
    </row>
    <row r="332" spans="1:8" x14ac:dyDescent="0.2">
      <c r="H332" s="199"/>
    </row>
    <row r="333" spans="1:8" x14ac:dyDescent="0.2">
      <c r="H333" s="199"/>
    </row>
    <row r="334" spans="1:8" x14ac:dyDescent="0.2">
      <c r="H334" s="199"/>
    </row>
    <row r="335" spans="1:8" x14ac:dyDescent="0.2">
      <c r="H335" s="199"/>
    </row>
    <row r="336" spans="1:8" x14ac:dyDescent="0.2">
      <c r="A336" s="178"/>
      <c r="H336" s="199"/>
    </row>
    <row r="337" spans="8:8" x14ac:dyDescent="0.2">
      <c r="H337" s="209"/>
    </row>
    <row r="338" spans="8:8" x14ac:dyDescent="0.2">
      <c r="H338" s="209"/>
    </row>
    <row r="340" spans="8:8" x14ac:dyDescent="0.2">
      <c r="H340" s="208"/>
    </row>
    <row r="342" spans="8:8" x14ac:dyDescent="0.2">
      <c r="H342" s="190"/>
    </row>
    <row r="343" spans="8:8" x14ac:dyDescent="0.2">
      <c r="H343" s="182"/>
    </row>
    <row r="344" spans="8:8" x14ac:dyDescent="0.2">
      <c r="H344" s="182"/>
    </row>
    <row r="345" spans="8:8" x14ac:dyDescent="0.2">
      <c r="H345" s="182"/>
    </row>
    <row r="346" spans="8:8" x14ac:dyDescent="0.2">
      <c r="H346" s="182"/>
    </row>
    <row r="347" spans="8:8" x14ac:dyDescent="0.2">
      <c r="H347" s="182"/>
    </row>
    <row r="348" spans="8:8" x14ac:dyDescent="0.2">
      <c r="H348" s="182"/>
    </row>
    <row r="349" spans="8:8" x14ac:dyDescent="0.2">
      <c r="H349" s="182"/>
    </row>
    <row r="350" spans="8:8" x14ac:dyDescent="0.2">
      <c r="H350" s="182"/>
    </row>
    <row r="351" spans="8:8" x14ac:dyDescent="0.2">
      <c r="H351" s="182"/>
    </row>
    <row r="353" spans="8:8" x14ac:dyDescent="0.2">
      <c r="H353" s="182"/>
    </row>
    <row r="354" spans="8:8" x14ac:dyDescent="0.2">
      <c r="H354" s="182"/>
    </row>
    <row r="355" spans="8:8" x14ac:dyDescent="0.2">
      <c r="H355" s="182"/>
    </row>
    <row r="356" spans="8:8" x14ac:dyDescent="0.2">
      <c r="H356" s="182"/>
    </row>
    <row r="357" spans="8:8" x14ac:dyDescent="0.2">
      <c r="H357" s="182"/>
    </row>
    <row r="358" spans="8:8" x14ac:dyDescent="0.2">
      <c r="H358" s="182"/>
    </row>
    <row r="359" spans="8:8" x14ac:dyDescent="0.2">
      <c r="H359" s="182"/>
    </row>
    <row r="360" spans="8:8" x14ac:dyDescent="0.2">
      <c r="H360" s="182"/>
    </row>
    <row r="361" spans="8:8" x14ac:dyDescent="0.2">
      <c r="H361" s="182"/>
    </row>
    <row r="364" spans="8:8" x14ac:dyDescent="0.2">
      <c r="H364" s="182"/>
    </row>
    <row r="365" spans="8:8" x14ac:dyDescent="0.2">
      <c r="H365" s="182"/>
    </row>
    <row r="366" spans="8:8" x14ac:dyDescent="0.2">
      <c r="H366" s="182"/>
    </row>
    <row r="367" spans="8:8" x14ac:dyDescent="0.2">
      <c r="H367" s="182"/>
    </row>
    <row r="368" spans="8:8" x14ac:dyDescent="0.2">
      <c r="H368" s="182"/>
    </row>
    <row r="369" spans="8:8" x14ac:dyDescent="0.2">
      <c r="H369" s="182"/>
    </row>
    <row r="370" spans="8:8" x14ac:dyDescent="0.2">
      <c r="H370" s="182"/>
    </row>
    <row r="371" spans="8:8" x14ac:dyDescent="0.2">
      <c r="H371" s="182"/>
    </row>
    <row r="372" spans="8:8" x14ac:dyDescent="0.2">
      <c r="H372" s="182"/>
    </row>
    <row r="374" spans="8:8" x14ac:dyDescent="0.2">
      <c r="H374" s="182"/>
    </row>
    <row r="375" spans="8:8" x14ac:dyDescent="0.2">
      <c r="H375" s="182"/>
    </row>
    <row r="376" spans="8:8" x14ac:dyDescent="0.2">
      <c r="H376" s="182"/>
    </row>
    <row r="377" spans="8:8" x14ac:dyDescent="0.2">
      <c r="H377" s="182"/>
    </row>
    <row r="378" spans="8:8" x14ac:dyDescent="0.2">
      <c r="H378" s="182"/>
    </row>
    <row r="379" spans="8:8" x14ac:dyDescent="0.2">
      <c r="H379" s="182"/>
    </row>
    <row r="380" spans="8:8" x14ac:dyDescent="0.2">
      <c r="H380" s="182"/>
    </row>
    <row r="385" spans="8:8" x14ac:dyDescent="0.2">
      <c r="H385" s="182"/>
    </row>
    <row r="386" spans="8:8" x14ac:dyDescent="0.2">
      <c r="H386" s="182"/>
    </row>
    <row r="387" spans="8:8" x14ac:dyDescent="0.2">
      <c r="H387" s="182"/>
    </row>
    <row r="388" spans="8:8" x14ac:dyDescent="0.2">
      <c r="H388" s="182"/>
    </row>
    <row r="389" spans="8:8" x14ac:dyDescent="0.2">
      <c r="H389" s="182"/>
    </row>
    <row r="390" spans="8:8" x14ac:dyDescent="0.2">
      <c r="H390" s="182"/>
    </row>
    <row r="391" spans="8:8" x14ac:dyDescent="0.2">
      <c r="H391" s="182"/>
    </row>
    <row r="392" spans="8:8" x14ac:dyDescent="0.2">
      <c r="H392" s="182"/>
    </row>
    <row r="393" spans="8:8" x14ac:dyDescent="0.2">
      <c r="H393" s="182"/>
    </row>
    <row r="395" spans="8:8" x14ac:dyDescent="0.2">
      <c r="H395" s="182"/>
    </row>
    <row r="396" spans="8:8" x14ac:dyDescent="0.2">
      <c r="H396" s="182"/>
    </row>
    <row r="397" spans="8:8" x14ac:dyDescent="0.2">
      <c r="H397" s="182"/>
    </row>
    <row r="398" spans="8:8" x14ac:dyDescent="0.2">
      <c r="H398" s="182"/>
    </row>
    <row r="399" spans="8:8" x14ac:dyDescent="0.2">
      <c r="H399" s="182"/>
    </row>
    <row r="400" spans="8:8" x14ac:dyDescent="0.2">
      <c r="H400" s="182"/>
    </row>
    <row r="401" spans="8:8" x14ac:dyDescent="0.2">
      <c r="H401" s="182"/>
    </row>
    <row r="402" spans="8:8" x14ac:dyDescent="0.2">
      <c r="H402" s="182"/>
    </row>
    <row r="403" spans="8:8" x14ac:dyDescent="0.2">
      <c r="H403" s="182"/>
    </row>
    <row r="406" spans="8:8" x14ac:dyDescent="0.2">
      <c r="H406" s="182"/>
    </row>
    <row r="407" spans="8:8" x14ac:dyDescent="0.2">
      <c r="H407" s="182"/>
    </row>
    <row r="409" spans="8:8" x14ac:dyDescent="0.2">
      <c r="H409" s="182"/>
    </row>
    <row r="410" spans="8:8" x14ac:dyDescent="0.2">
      <c r="H410" s="182"/>
    </row>
    <row r="411" spans="8:8" x14ac:dyDescent="0.2">
      <c r="H411" s="182"/>
    </row>
    <row r="412" spans="8:8" x14ac:dyDescent="0.2">
      <c r="H412" s="182"/>
    </row>
    <row r="413" spans="8:8" x14ac:dyDescent="0.2">
      <c r="H413" s="182"/>
    </row>
    <row r="414" spans="8:8" x14ac:dyDescent="0.2">
      <c r="H414" s="182"/>
    </row>
    <row r="415" spans="8:8" x14ac:dyDescent="0.2">
      <c r="H415" s="182"/>
    </row>
    <row r="416" spans="8:8" x14ac:dyDescent="0.2">
      <c r="H416" s="182"/>
    </row>
    <row r="417" spans="8:8" x14ac:dyDescent="0.2">
      <c r="H417" s="182"/>
    </row>
    <row r="419" spans="8:8" x14ac:dyDescent="0.2">
      <c r="H419" s="182"/>
    </row>
    <row r="420" spans="8:8" x14ac:dyDescent="0.2">
      <c r="H420" s="182"/>
    </row>
    <row r="421" spans="8:8" x14ac:dyDescent="0.2">
      <c r="H421" s="182"/>
    </row>
    <row r="422" spans="8:8" x14ac:dyDescent="0.2">
      <c r="H422" s="182"/>
    </row>
    <row r="423" spans="8:8" x14ac:dyDescent="0.2">
      <c r="H423" s="182"/>
    </row>
    <row r="424" spans="8:8" x14ac:dyDescent="0.2">
      <c r="H424" s="182"/>
    </row>
    <row r="425" spans="8:8" x14ac:dyDescent="0.2">
      <c r="H425" s="182"/>
    </row>
    <row r="426" spans="8:8" x14ac:dyDescent="0.2">
      <c r="H426" s="182"/>
    </row>
    <row r="429" spans="8:8" x14ac:dyDescent="0.2">
      <c r="H429" s="182"/>
    </row>
    <row r="431" spans="8:8" x14ac:dyDescent="0.2">
      <c r="H431" s="182"/>
    </row>
    <row r="432" spans="8:8" x14ac:dyDescent="0.2">
      <c r="H432" s="182"/>
    </row>
    <row r="433" spans="8:8" x14ac:dyDescent="0.2">
      <c r="H433" s="182"/>
    </row>
    <row r="434" spans="8:8" x14ac:dyDescent="0.2">
      <c r="H434" s="182"/>
    </row>
    <row r="435" spans="8:8" x14ac:dyDescent="0.2">
      <c r="H435" s="182"/>
    </row>
    <row r="436" spans="8:8" x14ac:dyDescent="0.2">
      <c r="H436" s="182"/>
    </row>
    <row r="437" spans="8:8" x14ac:dyDescent="0.2">
      <c r="H437" s="182"/>
    </row>
    <row r="438" spans="8:8" x14ac:dyDescent="0.2">
      <c r="H438" s="182"/>
    </row>
    <row r="439" spans="8:8" x14ac:dyDescent="0.2">
      <c r="H439" s="182"/>
    </row>
    <row r="441" spans="8:8" x14ac:dyDescent="0.2">
      <c r="H441" s="182"/>
    </row>
    <row r="442" spans="8:8" x14ac:dyDescent="0.2">
      <c r="H442" s="182"/>
    </row>
    <row r="443" spans="8:8" x14ac:dyDescent="0.2">
      <c r="H443" s="182"/>
    </row>
    <row r="444" spans="8:8" x14ac:dyDescent="0.2">
      <c r="H444" s="182"/>
    </row>
    <row r="445" spans="8:8" x14ac:dyDescent="0.2">
      <c r="H445" s="182"/>
    </row>
    <row r="446" spans="8:8" x14ac:dyDescent="0.2">
      <c r="H446" s="182"/>
    </row>
    <row r="447" spans="8:8" x14ac:dyDescent="0.2">
      <c r="H447" s="182"/>
    </row>
    <row r="448" spans="8:8" x14ac:dyDescent="0.2">
      <c r="H448" s="182"/>
    </row>
    <row r="451" spans="8:8" x14ac:dyDescent="0.2">
      <c r="H451" s="182"/>
    </row>
    <row r="452" spans="8:8" x14ac:dyDescent="0.2">
      <c r="H452" s="182"/>
    </row>
    <row r="453" spans="8:8" x14ac:dyDescent="0.2">
      <c r="H453" s="182"/>
    </row>
    <row r="454" spans="8:8" x14ac:dyDescent="0.2">
      <c r="H454" s="182"/>
    </row>
    <row r="455" spans="8:8" x14ac:dyDescent="0.2">
      <c r="H455" s="182"/>
    </row>
    <row r="456" spans="8:8" x14ac:dyDescent="0.2">
      <c r="H456" s="182"/>
    </row>
    <row r="459" spans="8:8" x14ac:dyDescent="0.2">
      <c r="H459" s="182"/>
    </row>
    <row r="460" spans="8:8" x14ac:dyDescent="0.2">
      <c r="H460" s="182"/>
    </row>
    <row r="461" spans="8:8" x14ac:dyDescent="0.2">
      <c r="H461" s="182"/>
    </row>
    <row r="462" spans="8:8" x14ac:dyDescent="0.2">
      <c r="H462" s="182"/>
    </row>
    <row r="463" spans="8:8" x14ac:dyDescent="0.2">
      <c r="H463" s="182"/>
    </row>
    <row r="464" spans="8:8" x14ac:dyDescent="0.2">
      <c r="H464" s="182"/>
    </row>
    <row r="467" spans="8:8" x14ac:dyDescent="0.2">
      <c r="H467" s="182"/>
    </row>
    <row r="468" spans="8:8" x14ac:dyDescent="0.2">
      <c r="H468" s="182"/>
    </row>
    <row r="469" spans="8:8" x14ac:dyDescent="0.2">
      <c r="H469" s="182"/>
    </row>
    <row r="470" spans="8:8" x14ac:dyDescent="0.2">
      <c r="H470" s="182"/>
    </row>
    <row r="471" spans="8:8" x14ac:dyDescent="0.2">
      <c r="H471" s="182"/>
    </row>
    <row r="472" spans="8:8" x14ac:dyDescent="0.2">
      <c r="H472" s="182"/>
    </row>
    <row r="475" spans="8:8" x14ac:dyDescent="0.2">
      <c r="H475" s="182"/>
    </row>
    <row r="476" spans="8:8" x14ac:dyDescent="0.2">
      <c r="H476" s="182"/>
    </row>
    <row r="477" spans="8:8" x14ac:dyDescent="0.2">
      <c r="H477" s="182"/>
    </row>
    <row r="478" spans="8:8" x14ac:dyDescent="0.2">
      <c r="H478" s="182"/>
    </row>
    <row r="479" spans="8:8" x14ac:dyDescent="0.2">
      <c r="H479" s="182"/>
    </row>
    <row r="480" spans="8:8" x14ac:dyDescent="0.2">
      <c r="H480" s="182"/>
    </row>
    <row r="483" spans="8:8" x14ac:dyDescent="0.2">
      <c r="H483" s="182"/>
    </row>
    <row r="484" spans="8:8" x14ac:dyDescent="0.2">
      <c r="H484" s="182"/>
    </row>
    <row r="485" spans="8:8" x14ac:dyDescent="0.2">
      <c r="H485" s="182"/>
    </row>
    <row r="486" spans="8:8" x14ac:dyDescent="0.2">
      <c r="H486" s="182"/>
    </row>
    <row r="487" spans="8:8" x14ac:dyDescent="0.2">
      <c r="H487" s="182"/>
    </row>
    <row r="488" spans="8:8" x14ac:dyDescent="0.2">
      <c r="H488" s="182"/>
    </row>
    <row r="491" spans="8:8" x14ac:dyDescent="0.2">
      <c r="H491" s="182"/>
    </row>
    <row r="492" spans="8:8" x14ac:dyDescent="0.2">
      <c r="H492" s="182"/>
    </row>
    <row r="493" spans="8:8" x14ac:dyDescent="0.2">
      <c r="H493" s="182"/>
    </row>
    <row r="494" spans="8:8" x14ac:dyDescent="0.2">
      <c r="H494" s="182"/>
    </row>
    <row r="495" spans="8:8" x14ac:dyDescent="0.2">
      <c r="H495" s="182"/>
    </row>
    <row r="496" spans="8:8" x14ac:dyDescent="0.2">
      <c r="H496" s="182"/>
    </row>
    <row r="497" spans="8:8" x14ac:dyDescent="0.2">
      <c r="H497" s="182"/>
    </row>
  </sheetData>
  <printOptions horizontalCentered="1"/>
  <pageMargins left="0.7" right="0.7" top="0.75" bottom="0.75" header="0.3" footer="0.3"/>
  <pageSetup scale="71" fitToHeight="0"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1931-93E8-47A8-A9C3-03F9A4B12CF3}">
  <sheetPr codeName="Sheet4"/>
  <dimension ref="A1:T48"/>
  <sheetViews>
    <sheetView workbookViewId="0">
      <selection activeCell="D32" sqref="D32"/>
    </sheetView>
  </sheetViews>
  <sheetFormatPr defaultColWidth="9" defaultRowHeight="12.75" x14ac:dyDescent="0.2"/>
  <cols>
    <col min="1" max="1" width="12.125" style="124" customWidth="1"/>
    <col min="2" max="2" width="12" style="124" customWidth="1"/>
    <col min="3" max="3" width="9.5" style="124" bestFit="1" customWidth="1"/>
    <col min="4" max="4" width="13.125" style="124" bestFit="1" customWidth="1"/>
    <col min="5" max="5" width="9.75" style="124" bestFit="1" customWidth="1"/>
    <col min="6" max="6" width="10.875" style="124" customWidth="1"/>
    <col min="7" max="7" width="12.375" style="124" customWidth="1"/>
    <col min="8" max="8" width="9.5" style="124" bestFit="1" customWidth="1"/>
    <col min="9" max="9" width="13.5" style="124" customWidth="1"/>
    <col min="10" max="10" width="13.25" style="124" customWidth="1"/>
    <col min="11" max="11" width="11.625" style="124" customWidth="1"/>
    <col min="12" max="12" width="10.75" style="124" bestFit="1" customWidth="1"/>
    <col min="13" max="13" width="11" style="124" customWidth="1"/>
    <col min="14" max="14" width="10.75" style="124" bestFit="1" customWidth="1"/>
    <col min="15" max="15" width="12.5" style="124" customWidth="1"/>
    <col min="16" max="16" width="10.75" style="124" customWidth="1"/>
    <col min="17" max="18" width="10.75" style="124" bestFit="1" customWidth="1"/>
    <col min="19" max="19" width="9.5" style="124" bestFit="1" customWidth="1"/>
    <col min="20" max="16384" width="9" style="124"/>
  </cols>
  <sheetData>
    <row r="1" spans="1:5" x14ac:dyDescent="0.2">
      <c r="A1" s="13" t="s">
        <v>0</v>
      </c>
    </row>
    <row r="2" spans="1:5" x14ac:dyDescent="0.2">
      <c r="A2" s="13" t="s">
        <v>212</v>
      </c>
    </row>
    <row r="3" spans="1:5" x14ac:dyDescent="0.2">
      <c r="A3" s="13" t="s">
        <v>215</v>
      </c>
    </row>
    <row r="4" spans="1:5" x14ac:dyDescent="0.2">
      <c r="A4" s="13"/>
    </row>
    <row r="6" spans="1:5" ht="38.25" x14ac:dyDescent="0.2">
      <c r="B6" s="62" t="s">
        <v>114</v>
      </c>
      <c r="C6" s="1"/>
      <c r="D6" s="63" t="s">
        <v>115</v>
      </c>
      <c r="E6" s="1"/>
    </row>
    <row r="7" spans="1:5" ht="38.25" x14ac:dyDescent="0.2">
      <c r="B7" s="62" t="s">
        <v>113</v>
      </c>
      <c r="C7" s="63" t="s">
        <v>108</v>
      </c>
      <c r="D7" s="62" t="s">
        <v>113</v>
      </c>
      <c r="E7" s="68" t="s">
        <v>116</v>
      </c>
    </row>
    <row r="8" spans="1:5" x14ac:dyDescent="0.2">
      <c r="A8" s="140" t="s">
        <v>161</v>
      </c>
      <c r="B8" s="141">
        <f>'Summary PCORC 2026'!E36</f>
        <v>184017532.13851207</v>
      </c>
      <c r="C8" s="69">
        <f>'RY2 MYRP Production Factor'!C21</f>
        <v>1.0155000000000001</v>
      </c>
      <c r="D8" s="142">
        <f>C8*B8</f>
        <v>186869803.88665903</v>
      </c>
      <c r="E8" s="143">
        <f>D8-B8</f>
        <v>2852271.7481469512</v>
      </c>
    </row>
    <row r="9" spans="1:5" ht="5.25" customHeight="1" x14ac:dyDescent="0.2">
      <c r="B9" s="64"/>
      <c r="C9" s="42"/>
      <c r="D9" s="64"/>
      <c r="E9" s="1"/>
    </row>
    <row r="10" spans="1:5" x14ac:dyDescent="0.2">
      <c r="A10" s="140" t="s">
        <v>162</v>
      </c>
      <c r="B10" s="144">
        <f>'Summary PCORC 2026'!F36</f>
        <v>194585894.4325926</v>
      </c>
      <c r="C10" s="69">
        <f>'2026 PCORC Production Factor'!F30</f>
        <v>1.0440700000000001</v>
      </c>
      <c r="D10" s="143">
        <f>B10*C10</f>
        <v>203161294.80023697</v>
      </c>
      <c r="E10" s="143">
        <f>D10-B10</f>
        <v>8575400.3676443696</v>
      </c>
    </row>
    <row r="12" spans="1:5" x14ac:dyDescent="0.2">
      <c r="D12" s="120"/>
      <c r="E12" s="121"/>
    </row>
    <row r="13" spans="1:5" x14ac:dyDescent="0.2">
      <c r="D13" s="145"/>
    </row>
    <row r="20" spans="1:20" s="132" customFormat="1" ht="73.5" customHeight="1" x14ac:dyDescent="0.2">
      <c r="A20" s="114"/>
      <c r="B20" s="64"/>
      <c r="C20" s="64"/>
      <c r="D20" s="64"/>
      <c r="E20" s="146"/>
      <c r="F20" s="146"/>
      <c r="G20" s="146"/>
      <c r="M20" s="64"/>
      <c r="N20" s="64"/>
      <c r="O20" s="64"/>
      <c r="P20" s="64"/>
      <c r="Q20" s="64"/>
      <c r="R20" s="64"/>
      <c r="S20" s="64"/>
    </row>
    <row r="21" spans="1:20" x14ac:dyDescent="0.2">
      <c r="A21" s="13"/>
      <c r="B21" s="125"/>
      <c r="C21" s="125"/>
      <c r="D21" s="127"/>
      <c r="E21" s="127"/>
      <c r="F21" s="127"/>
      <c r="G21" s="127"/>
      <c r="H21" s="127"/>
      <c r="I21" s="127"/>
      <c r="J21" s="127"/>
      <c r="K21" s="127"/>
      <c r="L21" s="127"/>
      <c r="M21" s="127"/>
      <c r="N21" s="147"/>
      <c r="O21" s="127"/>
      <c r="P21" s="54"/>
      <c r="Q21" s="125"/>
      <c r="R21" s="128"/>
      <c r="S21" s="127"/>
    </row>
    <row r="22" spans="1:20" x14ac:dyDescent="0.2">
      <c r="B22" s="125"/>
      <c r="C22" s="125"/>
      <c r="D22" s="54"/>
      <c r="E22" s="54"/>
      <c r="F22" s="54"/>
      <c r="G22" s="54"/>
      <c r="H22" s="54"/>
      <c r="I22" s="54"/>
      <c r="J22" s="54"/>
      <c r="K22" s="54"/>
      <c r="L22" s="54"/>
      <c r="M22" s="127"/>
      <c r="N22" s="147"/>
      <c r="O22" s="127"/>
      <c r="P22" s="54"/>
      <c r="Q22" s="125"/>
      <c r="R22" s="128"/>
      <c r="S22" s="127"/>
      <c r="T22" s="128"/>
    </row>
    <row r="23" spans="1:20" x14ac:dyDescent="0.2">
      <c r="B23" s="125"/>
      <c r="C23" s="125"/>
      <c r="D23" s="54"/>
      <c r="E23" s="54"/>
      <c r="F23" s="54"/>
      <c r="G23" s="54"/>
      <c r="H23" s="54"/>
      <c r="I23" s="54"/>
      <c r="J23" s="54"/>
      <c r="K23" s="54"/>
      <c r="L23" s="54"/>
      <c r="M23" s="127"/>
      <c r="N23" s="147"/>
      <c r="O23" s="127"/>
      <c r="P23" s="54"/>
      <c r="Q23" s="125"/>
      <c r="R23" s="128"/>
      <c r="S23" s="127"/>
      <c r="T23" s="128"/>
    </row>
    <row r="24" spans="1:20" x14ac:dyDescent="0.2">
      <c r="B24" s="125"/>
      <c r="C24" s="125"/>
      <c r="D24" s="54"/>
      <c r="E24" s="54"/>
      <c r="F24" s="54"/>
      <c r="G24" s="54"/>
      <c r="H24" s="54"/>
      <c r="I24" s="54"/>
      <c r="J24" s="54"/>
      <c r="K24" s="54"/>
      <c r="L24" s="54"/>
      <c r="M24" s="127"/>
      <c r="N24" s="147"/>
      <c r="O24" s="127"/>
      <c r="P24" s="54"/>
      <c r="Q24" s="125"/>
      <c r="R24" s="128"/>
      <c r="S24" s="127"/>
      <c r="T24" s="128"/>
    </row>
    <row r="25" spans="1:20" x14ac:dyDescent="0.2">
      <c r="B25" s="125"/>
      <c r="C25" s="125"/>
      <c r="D25" s="54"/>
      <c r="E25" s="54"/>
      <c r="F25" s="54"/>
      <c r="G25" s="54"/>
      <c r="H25" s="54"/>
      <c r="I25" s="54"/>
      <c r="J25" s="54"/>
      <c r="K25" s="54"/>
      <c r="L25" s="54"/>
      <c r="M25" s="127"/>
      <c r="N25" s="147"/>
      <c r="O25" s="127"/>
      <c r="P25" s="54"/>
      <c r="Q25" s="125"/>
      <c r="R25" s="128"/>
      <c r="S25" s="127"/>
      <c r="T25" s="128"/>
    </row>
    <row r="26" spans="1:20" x14ac:dyDescent="0.2">
      <c r="B26" s="125"/>
      <c r="C26" s="125"/>
      <c r="D26" s="54"/>
      <c r="E26" s="54"/>
      <c r="F26" s="54"/>
      <c r="G26" s="54"/>
      <c r="H26" s="54"/>
      <c r="I26" s="54"/>
      <c r="J26" s="54"/>
      <c r="K26" s="54"/>
      <c r="L26" s="54"/>
      <c r="M26" s="127"/>
      <c r="N26" s="147"/>
      <c r="O26" s="127"/>
      <c r="P26" s="54"/>
      <c r="Q26" s="125"/>
      <c r="R26" s="128"/>
      <c r="S26" s="127"/>
      <c r="T26" s="128"/>
    </row>
    <row r="27" spans="1:20" x14ac:dyDescent="0.2">
      <c r="B27" s="125"/>
      <c r="C27" s="125"/>
      <c r="D27" s="54"/>
      <c r="E27" s="54"/>
      <c r="F27" s="54"/>
      <c r="G27" s="54"/>
      <c r="H27" s="54"/>
      <c r="I27" s="54"/>
      <c r="J27" s="54"/>
      <c r="K27" s="54"/>
      <c r="L27" s="54"/>
      <c r="M27" s="127"/>
      <c r="N27" s="147"/>
      <c r="O27" s="127"/>
      <c r="P27" s="54"/>
      <c r="Q27" s="125"/>
      <c r="R27" s="128"/>
      <c r="S27" s="127"/>
      <c r="T27" s="128"/>
    </row>
    <row r="28" spans="1:20" x14ac:dyDescent="0.2">
      <c r="D28" s="55"/>
      <c r="E28" s="55"/>
      <c r="F28" s="55"/>
      <c r="G28" s="55"/>
      <c r="H28" s="55"/>
      <c r="I28" s="55"/>
      <c r="J28" s="55"/>
      <c r="K28" s="55"/>
      <c r="L28" s="55"/>
      <c r="M28" s="55"/>
      <c r="N28" s="55"/>
      <c r="O28" s="55"/>
      <c r="P28" s="55"/>
      <c r="Q28" s="125"/>
      <c r="R28" s="128"/>
      <c r="S28" s="55"/>
    </row>
    <row r="29" spans="1:20" x14ac:dyDescent="0.2">
      <c r="D29" s="55"/>
      <c r="E29" s="55"/>
      <c r="F29" s="55"/>
      <c r="G29" s="55"/>
      <c r="H29" s="55"/>
      <c r="I29" s="55"/>
      <c r="J29" s="55"/>
      <c r="K29" s="115"/>
      <c r="L29" s="55"/>
      <c r="M29" s="55"/>
      <c r="N29" s="55"/>
      <c r="O29" s="55"/>
      <c r="P29" s="55"/>
      <c r="Q29" s="125"/>
      <c r="R29" s="128"/>
      <c r="S29" s="55"/>
    </row>
    <row r="30" spans="1:20" x14ac:dyDescent="0.2">
      <c r="A30" s="13"/>
      <c r="B30" s="125"/>
      <c r="C30" s="125"/>
      <c r="N30" s="125"/>
      <c r="Q30" s="125"/>
      <c r="R30" s="128"/>
    </row>
    <row r="31" spans="1:20" x14ac:dyDescent="0.2">
      <c r="B31" s="148"/>
      <c r="C31" s="125"/>
      <c r="D31" s="54"/>
      <c r="E31" s="54"/>
      <c r="F31" s="54"/>
      <c r="G31" s="54"/>
      <c r="H31" s="54"/>
      <c r="I31" s="54"/>
      <c r="J31" s="54"/>
      <c r="K31" s="54"/>
      <c r="L31" s="54"/>
      <c r="M31" s="36"/>
      <c r="N31" s="147"/>
      <c r="O31" s="36"/>
      <c r="P31" s="55"/>
      <c r="Q31" s="125"/>
      <c r="R31" s="128"/>
      <c r="S31" s="36"/>
      <c r="T31" s="128"/>
    </row>
    <row r="35" spans="1:13" s="6" customFormat="1" ht="12" customHeight="1" x14ac:dyDescent="0.2">
      <c r="C35" s="5"/>
      <c r="D35" s="212"/>
      <c r="E35" s="212"/>
      <c r="F35" s="35"/>
      <c r="G35" s="35"/>
      <c r="H35" s="5"/>
      <c r="I35" s="5"/>
      <c r="J35" s="5"/>
    </row>
    <row r="36" spans="1:13" s="6" customFormat="1" ht="12" customHeight="1" x14ac:dyDescent="0.2">
      <c r="A36" s="13"/>
      <c r="B36" s="13"/>
      <c r="C36" s="35"/>
      <c r="D36" s="5"/>
      <c r="E36" s="5"/>
      <c r="F36" s="35"/>
      <c r="G36" s="35"/>
      <c r="H36" s="35"/>
      <c r="I36" s="35"/>
      <c r="J36" s="35"/>
      <c r="L36" s="35"/>
      <c r="M36" s="35"/>
    </row>
    <row r="37" spans="1:13" s="6" customFormat="1" ht="12" customHeight="1" x14ac:dyDescent="0.2">
      <c r="A37" s="52"/>
      <c r="B37" s="52"/>
      <c r="C37" s="81"/>
      <c r="D37" s="81"/>
      <c r="E37" s="81"/>
      <c r="F37" s="81"/>
      <c r="G37" s="81"/>
      <c r="H37" s="81"/>
      <c r="I37" s="81"/>
      <c r="J37" s="81"/>
      <c r="L37" s="81"/>
      <c r="M37" s="81"/>
    </row>
    <row r="38" spans="1:13" s="6" customFormat="1" ht="12" customHeight="1" x14ac:dyDescent="0.2">
      <c r="A38" s="116"/>
      <c r="C38" s="5"/>
      <c r="D38" s="5"/>
      <c r="E38" s="113"/>
      <c r="F38" s="9"/>
      <c r="G38" s="9"/>
      <c r="H38" s="9"/>
      <c r="I38" s="9"/>
      <c r="J38" s="9"/>
    </row>
    <row r="39" spans="1:13" s="6" customFormat="1" ht="12" customHeight="1" x14ac:dyDescent="0.2">
      <c r="A39" s="74"/>
      <c r="C39" s="5"/>
      <c r="D39" s="5"/>
      <c r="E39" s="113"/>
      <c r="F39" s="9"/>
      <c r="G39" s="9"/>
      <c r="H39" s="9"/>
      <c r="I39" s="9"/>
      <c r="J39" s="9"/>
    </row>
    <row r="40" spans="1:13" s="6" customFormat="1" ht="12" customHeight="1" x14ac:dyDescent="0.2">
      <c r="A40" s="74"/>
      <c r="C40" s="5"/>
      <c r="D40" s="5"/>
      <c r="E40" s="113"/>
      <c r="F40" s="9"/>
      <c r="G40" s="9"/>
      <c r="H40" s="9"/>
      <c r="I40" s="9"/>
      <c r="J40" s="9"/>
    </row>
    <row r="41" spans="1:13" s="6" customFormat="1" ht="12" customHeight="1" x14ac:dyDescent="0.2">
      <c r="A41" s="74"/>
      <c r="C41" s="5"/>
      <c r="D41" s="5"/>
      <c r="E41" s="113"/>
      <c r="F41" s="9"/>
      <c r="G41" s="9"/>
      <c r="H41" s="9"/>
      <c r="I41" s="9"/>
      <c r="J41" s="9"/>
    </row>
    <row r="42" spans="1:13" s="6" customFormat="1" ht="12" customHeight="1" x14ac:dyDescent="0.2">
      <c r="A42" s="74"/>
      <c r="C42" s="5"/>
      <c r="D42" s="5"/>
      <c r="E42" s="113"/>
      <c r="F42" s="9"/>
      <c r="G42" s="9"/>
      <c r="H42" s="9"/>
      <c r="I42" s="9"/>
      <c r="J42" s="9"/>
    </row>
    <row r="43" spans="1:13" s="6" customFormat="1" ht="12" customHeight="1" x14ac:dyDescent="0.2">
      <c r="A43" s="74"/>
      <c r="C43" s="5"/>
      <c r="D43" s="5"/>
      <c r="E43" s="113"/>
      <c r="F43" s="9"/>
      <c r="G43" s="9"/>
      <c r="H43" s="9"/>
      <c r="I43" s="9"/>
      <c r="J43" s="9"/>
    </row>
    <row r="44" spans="1:13" s="6" customFormat="1" ht="12" customHeight="1" x14ac:dyDescent="0.2">
      <c r="A44" s="74"/>
      <c r="C44" s="5"/>
      <c r="D44" s="5"/>
      <c r="E44" s="113"/>
      <c r="F44" s="9"/>
      <c r="G44" s="9"/>
      <c r="H44" s="9"/>
      <c r="I44" s="9"/>
      <c r="J44" s="9"/>
    </row>
    <row r="45" spans="1:13" s="6" customFormat="1" ht="12" customHeight="1" x14ac:dyDescent="0.2">
      <c r="A45" s="74"/>
      <c r="C45" s="5"/>
      <c r="D45" s="5"/>
      <c r="E45" s="113"/>
      <c r="F45" s="9"/>
      <c r="G45" s="9"/>
      <c r="H45" s="9"/>
      <c r="I45" s="9"/>
      <c r="J45" s="9"/>
      <c r="L45" s="9"/>
      <c r="M45" s="9"/>
    </row>
    <row r="46" spans="1:13" s="6" customFormat="1" ht="12" customHeight="1" x14ac:dyDescent="0.2">
      <c r="A46" s="74"/>
      <c r="C46" s="5"/>
      <c r="D46" s="5"/>
      <c r="E46" s="113"/>
      <c r="F46" s="9"/>
      <c r="G46" s="9"/>
      <c r="H46" s="9"/>
      <c r="I46" s="9"/>
      <c r="J46" s="9"/>
    </row>
    <row r="47" spans="1:13" s="6" customFormat="1" ht="12" customHeight="1" x14ac:dyDescent="0.2">
      <c r="A47" s="116"/>
      <c r="C47" s="5"/>
      <c r="D47" s="5"/>
      <c r="E47" s="113"/>
      <c r="F47" s="9"/>
      <c r="G47" s="9"/>
      <c r="H47" s="9"/>
      <c r="I47" s="9"/>
      <c r="J47" s="9"/>
    </row>
    <row r="48" spans="1:13" s="6" customFormat="1" ht="12" customHeight="1" x14ac:dyDescent="0.2">
      <c r="A48" s="74"/>
      <c r="C48" s="5"/>
      <c r="D48" s="5"/>
      <c r="E48" s="113"/>
      <c r="F48" s="9"/>
      <c r="G48" s="9"/>
      <c r="H48" s="9"/>
      <c r="I48" s="9"/>
      <c r="J48" s="9"/>
    </row>
  </sheetData>
  <mergeCells count="1">
    <mergeCell ref="D35:E35"/>
  </mergeCells>
  <conditionalFormatting sqref="H36">
    <cfRule type="cellIs" dxfId="0" priority="1" stopIfTrue="1" operator="equal">
      <formula>"Update"</formula>
    </cfRule>
  </conditionalFormatting>
  <dataValidations count="1">
    <dataValidation type="list" allowBlank="1" showInputMessage="1" showErrorMessage="1" errorTitle="Oops!" error="You must enter a state, or, if the adjustment is system, enter all states." sqref="H36" xr:uid="{A08564E1-7A52-4508-8984-46D4E040C8ED}">
      <formula1>#REF!</formula1>
    </dataValidation>
  </dataValidations>
  <pageMargins left="0.7" right="0.7" top="0.75" bottom="0.75" header="0.3" footer="0.3"/>
  <pageSetup orientation="portrait" horizontalDpi="1200" verticalDpi="120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225E-CCB8-4250-910D-FD49D9CA7082}">
  <sheetPr codeName="Sheet5">
    <pageSetUpPr fitToPage="1"/>
  </sheetPr>
  <dimension ref="A1:R30"/>
  <sheetViews>
    <sheetView workbookViewId="0">
      <selection activeCell="D32" sqref="D32"/>
    </sheetView>
  </sheetViews>
  <sheetFormatPr defaultColWidth="9" defaultRowHeight="12.75" x14ac:dyDescent="0.2"/>
  <cols>
    <col min="1" max="1" width="9" style="124"/>
    <col min="2" max="2" width="16.25" style="124" customWidth="1"/>
    <col min="3" max="3" width="13.125" style="124" bestFit="1" customWidth="1"/>
    <col min="4" max="4" width="7" style="124" customWidth="1"/>
    <col min="5" max="5" width="13.375" style="124" customWidth="1"/>
    <col min="6" max="6" width="10.375" style="124" customWidth="1"/>
    <col min="7" max="7" width="11.25" style="124" bestFit="1" customWidth="1"/>
    <col min="8" max="8" width="9" style="124" bestFit="1" customWidth="1"/>
    <col min="9" max="11" width="9" style="124"/>
    <col min="12" max="12" width="13.875" style="124" customWidth="1"/>
    <col min="13" max="16384" width="9" style="124"/>
  </cols>
  <sheetData>
    <row r="1" spans="1:18" x14ac:dyDescent="0.2">
      <c r="A1" s="13" t="s">
        <v>0</v>
      </c>
      <c r="H1" s="126"/>
      <c r="K1" s="13"/>
      <c r="R1" s="126"/>
    </row>
    <row r="2" spans="1:18" x14ac:dyDescent="0.2">
      <c r="A2" s="13" t="str">
        <f>'2026 PCORC Production Factor'!A2</f>
        <v>Washington 2025 Power Cost Only Rate Case</v>
      </c>
      <c r="K2" s="13"/>
    </row>
    <row r="3" spans="1:18" x14ac:dyDescent="0.2">
      <c r="A3" s="13" t="s">
        <v>219</v>
      </c>
      <c r="K3" s="13"/>
    </row>
    <row r="6" spans="1:18" x14ac:dyDescent="0.2">
      <c r="A6" s="52" t="s">
        <v>156</v>
      </c>
      <c r="H6" s="53"/>
      <c r="K6" s="52"/>
      <c r="R6" s="53"/>
    </row>
    <row r="7" spans="1:18" x14ac:dyDescent="0.2">
      <c r="A7" s="53"/>
      <c r="H7" s="53"/>
      <c r="K7" s="53"/>
      <c r="R7" s="53"/>
    </row>
    <row r="8" spans="1:18" x14ac:dyDescent="0.2">
      <c r="C8" s="35" t="s">
        <v>100</v>
      </c>
      <c r="H8" s="53"/>
      <c r="M8" s="35"/>
      <c r="R8" s="53"/>
    </row>
    <row r="9" spans="1:18" x14ac:dyDescent="0.2">
      <c r="A9" s="124" t="s">
        <v>101</v>
      </c>
      <c r="C9" s="54">
        <v>4215927.6809999999</v>
      </c>
      <c r="G9" s="55"/>
      <c r="H9" s="53"/>
      <c r="J9" s="54"/>
      <c r="K9" s="128"/>
      <c r="M9" s="54"/>
      <c r="Q9" s="55"/>
      <c r="R9" s="53"/>
    </row>
    <row r="10" spans="1:18" x14ac:dyDescent="0.2">
      <c r="A10" s="124" t="s">
        <v>102</v>
      </c>
      <c r="C10" s="54">
        <v>-165.6250466741505</v>
      </c>
      <c r="E10" s="54"/>
      <c r="G10" s="55"/>
      <c r="H10" s="53"/>
      <c r="J10" s="54"/>
      <c r="K10" s="128"/>
      <c r="M10" s="54"/>
      <c r="O10" s="54"/>
      <c r="Q10" s="55"/>
      <c r="R10" s="53"/>
    </row>
    <row r="11" spans="1:18" x14ac:dyDescent="0.2">
      <c r="A11" s="124" t="s">
        <v>103</v>
      </c>
      <c r="C11" s="56">
        <v>-21584.677015499998</v>
      </c>
      <c r="E11" s="54"/>
      <c r="G11" s="55"/>
      <c r="H11" s="53"/>
      <c r="J11" s="54"/>
      <c r="K11" s="128"/>
      <c r="M11" s="54"/>
      <c r="O11" s="54"/>
      <c r="Q11" s="55"/>
      <c r="R11" s="53"/>
    </row>
    <row r="12" spans="1:18" ht="6" customHeight="1" x14ac:dyDescent="0.2">
      <c r="C12" s="35"/>
      <c r="H12" s="53"/>
      <c r="J12" s="35"/>
      <c r="M12" s="35"/>
      <c r="R12" s="53"/>
    </row>
    <row r="13" spans="1:18" x14ac:dyDescent="0.2">
      <c r="A13" s="124" t="s">
        <v>104</v>
      </c>
      <c r="C13" s="54">
        <f>SUM(C9:C11)</f>
        <v>4194177.3789378256</v>
      </c>
      <c r="D13" s="124" t="s">
        <v>105</v>
      </c>
      <c r="J13" s="54"/>
      <c r="K13" s="128"/>
      <c r="M13" s="54"/>
    </row>
    <row r="14" spans="1:18" x14ac:dyDescent="0.2">
      <c r="H14" s="53"/>
      <c r="R14" s="53"/>
    </row>
    <row r="15" spans="1:18" x14ac:dyDescent="0.2">
      <c r="H15" s="53"/>
      <c r="R15" s="53"/>
    </row>
    <row r="16" spans="1:18" x14ac:dyDescent="0.2">
      <c r="A16" s="52" t="s">
        <v>159</v>
      </c>
      <c r="H16" s="53"/>
      <c r="K16" s="52"/>
      <c r="R16" s="53"/>
    </row>
    <row r="17" spans="1:18" x14ac:dyDescent="0.2">
      <c r="A17" s="53"/>
      <c r="H17" s="53"/>
      <c r="K17" s="53"/>
      <c r="R17" s="53"/>
    </row>
    <row r="18" spans="1:18" x14ac:dyDescent="0.2">
      <c r="C18" s="35" t="s">
        <v>100</v>
      </c>
      <c r="H18" s="53"/>
      <c r="J18" s="35"/>
      <c r="M18" s="35"/>
      <c r="R18" s="53"/>
    </row>
    <row r="19" spans="1:18" x14ac:dyDescent="0.2">
      <c r="A19" s="124" t="s">
        <v>106</v>
      </c>
      <c r="C19" s="54">
        <v>4130160</v>
      </c>
      <c r="D19" s="124" t="s">
        <v>107</v>
      </c>
      <c r="J19" s="54"/>
      <c r="K19" s="128"/>
      <c r="M19" s="54"/>
    </row>
    <row r="20" spans="1:18" x14ac:dyDescent="0.2">
      <c r="C20" s="54"/>
      <c r="J20" s="54"/>
      <c r="M20" s="54"/>
    </row>
    <row r="21" spans="1:18" x14ac:dyDescent="0.2">
      <c r="A21" s="13" t="s">
        <v>108</v>
      </c>
      <c r="B21" s="13"/>
      <c r="C21" s="57">
        <f>ROUND(C13/C19,5)</f>
        <v>1.0155000000000001</v>
      </c>
      <c r="J21" s="66"/>
      <c r="K21" s="112"/>
      <c r="L21" s="13"/>
      <c r="M21" s="57"/>
    </row>
    <row r="25" spans="1:18" x14ac:dyDescent="0.2">
      <c r="B25" s="213" t="s">
        <v>108</v>
      </c>
      <c r="C25" s="214"/>
      <c r="D25" s="214"/>
      <c r="E25" s="214"/>
      <c r="F25" s="215"/>
      <c r="L25" s="216"/>
      <c r="M25" s="216"/>
      <c r="N25" s="216"/>
      <c r="O25" s="216"/>
      <c r="P25" s="216"/>
    </row>
    <row r="27" spans="1:18" x14ac:dyDescent="0.2">
      <c r="C27" s="26"/>
      <c r="E27" s="58" t="s">
        <v>109</v>
      </c>
      <c r="F27" s="129">
        <f>C13</f>
        <v>4194177.3789378256</v>
      </c>
      <c r="G27" s="124" t="s">
        <v>110</v>
      </c>
      <c r="M27" s="26"/>
      <c r="O27" s="58"/>
      <c r="P27" s="129"/>
    </row>
    <row r="28" spans="1:18" x14ac:dyDescent="0.2">
      <c r="C28" s="26"/>
      <c r="E28" s="58" t="s">
        <v>160</v>
      </c>
      <c r="F28" s="129">
        <f>C19</f>
        <v>4130160</v>
      </c>
      <c r="G28" s="124" t="s">
        <v>110</v>
      </c>
      <c r="M28" s="26"/>
      <c r="O28" s="58"/>
      <c r="P28" s="129"/>
    </row>
    <row r="29" spans="1:18" x14ac:dyDescent="0.2">
      <c r="C29" s="125"/>
      <c r="M29" s="125"/>
    </row>
    <row r="30" spans="1:18" x14ac:dyDescent="0.2">
      <c r="C30" s="26" t="s">
        <v>108</v>
      </c>
      <c r="F30" s="59">
        <f>ROUND(F27/F28,5)</f>
        <v>1.0155000000000001</v>
      </c>
      <c r="G30" s="60"/>
      <c r="M30" s="26"/>
      <c r="P30" s="66"/>
      <c r="Q30" s="60"/>
    </row>
  </sheetData>
  <mergeCells count="2">
    <mergeCell ref="B25:F25"/>
    <mergeCell ref="L25:P25"/>
  </mergeCells>
  <pageMargins left="0.7" right="0.7" top="0.75" bottom="0.75" header="0.3" footer="0.3"/>
  <pageSetup scale="93" fitToHeight="0"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7DB5-9405-4467-B49F-ED80BF0C04F9}">
  <sheetPr codeName="Sheet6">
    <pageSetUpPr fitToPage="1"/>
  </sheetPr>
  <dimension ref="A1:H38"/>
  <sheetViews>
    <sheetView workbookViewId="0">
      <selection activeCell="D32" sqref="D32"/>
    </sheetView>
  </sheetViews>
  <sheetFormatPr defaultColWidth="9" defaultRowHeight="12.75" x14ac:dyDescent="0.2"/>
  <cols>
    <col min="1" max="1" width="9" style="124"/>
    <col min="2" max="2" width="16.25" style="124" customWidth="1"/>
    <col min="3" max="3" width="13.125" style="124" bestFit="1" customWidth="1"/>
    <col min="4" max="4" width="7" style="124" customWidth="1"/>
    <col min="5" max="5" width="13.375" style="124" customWidth="1"/>
    <col min="6" max="6" width="10.375" style="124" customWidth="1"/>
    <col min="7" max="7" width="11.25" style="124" bestFit="1" customWidth="1"/>
    <col min="8" max="8" width="9" style="124" bestFit="1" customWidth="1"/>
    <col min="9" max="16384" width="9" style="124"/>
  </cols>
  <sheetData>
    <row r="1" spans="1:8" x14ac:dyDescent="0.2">
      <c r="A1" s="13" t="s">
        <v>0</v>
      </c>
      <c r="H1" s="126"/>
    </row>
    <row r="2" spans="1:8" x14ac:dyDescent="0.2">
      <c r="A2" s="13" t="s">
        <v>212</v>
      </c>
    </row>
    <row r="3" spans="1:8" x14ac:dyDescent="0.2">
      <c r="A3" s="13" t="s">
        <v>220</v>
      </c>
    </row>
    <row r="6" spans="1:8" x14ac:dyDescent="0.2">
      <c r="A6" s="52" t="s">
        <v>156</v>
      </c>
      <c r="H6" s="53"/>
    </row>
    <row r="7" spans="1:8" x14ac:dyDescent="0.2">
      <c r="A7" s="53"/>
      <c r="H7" s="53"/>
    </row>
    <row r="8" spans="1:8" x14ac:dyDescent="0.2">
      <c r="C8" s="35" t="s">
        <v>100</v>
      </c>
      <c r="H8" s="53"/>
    </row>
    <row r="9" spans="1:8" x14ac:dyDescent="0.2">
      <c r="A9" s="124" t="s">
        <v>101</v>
      </c>
      <c r="C9" s="54">
        <v>4215927.6809999999</v>
      </c>
      <c r="G9" s="55"/>
      <c r="H9" s="53"/>
    </row>
    <row r="10" spans="1:8" x14ac:dyDescent="0.2">
      <c r="A10" s="124" t="s">
        <v>102</v>
      </c>
      <c r="C10" s="54">
        <v>-165.6250466741505</v>
      </c>
      <c r="E10" s="54"/>
      <c r="G10" s="55"/>
      <c r="H10" s="53"/>
    </row>
    <row r="11" spans="1:8" x14ac:dyDescent="0.2">
      <c r="A11" s="124" t="s">
        <v>103</v>
      </c>
      <c r="C11" s="56">
        <v>-21584.677015499998</v>
      </c>
      <c r="E11" s="54"/>
      <c r="G11" s="55"/>
      <c r="H11" s="53"/>
    </row>
    <row r="12" spans="1:8" ht="6" customHeight="1" x14ac:dyDescent="0.2">
      <c r="C12" s="35"/>
      <c r="H12" s="53"/>
    </row>
    <row r="13" spans="1:8" x14ac:dyDescent="0.2">
      <c r="A13" s="124" t="s">
        <v>104</v>
      </c>
      <c r="C13" s="54">
        <f>SUM(C9:C11)</f>
        <v>4194177.3789378256</v>
      </c>
      <c r="D13" s="124" t="s">
        <v>105</v>
      </c>
    </row>
    <row r="14" spans="1:8" x14ac:dyDescent="0.2">
      <c r="H14" s="53"/>
    </row>
    <row r="15" spans="1:8" x14ac:dyDescent="0.2">
      <c r="H15" s="53"/>
    </row>
    <row r="16" spans="1:8" x14ac:dyDescent="0.2">
      <c r="A16" s="52" t="s">
        <v>157</v>
      </c>
      <c r="H16" s="53"/>
    </row>
    <row r="17" spans="1:8" x14ac:dyDescent="0.2">
      <c r="A17" s="53"/>
      <c r="H17" s="53"/>
    </row>
    <row r="18" spans="1:8" x14ac:dyDescent="0.2">
      <c r="C18" s="35" t="s">
        <v>100</v>
      </c>
      <c r="H18" s="53"/>
    </row>
    <row r="19" spans="1:8" x14ac:dyDescent="0.2">
      <c r="A19" s="124" t="s">
        <v>106</v>
      </c>
      <c r="C19" s="54">
        <v>4017130</v>
      </c>
      <c r="D19" s="124" t="s">
        <v>107</v>
      </c>
    </row>
    <row r="20" spans="1:8" x14ac:dyDescent="0.2">
      <c r="C20" s="54"/>
    </row>
    <row r="21" spans="1:8" x14ac:dyDescent="0.2">
      <c r="A21" s="13" t="s">
        <v>108</v>
      </c>
      <c r="B21" s="13"/>
      <c r="C21" s="57">
        <f>ROUND(C13/C19,5)</f>
        <v>1.0440700000000001</v>
      </c>
    </row>
    <row r="25" spans="1:8" x14ac:dyDescent="0.2">
      <c r="B25" s="213" t="s">
        <v>108</v>
      </c>
      <c r="C25" s="214"/>
      <c r="D25" s="214"/>
      <c r="E25" s="214"/>
      <c r="F25" s="215"/>
    </row>
    <row r="27" spans="1:8" x14ac:dyDescent="0.2">
      <c r="C27" s="26"/>
      <c r="E27" s="58" t="s">
        <v>109</v>
      </c>
      <c r="F27" s="129">
        <f>C13</f>
        <v>4194177.3789378256</v>
      </c>
      <c r="G27" s="124" t="s">
        <v>110</v>
      </c>
    </row>
    <row r="28" spans="1:8" x14ac:dyDescent="0.2">
      <c r="C28" s="26"/>
      <c r="E28" s="58" t="s">
        <v>158</v>
      </c>
      <c r="F28" s="129">
        <f>C19</f>
        <v>4017130</v>
      </c>
      <c r="G28" s="124" t="s">
        <v>110</v>
      </c>
    </row>
    <row r="29" spans="1:8" x14ac:dyDescent="0.2">
      <c r="C29" s="125"/>
    </row>
    <row r="30" spans="1:8" x14ac:dyDescent="0.2">
      <c r="C30" s="26" t="s">
        <v>108</v>
      </c>
      <c r="F30" s="59">
        <f>ROUND(F27/F28,5)</f>
        <v>1.0440700000000001</v>
      </c>
      <c r="G30" s="60"/>
    </row>
    <row r="32" spans="1:8" x14ac:dyDescent="0.2">
      <c r="F32" s="66"/>
    </row>
    <row r="33" spans="1:6" x14ac:dyDescent="0.2">
      <c r="F33" s="66"/>
    </row>
    <row r="34" spans="1:6" x14ac:dyDescent="0.2">
      <c r="F34" s="130"/>
    </row>
    <row r="37" spans="1:6" ht="12.75" customHeight="1" x14ac:dyDescent="0.2">
      <c r="A37" s="131"/>
      <c r="B37" s="132"/>
    </row>
    <row r="38" spans="1:6" x14ac:dyDescent="0.2">
      <c r="A38" s="132"/>
      <c r="B38" s="132"/>
    </row>
  </sheetData>
  <mergeCells count="1">
    <mergeCell ref="B25:F25"/>
  </mergeCells>
  <pageMargins left="0.7" right="0.7" top="0.75" bottom="0.75" header="0.3" footer="0.3"/>
  <pageSetup scale="93" fitToHeight="0"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42EF-37BE-4914-81BF-AC40631250AD}">
  <sheetPr codeName="Sheet7">
    <pageSetUpPr fitToPage="1"/>
  </sheetPr>
  <dimension ref="A1:S84"/>
  <sheetViews>
    <sheetView view="pageBreakPreview" topLeftCell="A28" zoomScale="80" zoomScaleNormal="100" zoomScaleSheetLayoutView="80" workbookViewId="0">
      <selection activeCell="K64" sqref="K64"/>
    </sheetView>
  </sheetViews>
  <sheetFormatPr defaultColWidth="8.75" defaultRowHeight="12.75" x14ac:dyDescent="0.2"/>
  <cols>
    <col min="1" max="1" width="25.875" style="6" customWidth="1"/>
    <col min="2" max="8" width="14.5" style="6" customWidth="1"/>
    <col min="9" max="9" width="14" style="6" customWidth="1"/>
    <col min="10" max="10" width="14.5" style="6" customWidth="1"/>
    <col min="11" max="11" width="15.625" style="6" customWidth="1"/>
    <col min="12" max="15" width="14.5" style="6" customWidth="1"/>
    <col min="16" max="16" width="11.875" style="6" bestFit="1" customWidth="1"/>
    <col min="17" max="17" width="8.75" style="6"/>
    <col min="18" max="18" width="9" style="6" bestFit="1" customWidth="1"/>
    <col min="19" max="19" width="10.75" style="6" bestFit="1" customWidth="1"/>
    <col min="20" max="16384" width="8.75" style="6"/>
  </cols>
  <sheetData>
    <row r="1" spans="1:15" x14ac:dyDescent="0.2">
      <c r="A1" s="8" t="s">
        <v>0</v>
      </c>
    </row>
    <row r="2" spans="1:15" x14ac:dyDescent="0.2">
      <c r="A2" s="8" t="s">
        <v>212</v>
      </c>
    </row>
    <row r="3" spans="1:15" s="13" customFormat="1" x14ac:dyDescent="0.2">
      <c r="A3" s="8" t="s">
        <v>216</v>
      </c>
      <c r="B3" s="70"/>
      <c r="C3" s="70"/>
      <c r="D3" s="70"/>
      <c r="E3" s="70"/>
      <c r="F3" s="70"/>
      <c r="G3" s="70"/>
      <c r="H3" s="70"/>
      <c r="I3" s="70"/>
      <c r="J3" s="70"/>
      <c r="K3" s="70"/>
      <c r="L3" s="70"/>
      <c r="M3" s="70"/>
      <c r="N3" s="70"/>
      <c r="O3" s="70"/>
    </row>
    <row r="4" spans="1:15" s="13" customFormat="1" x14ac:dyDescent="0.2">
      <c r="B4" s="70"/>
      <c r="C4" s="70"/>
      <c r="D4" s="70"/>
      <c r="E4" s="70"/>
      <c r="F4" s="70"/>
      <c r="G4" s="70"/>
      <c r="H4" s="70"/>
      <c r="I4" s="70"/>
      <c r="J4" s="70"/>
      <c r="K4" s="70"/>
      <c r="L4" s="70"/>
      <c r="M4" s="70"/>
      <c r="N4" s="70"/>
      <c r="O4" s="70"/>
    </row>
    <row r="5" spans="1:15" s="74" customFormat="1" x14ac:dyDescent="0.2">
      <c r="A5" s="217" t="s">
        <v>217</v>
      </c>
      <c r="B5" s="218"/>
      <c r="C5" s="218"/>
      <c r="D5" s="218"/>
      <c r="E5" s="218"/>
      <c r="F5" s="218"/>
      <c r="G5" s="218"/>
      <c r="H5" s="218"/>
      <c r="I5" s="218"/>
      <c r="J5" s="218"/>
      <c r="K5" s="218"/>
      <c r="L5" s="218"/>
      <c r="M5" s="218"/>
      <c r="N5" s="218"/>
      <c r="O5" s="219"/>
    </row>
    <row r="6" spans="1:15" s="74" customFormat="1" x14ac:dyDescent="0.2">
      <c r="A6" s="71"/>
      <c r="B6" s="46">
        <v>2025</v>
      </c>
      <c r="C6" s="46">
        <v>2026</v>
      </c>
      <c r="D6" s="72"/>
      <c r="E6" s="72"/>
      <c r="F6" s="46">
        <v>2025</v>
      </c>
      <c r="G6" s="46">
        <v>2026</v>
      </c>
      <c r="H6" s="72"/>
      <c r="I6" s="46">
        <v>2025</v>
      </c>
      <c r="J6" s="46">
        <v>2026</v>
      </c>
      <c r="K6" s="46">
        <v>2025</v>
      </c>
      <c r="L6" s="46">
        <v>2026</v>
      </c>
      <c r="M6" s="72" t="s">
        <v>163</v>
      </c>
      <c r="N6" s="72"/>
      <c r="O6" s="73" t="s">
        <v>163</v>
      </c>
    </row>
    <row r="7" spans="1:15" x14ac:dyDescent="0.2">
      <c r="A7" s="48"/>
      <c r="B7" s="35" t="s">
        <v>164</v>
      </c>
      <c r="C7" s="35" t="s">
        <v>164</v>
      </c>
      <c r="D7" s="35" t="s">
        <v>164</v>
      </c>
      <c r="E7" s="35"/>
      <c r="F7" s="35" t="s">
        <v>165</v>
      </c>
      <c r="G7" s="35" t="s">
        <v>165</v>
      </c>
      <c r="H7" s="35" t="s">
        <v>165</v>
      </c>
      <c r="I7" s="35" t="s">
        <v>166</v>
      </c>
      <c r="J7" s="35" t="s">
        <v>166</v>
      </c>
      <c r="K7" s="35" t="s">
        <v>167</v>
      </c>
      <c r="L7" s="35" t="s">
        <v>167</v>
      </c>
      <c r="M7" s="35" t="s">
        <v>168</v>
      </c>
      <c r="N7" s="35" t="s">
        <v>169</v>
      </c>
      <c r="O7" s="75" t="s">
        <v>170</v>
      </c>
    </row>
    <row r="8" spans="1:15" s="64" customFormat="1" x14ac:dyDescent="0.2">
      <c r="A8" s="47" t="s">
        <v>87</v>
      </c>
      <c r="B8" s="76" t="s">
        <v>171</v>
      </c>
      <c r="C8" s="76" t="s">
        <v>171</v>
      </c>
      <c r="D8" s="76" t="s">
        <v>171</v>
      </c>
      <c r="E8" s="76" t="s">
        <v>172</v>
      </c>
      <c r="F8" s="76" t="s">
        <v>173</v>
      </c>
      <c r="G8" s="76" t="s">
        <v>173</v>
      </c>
      <c r="H8" s="76" t="s">
        <v>173</v>
      </c>
      <c r="I8" s="76" t="s">
        <v>88</v>
      </c>
      <c r="J8" s="76" t="s">
        <v>88</v>
      </c>
      <c r="K8" s="76" t="s">
        <v>169</v>
      </c>
      <c r="L8" s="76" t="s">
        <v>169</v>
      </c>
      <c r="M8" s="76" t="s">
        <v>169</v>
      </c>
      <c r="N8" s="76" t="s">
        <v>174</v>
      </c>
      <c r="O8" s="77" t="s">
        <v>169</v>
      </c>
    </row>
    <row r="9" spans="1:15" x14ac:dyDescent="0.2">
      <c r="A9" s="45"/>
      <c r="B9" s="78"/>
      <c r="C9" s="78"/>
      <c r="D9" s="78"/>
      <c r="E9" s="78"/>
      <c r="F9" s="78"/>
      <c r="G9" s="78"/>
      <c r="H9" s="78"/>
      <c r="I9" s="78"/>
      <c r="J9" s="78"/>
      <c r="K9" s="78"/>
      <c r="L9" s="78"/>
      <c r="M9" s="78"/>
      <c r="N9" s="78"/>
      <c r="O9" s="79"/>
    </row>
    <row r="10" spans="1:15" x14ac:dyDescent="0.2">
      <c r="A10" s="80" t="s">
        <v>175</v>
      </c>
      <c r="B10" s="81"/>
      <c r="C10" s="81"/>
      <c r="D10" s="81"/>
      <c r="E10" s="81"/>
      <c r="F10" s="81"/>
      <c r="G10" s="81"/>
      <c r="H10" s="81"/>
      <c r="I10" s="81"/>
      <c r="J10" s="81"/>
      <c r="K10" s="81"/>
      <c r="L10" s="81"/>
      <c r="M10" s="81"/>
      <c r="N10" s="81"/>
      <c r="O10" s="82"/>
    </row>
    <row r="11" spans="1:15" x14ac:dyDescent="0.2">
      <c r="A11" s="49" t="s">
        <v>176</v>
      </c>
      <c r="B11" s="26">
        <v>219090724.609375</v>
      </c>
      <c r="C11" s="26">
        <v>46885434.5703125</v>
      </c>
      <c r="D11" s="26">
        <f>SUM(B11:C11)</f>
        <v>265976159.1796875</v>
      </c>
      <c r="E11" s="83">
        <v>43732</v>
      </c>
      <c r="F11" s="26">
        <v>201563466.640625</v>
      </c>
      <c r="G11" s="26">
        <v>43134599.8046875</v>
      </c>
      <c r="H11" s="26">
        <f>SUM(F11:G11)</f>
        <v>244698066.4453125</v>
      </c>
      <c r="I11" s="84">
        <v>0.03</v>
      </c>
      <c r="J11" s="84">
        <v>0.03</v>
      </c>
      <c r="K11" s="26">
        <f>F11*I11</f>
        <v>6046903.9992187498</v>
      </c>
      <c r="L11" s="26">
        <f>G11*J11</f>
        <v>1294037.994140625</v>
      </c>
      <c r="M11" s="26">
        <f>SUM(K11:L11)</f>
        <v>7340941.9933593748</v>
      </c>
      <c r="N11" s="85"/>
      <c r="O11" s="86">
        <f>M11</f>
        <v>7340941.9933593748</v>
      </c>
    </row>
    <row r="12" spans="1:15" x14ac:dyDescent="0.2">
      <c r="A12" s="49" t="s">
        <v>177</v>
      </c>
      <c r="B12" s="26">
        <v>81098778.80859381</v>
      </c>
      <c r="C12" s="26">
        <v>17720288.0859375</v>
      </c>
      <c r="D12" s="26">
        <f t="shared" ref="D12:D30" si="0">SUM(B12:C12)</f>
        <v>98819066.89453131</v>
      </c>
      <c r="E12" s="83">
        <v>43793</v>
      </c>
      <c r="F12" s="26">
        <v>66500998.62304692</v>
      </c>
      <c r="G12" s="26">
        <v>14530636.23046875</v>
      </c>
      <c r="H12" s="26">
        <f t="shared" ref="H12:H32" si="1">SUM(F12:G12)</f>
        <v>81031634.85351567</v>
      </c>
      <c r="I12" s="84">
        <v>0.03</v>
      </c>
      <c r="J12" s="84">
        <v>0.03</v>
      </c>
      <c r="K12" s="26">
        <f t="shared" ref="K12:L30" si="2">F12*I12</f>
        <v>1995029.9586914075</v>
      </c>
      <c r="L12" s="26">
        <f t="shared" si="2"/>
        <v>435919.0869140625</v>
      </c>
      <c r="M12" s="26">
        <f t="shared" ref="M12:M32" si="3">SUM(K12:L12)</f>
        <v>2430949.04560547</v>
      </c>
      <c r="N12" s="85"/>
      <c r="O12" s="86">
        <f t="shared" ref="O12:O27" si="4">M12</f>
        <v>2430949.04560547</v>
      </c>
    </row>
    <row r="13" spans="1:15" x14ac:dyDescent="0.2">
      <c r="A13" s="49" t="s">
        <v>89</v>
      </c>
      <c r="B13" s="26">
        <v>200516973.6328125</v>
      </c>
      <c r="C13" s="26">
        <v>41904996.09375</v>
      </c>
      <c r="D13" s="26">
        <f t="shared" si="0"/>
        <v>242421969.7265625</v>
      </c>
      <c r="E13" s="83">
        <v>43819</v>
      </c>
      <c r="F13" s="26">
        <v>200516973.6328125</v>
      </c>
      <c r="G13" s="26">
        <v>41904996.09375</v>
      </c>
      <c r="H13" s="26">
        <f t="shared" si="1"/>
        <v>242421969.7265625</v>
      </c>
      <c r="I13" s="84">
        <v>0.03</v>
      </c>
      <c r="J13" s="84">
        <v>0.03</v>
      </c>
      <c r="K13" s="26">
        <f t="shared" si="2"/>
        <v>6015509.208984375</v>
      </c>
      <c r="L13" s="26">
        <f t="shared" si="2"/>
        <v>1257149.8828125</v>
      </c>
      <c r="M13" s="26">
        <f t="shared" si="3"/>
        <v>7272659.091796875</v>
      </c>
      <c r="N13" s="85"/>
      <c r="O13" s="86">
        <f t="shared" si="4"/>
        <v>7272659.091796875</v>
      </c>
    </row>
    <row r="14" spans="1:15" x14ac:dyDescent="0.2">
      <c r="A14" s="48" t="s">
        <v>178</v>
      </c>
      <c r="B14" s="26">
        <v>227213816.40625</v>
      </c>
      <c r="C14" s="26">
        <v>55253715.8203125</v>
      </c>
      <c r="D14" s="26">
        <f t="shared" si="0"/>
        <v>282467532.2265625</v>
      </c>
      <c r="E14" s="83">
        <v>43818</v>
      </c>
      <c r="F14" s="26">
        <v>227213816.40625</v>
      </c>
      <c r="G14" s="26">
        <v>55253715.8203125</v>
      </c>
      <c r="H14" s="26">
        <f t="shared" si="1"/>
        <v>282467532.2265625</v>
      </c>
      <c r="I14" s="84">
        <v>0.03</v>
      </c>
      <c r="J14" s="84">
        <v>0.03</v>
      </c>
      <c r="K14" s="26">
        <f t="shared" si="2"/>
        <v>6816414.4921875</v>
      </c>
      <c r="L14" s="26">
        <f t="shared" si="2"/>
        <v>1657611.474609375</v>
      </c>
      <c r="M14" s="26">
        <f t="shared" si="3"/>
        <v>8474025.966796875</v>
      </c>
      <c r="N14" s="85"/>
      <c r="O14" s="86">
        <f t="shared" si="4"/>
        <v>8474025.966796875</v>
      </c>
    </row>
    <row r="15" spans="1:15" x14ac:dyDescent="0.2">
      <c r="A15" s="48" t="s">
        <v>90</v>
      </c>
      <c r="B15" s="26">
        <v>212342888.671875</v>
      </c>
      <c r="C15" s="26">
        <v>40084181.640625</v>
      </c>
      <c r="D15" s="26">
        <f t="shared" si="0"/>
        <v>252427070.3125</v>
      </c>
      <c r="E15" s="83">
        <v>43721</v>
      </c>
      <c r="F15" s="26">
        <v>212342888.671875</v>
      </c>
      <c r="G15" s="26">
        <v>40084181.640625</v>
      </c>
      <c r="H15" s="26">
        <f t="shared" si="1"/>
        <v>252427070.3125</v>
      </c>
      <c r="I15" s="84">
        <v>0.03</v>
      </c>
      <c r="J15" s="84">
        <v>0.03</v>
      </c>
      <c r="K15" s="26">
        <f t="shared" si="2"/>
        <v>6370286.66015625</v>
      </c>
      <c r="L15" s="26">
        <f t="shared" si="2"/>
        <v>1202525.44921875</v>
      </c>
      <c r="M15" s="26">
        <f t="shared" si="3"/>
        <v>7572812.109375</v>
      </c>
      <c r="N15" s="85"/>
      <c r="O15" s="86">
        <f t="shared" si="4"/>
        <v>7572812.109375</v>
      </c>
    </row>
    <row r="16" spans="1:15" x14ac:dyDescent="0.2">
      <c r="A16" s="48" t="s">
        <v>179</v>
      </c>
      <c r="B16" s="26">
        <v>335796253.90625</v>
      </c>
      <c r="C16" s="26">
        <v>79502773.4375</v>
      </c>
      <c r="D16" s="26">
        <f t="shared" si="0"/>
        <v>415299027.34375</v>
      </c>
      <c r="E16" s="44">
        <v>43857</v>
      </c>
      <c r="F16" s="26">
        <v>335796253.90625</v>
      </c>
      <c r="G16" s="26">
        <v>79502773.4375</v>
      </c>
      <c r="H16" s="26">
        <f t="shared" si="1"/>
        <v>415299027.34375</v>
      </c>
      <c r="I16" s="84">
        <v>0.03</v>
      </c>
      <c r="J16" s="84">
        <v>0.03</v>
      </c>
      <c r="K16" s="26">
        <f t="shared" si="2"/>
        <v>10073887.6171875</v>
      </c>
      <c r="L16" s="26">
        <f t="shared" si="2"/>
        <v>2385083.203125</v>
      </c>
      <c r="M16" s="26">
        <f t="shared" si="3"/>
        <v>12458970.8203125</v>
      </c>
      <c r="N16" s="85"/>
      <c r="O16" s="86">
        <f t="shared" si="4"/>
        <v>12458970.8203125</v>
      </c>
    </row>
    <row r="17" spans="1:15" x14ac:dyDescent="0.2">
      <c r="A17" s="48" t="s">
        <v>91</v>
      </c>
      <c r="B17" s="26">
        <v>144837728.515625</v>
      </c>
      <c r="C17" s="26">
        <v>52249392.578125</v>
      </c>
      <c r="D17" s="26">
        <f t="shared" si="0"/>
        <v>197087121.09375</v>
      </c>
      <c r="E17" s="44">
        <v>43886</v>
      </c>
      <c r="F17" s="26">
        <v>144837728.515625</v>
      </c>
      <c r="G17" s="26">
        <v>52249392.578125</v>
      </c>
      <c r="H17" s="26">
        <f t="shared" si="1"/>
        <v>197087121.09375</v>
      </c>
      <c r="I17" s="84">
        <v>0.03</v>
      </c>
      <c r="J17" s="84">
        <v>0.03</v>
      </c>
      <c r="K17" s="26">
        <f t="shared" si="2"/>
        <v>4345131.85546875</v>
      </c>
      <c r="L17" s="26">
        <f t="shared" si="2"/>
        <v>1567481.77734375</v>
      </c>
      <c r="M17" s="26">
        <f t="shared" si="3"/>
        <v>5912613.6328125</v>
      </c>
      <c r="N17" s="85"/>
      <c r="O17" s="86">
        <f t="shared" si="4"/>
        <v>5912613.6328125</v>
      </c>
    </row>
    <row r="18" spans="1:15" x14ac:dyDescent="0.2">
      <c r="A18" s="48" t="s">
        <v>92</v>
      </c>
      <c r="B18" s="26">
        <v>67664262.695312604</v>
      </c>
      <c r="C18" s="26">
        <v>18372152.832031302</v>
      </c>
      <c r="D18" s="26">
        <f t="shared" si="0"/>
        <v>86036415.527343899</v>
      </c>
      <c r="E18" s="83">
        <v>43786</v>
      </c>
      <c r="F18" s="26">
        <v>67664262.695312604</v>
      </c>
      <c r="G18" s="26">
        <v>18372152.832031302</v>
      </c>
      <c r="H18" s="26">
        <f t="shared" si="1"/>
        <v>86036415.527343899</v>
      </c>
      <c r="I18" s="84">
        <v>0.03</v>
      </c>
      <c r="J18" s="84">
        <v>0.03</v>
      </c>
      <c r="K18" s="26">
        <f t="shared" si="2"/>
        <v>2029927.880859378</v>
      </c>
      <c r="L18" s="26">
        <f t="shared" si="2"/>
        <v>551164.58496093901</v>
      </c>
      <c r="M18" s="26">
        <f t="shared" si="3"/>
        <v>2581092.4658203172</v>
      </c>
      <c r="N18" s="85"/>
      <c r="O18" s="86">
        <f t="shared" si="4"/>
        <v>2581092.4658203172</v>
      </c>
    </row>
    <row r="19" spans="1:15" x14ac:dyDescent="0.2">
      <c r="A19" s="48" t="s">
        <v>180</v>
      </c>
      <c r="B19" s="26">
        <v>186577595.703125</v>
      </c>
      <c r="C19" s="26">
        <v>41427039.0625</v>
      </c>
      <c r="D19" s="26">
        <f t="shared" si="0"/>
        <v>228004634.765625</v>
      </c>
      <c r="E19" s="83">
        <v>43755</v>
      </c>
      <c r="F19" s="26">
        <v>141798972.734375</v>
      </c>
      <c r="G19" s="26">
        <v>31484549.6875</v>
      </c>
      <c r="H19" s="26">
        <f t="shared" si="1"/>
        <v>173283522.421875</v>
      </c>
      <c r="I19" s="84">
        <v>0.03</v>
      </c>
      <c r="J19" s="84">
        <v>0.03</v>
      </c>
      <c r="K19" s="26">
        <f t="shared" si="2"/>
        <v>4253969.1820312496</v>
      </c>
      <c r="L19" s="26">
        <f t="shared" si="2"/>
        <v>944536.49062499998</v>
      </c>
      <c r="M19" s="26">
        <f t="shared" si="3"/>
        <v>5198505.6726562493</v>
      </c>
      <c r="N19" s="85"/>
      <c r="O19" s="86">
        <f t="shared" si="4"/>
        <v>5198505.6726562493</v>
      </c>
    </row>
    <row r="20" spans="1:15" x14ac:dyDescent="0.2">
      <c r="A20" s="48" t="s">
        <v>93</v>
      </c>
      <c r="B20" s="26">
        <v>258516175.78125</v>
      </c>
      <c r="C20" s="26">
        <v>82745505.859375</v>
      </c>
      <c r="D20" s="26">
        <f t="shared" si="0"/>
        <v>341261681.640625</v>
      </c>
      <c r="E20" s="83">
        <v>43717</v>
      </c>
      <c r="F20" s="26">
        <v>258516175.78125</v>
      </c>
      <c r="G20" s="26">
        <v>82745505.859375</v>
      </c>
      <c r="H20" s="26">
        <f t="shared" si="1"/>
        <v>341261681.640625</v>
      </c>
      <c r="I20" s="84">
        <v>0.03</v>
      </c>
      <c r="J20" s="84">
        <v>0.03</v>
      </c>
      <c r="K20" s="26">
        <f t="shared" si="2"/>
        <v>7755485.2734375</v>
      </c>
      <c r="L20" s="26">
        <f t="shared" si="2"/>
        <v>2482365.17578125</v>
      </c>
      <c r="M20" s="26">
        <f t="shared" si="3"/>
        <v>10237850.44921875</v>
      </c>
      <c r="N20" s="85"/>
      <c r="O20" s="86">
        <f t="shared" si="4"/>
        <v>10237850.44921875</v>
      </c>
    </row>
    <row r="21" spans="1:15" x14ac:dyDescent="0.2">
      <c r="A21" s="48" t="s">
        <v>94</v>
      </c>
      <c r="B21" s="26">
        <v>55236986.816406302</v>
      </c>
      <c r="C21" s="26">
        <v>18168266.601562601</v>
      </c>
      <c r="D21" s="26">
        <f t="shared" si="0"/>
        <v>73405253.417968899</v>
      </c>
      <c r="E21" s="83">
        <v>43717</v>
      </c>
      <c r="F21" s="26">
        <v>55236986.816406302</v>
      </c>
      <c r="G21" s="26">
        <v>18168266.601562601</v>
      </c>
      <c r="H21" s="26">
        <f t="shared" si="1"/>
        <v>73405253.417968899</v>
      </c>
      <c r="I21" s="84">
        <v>0.03</v>
      </c>
      <c r="J21" s="84">
        <v>0.03</v>
      </c>
      <c r="K21" s="26">
        <f t="shared" si="2"/>
        <v>1657109.6044921889</v>
      </c>
      <c r="L21" s="26">
        <f t="shared" si="2"/>
        <v>545047.99804687803</v>
      </c>
      <c r="M21" s="26">
        <f t="shared" si="3"/>
        <v>2202157.6025390672</v>
      </c>
      <c r="N21" s="85"/>
      <c r="O21" s="86">
        <f t="shared" si="4"/>
        <v>2202157.6025390672</v>
      </c>
    </row>
    <row r="22" spans="1:15" x14ac:dyDescent="0.2">
      <c r="A22" s="48" t="s">
        <v>95</v>
      </c>
      <c r="B22" s="26">
        <v>279692167.96875</v>
      </c>
      <c r="C22" s="26">
        <v>98085628.90625</v>
      </c>
      <c r="D22" s="26">
        <f t="shared" si="0"/>
        <v>377777796.875</v>
      </c>
      <c r="E22" s="44">
        <v>44081</v>
      </c>
      <c r="F22" s="26">
        <v>279692167.96875</v>
      </c>
      <c r="G22" s="26">
        <v>98085628.90625</v>
      </c>
      <c r="H22" s="26">
        <f t="shared" si="1"/>
        <v>377777796.875</v>
      </c>
      <c r="I22" s="84">
        <v>0.03</v>
      </c>
      <c r="J22" s="84">
        <v>0.03</v>
      </c>
      <c r="K22" s="26">
        <f t="shared" si="2"/>
        <v>8390765.0390625</v>
      </c>
      <c r="L22" s="26">
        <f t="shared" si="2"/>
        <v>2942568.8671875</v>
      </c>
      <c r="M22" s="26">
        <f t="shared" si="3"/>
        <v>11333333.90625</v>
      </c>
      <c r="N22" s="85"/>
      <c r="O22" s="86">
        <f t="shared" si="4"/>
        <v>11333333.90625</v>
      </c>
    </row>
    <row r="23" spans="1:15" x14ac:dyDescent="0.2">
      <c r="A23" s="48" t="s">
        <v>181</v>
      </c>
      <c r="B23" s="26">
        <v>107846949.21875</v>
      </c>
      <c r="C23" s="26">
        <v>41522087.890625</v>
      </c>
      <c r="D23" s="26">
        <f t="shared" si="0"/>
        <v>149369037.109375</v>
      </c>
      <c r="E23" s="44">
        <v>44279</v>
      </c>
      <c r="F23" s="26">
        <v>107846949.21875</v>
      </c>
      <c r="G23" s="26">
        <v>41522087.890625</v>
      </c>
      <c r="H23" s="26">
        <f t="shared" si="1"/>
        <v>149369037.109375</v>
      </c>
      <c r="I23" s="84">
        <v>0.03</v>
      </c>
      <c r="J23" s="84">
        <v>0.03</v>
      </c>
      <c r="K23" s="26">
        <f t="shared" si="2"/>
        <v>3235408.4765625</v>
      </c>
      <c r="L23" s="26">
        <f t="shared" si="2"/>
        <v>1245662.63671875</v>
      </c>
      <c r="M23" s="26">
        <f t="shared" si="3"/>
        <v>4481071.11328125</v>
      </c>
      <c r="N23" s="85"/>
      <c r="O23" s="86">
        <f t="shared" si="4"/>
        <v>4481071.11328125</v>
      </c>
    </row>
    <row r="24" spans="1:15" x14ac:dyDescent="0.2">
      <c r="A24" s="48" t="s">
        <v>182</v>
      </c>
      <c r="B24" s="26">
        <v>560608425.78125</v>
      </c>
      <c r="C24" s="26">
        <v>252222523.4375</v>
      </c>
      <c r="D24" s="26">
        <f t="shared" si="0"/>
        <v>812830949.21875</v>
      </c>
      <c r="E24" s="44" t="s">
        <v>183</v>
      </c>
      <c r="F24" s="26">
        <v>560608425.78125</v>
      </c>
      <c r="G24" s="26">
        <v>252222523.4375</v>
      </c>
      <c r="H24" s="26">
        <f t="shared" si="1"/>
        <v>812830949.21875</v>
      </c>
      <c r="I24" s="84">
        <v>0.03</v>
      </c>
      <c r="J24" s="84">
        <v>0.03</v>
      </c>
      <c r="K24" s="26">
        <f t="shared" si="2"/>
        <v>16818252.7734375</v>
      </c>
      <c r="L24" s="26">
        <f t="shared" si="2"/>
        <v>7566675.703125</v>
      </c>
      <c r="M24" s="26">
        <f t="shared" si="3"/>
        <v>24384928.4765625</v>
      </c>
      <c r="N24" s="85"/>
      <c r="O24" s="86">
        <f t="shared" si="4"/>
        <v>24384928.4765625</v>
      </c>
    </row>
    <row r="25" spans="1:15" x14ac:dyDescent="0.2">
      <c r="A25" s="87" t="s">
        <v>96</v>
      </c>
      <c r="B25" s="26">
        <v>458331843.75</v>
      </c>
      <c r="C25" s="26">
        <v>121657732.421875</v>
      </c>
      <c r="D25" s="26">
        <f t="shared" si="0"/>
        <v>579989576.171875</v>
      </c>
      <c r="E25" s="44">
        <v>44169</v>
      </c>
      <c r="F25" s="26">
        <v>458331843.75</v>
      </c>
      <c r="G25" s="26">
        <v>121657732.421875</v>
      </c>
      <c r="H25" s="26">
        <f t="shared" si="1"/>
        <v>579989576.171875</v>
      </c>
      <c r="I25" s="84">
        <v>0.03</v>
      </c>
      <c r="J25" s="84">
        <v>0.03</v>
      </c>
      <c r="K25" s="26">
        <f t="shared" si="2"/>
        <v>13749955.3125</v>
      </c>
      <c r="L25" s="26">
        <f t="shared" si="2"/>
        <v>3649731.97265625</v>
      </c>
      <c r="M25" s="26">
        <f t="shared" si="3"/>
        <v>17399687.28515625</v>
      </c>
      <c r="N25" s="85"/>
      <c r="O25" s="86">
        <f t="shared" si="4"/>
        <v>17399687.28515625</v>
      </c>
    </row>
    <row r="26" spans="1:15" x14ac:dyDescent="0.2">
      <c r="A26" s="48" t="s">
        <v>184</v>
      </c>
      <c r="B26" s="26">
        <v>493421996.09375</v>
      </c>
      <c r="C26" s="26">
        <v>177380726.5625</v>
      </c>
      <c r="D26" s="26">
        <f t="shared" si="0"/>
        <v>670802722.65625</v>
      </c>
      <c r="E26" s="44" t="s">
        <v>183</v>
      </c>
      <c r="F26" s="26">
        <v>493421996.09375</v>
      </c>
      <c r="G26" s="26">
        <v>177380726.5625</v>
      </c>
      <c r="H26" s="26">
        <f t="shared" si="1"/>
        <v>670802722.65625</v>
      </c>
      <c r="I26" s="84">
        <v>0.03</v>
      </c>
      <c r="J26" s="84">
        <v>0.03</v>
      </c>
      <c r="K26" s="26">
        <f t="shared" si="2"/>
        <v>14802659.8828125</v>
      </c>
      <c r="L26" s="26">
        <f t="shared" si="2"/>
        <v>5321421.796875</v>
      </c>
      <c r="M26" s="26">
        <f t="shared" si="3"/>
        <v>20124081.6796875</v>
      </c>
      <c r="N26" s="85"/>
      <c r="O26" s="86">
        <f t="shared" si="4"/>
        <v>20124081.6796875</v>
      </c>
    </row>
    <row r="27" spans="1:15" x14ac:dyDescent="0.2">
      <c r="A27" s="48" t="s">
        <v>185</v>
      </c>
      <c r="B27" s="26">
        <v>993962734.375</v>
      </c>
      <c r="C27" s="26">
        <v>334827812.5</v>
      </c>
      <c r="D27" s="26">
        <f t="shared" si="0"/>
        <v>1328790546.875</v>
      </c>
      <c r="E27" s="44" t="s">
        <v>183</v>
      </c>
      <c r="F27" s="26">
        <v>993962734.375</v>
      </c>
      <c r="G27" s="26">
        <v>334827812.5</v>
      </c>
      <c r="H27" s="26">
        <f t="shared" si="1"/>
        <v>1328790546.875</v>
      </c>
      <c r="I27" s="84">
        <v>0.03</v>
      </c>
      <c r="J27" s="84">
        <v>0.03</v>
      </c>
      <c r="K27" s="26">
        <f t="shared" si="2"/>
        <v>29818882.03125</v>
      </c>
      <c r="L27" s="26">
        <f t="shared" si="2"/>
        <v>10044834.375</v>
      </c>
      <c r="M27" s="26">
        <f t="shared" si="3"/>
        <v>39863716.40625</v>
      </c>
      <c r="N27" s="85"/>
      <c r="O27" s="86">
        <f t="shared" si="4"/>
        <v>39863716.40625</v>
      </c>
    </row>
    <row r="28" spans="1:15" x14ac:dyDescent="0.2">
      <c r="A28" s="48" t="s">
        <v>186</v>
      </c>
      <c r="B28" s="26">
        <v>116795510.58959991</v>
      </c>
      <c r="C28" s="26">
        <v>47575389.434814498</v>
      </c>
      <c r="D28" s="26">
        <f t="shared" si="0"/>
        <v>164370900.02441442</v>
      </c>
      <c r="E28" s="44">
        <v>45251</v>
      </c>
      <c r="F28" s="26">
        <v>116795510.58959991</v>
      </c>
      <c r="G28" s="26">
        <v>47575389.434814498</v>
      </c>
      <c r="H28" s="26">
        <f t="shared" si="1"/>
        <v>164370900.02441442</v>
      </c>
      <c r="I28" s="84">
        <v>0.03</v>
      </c>
      <c r="J28" s="84">
        <v>0.03</v>
      </c>
      <c r="K28" s="26">
        <f t="shared" si="2"/>
        <v>3503865.3176879971</v>
      </c>
      <c r="L28" s="26">
        <f t="shared" si="2"/>
        <v>1427261.683044435</v>
      </c>
      <c r="M28" s="26">
        <f t="shared" si="3"/>
        <v>4931127.0007324321</v>
      </c>
      <c r="N28" s="5">
        <v>1.1000000000000001</v>
      </c>
      <c r="O28" s="86">
        <f>M28*N28</f>
        <v>5424239.7008056762</v>
      </c>
    </row>
    <row r="29" spans="1:15" x14ac:dyDescent="0.2">
      <c r="A29" s="48" t="s">
        <v>187</v>
      </c>
      <c r="B29" s="26">
        <v>135879804.6875</v>
      </c>
      <c r="C29" s="26">
        <v>50117613.28125</v>
      </c>
      <c r="D29" s="26">
        <f>SUM(B29:C29)</f>
        <v>185997417.96875</v>
      </c>
      <c r="E29" s="44">
        <v>45558</v>
      </c>
      <c r="F29" s="26">
        <v>135879804.6875</v>
      </c>
      <c r="G29" s="26">
        <v>50117613.28125</v>
      </c>
      <c r="H29" s="26">
        <f>SUM(F29:G29)</f>
        <v>185997417.96875</v>
      </c>
      <c r="I29" s="84">
        <v>0.03</v>
      </c>
      <c r="J29" s="84">
        <v>0.03</v>
      </c>
      <c r="K29" s="26">
        <f>F29*I29</f>
        <v>4076394.140625</v>
      </c>
      <c r="L29" s="26">
        <f>G29*J29</f>
        <v>1503528.3984375</v>
      </c>
      <c r="M29" s="26">
        <f>SUM(K29:L29)</f>
        <v>5579922.5390625</v>
      </c>
      <c r="N29" s="5">
        <v>1.1000000000000001</v>
      </c>
      <c r="O29" s="86">
        <f>M29*N29</f>
        <v>6137914.7929687509</v>
      </c>
    </row>
    <row r="30" spans="1:15" x14ac:dyDescent="0.2">
      <c r="A30" s="48" t="s">
        <v>188</v>
      </c>
      <c r="B30" s="26">
        <v>146530278.3203125</v>
      </c>
      <c r="C30" s="26">
        <v>41368554.077148438</v>
      </c>
      <c r="D30" s="26">
        <f t="shared" si="0"/>
        <v>187898832.39746094</v>
      </c>
      <c r="E30" s="88">
        <v>45657</v>
      </c>
      <c r="F30" s="26">
        <v>146530278.3203125</v>
      </c>
      <c r="G30" s="26">
        <v>41368554.077148438</v>
      </c>
      <c r="H30" s="26">
        <f t="shared" si="1"/>
        <v>187898832.39746094</v>
      </c>
      <c r="I30" s="84">
        <v>0.03</v>
      </c>
      <c r="J30" s="84">
        <v>0.03</v>
      </c>
      <c r="K30" s="26">
        <f t="shared" si="2"/>
        <v>4395908.349609375</v>
      </c>
      <c r="L30" s="26">
        <f t="shared" si="2"/>
        <v>1241056.6223144531</v>
      </c>
      <c r="M30" s="26">
        <f t="shared" si="3"/>
        <v>5636964.9719238281</v>
      </c>
      <c r="N30" s="5">
        <v>1.1000000000000001</v>
      </c>
      <c r="O30" s="86">
        <f t="shared" ref="O30:O32" si="5">M30*N30</f>
        <v>6200661.4691162119</v>
      </c>
    </row>
    <row r="31" spans="1:15" x14ac:dyDescent="0.2">
      <c r="A31" s="48" t="s">
        <v>189</v>
      </c>
      <c r="B31" s="26">
        <v>322366612.3046875</v>
      </c>
      <c r="C31" s="26">
        <v>91010818.969726563</v>
      </c>
      <c r="D31" s="26">
        <f t="shared" ref="D31:D32" si="6">SUM(B31:C31)</f>
        <v>413377431.27441406</v>
      </c>
      <c r="E31" s="88">
        <v>45716</v>
      </c>
      <c r="F31" s="26">
        <v>322366612.3046875</v>
      </c>
      <c r="G31" s="26">
        <v>91010818.969726563</v>
      </c>
      <c r="H31" s="26">
        <f t="shared" si="1"/>
        <v>413377431.27441406</v>
      </c>
      <c r="I31" s="84">
        <v>0.03</v>
      </c>
      <c r="J31" s="84">
        <v>0.03</v>
      </c>
      <c r="K31" s="26">
        <f t="shared" ref="K31:L32" si="7">F31*I31</f>
        <v>9670998.369140625</v>
      </c>
      <c r="L31" s="26">
        <f t="shared" si="7"/>
        <v>2730324.5690917969</v>
      </c>
      <c r="M31" s="26">
        <f t="shared" si="3"/>
        <v>12401322.938232422</v>
      </c>
      <c r="N31" s="5">
        <v>1.1000000000000001</v>
      </c>
      <c r="O31" s="86">
        <f t="shared" si="5"/>
        <v>13641455.232055666</v>
      </c>
    </row>
    <row r="32" spans="1:15" x14ac:dyDescent="0.2">
      <c r="A32" s="48" t="s">
        <v>190</v>
      </c>
      <c r="B32" s="26">
        <v>505628578.125</v>
      </c>
      <c r="C32" s="26">
        <v>266603144.53125</v>
      </c>
      <c r="D32" s="26">
        <f t="shared" si="6"/>
        <v>772231722.65625</v>
      </c>
      <c r="E32" s="88">
        <v>45930</v>
      </c>
      <c r="F32" s="26">
        <v>505628578.125</v>
      </c>
      <c r="G32" s="26">
        <v>266603144.53125</v>
      </c>
      <c r="H32" s="26">
        <f t="shared" si="1"/>
        <v>772231722.65625</v>
      </c>
      <c r="I32" s="84">
        <v>0.03</v>
      </c>
      <c r="J32" s="84">
        <v>0.03</v>
      </c>
      <c r="K32" s="26">
        <f t="shared" si="7"/>
        <v>15168857.34375</v>
      </c>
      <c r="L32" s="26">
        <f t="shared" si="7"/>
        <v>7998094.3359375</v>
      </c>
      <c r="M32" s="26">
        <f t="shared" si="3"/>
        <v>23166951.6796875</v>
      </c>
      <c r="N32" s="5">
        <v>1.1000000000000001</v>
      </c>
      <c r="O32" s="86">
        <f t="shared" si="5"/>
        <v>25483646.847656254</v>
      </c>
    </row>
    <row r="33" spans="1:19" x14ac:dyDescent="0.2">
      <c r="A33" s="50" t="s">
        <v>97</v>
      </c>
      <c r="B33" s="12">
        <f>SUM(B11:B32)</f>
        <v>6109957086.7614746</v>
      </c>
      <c r="C33" s="12">
        <f>SUM(C11:C32)</f>
        <v>2016685778.5949709</v>
      </c>
      <c r="D33" s="12">
        <f>SUM(D11:D32)</f>
        <v>8126642865.3564453</v>
      </c>
      <c r="E33" s="9"/>
      <c r="F33" s="12">
        <f>SUM(F11:F32)</f>
        <v>6033053425.6384277</v>
      </c>
      <c r="G33" s="12">
        <f>SUM(G11:G32)</f>
        <v>1999802802.5988772</v>
      </c>
      <c r="H33" s="12">
        <f>SUM(H11:H32)</f>
        <v>8032856228.2373047</v>
      </c>
      <c r="I33" s="9"/>
      <c r="J33" s="9"/>
      <c r="K33" s="12">
        <f>SUM(K11:K32)</f>
        <v>180991602.76915282</v>
      </c>
      <c r="L33" s="12">
        <f>SUM(L11:L32)</f>
        <v>59994084.077966318</v>
      </c>
      <c r="M33" s="12">
        <f>SUM(M11:M32)</f>
        <v>240985686.84711915</v>
      </c>
      <c r="N33" s="9"/>
      <c r="O33" s="12">
        <f>SUM(O11:O32)</f>
        <v>246157315.76008302</v>
      </c>
    </row>
    <row r="34" spans="1:19" x14ac:dyDescent="0.2">
      <c r="A34" s="49"/>
      <c r="B34" s="89"/>
      <c r="C34" s="89"/>
      <c r="D34" s="89">
        <v>0</v>
      </c>
      <c r="E34" s="74"/>
      <c r="F34" s="89"/>
      <c r="G34" s="89"/>
      <c r="H34" s="89"/>
      <c r="I34" s="74"/>
      <c r="J34" s="74"/>
      <c r="K34" s="74"/>
      <c r="L34" s="74"/>
      <c r="M34" s="74"/>
      <c r="N34" s="74"/>
      <c r="O34" s="90"/>
      <c r="P34" s="43"/>
    </row>
    <row r="35" spans="1:19" s="13" customFormat="1" x14ac:dyDescent="0.2">
      <c r="A35" s="96" t="s">
        <v>191</v>
      </c>
      <c r="B35" s="97"/>
      <c r="C35" s="97"/>
      <c r="D35" s="97"/>
      <c r="E35" s="97"/>
      <c r="F35" s="97"/>
      <c r="G35" s="97"/>
      <c r="H35" s="97"/>
      <c r="I35" s="97"/>
      <c r="J35" s="97"/>
      <c r="K35" s="97"/>
      <c r="L35" s="97"/>
      <c r="M35" s="97"/>
      <c r="N35" s="97"/>
      <c r="O35" s="98">
        <f>+O33</f>
        <v>246157315.76008302</v>
      </c>
      <c r="P35" s="36"/>
    </row>
    <row r="36" spans="1:19" x14ac:dyDescent="0.2">
      <c r="A36" s="5"/>
      <c r="B36" s="5"/>
      <c r="C36" s="5"/>
      <c r="D36" s="5"/>
      <c r="E36" s="5"/>
      <c r="F36" s="5"/>
      <c r="G36" s="5"/>
      <c r="H36" s="5"/>
      <c r="I36" s="5"/>
      <c r="J36" s="5"/>
      <c r="K36" s="5"/>
      <c r="L36" s="5"/>
      <c r="M36" s="5"/>
      <c r="N36" s="5"/>
      <c r="O36" s="9"/>
    </row>
    <row r="37" spans="1:19" x14ac:dyDescent="0.2">
      <c r="M37" s="43"/>
      <c r="N37" s="43"/>
      <c r="O37" s="54"/>
    </row>
    <row r="38" spans="1:19" s="74" customFormat="1" x14ac:dyDescent="0.2">
      <c r="A38" s="217" t="s">
        <v>218</v>
      </c>
      <c r="B38" s="218"/>
      <c r="C38" s="218"/>
      <c r="D38" s="218"/>
      <c r="E38" s="218"/>
      <c r="F38" s="218"/>
      <c r="G38" s="218"/>
      <c r="H38" s="218"/>
      <c r="I38" s="219"/>
    </row>
    <row r="39" spans="1:19" s="74" customFormat="1" x14ac:dyDescent="0.2">
      <c r="A39" s="71"/>
      <c r="B39" s="46">
        <v>2026</v>
      </c>
      <c r="C39" s="72"/>
      <c r="D39" s="46">
        <v>2026</v>
      </c>
      <c r="E39" s="46">
        <v>2026</v>
      </c>
      <c r="F39" s="46">
        <v>2026</v>
      </c>
      <c r="G39" s="72" t="s">
        <v>163</v>
      </c>
      <c r="H39" s="72"/>
      <c r="I39" s="73" t="s">
        <v>163</v>
      </c>
      <c r="K39" s="100"/>
      <c r="L39" s="101"/>
      <c r="M39" s="46" t="s">
        <v>195</v>
      </c>
      <c r="N39" s="118"/>
    </row>
    <row r="40" spans="1:19" x14ac:dyDescent="0.2">
      <c r="A40" s="48"/>
      <c r="B40" s="35" t="s">
        <v>164</v>
      </c>
      <c r="C40" s="35"/>
      <c r="D40" s="35" t="s">
        <v>165</v>
      </c>
      <c r="E40" s="35" t="s">
        <v>166</v>
      </c>
      <c r="F40" s="35" t="s">
        <v>167</v>
      </c>
      <c r="G40" s="35" t="s">
        <v>168</v>
      </c>
      <c r="H40" s="35" t="s">
        <v>169</v>
      </c>
      <c r="I40" s="75" t="s">
        <v>170</v>
      </c>
      <c r="K40" s="48"/>
      <c r="M40" s="35" t="s">
        <v>196</v>
      </c>
      <c r="N40" s="75" t="s">
        <v>162</v>
      </c>
    </row>
    <row r="41" spans="1:19" s="64" customFormat="1" x14ac:dyDescent="0.2">
      <c r="A41" s="47" t="s">
        <v>87</v>
      </c>
      <c r="B41" s="76" t="s">
        <v>171</v>
      </c>
      <c r="C41" s="76" t="s">
        <v>172</v>
      </c>
      <c r="D41" s="76" t="s">
        <v>173</v>
      </c>
      <c r="E41" s="76" t="s">
        <v>88</v>
      </c>
      <c r="F41" s="76" t="s">
        <v>169</v>
      </c>
      <c r="G41" s="76" t="s">
        <v>169</v>
      </c>
      <c r="H41" s="76" t="s">
        <v>174</v>
      </c>
      <c r="I41" s="77" t="s">
        <v>169</v>
      </c>
      <c r="K41" s="117" t="s">
        <v>87</v>
      </c>
      <c r="L41" s="76"/>
      <c r="M41" s="76" t="s">
        <v>197</v>
      </c>
      <c r="N41" s="77" t="s">
        <v>198</v>
      </c>
    </row>
    <row r="42" spans="1:19" x14ac:dyDescent="0.2">
      <c r="A42" s="45"/>
      <c r="B42" s="78"/>
      <c r="C42" s="78"/>
      <c r="D42" s="78"/>
      <c r="E42" s="78"/>
      <c r="F42" s="78"/>
      <c r="G42" s="78"/>
      <c r="H42" s="78"/>
      <c r="I42" s="79"/>
      <c r="K42" s="45"/>
      <c r="L42" s="78"/>
      <c r="M42" s="78"/>
      <c r="N42" s="119"/>
      <c r="R42" s="52" t="s">
        <v>209</v>
      </c>
    </row>
    <row r="43" spans="1:19" x14ac:dyDescent="0.2">
      <c r="A43" s="80" t="s">
        <v>175</v>
      </c>
      <c r="B43" s="81"/>
      <c r="C43" s="81"/>
      <c r="D43" s="81"/>
      <c r="E43" s="81"/>
      <c r="F43" s="81"/>
      <c r="G43" s="81"/>
      <c r="H43" s="81"/>
      <c r="I43" s="82"/>
      <c r="K43" s="80" t="s">
        <v>175</v>
      </c>
      <c r="N43" s="102"/>
      <c r="R43" s="5" t="s">
        <v>210</v>
      </c>
      <c r="S43" s="5" t="s">
        <v>211</v>
      </c>
    </row>
    <row r="44" spans="1:19" x14ac:dyDescent="0.2">
      <c r="A44" s="49" t="s">
        <v>176</v>
      </c>
      <c r="B44" s="26">
        <v>211049548.828125</v>
      </c>
      <c r="C44" s="83">
        <v>43732</v>
      </c>
      <c r="D44" s="26">
        <v>194165584.921875</v>
      </c>
      <c r="E44" s="84">
        <v>0.03</v>
      </c>
      <c r="F44" s="26">
        <f t="shared" ref="F44:F65" si="8">D44*E44</f>
        <v>5824967.5476562502</v>
      </c>
      <c r="G44" s="26">
        <f t="shared" ref="G44:G65" si="9">SUM(F44:F44)</f>
        <v>5824967.5476562502</v>
      </c>
      <c r="H44" s="85"/>
      <c r="I44" s="86">
        <f>G44</f>
        <v>5824967.5476562502</v>
      </c>
      <c r="K44" s="48"/>
      <c r="L44" s="43" t="str">
        <f t="shared" ref="L44:L65" si="10">A44</f>
        <v>Glenrock KWh [a]</v>
      </c>
      <c r="M44" s="103">
        <f t="shared" ref="M44:M65" si="11">VLOOKUP(A44,$A$11:$O$32,15,FALSE)*$D$78</f>
        <v>585717.42437136674</v>
      </c>
      <c r="N44" s="104">
        <f t="shared" ref="N44:N51" si="12">VLOOKUP(A44,$A$44:$I$65,9,FALSE)*$D$79</f>
        <v>460001.47436451563</v>
      </c>
      <c r="O44" s="54"/>
      <c r="R44" s="54">
        <f>N44*('Production Factor Adjustment'!$C$10-1)</f>
        <v>20272.264975244227</v>
      </c>
      <c r="S44" s="54">
        <f>R44/$D$79</f>
        <v>256706.31982521122</v>
      </c>
    </row>
    <row r="45" spans="1:19" x14ac:dyDescent="0.2">
      <c r="A45" s="49" t="s">
        <v>177</v>
      </c>
      <c r="B45" s="26">
        <v>79827497.314453304</v>
      </c>
      <c r="C45" s="83">
        <v>43793</v>
      </c>
      <c r="D45" s="26">
        <v>65458547.797851704</v>
      </c>
      <c r="E45" s="84">
        <v>0.03</v>
      </c>
      <c r="F45" s="26">
        <f t="shared" si="8"/>
        <v>1963756.433935551</v>
      </c>
      <c r="G45" s="26">
        <f t="shared" si="9"/>
        <v>1963756.433935551</v>
      </c>
      <c r="H45" s="85"/>
      <c r="I45" s="86">
        <f t="shared" ref="I45:I60" si="13">G45</f>
        <v>1963756.433935551</v>
      </c>
      <c r="K45" s="48"/>
      <c r="L45" s="43" t="str">
        <f t="shared" si="10"/>
        <v>Glenrock III KWh [a]</v>
      </c>
      <c r="M45" s="103">
        <f t="shared" si="11"/>
        <v>193960.0142676626</v>
      </c>
      <c r="N45" s="104">
        <f t="shared" si="12"/>
        <v>155079.12233204176</v>
      </c>
      <c r="O45" s="54"/>
      <c r="R45" s="54">
        <f>N45*('Production Factor Adjustment'!$C$10-1)</f>
        <v>6834.3369211730887</v>
      </c>
      <c r="S45" s="54">
        <f t="shared" ref="S45:S65" si="14">R45/$D$79</f>
        <v>86542.746043539824</v>
      </c>
    </row>
    <row r="46" spans="1:19" x14ac:dyDescent="0.2">
      <c r="A46" s="49" t="s">
        <v>89</v>
      </c>
      <c r="B46" s="26">
        <v>257110884.765625</v>
      </c>
      <c r="C46" s="83">
        <v>43819</v>
      </c>
      <c r="D46" s="26">
        <v>257110884.765625</v>
      </c>
      <c r="E46" s="84">
        <v>0.03</v>
      </c>
      <c r="F46" s="26">
        <f t="shared" si="8"/>
        <v>7713326.54296875</v>
      </c>
      <c r="G46" s="26">
        <f t="shared" si="9"/>
        <v>7713326.54296875</v>
      </c>
      <c r="H46" s="85"/>
      <c r="I46" s="86">
        <f t="shared" si="13"/>
        <v>7713326.54296875</v>
      </c>
      <c r="K46" s="48"/>
      <c r="L46" s="43" t="str">
        <f t="shared" si="10"/>
        <v>Goodnoe KWh</v>
      </c>
      <c r="M46" s="103">
        <f t="shared" si="11"/>
        <v>580269.28361940733</v>
      </c>
      <c r="N46" s="104">
        <f t="shared" si="12"/>
        <v>609126.41194854677</v>
      </c>
      <c r="O46" s="54"/>
      <c r="R46" s="54">
        <f>N46*('Production Factor Adjustment'!$C$10-1)</f>
        <v>26844.20097457249</v>
      </c>
      <c r="S46" s="54">
        <f t="shared" si="14"/>
        <v>339926.30074863322</v>
      </c>
    </row>
    <row r="47" spans="1:19" x14ac:dyDescent="0.2">
      <c r="A47" s="48" t="s">
        <v>178</v>
      </c>
      <c r="B47" s="26">
        <v>222255215.8203125</v>
      </c>
      <c r="C47" s="83">
        <v>43818</v>
      </c>
      <c r="D47" s="26">
        <v>222255215.8203125</v>
      </c>
      <c r="E47" s="84">
        <v>0.03</v>
      </c>
      <c r="F47" s="26">
        <f t="shared" si="8"/>
        <v>6667656.474609375</v>
      </c>
      <c r="G47" s="26">
        <f t="shared" si="9"/>
        <v>6667656.474609375</v>
      </c>
      <c r="H47" s="85"/>
      <c r="I47" s="86">
        <f t="shared" si="13"/>
        <v>6667656.474609375</v>
      </c>
      <c r="K47" s="48"/>
      <c r="L47" s="43" t="str">
        <f t="shared" si="10"/>
        <v>High Plains Wind</v>
      </c>
      <c r="M47" s="103">
        <f t="shared" si="11"/>
        <v>676123.6729316524</v>
      </c>
      <c r="N47" s="104">
        <f t="shared" si="12"/>
        <v>526549.16680360225</v>
      </c>
      <c r="O47" s="54"/>
      <c r="R47" s="54">
        <f>N47*('Production Factor Adjustment'!$C$10-1)</f>
        <v>23205.021781034779</v>
      </c>
      <c r="S47" s="54">
        <f t="shared" si="14"/>
        <v>293843.62083603546</v>
      </c>
    </row>
    <row r="48" spans="1:19" x14ac:dyDescent="0.2">
      <c r="A48" s="48" t="s">
        <v>90</v>
      </c>
      <c r="B48" s="26">
        <v>253308063.4765625</v>
      </c>
      <c r="C48" s="83">
        <v>43721</v>
      </c>
      <c r="D48" s="26">
        <v>253308063.4765625</v>
      </c>
      <c r="E48" s="84">
        <v>0.03</v>
      </c>
      <c r="F48" s="26">
        <f t="shared" si="8"/>
        <v>7599241.904296875</v>
      </c>
      <c r="G48" s="26">
        <f t="shared" si="9"/>
        <v>7599241.904296875</v>
      </c>
      <c r="H48" s="85"/>
      <c r="I48" s="86">
        <f t="shared" si="13"/>
        <v>7599241.904296875</v>
      </c>
      <c r="K48" s="48"/>
      <c r="L48" s="43" t="str">
        <f t="shared" si="10"/>
        <v>Leaning Juniper 1 KWh</v>
      </c>
      <c r="M48" s="103">
        <f t="shared" si="11"/>
        <v>604217.82490091946</v>
      </c>
      <c r="N48" s="104">
        <f t="shared" si="12"/>
        <v>600117.07386004168</v>
      </c>
      <c r="O48" s="54"/>
      <c r="R48" s="54">
        <f>N48*('Production Factor Adjustment'!$C$10-1)</f>
        <v>26447.159445012068</v>
      </c>
      <c r="S48" s="54">
        <f t="shared" si="14"/>
        <v>334898.59072236368</v>
      </c>
    </row>
    <row r="49" spans="1:19" x14ac:dyDescent="0.2">
      <c r="A49" s="48" t="s">
        <v>179</v>
      </c>
      <c r="B49" s="26">
        <v>383111796.875</v>
      </c>
      <c r="C49" s="44">
        <v>43857</v>
      </c>
      <c r="D49" s="26">
        <v>383111796.875</v>
      </c>
      <c r="E49" s="84">
        <v>0.03</v>
      </c>
      <c r="F49" s="26">
        <f t="shared" si="8"/>
        <v>11493353.90625</v>
      </c>
      <c r="G49" s="26">
        <f t="shared" si="9"/>
        <v>11493353.90625</v>
      </c>
      <c r="H49" s="85"/>
      <c r="I49" s="86">
        <f t="shared" si="13"/>
        <v>11493353.90625</v>
      </c>
      <c r="K49" s="48"/>
      <c r="L49" s="43" t="str">
        <f t="shared" si="10"/>
        <v>Marengo KWh</v>
      </c>
      <c r="M49" s="103">
        <f t="shared" si="11"/>
        <v>994073.55429217685</v>
      </c>
      <c r="N49" s="104">
        <f t="shared" si="12"/>
        <v>907637.6304268752</v>
      </c>
      <c r="O49" s="54"/>
      <c r="R49" s="54">
        <f>N49*('Production Factor Adjustment'!$C$10-1)</f>
        <v>39999.59037291244</v>
      </c>
      <c r="S49" s="54">
        <f t="shared" si="14"/>
        <v>506512.10664843814</v>
      </c>
    </row>
    <row r="50" spans="1:19" x14ac:dyDescent="0.2">
      <c r="A50" s="48" t="s">
        <v>91</v>
      </c>
      <c r="B50" s="26">
        <v>190698335.9375</v>
      </c>
      <c r="C50" s="44">
        <v>43886</v>
      </c>
      <c r="D50" s="26">
        <v>190698335.9375</v>
      </c>
      <c r="E50" s="84">
        <v>0.03</v>
      </c>
      <c r="F50" s="26">
        <f t="shared" si="8"/>
        <v>5720950.078125</v>
      </c>
      <c r="G50" s="26">
        <f t="shared" si="9"/>
        <v>5720950.078125</v>
      </c>
      <c r="H50" s="85"/>
      <c r="I50" s="86">
        <f t="shared" si="13"/>
        <v>5720950.078125</v>
      </c>
      <c r="K50" s="48"/>
      <c r="L50" s="43" t="str">
        <f t="shared" si="10"/>
        <v>Marengo II KWh</v>
      </c>
      <c r="M50" s="103">
        <f t="shared" si="11"/>
        <v>471754.28323050513</v>
      </c>
      <c r="N50" s="104">
        <f t="shared" si="12"/>
        <v>451787.14716825623</v>
      </c>
      <c r="O50" s="54"/>
      <c r="R50" s="54">
        <f>N50*('Production Factor Adjustment'!$C$10-1)</f>
        <v>19910.259575705077</v>
      </c>
      <c r="S50" s="54">
        <f t="shared" si="14"/>
        <v>252122.26994296905</v>
      </c>
    </row>
    <row r="51" spans="1:19" x14ac:dyDescent="0.2">
      <c r="A51" s="48" t="s">
        <v>92</v>
      </c>
      <c r="B51" s="26">
        <v>69494701.416015998</v>
      </c>
      <c r="C51" s="83">
        <v>43786</v>
      </c>
      <c r="D51" s="26">
        <v>69494701.416015998</v>
      </c>
      <c r="E51" s="84">
        <v>0.03</v>
      </c>
      <c r="F51" s="26">
        <f t="shared" si="8"/>
        <v>2084841.0424804799</v>
      </c>
      <c r="G51" s="26">
        <f t="shared" si="9"/>
        <v>2084841.0424804799</v>
      </c>
      <c r="H51" s="85"/>
      <c r="I51" s="86">
        <f t="shared" si="13"/>
        <v>2084841.0424804799</v>
      </c>
      <c r="K51" s="48"/>
      <c r="L51" s="43" t="str">
        <f t="shared" si="10"/>
        <v>McFadden Ridge</v>
      </c>
      <c r="M51" s="103">
        <f t="shared" si="11"/>
        <v>205939.62362217053</v>
      </c>
      <c r="N51" s="104">
        <f t="shared" si="12"/>
        <v>164641.25259248054</v>
      </c>
      <c r="O51" s="54"/>
      <c r="R51" s="54">
        <f>N51*('Production Factor Adjustment'!$C$10-1)</f>
        <v>7255.7400017506261</v>
      </c>
      <c r="S51" s="54">
        <f t="shared" si="14"/>
        <v>91878.944742114865</v>
      </c>
    </row>
    <row r="52" spans="1:19" x14ac:dyDescent="0.2">
      <c r="A52" s="48" t="s">
        <v>180</v>
      </c>
      <c r="B52" s="26">
        <v>181780403.3203125</v>
      </c>
      <c r="C52" s="83">
        <v>43755</v>
      </c>
      <c r="D52" s="26">
        <v>138153106.5234375</v>
      </c>
      <c r="E52" s="84">
        <v>0.03</v>
      </c>
      <c r="F52" s="26">
        <f t="shared" si="8"/>
        <v>4144593.1957031246</v>
      </c>
      <c r="G52" s="26">
        <f t="shared" si="9"/>
        <v>4144593.1957031246</v>
      </c>
      <c r="H52" s="85"/>
      <c r="I52" s="86">
        <f t="shared" si="13"/>
        <v>4144593.1957031246</v>
      </c>
      <c r="K52" s="48"/>
      <c r="L52" s="43" t="str">
        <f t="shared" si="10"/>
        <v>Rolling Hills KWh [a]</v>
      </c>
      <c r="M52" s="103">
        <f t="shared" si="11"/>
        <v>414777.19833810668</v>
      </c>
      <c r="N52" s="104">
        <f>VLOOKUP(A52,$A$44:$I$65,9,FALSE)*$D$80</f>
        <v>1445329.8028370808</v>
      </c>
      <c r="O52" s="54"/>
      <c r="R52" s="122">
        <f>N52*('Production Factor Adjustment'!$C$10-1)</f>
        <v>63695.684411030226</v>
      </c>
      <c r="S52" s="122">
        <f>R52/$D$80</f>
        <v>182652.22213463692</v>
      </c>
    </row>
    <row r="53" spans="1:19" x14ac:dyDescent="0.2">
      <c r="A53" s="48" t="s">
        <v>93</v>
      </c>
      <c r="B53" s="26">
        <v>297774137.6953125</v>
      </c>
      <c r="C53" s="83">
        <v>43717</v>
      </c>
      <c r="D53" s="26">
        <v>297774137.6953125</v>
      </c>
      <c r="E53" s="84">
        <v>0.03</v>
      </c>
      <c r="F53" s="26">
        <f t="shared" si="8"/>
        <v>8933224.130859375</v>
      </c>
      <c r="G53" s="26">
        <f t="shared" si="9"/>
        <v>8933224.130859375</v>
      </c>
      <c r="H53" s="85"/>
      <c r="I53" s="86">
        <f t="shared" si="13"/>
        <v>8933224.130859375</v>
      </c>
      <c r="K53" s="48"/>
      <c r="L53" s="43" t="str">
        <f t="shared" si="10"/>
        <v>Seven Mile KWh</v>
      </c>
      <c r="M53" s="103">
        <f t="shared" si="11"/>
        <v>816855.30298973562</v>
      </c>
      <c r="N53" s="104">
        <f t="shared" ref="N53:N65" si="15">VLOOKUP(A53,$A$44:$I$65,9,FALSE)*$D$79</f>
        <v>705462.51758559735</v>
      </c>
      <c r="O53" s="54"/>
      <c r="R53" s="54">
        <f>N53*('Production Factor Adjustment'!$C$10-1)</f>
        <v>31089.733149997312</v>
      </c>
      <c r="S53" s="54">
        <f t="shared" si="14"/>
        <v>393687.18744697311</v>
      </c>
    </row>
    <row r="54" spans="1:19" x14ac:dyDescent="0.2">
      <c r="A54" s="48" t="s">
        <v>94</v>
      </c>
      <c r="B54" s="26">
        <v>65605425.292968996</v>
      </c>
      <c r="C54" s="83">
        <v>43717</v>
      </c>
      <c r="D54" s="26">
        <v>65605425.292968996</v>
      </c>
      <c r="E54" s="84">
        <v>0.03</v>
      </c>
      <c r="F54" s="26">
        <f t="shared" si="8"/>
        <v>1968162.7587890697</v>
      </c>
      <c r="G54" s="26">
        <f t="shared" si="9"/>
        <v>1968162.7587890697</v>
      </c>
      <c r="H54" s="85"/>
      <c r="I54" s="86">
        <f t="shared" si="13"/>
        <v>1968162.7587890697</v>
      </c>
      <c r="K54" s="48"/>
      <c r="L54" s="43" t="str">
        <f t="shared" si="10"/>
        <v>Seven Mile II KWh</v>
      </c>
      <c r="M54" s="103">
        <f t="shared" si="11"/>
        <v>175705.25420113644</v>
      </c>
      <c r="N54" s="104">
        <f t="shared" si="15"/>
        <v>155427.09267051399</v>
      </c>
      <c r="O54" s="54"/>
      <c r="R54" s="54">
        <f>N54*('Production Factor Adjustment'!$C$10-1)</f>
        <v>6849.6719739895598</v>
      </c>
      <c r="S54" s="54">
        <f t="shared" si="14"/>
        <v>86736.932779834402</v>
      </c>
    </row>
    <row r="55" spans="1:19" x14ac:dyDescent="0.2">
      <c r="A55" s="48" t="s">
        <v>95</v>
      </c>
      <c r="B55" s="26">
        <v>309492236.328125</v>
      </c>
      <c r="C55" s="44">
        <v>44081</v>
      </c>
      <c r="D55" s="26">
        <v>309492236.328125</v>
      </c>
      <c r="E55" s="84">
        <v>0.03</v>
      </c>
      <c r="F55" s="26">
        <f t="shared" si="8"/>
        <v>9284767.08984375</v>
      </c>
      <c r="G55" s="26">
        <f t="shared" si="9"/>
        <v>9284767.08984375</v>
      </c>
      <c r="H55" s="85"/>
      <c r="I55" s="86">
        <f t="shared" si="13"/>
        <v>9284767.08984375</v>
      </c>
      <c r="K55" s="48"/>
      <c r="L55" s="43" t="str">
        <f t="shared" si="10"/>
        <v>Dunlap I Wind KWh</v>
      </c>
      <c r="M55" s="103">
        <f t="shared" si="11"/>
        <v>904261.49002597923</v>
      </c>
      <c r="N55" s="104">
        <f t="shared" si="15"/>
        <v>733224.09361366346</v>
      </c>
      <c r="O55" s="54"/>
      <c r="R55" s="54">
        <f>N55*('Production Factor Adjustment'!$C$10-1)</f>
        <v>32313.185805554189</v>
      </c>
      <c r="S55" s="54">
        <f t="shared" si="14"/>
        <v>409179.68564941455</v>
      </c>
    </row>
    <row r="56" spans="1:19" x14ac:dyDescent="0.2">
      <c r="A56" s="48" t="s">
        <v>181</v>
      </c>
      <c r="B56" s="26">
        <v>124708459.19799802</v>
      </c>
      <c r="C56" s="44">
        <v>44279</v>
      </c>
      <c r="D56" s="26">
        <v>124708459.19799802</v>
      </c>
      <c r="E56" s="84">
        <v>0.03</v>
      </c>
      <c r="F56" s="26">
        <f t="shared" si="8"/>
        <v>3741253.7759399405</v>
      </c>
      <c r="G56" s="26">
        <f t="shared" si="9"/>
        <v>3741253.7759399405</v>
      </c>
      <c r="H56" s="85"/>
      <c r="I56" s="86">
        <f t="shared" si="13"/>
        <v>3741253.7759399405</v>
      </c>
      <c r="K56" s="48"/>
      <c r="L56" s="43" t="str">
        <f t="shared" si="10"/>
        <v>Foote Creek I Wind</v>
      </c>
      <c r="M56" s="103">
        <f t="shared" si="11"/>
        <v>357534.69149739644</v>
      </c>
      <c r="N56" s="104">
        <f t="shared" si="15"/>
        <v>295449.24307718128</v>
      </c>
      <c r="O56" s="54"/>
      <c r="R56" s="54">
        <f>N56*('Production Factor Adjustment'!$C$10-1)</f>
        <v>13020.448142411395</v>
      </c>
      <c r="S56" s="54">
        <f t="shared" si="14"/>
        <v>164877.05390567338</v>
      </c>
    </row>
    <row r="57" spans="1:19" x14ac:dyDescent="0.2">
      <c r="A57" s="48" t="s">
        <v>182</v>
      </c>
      <c r="B57" s="26">
        <v>812845703.125</v>
      </c>
      <c r="C57" s="44" t="s">
        <v>183</v>
      </c>
      <c r="D57" s="26">
        <v>812845703.125</v>
      </c>
      <c r="E57" s="84">
        <v>0.03</v>
      </c>
      <c r="F57" s="26">
        <f t="shared" si="8"/>
        <v>24385371.09375</v>
      </c>
      <c r="G57" s="26">
        <f t="shared" si="9"/>
        <v>24385371.09375</v>
      </c>
      <c r="H57" s="85"/>
      <c r="I57" s="86">
        <f t="shared" si="13"/>
        <v>24385371.09375</v>
      </c>
      <c r="K57" s="48"/>
      <c r="L57" s="43" t="str">
        <f t="shared" si="10"/>
        <v>Pryor Mountain Wind [b]</v>
      </c>
      <c r="M57" s="103">
        <f t="shared" si="11"/>
        <v>1945619.1744455018</v>
      </c>
      <c r="N57" s="104">
        <f t="shared" si="15"/>
        <v>1925728.609520626</v>
      </c>
      <c r="O57" s="54"/>
      <c r="R57" s="54">
        <f>N57*('Production Factor Adjustment'!$C$10-1)</f>
        <v>84866.859821574093</v>
      </c>
      <c r="S57" s="54">
        <f t="shared" si="14"/>
        <v>1074663.3041015638</v>
      </c>
    </row>
    <row r="58" spans="1:19" x14ac:dyDescent="0.2">
      <c r="A58" s="87" t="s">
        <v>96</v>
      </c>
      <c r="B58" s="26">
        <v>546826486.328125</v>
      </c>
      <c r="C58" s="44">
        <v>44169</v>
      </c>
      <c r="D58" s="26">
        <v>546826486.328125</v>
      </c>
      <c r="E58" s="84">
        <v>0.03</v>
      </c>
      <c r="F58" s="26">
        <f t="shared" si="8"/>
        <v>16404794.58984375</v>
      </c>
      <c r="G58" s="26">
        <f t="shared" si="9"/>
        <v>16404794.58984375</v>
      </c>
      <c r="H58" s="85"/>
      <c r="I58" s="86">
        <f t="shared" si="13"/>
        <v>16404794.58984375</v>
      </c>
      <c r="K58" s="48"/>
      <c r="L58" s="43" t="str">
        <f t="shared" si="10"/>
        <v>Cedar Springs Wind II</v>
      </c>
      <c r="M58" s="103">
        <f t="shared" si="11"/>
        <v>1388282.3254492406</v>
      </c>
      <c r="N58" s="104">
        <f t="shared" si="15"/>
        <v>1295497.2944032068</v>
      </c>
      <c r="O58" s="54"/>
      <c r="R58" s="54">
        <f>N58*('Production Factor Adjustment'!$C$10-1)</f>
        <v>57092.565764349391</v>
      </c>
      <c r="S58" s="54">
        <f t="shared" si="14"/>
        <v>722959.29757441487</v>
      </c>
    </row>
    <row r="59" spans="1:19" x14ac:dyDescent="0.2">
      <c r="A59" s="48" t="s">
        <v>184</v>
      </c>
      <c r="B59" s="26">
        <v>593245710.9375</v>
      </c>
      <c r="C59" s="44" t="s">
        <v>183</v>
      </c>
      <c r="D59" s="26">
        <v>593245710.9375</v>
      </c>
      <c r="E59" s="84">
        <v>0.03</v>
      </c>
      <c r="F59" s="26">
        <f t="shared" si="8"/>
        <v>17797371.328125</v>
      </c>
      <c r="G59" s="26">
        <f t="shared" si="9"/>
        <v>17797371.328125</v>
      </c>
      <c r="H59" s="85"/>
      <c r="I59" s="86">
        <f t="shared" si="13"/>
        <v>17797371.328125</v>
      </c>
      <c r="K59" s="48"/>
      <c r="L59" s="43" t="str">
        <f t="shared" si="10"/>
        <v>Ekola Flats Wind [b]</v>
      </c>
      <c r="M59" s="103">
        <f t="shared" si="11"/>
        <v>1605655.6910445727</v>
      </c>
      <c r="N59" s="104">
        <f t="shared" si="15"/>
        <v>1405469.9848146497</v>
      </c>
      <c r="O59" s="54"/>
      <c r="R59" s="54">
        <f>N59*('Production Factor Adjustment'!$C$10-1)</f>
        <v>61939.062230781688</v>
      </c>
      <c r="S59" s="54">
        <f t="shared" si="14"/>
        <v>784330.15443046961</v>
      </c>
    </row>
    <row r="60" spans="1:19" x14ac:dyDescent="0.2">
      <c r="A60" s="48" t="s">
        <v>185</v>
      </c>
      <c r="B60" s="26">
        <v>1226487234.375</v>
      </c>
      <c r="C60" s="44" t="s">
        <v>183</v>
      </c>
      <c r="D60" s="26">
        <v>1226487234.375</v>
      </c>
      <c r="E60" s="84">
        <v>0.03</v>
      </c>
      <c r="F60" s="26">
        <f t="shared" si="8"/>
        <v>36794617.03125</v>
      </c>
      <c r="G60" s="26">
        <f t="shared" si="9"/>
        <v>36794617.03125</v>
      </c>
      <c r="H60" s="85"/>
      <c r="I60" s="86">
        <f t="shared" si="13"/>
        <v>36794617.03125</v>
      </c>
      <c r="K60" s="48"/>
      <c r="L60" s="43" t="str">
        <f t="shared" si="10"/>
        <v>TB Flats Wind [b]</v>
      </c>
      <c r="M60" s="103">
        <f t="shared" si="11"/>
        <v>3180637.2152866437</v>
      </c>
      <c r="N60" s="104">
        <f t="shared" si="15"/>
        <v>2905694.8291262048</v>
      </c>
      <c r="O60" s="54"/>
      <c r="R60" s="54">
        <f>N60*('Production Factor Adjustment'!$C$10-1)</f>
        <v>128053.971119592</v>
      </c>
      <c r="S60" s="54">
        <f t="shared" si="14"/>
        <v>1621538.7725671893</v>
      </c>
    </row>
    <row r="61" spans="1:19" x14ac:dyDescent="0.2">
      <c r="A61" s="48" t="s">
        <v>186</v>
      </c>
      <c r="B61" s="26">
        <v>147360937.50000051</v>
      </c>
      <c r="C61" s="44">
        <v>45251</v>
      </c>
      <c r="D61" s="26">
        <v>147360937.50000051</v>
      </c>
      <c r="E61" s="84">
        <v>0.03</v>
      </c>
      <c r="F61" s="26">
        <f t="shared" si="8"/>
        <v>4420828.1250000149</v>
      </c>
      <c r="G61" s="26">
        <f t="shared" si="9"/>
        <v>4420828.1250000149</v>
      </c>
      <c r="H61" s="133">
        <v>1.1000000000000001</v>
      </c>
      <c r="I61" s="86">
        <f>G61*H61</f>
        <v>4862910.9375000168</v>
      </c>
      <c r="K61" s="48"/>
      <c r="L61" s="43" t="str">
        <f t="shared" si="10"/>
        <v>Foote Creek II-IV Wind</v>
      </c>
      <c r="M61" s="103">
        <f t="shared" si="11"/>
        <v>432788.01407268934</v>
      </c>
      <c r="N61" s="104">
        <f t="shared" si="15"/>
        <v>384027.23837549967</v>
      </c>
      <c r="O61" s="54"/>
      <c r="R61" s="54">
        <f>N61*('Production Factor Adjustment'!$C$10-1)</f>
        <v>16924.08039520829</v>
      </c>
      <c r="S61" s="54">
        <f t="shared" si="14"/>
        <v>214308.48501562598</v>
      </c>
    </row>
    <row r="62" spans="1:19" x14ac:dyDescent="0.2">
      <c r="A62" s="48" t="s">
        <v>187</v>
      </c>
      <c r="B62" s="26">
        <v>174794729.4921875</v>
      </c>
      <c r="C62" s="44">
        <v>45558</v>
      </c>
      <c r="D62" s="26">
        <v>174794729.4921875</v>
      </c>
      <c r="E62" s="84">
        <v>0.03</v>
      </c>
      <c r="F62" s="26">
        <f t="shared" si="8"/>
        <v>5243841.884765625</v>
      </c>
      <c r="G62" s="26">
        <f t="shared" si="9"/>
        <v>5243841.884765625</v>
      </c>
      <c r="H62" s="133">
        <v>1.1000000000000001</v>
      </c>
      <c r="I62" s="86">
        <f>G62*H62</f>
        <v>5768226.0732421875</v>
      </c>
      <c r="K62" s="48"/>
      <c r="L62" s="43" t="str">
        <f t="shared" si="10"/>
        <v>Rock River I Wind</v>
      </c>
      <c r="M62" s="103">
        <f t="shared" si="11"/>
        <v>489730.56139126077</v>
      </c>
      <c r="N62" s="104">
        <f t="shared" si="15"/>
        <v>455520.5632393391</v>
      </c>
      <c r="O62" s="54"/>
      <c r="R62" s="54">
        <f>N62*('Production Factor Adjustment'!$C$10-1)</f>
        <v>20074.791221957697</v>
      </c>
      <c r="S62" s="54">
        <f t="shared" si="14"/>
        <v>254205.72304778351</v>
      </c>
    </row>
    <row r="63" spans="1:19" x14ac:dyDescent="0.2">
      <c r="A63" s="48" t="s">
        <v>188</v>
      </c>
      <c r="B63" s="26">
        <v>175723370.36132813</v>
      </c>
      <c r="C63" s="88">
        <v>45657</v>
      </c>
      <c r="D63" s="26">
        <v>175723370.36132813</v>
      </c>
      <c r="E63" s="84">
        <v>0.03</v>
      </c>
      <c r="F63" s="26">
        <f t="shared" si="8"/>
        <v>5271701.1108398438</v>
      </c>
      <c r="G63" s="26">
        <f t="shared" si="9"/>
        <v>5271701.1108398438</v>
      </c>
      <c r="H63" s="133">
        <v>1.1000000000000001</v>
      </c>
      <c r="I63" s="86">
        <f t="shared" ref="I63:I65" si="16">G63*H63</f>
        <v>5798871.2219238291</v>
      </c>
      <c r="K63" s="48"/>
      <c r="L63" s="43" t="str">
        <f t="shared" si="10"/>
        <v>Rock Creek I Wind - 2024 PIS [b]</v>
      </c>
      <c r="M63" s="103">
        <f t="shared" si="11"/>
        <v>494736.97903823317</v>
      </c>
      <c r="N63" s="104">
        <f t="shared" si="15"/>
        <v>457940.63055479509</v>
      </c>
      <c r="O63" s="54"/>
      <c r="R63" s="54">
        <f>N63*('Production Factor Adjustment'!$C$10-1)</f>
        <v>20181.443588549842</v>
      </c>
      <c r="S63" s="54">
        <f t="shared" si="14"/>
        <v>255556.25475018343</v>
      </c>
    </row>
    <row r="64" spans="1:19" x14ac:dyDescent="0.2">
      <c r="A64" s="48" t="s">
        <v>189</v>
      </c>
      <c r="B64" s="26">
        <v>386591414.79492188</v>
      </c>
      <c r="C64" s="88">
        <v>45716</v>
      </c>
      <c r="D64" s="26">
        <v>386591414.79492188</v>
      </c>
      <c r="E64" s="84">
        <v>0.03</v>
      </c>
      <c r="F64" s="26">
        <f t="shared" si="8"/>
        <v>11597742.443847656</v>
      </c>
      <c r="G64" s="26">
        <f t="shared" si="9"/>
        <v>11597742.443847656</v>
      </c>
      <c r="H64" s="133">
        <v>1.1000000000000001</v>
      </c>
      <c r="I64" s="86">
        <f t="shared" si="16"/>
        <v>12757516.688232424</v>
      </c>
      <c r="K64" s="48"/>
      <c r="L64" s="43" t="str">
        <f t="shared" si="10"/>
        <v>Rock Creek I Wind - 2025 PIS</v>
      </c>
      <c r="M64" s="103">
        <f t="shared" si="11"/>
        <v>1088421.3538841128</v>
      </c>
      <c r="N64" s="104">
        <f t="shared" si="15"/>
        <v>1007469.3872205492</v>
      </c>
      <c r="O64" s="54"/>
      <c r="R64" s="54">
        <f>N64*('Production Factor Adjustment'!$C$10-1)</f>
        <v>44399.175894809654</v>
      </c>
      <c r="S64" s="54">
        <f t="shared" si="14"/>
        <v>562223.76045040356</v>
      </c>
    </row>
    <row r="65" spans="1:19" x14ac:dyDescent="0.2">
      <c r="A65" s="48" t="s">
        <v>190</v>
      </c>
      <c r="B65" s="26">
        <v>1130860171.875</v>
      </c>
      <c r="C65" s="88">
        <v>45930</v>
      </c>
      <c r="D65" s="26">
        <v>1130860171.875</v>
      </c>
      <c r="E65" s="84">
        <v>0.03</v>
      </c>
      <c r="F65" s="26">
        <f t="shared" si="8"/>
        <v>33925805.15625</v>
      </c>
      <c r="G65" s="26">
        <f t="shared" si="9"/>
        <v>33925805.15625</v>
      </c>
      <c r="H65" s="133">
        <v>1.1000000000000001</v>
      </c>
      <c r="I65" s="86">
        <f t="shared" si="16"/>
        <v>37318385.671875</v>
      </c>
      <c r="K65" s="48"/>
      <c r="L65" s="43" t="str">
        <f t="shared" si="10"/>
        <v>Rock Creek II</v>
      </c>
      <c r="M65" s="94">
        <f t="shared" si="11"/>
        <v>2033283.4680754859</v>
      </c>
      <c r="N65" s="105">
        <f t="shared" si="15"/>
        <v>2947057.1792066516</v>
      </c>
      <c r="O65" s="54"/>
      <c r="R65" s="56">
        <f>N65*('Production Factor Adjustment'!$C$10-1)</f>
        <v>129876.8098876373</v>
      </c>
      <c r="S65" s="56">
        <f t="shared" si="14"/>
        <v>1644621.2565595333</v>
      </c>
    </row>
    <row r="66" spans="1:19" x14ac:dyDescent="0.2">
      <c r="A66" s="50" t="s">
        <v>97</v>
      </c>
      <c r="B66" s="12">
        <f>SUM(B44:B65)</f>
        <v>7840952465.057375</v>
      </c>
      <c r="C66" s="9"/>
      <c r="D66" s="12">
        <f>SUM(D44:D65)</f>
        <v>7766072254.8376484</v>
      </c>
      <c r="E66" s="9"/>
      <c r="F66" s="12">
        <f>SUM(F44:F65)</f>
        <v>232982167.64512944</v>
      </c>
      <c r="G66" s="12">
        <f>SUM(G44:G65)</f>
        <v>232982167.64512944</v>
      </c>
      <c r="H66" s="9"/>
      <c r="I66" s="93">
        <f>SUM(I44:I65)</f>
        <v>239028159.51719978</v>
      </c>
      <c r="K66" s="48"/>
      <c r="L66" s="43" t="s">
        <v>203</v>
      </c>
      <c r="M66" s="54">
        <f>SUM(M44:M65)</f>
        <v>19640344.400975958</v>
      </c>
      <c r="N66" s="104">
        <f>SUM(N44:N65)</f>
        <v>19994237.745741919</v>
      </c>
      <c r="R66" s="54">
        <f>SUM(R44:R65)</f>
        <v>881146.0574548475</v>
      </c>
      <c r="S66" s="54">
        <f>SUM(S44:S65)</f>
        <v>10533970.989923006</v>
      </c>
    </row>
    <row r="67" spans="1:19" x14ac:dyDescent="0.2">
      <c r="A67" s="49"/>
      <c r="B67" s="89"/>
      <c r="C67" s="74"/>
      <c r="D67" s="89"/>
      <c r="E67" s="74"/>
      <c r="F67" s="74"/>
      <c r="G67" s="74"/>
      <c r="H67" s="74"/>
      <c r="I67" s="90"/>
      <c r="K67" s="48"/>
      <c r="L67" s="43" t="s">
        <v>99</v>
      </c>
      <c r="M67" s="56">
        <v>134641.31095148501</v>
      </c>
      <c r="N67" s="105">
        <f>('Production Factor Adjustment'!C10-1)*PTC!N66</f>
        <v>881146.05745484738</v>
      </c>
      <c r="O67" s="54"/>
      <c r="R67" s="54">
        <f>N67-R66</f>
        <v>0</v>
      </c>
    </row>
    <row r="68" spans="1:19" x14ac:dyDescent="0.2">
      <c r="A68" s="96" t="s">
        <v>191</v>
      </c>
      <c r="B68" s="97"/>
      <c r="C68" s="97"/>
      <c r="D68" s="97"/>
      <c r="E68" s="97"/>
      <c r="F68" s="97"/>
      <c r="G68" s="97"/>
      <c r="H68" s="97"/>
      <c r="I68" s="98">
        <f>+I66</f>
        <v>239028159.51719978</v>
      </c>
      <c r="K68" s="106"/>
      <c r="L68" s="107" t="s">
        <v>204</v>
      </c>
      <c r="M68" s="56">
        <f>SUM(M66:M67)</f>
        <v>19774985.711927444</v>
      </c>
      <c r="N68" s="105">
        <f>SUM(N66:N67)</f>
        <v>20875383.803196765</v>
      </c>
    </row>
    <row r="69" spans="1:19" x14ac:dyDescent="0.2">
      <c r="M69" s="92"/>
      <c r="N69" s="92"/>
    </row>
    <row r="70" spans="1:19" x14ac:dyDescent="0.2">
      <c r="L70" s="43" t="s">
        <v>98</v>
      </c>
      <c r="M70" s="99">
        <v>0.21</v>
      </c>
      <c r="N70" s="99">
        <v>0.21</v>
      </c>
      <c r="O70" s="91"/>
    </row>
    <row r="71" spans="1:19" x14ac:dyDescent="0.2">
      <c r="L71" s="43" t="s">
        <v>205</v>
      </c>
      <c r="M71" s="54">
        <f>M68/(1-M70)</f>
        <v>25031627.483452458</v>
      </c>
      <c r="N71" s="54">
        <f>N68/(1-N70)</f>
        <v>26424536.45974274</v>
      </c>
      <c r="O71" s="5"/>
    </row>
    <row r="72" spans="1:19" x14ac:dyDescent="0.2">
      <c r="M72" s="110" t="s">
        <v>111</v>
      </c>
      <c r="N72" s="111">
        <f>N71-M71</f>
        <v>1392908.9762902819</v>
      </c>
      <c r="O72" s="5"/>
    </row>
    <row r="73" spans="1:19" x14ac:dyDescent="0.2">
      <c r="A73" s="6" t="s">
        <v>192</v>
      </c>
      <c r="L73" s="43"/>
      <c r="M73" s="54"/>
      <c r="N73" s="54"/>
      <c r="O73" s="5"/>
    </row>
    <row r="74" spans="1:19" x14ac:dyDescent="0.2">
      <c r="O74" s="5"/>
    </row>
    <row r="75" spans="1:19" ht="12.75" customHeight="1" x14ac:dyDescent="0.2">
      <c r="A75" s="6" t="s">
        <v>193</v>
      </c>
    </row>
    <row r="76" spans="1:19" x14ac:dyDescent="0.2">
      <c r="A76" s="220" t="s">
        <v>194</v>
      </c>
      <c r="B76" s="220"/>
      <c r="C76" s="220"/>
      <c r="D76" s="220"/>
      <c r="E76" s="220"/>
      <c r="F76" s="220"/>
      <c r="G76" s="220"/>
      <c r="H76" s="220"/>
      <c r="I76" s="220"/>
      <c r="J76" s="220"/>
      <c r="K76" s="220"/>
      <c r="L76" s="220"/>
      <c r="M76" s="220"/>
      <c r="N76" s="220"/>
      <c r="O76" s="220"/>
    </row>
    <row r="77" spans="1:19" x14ac:dyDescent="0.2">
      <c r="A77" s="6" t="s">
        <v>199</v>
      </c>
    </row>
    <row r="78" spans="1:19" x14ac:dyDescent="0.2">
      <c r="C78" s="43" t="s">
        <v>200</v>
      </c>
      <c r="D78" s="67">
        <v>7.9787774498314715E-2</v>
      </c>
    </row>
    <row r="79" spans="1:19" x14ac:dyDescent="0.2">
      <c r="C79" s="43" t="s">
        <v>202</v>
      </c>
      <c r="D79" s="67">
        <v>7.8970650154025851E-2</v>
      </c>
    </row>
    <row r="80" spans="1:19" x14ac:dyDescent="0.2">
      <c r="C80" s="43" t="s">
        <v>201</v>
      </c>
      <c r="D80" s="67">
        <v>0.34872657812002283</v>
      </c>
    </row>
    <row r="83" spans="9:11" x14ac:dyDescent="0.2">
      <c r="K83" s="43" t="s">
        <v>74</v>
      </c>
    </row>
    <row r="84" spans="9:11" x14ac:dyDescent="0.2">
      <c r="I84" s="91"/>
      <c r="K84" s="95">
        <f>M66-O35*D78</f>
        <v>0</v>
      </c>
    </row>
  </sheetData>
  <mergeCells count="3">
    <mergeCell ref="A5:O5"/>
    <mergeCell ref="A76:O76"/>
    <mergeCell ref="A38:I38"/>
  </mergeCells>
  <pageMargins left="0.7" right="0.7" top="0.75" bottom="0.75" header="0.3" footer="0.3"/>
  <pageSetup scale="49"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19AD5DE453A98479BAF9C6BE4DD7F43" ma:contentTypeVersion="19" ma:contentTypeDescription="" ma:contentTypeScope="" ma:versionID="9d671d6df42d13ce8fc499804baa087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Pending</CaseStatus>
    <OpenedDate xmlns="dc463f71-b30c-4ab2-9473-d307f9d35888">2025-04-01T07:00:00+00:00</OpenedDate>
    <SignificantOrder xmlns="dc463f71-b30c-4ab2-9473-d307f9d35888">false</SignificantOrder>
    <Date1 xmlns="dc463f71-b30c-4ab2-9473-d307f9d35888">2025-04-01T07:00:00+00:00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250224</DocketNumber>
    <DelegatedOrder xmlns="dc463f71-b30c-4ab2-9473-d307f9d35888">false</DelegatedOrder>
  </documentManagement>
</p:properties>
</file>

<file path=customXml/itemProps1.xml><?xml version="1.0" encoding="utf-8"?>
<ds:datastoreItem xmlns:ds="http://schemas.openxmlformats.org/officeDocument/2006/customXml" ds:itemID="{38C6DDA7-BD51-48C3-A5CE-00F834D09C06}"/>
</file>

<file path=customXml/itemProps2.xml><?xml version="1.0" encoding="utf-8"?>
<ds:datastoreItem xmlns:ds="http://schemas.openxmlformats.org/officeDocument/2006/customXml" ds:itemID="{42C2F94C-3EF1-466E-937D-F5A670A75A21}"/>
</file>

<file path=customXml/itemProps3.xml><?xml version="1.0" encoding="utf-8"?>
<ds:datastoreItem xmlns:ds="http://schemas.openxmlformats.org/officeDocument/2006/customXml" ds:itemID="{31558B88-6011-48AE-B408-F5BF55699516}"/>
</file>

<file path=customXml/itemProps4.xml><?xml version="1.0" encoding="utf-8"?>
<ds:datastoreItem xmlns:ds="http://schemas.openxmlformats.org/officeDocument/2006/customXml" ds:itemID="{CBAB67D4-9ED6-4570-8A96-1286E253F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Summary PCORC 2026</vt:lpstr>
      <vt:lpstr>PrePost - RY2 MYRP Compliance</vt:lpstr>
      <vt:lpstr>PrePost - 2026 Initial Filing</vt:lpstr>
      <vt:lpstr>Production Factor Adjustment</vt:lpstr>
      <vt:lpstr>RY2 MYRP Production Factor</vt:lpstr>
      <vt:lpstr>2026 PCORC Production Factor</vt:lpstr>
      <vt:lpstr>PTC</vt:lpstr>
      <vt:lpstr>'2026 PCORC Production Factor'!Print_Area</vt:lpstr>
      <vt:lpstr>'PrePost - 2026 Initial Filing'!Print_Area</vt:lpstr>
      <vt:lpstr>'PrePost - RY2 MYRP Compliance'!Print_Area</vt:lpstr>
      <vt:lpstr>'Production Factor Adjustment'!Print_Area</vt:lpstr>
      <vt:lpstr>PTC!Print_Area</vt:lpstr>
      <vt:lpstr>'RY2 MYRP Production Factor'!Print_Area</vt:lpstr>
      <vt:lpstr>'Summary PCORC 2026'!Print_Area</vt:lpstr>
      <vt:lpstr>'Summary PCORC 2026'!Print_Titles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2020-11-05T18:31:36Z</dcterms:created>
  <dcterms:modified xsi:type="dcterms:W3CDTF">2025-03-25T23:15:30Z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0x0101006E56B4D1795A2E4DB2F0B01679ED314A00119AD5DE453A98479BAF9C6BE4DD7F43</vt:lpwstr>
  </property>
</Properties>
</file>