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cngc-sea-fp1\Data\Dept\Rates\ENERGY EFFICIENCY\ANNUAL REPORTING\Biennial Report 2023\CAG Draft\"/>
    </mc:Choice>
  </mc:AlternateContent>
  <xr:revisionPtr revIDLastSave="0" documentId="13_ncr:1_{8FA02ECF-A62F-4756-92AD-210FF025935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 TOTAL FIRST YEAR" sheetId="3" r:id="rId1"/>
    <sheet name="2022 TOTAL FIRST YEAR" sheetId="9" r:id="rId2"/>
    <sheet name="2023 APP 2885" sheetId="8" r:id="rId3"/>
    <sheet name="2022 APP 2885" sheetId="10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'2022 TOTAL FIRST YEAR'!$A$3:$Z$49</definedName>
    <definedName name="_xlnm._FilterDatabase" localSheetId="0" hidden="1">'2023 TOTAL FIRST YEAR'!$A$3:$Z$36</definedName>
    <definedName name="AC">'2023 APP 2885'!$B$7:$H$51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Tdiscount">'[3]Rates&amp;NEB'!$B$9</definedName>
    <definedName name="NEPercentage">'[3]Rates&amp;NEB'!$B$13</definedName>
    <definedName name="NomInt">'[3]Rates&amp;NEB'!$B$5</definedName>
    <definedName name="OffsetAnchor" localSheetId="1">'2022 TOTAL FIRST YEAR'!#REF!</definedName>
    <definedName name="OffsetAnchor" localSheetId="0">'2023 TOTAL FIRST YEAR'!#REF!</definedName>
    <definedName name="_xlnm.Print_Area" localSheetId="1">'2022 TOTAL FIRST YEAR'!$B$1:$Z$61</definedName>
    <definedName name="_xlnm.Print_Area" localSheetId="0">'2023 TOTAL FIRST YEAR'!$B$1:$Z$48</definedName>
    <definedName name="SSMeasures">[4]Sheet4!$A$5:$G$115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3" l="1"/>
  <c r="K38" i="3"/>
  <c r="I4" i="3"/>
  <c r="N36" i="3"/>
  <c r="K4" i="3"/>
  <c r="C42" i="3"/>
  <c r="E49" i="9"/>
  <c r="I17" i="3" l="1"/>
  <c r="C56" i="9" l="1"/>
  <c r="C55" i="9"/>
  <c r="P48" i="9" s="1"/>
  <c r="O48" i="9"/>
  <c r="L48" i="9"/>
  <c r="M48" i="9" s="1"/>
  <c r="K48" i="9"/>
  <c r="I48" i="9"/>
  <c r="V48" i="9" s="1"/>
  <c r="O47" i="9"/>
  <c r="L47" i="9"/>
  <c r="M47" i="9" s="1"/>
  <c r="K47" i="9"/>
  <c r="I47" i="9"/>
  <c r="O46" i="9"/>
  <c r="L46" i="9"/>
  <c r="M46" i="9" s="1"/>
  <c r="K46" i="9"/>
  <c r="I46" i="9"/>
  <c r="O45" i="9"/>
  <c r="L45" i="9"/>
  <c r="M45" i="9" s="1"/>
  <c r="K45" i="9"/>
  <c r="I45" i="9"/>
  <c r="O44" i="9"/>
  <c r="L44" i="9"/>
  <c r="M44" i="9" s="1"/>
  <c r="K44" i="9"/>
  <c r="I44" i="9"/>
  <c r="O43" i="9"/>
  <c r="L43" i="9"/>
  <c r="M43" i="9" s="1"/>
  <c r="K43" i="9"/>
  <c r="I43" i="9"/>
  <c r="O42" i="9"/>
  <c r="L42" i="9"/>
  <c r="M42" i="9" s="1"/>
  <c r="K42" i="9"/>
  <c r="I42" i="9"/>
  <c r="O41" i="9"/>
  <c r="L41" i="9"/>
  <c r="M41" i="9" s="1"/>
  <c r="K41" i="9"/>
  <c r="I41" i="9"/>
  <c r="O40" i="9"/>
  <c r="L40" i="9"/>
  <c r="M40" i="9" s="1"/>
  <c r="K40" i="9"/>
  <c r="I40" i="9"/>
  <c r="O39" i="9"/>
  <c r="L39" i="9"/>
  <c r="M39" i="9" s="1"/>
  <c r="K39" i="9"/>
  <c r="I39" i="9"/>
  <c r="O38" i="9"/>
  <c r="L38" i="9"/>
  <c r="M38" i="9" s="1"/>
  <c r="K38" i="9"/>
  <c r="I38" i="9"/>
  <c r="O37" i="9"/>
  <c r="L37" i="9"/>
  <c r="M37" i="9" s="1"/>
  <c r="K37" i="9"/>
  <c r="I37" i="9"/>
  <c r="O36" i="9"/>
  <c r="L36" i="9"/>
  <c r="M36" i="9" s="1"/>
  <c r="K36" i="9"/>
  <c r="I36" i="9"/>
  <c r="O35" i="9"/>
  <c r="L35" i="9"/>
  <c r="M35" i="9" s="1"/>
  <c r="K35" i="9"/>
  <c r="I35" i="9"/>
  <c r="S34" i="9"/>
  <c r="R49" i="9" s="1"/>
  <c r="M34" i="9"/>
  <c r="L33" i="9"/>
  <c r="M33" i="9" s="1"/>
  <c r="K33" i="9"/>
  <c r="I33" i="9"/>
  <c r="P33" i="9" s="1"/>
  <c r="U32" i="9"/>
  <c r="R32" i="9"/>
  <c r="T32" i="9" s="1"/>
  <c r="O32" i="9"/>
  <c r="Y32" i="9" s="1"/>
  <c r="M32" i="9"/>
  <c r="Z32" i="9" s="1"/>
  <c r="L32" i="9"/>
  <c r="K32" i="9"/>
  <c r="I32" i="9"/>
  <c r="V31" i="9"/>
  <c r="R31" i="9"/>
  <c r="O31" i="9"/>
  <c r="U31" i="9" s="1"/>
  <c r="L31" i="9"/>
  <c r="M31" i="9" s="1"/>
  <c r="K31" i="9"/>
  <c r="I31" i="9"/>
  <c r="X30" i="9"/>
  <c r="U30" i="9"/>
  <c r="R30" i="9"/>
  <c r="V30" i="9" s="1"/>
  <c r="O30" i="9"/>
  <c r="Y30" i="9" s="1"/>
  <c r="M30" i="9"/>
  <c r="Z30" i="9" s="1"/>
  <c r="L30" i="9"/>
  <c r="K30" i="9"/>
  <c r="I30" i="9"/>
  <c r="R29" i="9"/>
  <c r="O29" i="9"/>
  <c r="X29" i="9" s="1"/>
  <c r="M29" i="9"/>
  <c r="L29" i="9"/>
  <c r="K29" i="9"/>
  <c r="I29" i="9"/>
  <c r="R28" i="9"/>
  <c r="M28" i="9"/>
  <c r="L28" i="9"/>
  <c r="K28" i="9"/>
  <c r="I28" i="9"/>
  <c r="P28" i="9" s="1"/>
  <c r="R27" i="9"/>
  <c r="M27" i="9"/>
  <c r="L27" i="9"/>
  <c r="K27" i="9"/>
  <c r="I27" i="9"/>
  <c r="R26" i="9"/>
  <c r="L26" i="9"/>
  <c r="M26" i="9" s="1"/>
  <c r="K26" i="9"/>
  <c r="I26" i="9"/>
  <c r="P26" i="9" s="1"/>
  <c r="V26" i="9" s="1"/>
  <c r="R25" i="9"/>
  <c r="M25" i="9"/>
  <c r="L25" i="9"/>
  <c r="K25" i="9"/>
  <c r="I25" i="9"/>
  <c r="R24" i="9"/>
  <c r="T24" i="9" s="1"/>
  <c r="O24" i="9"/>
  <c r="Y24" i="9" s="1"/>
  <c r="M24" i="9"/>
  <c r="Z24" i="9" s="1"/>
  <c r="L24" i="9"/>
  <c r="K24" i="9"/>
  <c r="I24" i="9"/>
  <c r="P24" i="9" s="1"/>
  <c r="V24" i="9" s="1"/>
  <c r="R23" i="9"/>
  <c r="M23" i="9"/>
  <c r="L23" i="9"/>
  <c r="K23" i="9"/>
  <c r="I23" i="9"/>
  <c r="O23" i="9" s="1"/>
  <c r="R22" i="9"/>
  <c r="O22" i="9"/>
  <c r="L22" i="9"/>
  <c r="M22" i="9" s="1"/>
  <c r="K22" i="9"/>
  <c r="I22" i="9"/>
  <c r="R21" i="9"/>
  <c r="V21" i="9" s="1"/>
  <c r="L21" i="9"/>
  <c r="M21" i="9" s="1"/>
  <c r="K21" i="9"/>
  <c r="I21" i="9"/>
  <c r="P21" i="9" s="1"/>
  <c r="T20" i="9"/>
  <c r="R20" i="9"/>
  <c r="O20" i="9"/>
  <c r="M20" i="9"/>
  <c r="L20" i="9"/>
  <c r="K20" i="9"/>
  <c r="I20" i="9"/>
  <c r="R19" i="9"/>
  <c r="O19" i="9"/>
  <c r="L19" i="9"/>
  <c r="M19" i="9" s="1"/>
  <c r="K19" i="9"/>
  <c r="I19" i="9"/>
  <c r="X18" i="9"/>
  <c r="R18" i="9"/>
  <c r="T18" i="9" s="1"/>
  <c r="O18" i="9"/>
  <c r="M18" i="9"/>
  <c r="L18" i="9"/>
  <c r="K18" i="9"/>
  <c r="I18" i="9"/>
  <c r="R17" i="9"/>
  <c r="O17" i="9"/>
  <c r="X17" i="9" s="1"/>
  <c r="M17" i="9"/>
  <c r="L17" i="9"/>
  <c r="K17" i="9"/>
  <c r="I17" i="9"/>
  <c r="R16" i="9"/>
  <c r="V16" i="9" s="1"/>
  <c r="L16" i="9"/>
  <c r="M16" i="9" s="1"/>
  <c r="K16" i="9"/>
  <c r="I16" i="9"/>
  <c r="P16" i="9" s="1"/>
  <c r="R15" i="9"/>
  <c r="M15" i="9"/>
  <c r="L15" i="9"/>
  <c r="K15" i="9"/>
  <c r="I15" i="9"/>
  <c r="R14" i="9"/>
  <c r="L14" i="9"/>
  <c r="M14" i="9" s="1"/>
  <c r="K14" i="9"/>
  <c r="I14" i="9"/>
  <c r="P14" i="9" s="1"/>
  <c r="V14" i="9" s="1"/>
  <c r="R13" i="9"/>
  <c r="M13" i="9"/>
  <c r="Z13" i="9" s="1"/>
  <c r="L13" i="9"/>
  <c r="K13" i="9"/>
  <c r="I13" i="9"/>
  <c r="R12" i="9"/>
  <c r="T12" i="9" s="1"/>
  <c r="O12" i="9"/>
  <c r="Y12" i="9" s="1"/>
  <c r="M12" i="9"/>
  <c r="Z12" i="9" s="1"/>
  <c r="L12" i="9"/>
  <c r="K12" i="9"/>
  <c r="I12" i="9"/>
  <c r="P12" i="9" s="1"/>
  <c r="V12" i="9" s="1"/>
  <c r="R11" i="9"/>
  <c r="M11" i="9"/>
  <c r="L11" i="9"/>
  <c r="K11" i="9"/>
  <c r="I11" i="9"/>
  <c r="O11" i="9" s="1"/>
  <c r="R10" i="9"/>
  <c r="O10" i="9"/>
  <c r="L10" i="9"/>
  <c r="M10" i="9" s="1"/>
  <c r="K10" i="9"/>
  <c r="I10" i="9"/>
  <c r="R9" i="9"/>
  <c r="L9" i="9"/>
  <c r="M9" i="9" s="1"/>
  <c r="K9" i="9"/>
  <c r="I9" i="9"/>
  <c r="P9" i="9" s="1"/>
  <c r="T8" i="9"/>
  <c r="R8" i="9"/>
  <c r="O8" i="9"/>
  <c r="M8" i="9"/>
  <c r="Z8" i="9" s="1"/>
  <c r="L8" i="9"/>
  <c r="K8" i="9"/>
  <c r="I8" i="9"/>
  <c r="R7" i="9"/>
  <c r="O7" i="9"/>
  <c r="L7" i="9"/>
  <c r="M7" i="9" s="1"/>
  <c r="K7" i="9"/>
  <c r="I7" i="9"/>
  <c r="X6" i="9"/>
  <c r="R6" i="9"/>
  <c r="T6" i="9" s="1"/>
  <c r="O6" i="9"/>
  <c r="M6" i="9"/>
  <c r="L6" i="9"/>
  <c r="K6" i="9"/>
  <c r="I6" i="9"/>
  <c r="R5" i="9"/>
  <c r="O5" i="9"/>
  <c r="X5" i="9" s="1"/>
  <c r="M5" i="9"/>
  <c r="L5" i="9"/>
  <c r="K5" i="9"/>
  <c r="I5" i="9"/>
  <c r="R4" i="9"/>
  <c r="L4" i="9"/>
  <c r="M4" i="9" s="1"/>
  <c r="K4" i="9"/>
  <c r="K49" i="9" s="1"/>
  <c r="I4" i="9"/>
  <c r="N49" i="9" s="1"/>
  <c r="V42" i="9" l="1"/>
  <c r="X36" i="9"/>
  <c r="Z16" i="9"/>
  <c r="X40" i="9"/>
  <c r="Z25" i="9"/>
  <c r="V38" i="9"/>
  <c r="V41" i="9"/>
  <c r="X10" i="9"/>
  <c r="Z27" i="9"/>
  <c r="X39" i="9"/>
  <c r="V27" i="9"/>
  <c r="Z46" i="9"/>
  <c r="X46" i="9"/>
  <c r="Z9" i="9"/>
  <c r="V9" i="9"/>
  <c r="Z14" i="9"/>
  <c r="X14" i="9"/>
  <c r="Z26" i="9"/>
  <c r="Z42" i="9"/>
  <c r="X42" i="9"/>
  <c r="V22" i="9"/>
  <c r="X23" i="9"/>
  <c r="T23" i="9"/>
  <c r="X7" i="9"/>
  <c r="V5" i="9"/>
  <c r="X35" i="9"/>
  <c r="Z38" i="9"/>
  <c r="X38" i="9"/>
  <c r="Z41" i="9"/>
  <c r="X41" i="9"/>
  <c r="X44" i="9"/>
  <c r="X47" i="9"/>
  <c r="V45" i="9"/>
  <c r="Z45" i="9"/>
  <c r="X45" i="9"/>
  <c r="Z33" i="9"/>
  <c r="X33" i="9"/>
  <c r="X37" i="9"/>
  <c r="Z43" i="9"/>
  <c r="X43" i="9"/>
  <c r="Z17" i="9"/>
  <c r="Z19" i="9"/>
  <c r="X19" i="9"/>
  <c r="Z21" i="9"/>
  <c r="X21" i="9"/>
  <c r="V28" i="9"/>
  <c r="Z6" i="9"/>
  <c r="Z48" i="9"/>
  <c r="X48" i="9"/>
  <c r="M49" i="9"/>
  <c r="X4" i="9"/>
  <c r="Y6" i="9"/>
  <c r="X11" i="9"/>
  <c r="T11" i="9"/>
  <c r="Z22" i="9"/>
  <c r="Y22" i="9"/>
  <c r="X22" i="9"/>
  <c r="Y39" i="9"/>
  <c r="Y42" i="9"/>
  <c r="Y48" i="9"/>
  <c r="Z31" i="9"/>
  <c r="X31" i="9"/>
  <c r="V37" i="9"/>
  <c r="V43" i="9"/>
  <c r="V46" i="9"/>
  <c r="T10" i="9"/>
  <c r="O13" i="9"/>
  <c r="T22" i="9"/>
  <c r="O25" i="9"/>
  <c r="V32" i="9"/>
  <c r="V33" i="9"/>
  <c r="P35" i="9"/>
  <c r="V35" i="9" s="1"/>
  <c r="P36" i="9"/>
  <c r="Z36" i="9" s="1"/>
  <c r="P37" i="9"/>
  <c r="Z37" i="9" s="1"/>
  <c r="P38" i="9"/>
  <c r="Y38" i="9" s="1"/>
  <c r="P39" i="9"/>
  <c r="Z39" i="9" s="1"/>
  <c r="P40" i="9"/>
  <c r="V40" i="9" s="1"/>
  <c r="P41" i="9"/>
  <c r="Y41" i="9" s="1"/>
  <c r="P42" i="9"/>
  <c r="P43" i="9"/>
  <c r="Y43" i="9" s="1"/>
  <c r="P44" i="9"/>
  <c r="U44" i="9" s="1"/>
  <c r="P45" i="9"/>
  <c r="Y45" i="9" s="1"/>
  <c r="P46" i="9"/>
  <c r="Y46" i="9" s="1"/>
  <c r="P47" i="9"/>
  <c r="U47" i="9" s="1"/>
  <c r="P11" i="9"/>
  <c r="Y11" i="9" s="1"/>
  <c r="P23" i="9"/>
  <c r="U23" i="9" s="1"/>
  <c r="Z28" i="9"/>
  <c r="X8" i="9"/>
  <c r="P13" i="9"/>
  <c r="V13" i="9" s="1"/>
  <c r="O14" i="9"/>
  <c r="X20" i="9"/>
  <c r="P25" i="9"/>
  <c r="V25" i="9" s="1"/>
  <c r="O26" i="9"/>
  <c r="Y31" i="9"/>
  <c r="X32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O15" i="9"/>
  <c r="T15" i="9" s="1"/>
  <c r="O27" i="9"/>
  <c r="U38" i="9"/>
  <c r="U41" i="9"/>
  <c r="U42" i="9"/>
  <c r="U43" i="9"/>
  <c r="U45" i="9"/>
  <c r="U46" i="9"/>
  <c r="U48" i="9"/>
  <c r="O4" i="9"/>
  <c r="U12" i="9"/>
  <c r="P15" i="9"/>
  <c r="Z15" i="9" s="1"/>
  <c r="O16" i="9"/>
  <c r="X16" i="9" s="1"/>
  <c r="U24" i="9"/>
  <c r="P27" i="9"/>
  <c r="O28" i="9"/>
  <c r="P4" i="9"/>
  <c r="P5" i="9"/>
  <c r="Y5" i="9" s="1"/>
  <c r="X12" i="9"/>
  <c r="P17" i="9"/>
  <c r="Y17" i="9" s="1"/>
  <c r="X24" i="9"/>
  <c r="P29" i="9"/>
  <c r="Y29" i="9" s="1"/>
  <c r="R34" i="9"/>
  <c r="P30" i="9"/>
  <c r="T5" i="9"/>
  <c r="P7" i="9"/>
  <c r="V7" i="9" s="1"/>
  <c r="T17" i="9"/>
  <c r="P19" i="9"/>
  <c r="V19" i="9" s="1"/>
  <c r="T29" i="9"/>
  <c r="P31" i="9"/>
  <c r="P6" i="9"/>
  <c r="X13" i="9"/>
  <c r="P18" i="9"/>
  <c r="Y18" i="9" s="1"/>
  <c r="X25" i="9"/>
  <c r="P8" i="9"/>
  <c r="U8" i="9" s="1"/>
  <c r="O9" i="9"/>
  <c r="U17" i="9"/>
  <c r="P20" i="9"/>
  <c r="U20" i="9" s="1"/>
  <c r="O21" i="9"/>
  <c r="T30" i="9"/>
  <c r="P32" i="9"/>
  <c r="O33" i="9"/>
  <c r="I49" i="9"/>
  <c r="T7" i="9"/>
  <c r="T19" i="9"/>
  <c r="T31" i="9"/>
  <c r="P10" i="9"/>
  <c r="Z10" i="9" s="1"/>
  <c r="P22" i="9"/>
  <c r="U22" i="9" s="1"/>
  <c r="I28" i="3"/>
  <c r="K28" i="3"/>
  <c r="L28" i="3"/>
  <c r="M28" i="3" s="1"/>
  <c r="I29" i="3"/>
  <c r="O29" i="3" s="1"/>
  <c r="T29" i="3" s="1"/>
  <c r="K29" i="3"/>
  <c r="L29" i="3"/>
  <c r="M29" i="3" s="1"/>
  <c r="I30" i="3"/>
  <c r="K30" i="3"/>
  <c r="L30" i="3"/>
  <c r="M30" i="3" s="1"/>
  <c r="I31" i="3"/>
  <c r="O31" i="3" s="1"/>
  <c r="T31" i="3" s="1"/>
  <c r="K31" i="3"/>
  <c r="L31" i="3"/>
  <c r="M31" i="3" s="1"/>
  <c r="I32" i="3"/>
  <c r="O32" i="3" s="1"/>
  <c r="K32" i="3"/>
  <c r="L32" i="3"/>
  <c r="M32" i="3" s="1"/>
  <c r="I33" i="3"/>
  <c r="K33" i="3"/>
  <c r="L33" i="3"/>
  <c r="M33" i="3" s="1"/>
  <c r="L26" i="3"/>
  <c r="L25" i="3"/>
  <c r="L24" i="3"/>
  <c r="L23" i="3"/>
  <c r="L22" i="3"/>
  <c r="L21" i="3"/>
  <c r="L20" i="3"/>
  <c r="L19" i="3"/>
  <c r="L34" i="3"/>
  <c r="L35" i="3"/>
  <c r="M35" i="3" s="1"/>
  <c r="K34" i="3"/>
  <c r="K35" i="3"/>
  <c r="I35" i="3"/>
  <c r="O35" i="3" s="1"/>
  <c r="V49" i="9" l="1"/>
  <c r="U10" i="9"/>
  <c r="V10" i="9"/>
  <c r="Z35" i="9"/>
  <c r="P49" i="9"/>
  <c r="U7" i="9"/>
  <c r="Y37" i="9"/>
  <c r="V36" i="9"/>
  <c r="Z40" i="9"/>
  <c r="Y9" i="9"/>
  <c r="T9" i="9"/>
  <c r="U9" i="9"/>
  <c r="U33" i="9"/>
  <c r="T33" i="9"/>
  <c r="Y33" i="9"/>
  <c r="V15" i="9"/>
  <c r="Z11" i="9"/>
  <c r="U39" i="9"/>
  <c r="V8" i="9"/>
  <c r="Y47" i="9"/>
  <c r="U19" i="9"/>
  <c r="Y40" i="9"/>
  <c r="V18" i="9"/>
  <c r="U18" i="9"/>
  <c r="U40" i="9"/>
  <c r="Y25" i="9"/>
  <c r="U25" i="9"/>
  <c r="T25" i="9"/>
  <c r="V4" i="9"/>
  <c r="U11" i="9"/>
  <c r="Y44" i="9"/>
  <c r="Z7" i="9"/>
  <c r="V17" i="9"/>
  <c r="Y10" i="9"/>
  <c r="Y27" i="9"/>
  <c r="X27" i="9"/>
  <c r="U27" i="9"/>
  <c r="V23" i="9"/>
  <c r="U29" i="9"/>
  <c r="V6" i="9"/>
  <c r="U6" i="9"/>
  <c r="Y21" i="9"/>
  <c r="T21" i="9"/>
  <c r="U21" i="9"/>
  <c r="Y4" i="9"/>
  <c r="T4" i="9"/>
  <c r="U4" i="9"/>
  <c r="O49" i="9"/>
  <c r="T49" i="9" s="1"/>
  <c r="U37" i="9"/>
  <c r="Y19" i="9"/>
  <c r="Z47" i="9"/>
  <c r="Z5" i="9"/>
  <c r="V39" i="9"/>
  <c r="Z49" i="9"/>
  <c r="Y23" i="9"/>
  <c r="Z23" i="9"/>
  <c r="X9" i="9"/>
  <c r="Y16" i="9"/>
  <c r="T16" i="9"/>
  <c r="U16" i="9"/>
  <c r="T27" i="9"/>
  <c r="Y26" i="9"/>
  <c r="U26" i="9"/>
  <c r="T26" i="9"/>
  <c r="V11" i="9"/>
  <c r="U36" i="9"/>
  <c r="Y14" i="9"/>
  <c r="U14" i="9"/>
  <c r="T14" i="9"/>
  <c r="Y13" i="9"/>
  <c r="U13" i="9"/>
  <c r="T13" i="9"/>
  <c r="X26" i="9"/>
  <c r="V47" i="9"/>
  <c r="V29" i="9"/>
  <c r="U35" i="9"/>
  <c r="Y8" i="9"/>
  <c r="Y35" i="9"/>
  <c r="Y20" i="9"/>
  <c r="Z44" i="9"/>
  <c r="V20" i="9"/>
  <c r="V44" i="9"/>
  <c r="Z18" i="9"/>
  <c r="Y28" i="9"/>
  <c r="X28" i="9"/>
  <c r="U28" i="9"/>
  <c r="T28" i="9"/>
  <c r="Y15" i="9"/>
  <c r="X15" i="9"/>
  <c r="U15" i="9"/>
  <c r="Y7" i="9"/>
  <c r="Y36" i="9"/>
  <c r="U5" i="9"/>
  <c r="Z29" i="9"/>
  <c r="Z4" i="9"/>
  <c r="Z20" i="9"/>
  <c r="K51" i="9"/>
  <c r="X31" i="3"/>
  <c r="X29" i="3"/>
  <c r="O30" i="3"/>
  <c r="O28" i="3"/>
  <c r="X28" i="3" s="1"/>
  <c r="O33" i="3"/>
  <c r="T33" i="3" s="1"/>
  <c r="X32" i="3"/>
  <c r="T32" i="3"/>
  <c r="T35" i="3"/>
  <c r="X35" i="3"/>
  <c r="X49" i="9" l="1"/>
  <c r="Y49" i="9"/>
  <c r="U49" i="9"/>
  <c r="T30" i="3"/>
  <c r="T28" i="3"/>
  <c r="X30" i="3"/>
  <c r="X33" i="3"/>
  <c r="I21" i="3"/>
  <c r="I22" i="3"/>
  <c r="I23" i="3"/>
  <c r="I24" i="3"/>
  <c r="I25" i="3"/>
  <c r="I26" i="3"/>
  <c r="I5" i="3"/>
  <c r="L5" i="3"/>
  <c r="I6" i="3"/>
  <c r="L6" i="3"/>
  <c r="I7" i="3"/>
  <c r="L7" i="3"/>
  <c r="I8" i="3"/>
  <c r="L8" i="3"/>
  <c r="I9" i="3"/>
  <c r="L9" i="3"/>
  <c r="I10" i="3"/>
  <c r="L10" i="3"/>
  <c r="I11" i="3"/>
  <c r="L11" i="3"/>
  <c r="I12" i="3"/>
  <c r="L12" i="3"/>
  <c r="I13" i="3"/>
  <c r="L13" i="3"/>
  <c r="I14" i="3"/>
  <c r="L14" i="3"/>
  <c r="I15" i="3"/>
  <c r="L15" i="3"/>
  <c r="I16" i="3"/>
  <c r="L16" i="3"/>
  <c r="L17" i="3"/>
  <c r="I18" i="3"/>
  <c r="L18" i="3"/>
  <c r="I19" i="3"/>
  <c r="I20" i="3"/>
  <c r="M27" i="3"/>
  <c r="I34" i="3"/>
  <c r="M34" i="3"/>
  <c r="L4" i="3"/>
  <c r="O4" i="3" l="1"/>
  <c r="E36" i="3"/>
  <c r="R14" i="3"/>
  <c r="R9" i="3"/>
  <c r="V9" i="3" s="1"/>
  <c r="R8" i="3"/>
  <c r="R17" i="3"/>
  <c r="R16" i="3"/>
  <c r="R13" i="3"/>
  <c r="R10" i="3"/>
  <c r="R18" i="3"/>
  <c r="R15" i="3"/>
  <c r="R12" i="3"/>
  <c r="O34" i="3"/>
  <c r="X34" i="3" s="1"/>
  <c r="R22" i="3"/>
  <c r="M22" i="3"/>
  <c r="K22" i="3"/>
  <c r="O5" i="3"/>
  <c r="M20" i="3"/>
  <c r="K20" i="3"/>
  <c r="M26" i="3"/>
  <c r="K26" i="3"/>
  <c r="K21" i="3"/>
  <c r="M21" i="3"/>
  <c r="K25" i="3"/>
  <c r="M25" i="3"/>
  <c r="M24" i="3"/>
  <c r="K24" i="3"/>
  <c r="K19" i="3"/>
  <c r="M19" i="3"/>
  <c r="K23" i="3"/>
  <c r="M23" i="3"/>
  <c r="R23" i="3"/>
  <c r="R26" i="3"/>
  <c r="R21" i="3"/>
  <c r="R25" i="3"/>
  <c r="R24" i="3"/>
  <c r="M4" i="3"/>
  <c r="R20" i="3"/>
  <c r="R5" i="3"/>
  <c r="R19" i="3"/>
  <c r="K11" i="3"/>
  <c r="M11" i="3"/>
  <c r="K6" i="3"/>
  <c r="M6" i="3"/>
  <c r="K16" i="3"/>
  <c r="M16" i="3"/>
  <c r="K13" i="3"/>
  <c r="M13" i="3"/>
  <c r="K10" i="3"/>
  <c r="M10" i="3"/>
  <c r="K7" i="3"/>
  <c r="M7" i="3"/>
  <c r="R7" i="3"/>
  <c r="K12" i="3"/>
  <c r="M12" i="3"/>
  <c r="R11" i="3"/>
  <c r="R6" i="3"/>
  <c r="K18" i="3"/>
  <c r="M18" i="3"/>
  <c r="K9" i="3"/>
  <c r="M9" i="3"/>
  <c r="K15" i="3"/>
  <c r="M15" i="3"/>
  <c r="K17" i="3"/>
  <c r="M17" i="3"/>
  <c r="K14" i="3"/>
  <c r="M14" i="3"/>
  <c r="K8" i="3"/>
  <c r="M8" i="3"/>
  <c r="M5" i="3"/>
  <c r="K5" i="3"/>
  <c r="R4" i="3"/>
  <c r="K36" i="3" l="1"/>
  <c r="T34" i="3"/>
  <c r="O19" i="3"/>
  <c r="T19" i="3" s="1"/>
  <c r="O20" i="3"/>
  <c r="X20" i="3" s="1"/>
  <c r="O23" i="3"/>
  <c r="X23" i="3" s="1"/>
  <c r="O24" i="3"/>
  <c r="O21" i="3"/>
  <c r="X21" i="3" s="1"/>
  <c r="X4" i="3"/>
  <c r="O12" i="3"/>
  <c r="Z6" i="3"/>
  <c r="Z8" i="3"/>
  <c r="O15" i="3"/>
  <c r="O10" i="3"/>
  <c r="X10" i="3" s="1"/>
  <c r="O6" i="3"/>
  <c r="X6" i="3" s="1"/>
  <c r="O8" i="3"/>
  <c r="X8" i="3" s="1"/>
  <c r="O22" i="3"/>
  <c r="X22" i="3" s="1"/>
  <c r="O25" i="3"/>
  <c r="T25" i="3" s="1"/>
  <c r="Z9" i="3"/>
  <c r="O18" i="3"/>
  <c r="O9" i="3"/>
  <c r="O11" i="3"/>
  <c r="X11" i="3" s="1"/>
  <c r="O26" i="3"/>
  <c r="X26" i="3" s="1"/>
  <c r="T5" i="3"/>
  <c r="O13" i="3"/>
  <c r="X13" i="3" s="1"/>
  <c r="O14" i="3"/>
  <c r="Z7" i="3"/>
  <c r="O17" i="3"/>
  <c r="X17" i="3" s="1"/>
  <c r="O7" i="3"/>
  <c r="X5" i="3"/>
  <c r="Z14" i="3"/>
  <c r="O16" i="3"/>
  <c r="X16" i="3" s="1"/>
  <c r="R27" i="3"/>
  <c r="I36" i="3"/>
  <c r="M36" i="3"/>
  <c r="T24" i="3" l="1"/>
  <c r="X25" i="3"/>
  <c r="X19" i="3"/>
  <c r="T22" i="3"/>
  <c r="T6" i="3"/>
  <c r="T11" i="3"/>
  <c r="U7" i="3"/>
  <c r="Y7" i="3"/>
  <c r="U9" i="3"/>
  <c r="Y9" i="3"/>
  <c r="T9" i="3"/>
  <c r="T18" i="3"/>
  <c r="T21" i="3"/>
  <c r="T13" i="3"/>
  <c r="T26" i="3"/>
  <c r="X9" i="3"/>
  <c r="T8" i="3"/>
  <c r="Y8" i="3"/>
  <c r="U8" i="3"/>
  <c r="T15" i="3"/>
  <c r="T12" i="3"/>
  <c r="X18" i="3"/>
  <c r="T20" i="3"/>
  <c r="T17" i="3"/>
  <c r="T7" i="3"/>
  <c r="X12" i="3"/>
  <c r="T4" i="3"/>
  <c r="X7" i="3"/>
  <c r="T14" i="3"/>
  <c r="U6" i="3"/>
  <c r="Y6" i="3"/>
  <c r="X15" i="3"/>
  <c r="X24" i="3"/>
  <c r="T16" i="3"/>
  <c r="X14" i="3"/>
  <c r="T10" i="3"/>
  <c r="T23" i="3"/>
  <c r="S27" i="3"/>
  <c r="R36" i="3" s="1"/>
  <c r="O36" i="3"/>
  <c r="X36" i="3" l="1"/>
  <c r="T36" i="3"/>
  <c r="P29" i="3" l="1"/>
  <c r="P31" i="3"/>
  <c r="P28" i="3"/>
  <c r="P30" i="3"/>
  <c r="P33" i="3"/>
  <c r="P32" i="3"/>
  <c r="P34" i="3"/>
  <c r="P35" i="3"/>
  <c r="C43" i="3"/>
  <c r="P4" i="3" s="1"/>
  <c r="V30" i="3" l="1"/>
  <c r="Z30" i="3"/>
  <c r="Y30" i="3"/>
  <c r="U30" i="3"/>
  <c r="V31" i="3"/>
  <c r="Y31" i="3"/>
  <c r="Z31" i="3"/>
  <c r="U31" i="3"/>
  <c r="P11" i="3"/>
  <c r="P26" i="3"/>
  <c r="P6" i="3"/>
  <c r="V6" i="3" s="1"/>
  <c r="P23" i="3"/>
  <c r="P21" i="3"/>
  <c r="P13" i="3"/>
  <c r="P7" i="3"/>
  <c r="V7" i="3" s="1"/>
  <c r="P14" i="3"/>
  <c r="V14" i="3" s="1"/>
  <c r="P17" i="3"/>
  <c r="P10" i="3"/>
  <c r="P25" i="3"/>
  <c r="P12" i="3"/>
  <c r="P9" i="3"/>
  <c r="P20" i="3"/>
  <c r="P19" i="3"/>
  <c r="P8" i="3"/>
  <c r="V8" i="3" s="1"/>
  <c r="P18" i="3"/>
  <c r="P5" i="3"/>
  <c r="P16" i="3"/>
  <c r="P15" i="3"/>
  <c r="P24" i="3"/>
  <c r="V28" i="3"/>
  <c r="Z28" i="3"/>
  <c r="Y28" i="3"/>
  <c r="U28" i="3"/>
  <c r="V29" i="3"/>
  <c r="U29" i="3"/>
  <c r="Z29" i="3"/>
  <c r="Y29" i="3"/>
  <c r="Z32" i="3"/>
  <c r="V32" i="3"/>
  <c r="U32" i="3"/>
  <c r="Y32" i="3"/>
  <c r="U33" i="3"/>
  <c r="V33" i="3"/>
  <c r="Y33" i="3"/>
  <c r="Z33" i="3"/>
  <c r="V35" i="3"/>
  <c r="Z35" i="3"/>
  <c r="Y35" i="3"/>
  <c r="U35" i="3"/>
  <c r="V34" i="3"/>
  <c r="Y34" i="3"/>
  <c r="Z34" i="3"/>
  <c r="U34" i="3"/>
  <c r="Z19" i="3" l="1"/>
  <c r="V19" i="3"/>
  <c r="Z24" i="3"/>
  <c r="V24" i="3"/>
  <c r="Y24" i="3"/>
  <c r="Z26" i="3"/>
  <c r="V26" i="3"/>
  <c r="Z12" i="3"/>
  <c r="V12" i="3"/>
  <c r="Z25" i="3"/>
  <c r="V25" i="3"/>
  <c r="Z15" i="3"/>
  <c r="V15" i="3"/>
  <c r="Z17" i="3"/>
  <c r="V17" i="3"/>
  <c r="Z5" i="3"/>
  <c r="V5" i="3"/>
  <c r="Z22" i="3"/>
  <c r="V22" i="3"/>
  <c r="Z23" i="3"/>
  <c r="V23" i="3"/>
  <c r="Z13" i="3"/>
  <c r="V13" i="3"/>
  <c r="Z20" i="3"/>
  <c r="V20" i="3"/>
  <c r="Z11" i="3"/>
  <c r="V11" i="3"/>
  <c r="Z10" i="3"/>
  <c r="V10" i="3"/>
  <c r="Z16" i="3"/>
  <c r="V16" i="3"/>
  <c r="Z18" i="3"/>
  <c r="V18" i="3"/>
  <c r="Z4" i="3"/>
  <c r="V4" i="3"/>
  <c r="Y4" i="3"/>
  <c r="Z21" i="3"/>
  <c r="V21" i="3"/>
  <c r="U26" i="3"/>
  <c r="Y26" i="3"/>
  <c r="U18" i="3"/>
  <c r="Y18" i="3"/>
  <c r="Y5" i="3"/>
  <c r="U5" i="3"/>
  <c r="Y13" i="3"/>
  <c r="U13" i="3"/>
  <c r="U24" i="3"/>
  <c r="Y16" i="3"/>
  <c r="U16" i="3"/>
  <c r="U19" i="3"/>
  <c r="Y19" i="3"/>
  <c r="U15" i="3"/>
  <c r="Y15" i="3"/>
  <c r="Y17" i="3"/>
  <c r="U17" i="3"/>
  <c r="U11" i="3"/>
  <c r="Y11" i="3"/>
  <c r="U21" i="3"/>
  <c r="Y21" i="3"/>
  <c r="Y12" i="3"/>
  <c r="U12" i="3"/>
  <c r="U10" i="3"/>
  <c r="Y10" i="3"/>
  <c r="Y22" i="3"/>
  <c r="U22" i="3"/>
  <c r="U20" i="3"/>
  <c r="Y20" i="3"/>
  <c r="U23" i="3"/>
  <c r="Y23" i="3"/>
  <c r="U25" i="3"/>
  <c r="Y25" i="3"/>
  <c r="U14" i="3"/>
  <c r="Y14" i="3"/>
  <c r="U4" i="3"/>
  <c r="P36" i="3"/>
  <c r="V36" i="3" l="1"/>
  <c r="Z36" i="3"/>
  <c r="Y36" i="3"/>
  <c r="U36" i="3"/>
</calcChain>
</file>

<file path=xl/sharedStrings.xml><?xml version="1.0" encoding="utf-8"?>
<sst xmlns="http://schemas.openxmlformats.org/spreadsheetml/2006/main" count="439" uniqueCount="218">
  <si>
    <t>Program Year:</t>
  </si>
  <si>
    <t>CASCADE NATURAL GAS CORPORATION</t>
  </si>
  <si>
    <t xml:space="preserve">COMMERCIAL Program Participant Cost Effectiveness </t>
  </si>
  <si>
    <t>Measure Mapping</t>
  </si>
  <si>
    <t>MEASURE</t>
  </si>
  <si>
    <t>DESCRIPTION</t>
  </si>
  <si>
    <t>EFFICIENCY TYPE FOR QUALIFICATION</t>
  </si>
  <si>
    <t>TOTAL MEASURE COUNT</t>
  </si>
  <si>
    <t>ANNUAL THERM SAVINGS</t>
  </si>
  <si>
    <t>UNIT</t>
  </si>
  <si>
    <t>UNITS INSTALLED</t>
  </si>
  <si>
    <t>TOTAL ANNUAL THERM SAVINGS</t>
  </si>
  <si>
    <t>MEASURE INCREMENTAL COST</t>
  </si>
  <si>
    <t>TOTAL INCREMENTAL COST</t>
  </si>
  <si>
    <t>PARTICIPANT NEBS</t>
  </si>
  <si>
    <t>TOTAL  NET  INCREMENTAL  COST  WITH  NEBS</t>
  </si>
  <si>
    <t>MEASURE LIFE</t>
  </si>
  <si>
    <t>DISCOUNTED THERM SAVINGS</t>
  </si>
  <si>
    <t>PROGRAM DELIVERY AND ADMIN</t>
  </si>
  <si>
    <t>PROGRAM REBATE</t>
  </si>
  <si>
    <t>CALCULATED REBATE COST</t>
  </si>
  <si>
    <t>REBATES BASED ON CAPPED INCENTIVES</t>
  </si>
  <si>
    <t>UTILITY  COST</t>
  </si>
  <si>
    <t>UC  W/DELIVERY  &amp;  ADMIN</t>
  </si>
  <si>
    <t>LOADED  UTILITY  BENEFIT  TO  COST  RATIO</t>
  </si>
  <si>
    <t>TOTAL  RESOURCE  COST</t>
  </si>
  <si>
    <t>TRC  W/DELIVERY  &amp;  ADMIN</t>
  </si>
  <si>
    <t>LOADED  SOCIETAL  BENEFIT  TO  COST  RATIO</t>
  </si>
  <si>
    <t>COMBOILERS-4-1-22</t>
  </si>
  <si>
    <t>Boiler</t>
  </si>
  <si>
    <t>High-Efficiency-Condensing Boiler</t>
  </si>
  <si>
    <t>Minimum 90% Thermal Efficiency and 300 kBtu/hr input</t>
  </si>
  <si>
    <t>/kBtu/hr in</t>
  </si>
  <si>
    <t>COMBOILMID-4-1-22</t>
  </si>
  <si>
    <t>Mid-Efficiency-Condensing Boiler</t>
  </si>
  <si>
    <t>Minimum 85% Thermal Efficiency and 300 kBtu/hr input</t>
  </si>
  <si>
    <t>COMINSBNDL-7-17</t>
  </si>
  <si>
    <t>Bonus - Insulation Bundle A</t>
  </si>
  <si>
    <t>Insulation Bundle A</t>
  </si>
  <si>
    <t>Two Insulation Measures, min. 1000 sq. ft.+</t>
  </si>
  <si>
    <t>/unit</t>
  </si>
  <si>
    <t>COMFSBNDLA2-19-19</t>
  </si>
  <si>
    <t>Bonus - Kitchen Bundle B (2 - measures)</t>
  </si>
  <si>
    <t>Foodservice Bundle B</t>
  </si>
  <si>
    <t>Any 2 Kitchen equipment measures</t>
  </si>
  <si>
    <t>COMFSBNDLB2-19-19</t>
  </si>
  <si>
    <t>Bonus - Kitchen Bundle C (3 or more measures)</t>
  </si>
  <si>
    <t>Foodservice Bundle C</t>
  </si>
  <si>
    <t>Any 3 Kitchen equipment measures</t>
  </si>
  <si>
    <t>COMRADNTBNDL</t>
  </si>
  <si>
    <t>Bonus - Radiant Bundle E (radiant &amp; insulation)</t>
  </si>
  <si>
    <t>Radiant Bundle E</t>
  </si>
  <si>
    <t>Any combination of radiant heating and insulation</t>
  </si>
  <si>
    <t>COMFSOVENLODGE2-19-19</t>
  </si>
  <si>
    <t>Convection Oven (Lodging)</t>
  </si>
  <si>
    <t>Energy Star</t>
  </si>
  <si>
    <t>&gt;= 44% Cooking Efficiency,&lt;= 13,000 Btu/hr Idle Rate</t>
  </si>
  <si>
    <t>/oven</t>
  </si>
  <si>
    <t>COMFSOVENREST2-19-19</t>
  </si>
  <si>
    <t>Convection Oven (Restaurant)</t>
  </si>
  <si>
    <t>COMDHWTSCT-4-1-22</t>
  </si>
  <si>
    <t>Domestic Hot Water Tanks - Condensing</t>
  </si>
  <si>
    <t>Condensing Tank</t>
  </si>
  <si>
    <t>Minimum 91% AFUE or 91% Thermal Efficiency</t>
  </si>
  <si>
    <t>COMFSDOVEN2-19-19</t>
  </si>
  <si>
    <t>Double Rack Oven</t>
  </si>
  <si>
    <t>FSTC Qualified</t>
  </si>
  <si>
    <t>&gt;=50% Cooking Efficiency, &lt;=35,000 Btu/hr Idle Rate</t>
  </si>
  <si>
    <t>COMHVACCON2-19-19</t>
  </si>
  <si>
    <t>HVAC Unit Heater - Condensing</t>
  </si>
  <si>
    <t>High Efficiency Condensing</t>
  </si>
  <si>
    <t>Minimum 91% AFUE</t>
  </si>
  <si>
    <t>COMIAT12-19-19</t>
  </si>
  <si>
    <t>Insulation - Attic - Tier 1 - Min R-30</t>
  </si>
  <si>
    <t>Attic Insulation</t>
  </si>
  <si>
    <t>Tier 1 /  Minimum R-30</t>
  </si>
  <si>
    <t>/sq.ft.</t>
  </si>
  <si>
    <t>COMIAT22-19-19</t>
  </si>
  <si>
    <t>Insulation - Attic - Tier 2 - Min R-45</t>
  </si>
  <si>
    <t>Tier 2 /  Minimum R-45</t>
  </si>
  <si>
    <t>COMFLOORINS-4-1-22</t>
  </si>
  <si>
    <t>Insulation - Floor</t>
  </si>
  <si>
    <t>Floor Insulation</t>
  </si>
  <si>
    <t>Equal to or greater than R-30 Post and equal to or less than R-11 Pre</t>
  </si>
  <si>
    <t>/sq. ft.</t>
  </si>
  <si>
    <t>COMPIPINS1.52-19-19</t>
  </si>
  <si>
    <t>Insulation - Pipe - 1.5"</t>
  </si>
  <si>
    <t xml:space="preserve">1.5" Thick Pipe Insulation </t>
  </si>
  <si>
    <t>Retrofit for T&gt;140F&lt;=200F</t>
  </si>
  <si>
    <t>/LF</t>
  </si>
  <si>
    <t>COMIRT2-4-1-22</t>
  </si>
  <si>
    <t>Insulation - Roof - Tier 2 - Min R-30</t>
  </si>
  <si>
    <t>Roof Insulation</t>
  </si>
  <si>
    <t>Tier 2 /  Minimum R-30</t>
  </si>
  <si>
    <t>COMIWT2-4-1-22</t>
  </si>
  <si>
    <t>Insulation - Wall - Tier 2 - Min R-19</t>
  </si>
  <si>
    <t>Wall Insulation</t>
  </si>
  <si>
    <t>Tier 2 /  Minimum R-19</t>
  </si>
  <si>
    <t>COMRADIANT2-19-19</t>
  </si>
  <si>
    <t>Radiant Heating</t>
  </si>
  <si>
    <t>Direct-fired Radiant Heating</t>
  </si>
  <si>
    <t>None</t>
  </si>
  <si>
    <t>COMTANKLESST12-19-19</t>
  </si>
  <si>
    <t>Tankless Water Heater</t>
  </si>
  <si>
    <t>Minimum .87 Energy Factor</t>
  </si>
  <si>
    <t>/gpm</t>
  </si>
  <si>
    <t>COMTANKLESST22-19-19</t>
  </si>
  <si>
    <t>Tankless Water Heater - Tier 2</t>
  </si>
  <si>
    <t>Minimum .93 Energy Factor</t>
  </si>
  <si>
    <t>COMFURNACE2-19-19</t>
  </si>
  <si>
    <t>Warm-Air Furnace</t>
  </si>
  <si>
    <t>High-Efficiency Condensing Furnace</t>
  </si>
  <si>
    <t>Minimum  91% AFUE</t>
  </si>
  <si>
    <t>COMWINDOWS-4-1-22</t>
  </si>
  <si>
    <t>Windows - Tier 1</t>
  </si>
  <si>
    <t>Single pane to .30 or less (not LoadMAP's .50 to .22) per sq ft</t>
  </si>
  <si>
    <t>0.30 or less U</t>
  </si>
  <si>
    <t>COMWINDOW2-4-1-22</t>
  </si>
  <si>
    <t>Windows - Tier 2</t>
  </si>
  <si>
    <t>Single pane to .22 or less (not LoadMAP's .50 to .22) per sq ft</t>
  </si>
  <si>
    <t>0.22 or less U</t>
  </si>
  <si>
    <t>Custom Measures</t>
  </si>
  <si>
    <t>008636-C-Town and Country Mar</t>
  </si>
  <si>
    <t>Refrigerated case doors</t>
  </si>
  <si>
    <t>008586-C-SEDRO-WOOLLEY SCH DI</t>
  </si>
  <si>
    <t>HVAC Control Upgrades</t>
  </si>
  <si>
    <t>008607-C-TONY'S COFFEE AND TE</t>
  </si>
  <si>
    <t>Coffee roaster</t>
  </si>
  <si>
    <t>008638-C-KENNEWICK SCHOOL DIS</t>
  </si>
  <si>
    <t>Energy recovery units 5,000 cfm</t>
  </si>
  <si>
    <t>008619-C-Valley Church</t>
  </si>
  <si>
    <t>R13 wall insulation</t>
  </si>
  <si>
    <t>008620-C-SAKUMA BROS FARMS</t>
  </si>
  <si>
    <t>R49 attic insulation</t>
  </si>
  <si>
    <t>R21 floor insulation</t>
  </si>
  <si>
    <t>008582-C-Christian Hope Association</t>
  </si>
  <si>
    <t>R40 attic insulation</t>
  </si>
  <si>
    <t>TOTAL PROGRAM</t>
  </si>
  <si>
    <t>Nominal interest rate (post tax cost of cap.)</t>
  </si>
  <si>
    <t>non-energy</t>
  </si>
  <si>
    <t>Inflation rate</t>
  </si>
  <si>
    <t>Long term real discount rate</t>
  </si>
  <si>
    <t>Total 2023 Program Admin.</t>
  </si>
  <si>
    <t>Custom Admin.</t>
  </si>
  <si>
    <t>Prescriptive Admin.</t>
  </si>
  <si>
    <t>COMBOILERS2-19-19</t>
  </si>
  <si>
    <t>COMDCV-7-17</t>
  </si>
  <si>
    <t>DCV</t>
  </si>
  <si>
    <t>Demand Control Ventilation</t>
  </si>
  <si>
    <t>Meet JUARC Guidelines for DCV RTUs in 5-20 ton</t>
  </si>
  <si>
    <t>/ton</t>
  </si>
  <si>
    <t>COMDHWTSCT</t>
  </si>
  <si>
    <t>COMFSFRYERREST2-19-19</t>
  </si>
  <si>
    <t>Fryer (Restaurant)</t>
  </si>
  <si>
    <t>&gt;=50% Cooking Efficiency</t>
  </si>
  <si>
    <t>/fryer</t>
  </si>
  <si>
    <t>COMFSCVROVEN2-19-19</t>
  </si>
  <si>
    <t>Gas Conveyor Oven</t>
  </si>
  <si>
    <t>FSTC Qualified Gas Fired Conveyor Oven</t>
  </si>
  <si>
    <t>&gt;=42% Baking Efficiency</t>
  </si>
  <si>
    <t>COMIRT12-19-19</t>
  </si>
  <si>
    <t>Insulation - Roof - Tier 1 - Min R-21</t>
  </si>
  <si>
    <t>Tier 1 /  Minimum R-21</t>
  </si>
  <si>
    <t>COMIRT22-19-19</t>
  </si>
  <si>
    <t>COMIWT22-19-19</t>
  </si>
  <si>
    <t>COMFSDISDL-7-17</t>
  </si>
  <si>
    <t>Low Temp Door Dishwasher</t>
  </si>
  <si>
    <t>&lt;=.6kW Idle Rate, &lt;= 1.18 gal/rack</t>
  </si>
  <si>
    <t>COMMTNFCTR</t>
  </si>
  <si>
    <t>Motion Faucet Controls</t>
  </si>
  <si>
    <t>Motion Controlled Faucet</t>
  </si>
  <si>
    <t>&lt;= 1.8 gpm, Watersense Certified</t>
  </si>
  <si>
    <t>/faucet</t>
  </si>
  <si>
    <t>COMWINDOWS2-19-19</t>
  </si>
  <si>
    <t>Windows</t>
  </si>
  <si>
    <t>Single pane to .27 or less (not LoadMAP's .50 to .22) per sq ft</t>
  </si>
  <si>
    <t>0.27 or less U</t>
  </si>
  <si>
    <t>COMRECOVBNDL</t>
  </si>
  <si>
    <t>Bonus - Re-COV-ery D (3 or more)</t>
  </si>
  <si>
    <t>Re-COV-ery Bundle D</t>
  </si>
  <si>
    <t>Any 3 measures for facilities under 50,000 sq ft</t>
  </si>
  <si>
    <t>008554-C</t>
  </si>
  <si>
    <t>008499-C</t>
  </si>
  <si>
    <t>Steam trap rebuild</t>
  </si>
  <si>
    <t>008553-C</t>
  </si>
  <si>
    <t>008555-C</t>
  </si>
  <si>
    <t>008556-C</t>
  </si>
  <si>
    <t>008550-C</t>
  </si>
  <si>
    <t>008551-C</t>
  </si>
  <si>
    <t>008552-C</t>
  </si>
  <si>
    <t>008521-C</t>
  </si>
  <si>
    <t>Heat Recovery Units</t>
  </si>
  <si>
    <t>008531-C</t>
  </si>
  <si>
    <t>Energy Recovery Ventilators</t>
  </si>
  <si>
    <t>008512-C</t>
  </si>
  <si>
    <t>Steam Boiler</t>
  </si>
  <si>
    <t>008503-C</t>
  </si>
  <si>
    <t>Kitchen MUA DCV</t>
  </si>
  <si>
    <t>008524-C</t>
  </si>
  <si>
    <t>Custom boiler</t>
  </si>
  <si>
    <t>008547-C</t>
  </si>
  <si>
    <t>Rafter insulation</t>
  </si>
  <si>
    <t>Total 2022 Program Admin.</t>
  </si>
  <si>
    <t>2018 INTEGRATED RESOURCE PLAN</t>
  </si>
  <si>
    <t>PORTFOLIO COST APPENDIX 1 TABLE H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</si>
  <si>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</si>
  <si>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</si>
  <si>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</si>
  <si>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</si>
  <si>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</si>
  <si>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</si>
  <si>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</si>
  <si>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</si>
  <si>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Cascade's Long Term Real Discount Rate:</t>
  </si>
  <si>
    <t>IRP Discount Rate =</t>
  </si>
  <si>
    <t>Revised Discount Rate=</t>
  </si>
  <si>
    <t>Years 21-45 Escalation =</t>
  </si>
  <si>
    <t>(EIA Inflation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</si>
</sst>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.000%"/>
    <numFmt numFmtId="166" formatCode="#,##0.000"/>
    <numFmt numFmtId="167" formatCode="&quot;$&quot;#,##0.00"/>
    <numFmt numFmtId="168" formatCode="_(&quot;$&quot;* #,##0_);_(&quot;$&quot;* \(#,##0\);_(&quot;$&quot;* &quot;-&quot;??_);_(@_)"/>
    <numFmt numFmtId="169" formatCode="_(* #,##0_);_(* \(#,##0\);_(* &quot;-&quot;??_);_(@_)"/>
    <numFmt numFmtId="170" formatCode="\$#,##0.00;\$\-#,##0.00"/>
    <numFmt numFmtId="171" formatCode="\$#,##0.00"/>
    <numFmt numFmtId="172" formatCode="\$#,##0.00;\$\(#,##0.00\)\ "/>
    <numFmt numFmtId="173" formatCode="\$#,##0.000"/>
    <numFmt numFmtId="174" formatCode="#,##0.000;\(#,##0.000\)\ "/>
    <numFmt numFmtId="175" formatCode="\$#,##0.000;\$\(#,##0.000\)\ "/>
    <numFmt numFmtId="176" formatCode="\$#,##0.00;\$\(#,##0.00\)"/>
    <numFmt numFmtId="177" formatCode="0.000"/>
    <numFmt numFmtId="178" formatCode="#,##0.00%"/>
    <numFmt numFmtId="179" formatCode="\$#,##0.0000;\$\-#,##0.0000"/>
    <numFmt numFmtId="180" formatCode="\$#,##0.##;\$\-#,##0.##"/>
    <numFmt numFmtId="181" formatCode="#,##0.00;\(#,##0.00\)\ "/>
  </numFmts>
  <fonts count="30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0"/>
      <name val="Arial"/>
      <family val="2"/>
    </font>
    <font>
      <sz val="10"/>
      <color rgb="FFFF0000"/>
      <name val="Times New Roman"/>
      <family val="1"/>
    </font>
    <font>
      <sz val="10"/>
      <color indexed="0"/>
      <name val="Arial"/>
      <family val="2"/>
    </font>
    <font>
      <b/>
      <sz val="10"/>
      <color theme="0"/>
      <name val="Times New Roman"/>
      <family val="1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  <font>
      <b/>
      <sz val="11"/>
      <color rgb="FFFFFFFF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AA6DB"/>
      </patternFill>
    </fill>
    <fill>
      <patternFill patternType="solid">
        <fgColor rgb="FFE8E6E6"/>
      </patternFill>
    </fill>
    <fill>
      <patternFill patternType="solid">
        <fgColor rgb="FFF89842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/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/>
      <top/>
      <bottom/>
      <diagonal/>
    </border>
    <border>
      <left/>
      <right style="medium">
        <color rgb="FFD6D2D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" fillId="0" borderId="0"/>
  </cellStyleXfs>
  <cellXfs count="13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center"/>
    </xf>
    <xf numFmtId="44" fontId="5" fillId="0" borderId="0" xfId="4" applyNumberFormat="1" applyFont="1" applyFill="1"/>
    <xf numFmtId="0" fontId="4" fillId="0" borderId="0" xfId="3" applyFont="1"/>
    <xf numFmtId="165" fontId="5" fillId="0" borderId="0" xfId="4" applyNumberFormat="1" applyFont="1" applyFill="1"/>
    <xf numFmtId="165" fontId="5" fillId="0" borderId="0" xfId="4" applyNumberFormat="1" applyFont="1"/>
    <xf numFmtId="165" fontId="5" fillId="0" borderId="0" xfId="3" applyNumberFormat="1" applyFont="1"/>
    <xf numFmtId="10" fontId="5" fillId="0" borderId="0" xfId="3" applyNumberFormat="1" applyFont="1"/>
    <xf numFmtId="10" fontId="5" fillId="0" borderId="0" xfId="4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2" fontId="5" fillId="0" borderId="0" xfId="2" applyNumberFormat="1" applyFont="1" applyFill="1" applyBorder="1"/>
    <xf numFmtId="0" fontId="5" fillId="0" borderId="0" xfId="1" applyNumberFormat="1" applyFont="1" applyFill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10" fontId="5" fillId="0" borderId="0" xfId="0" applyNumberFormat="1" applyFont="1" applyAlignment="1">
      <alignment horizontal="left"/>
    </xf>
    <xf numFmtId="10" fontId="5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68" fontId="4" fillId="0" borderId="0" xfId="2" applyNumberFormat="1" applyFont="1" applyFill="1" applyBorder="1" applyAlignment="1">
      <alignment horizontal="center"/>
    </xf>
    <xf numFmtId="169" fontId="4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/>
    <xf numFmtId="166" fontId="4" fillId="0" borderId="0" xfId="0" applyNumberFormat="1" applyFont="1" applyAlignment="1">
      <alignment horizontal="center"/>
    </xf>
    <xf numFmtId="2" fontId="5" fillId="0" borderId="0" xfId="1" applyNumberFormat="1" applyFont="1" applyFill="1" applyAlignment="1" applyProtection="1">
      <alignment horizontal="center"/>
    </xf>
    <xf numFmtId="3" fontId="9" fillId="0" borderId="0" xfId="1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center"/>
    </xf>
    <xf numFmtId="7" fontId="5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7" fontId="5" fillId="0" borderId="0" xfId="0" applyNumberFormat="1" applyFont="1"/>
    <xf numFmtId="4" fontId="4" fillId="0" borderId="0" xfId="0" applyNumberFormat="1" applyFont="1" applyAlignment="1">
      <alignment horizontal="right" vertical="center"/>
    </xf>
    <xf numFmtId="4" fontId="4" fillId="0" borderId="0" xfId="1" applyNumberFormat="1" applyFont="1" applyFill="1" applyBorder="1" applyAlignment="1">
      <alignment horizontal="right"/>
    </xf>
    <xf numFmtId="4" fontId="12" fillId="0" borderId="0" xfId="5" applyNumberFormat="1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170" fontId="20" fillId="0" borderId="3" xfId="0" applyNumberFormat="1" applyFont="1" applyBorder="1" applyAlignment="1">
      <alignment horizontal="center" vertical="center" wrapText="1"/>
    </xf>
    <xf numFmtId="171" fontId="20" fillId="0" borderId="3" xfId="0" applyNumberFormat="1" applyFont="1" applyBorder="1" applyAlignment="1">
      <alignment horizontal="center" vertical="center" wrapText="1"/>
    </xf>
    <xf numFmtId="172" fontId="20" fillId="0" borderId="3" xfId="0" applyNumberFormat="1" applyFont="1" applyBorder="1" applyAlignment="1">
      <alignment horizontal="center" vertical="center" wrapText="1"/>
    </xf>
    <xf numFmtId="173" fontId="20" fillId="0" borderId="3" xfId="0" applyNumberFormat="1" applyFont="1" applyBorder="1" applyAlignment="1">
      <alignment horizontal="center" vertical="center" wrapText="1"/>
    </xf>
    <xf numFmtId="174" fontId="20" fillId="0" borderId="3" xfId="0" applyNumberFormat="1" applyFont="1" applyBorder="1" applyAlignment="1">
      <alignment horizontal="center" vertical="center" wrapText="1"/>
    </xf>
    <xf numFmtId="175" fontId="20" fillId="0" borderId="3" xfId="0" applyNumberFormat="1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3" fontId="20" fillId="3" borderId="3" xfId="0" applyNumberFormat="1" applyFont="1" applyFill="1" applyBorder="1" applyAlignment="1">
      <alignment horizontal="center" vertical="center" wrapText="1"/>
    </xf>
    <xf numFmtId="4" fontId="20" fillId="3" borderId="3" xfId="0" applyNumberFormat="1" applyFont="1" applyFill="1" applyBorder="1" applyAlignment="1">
      <alignment horizontal="center" vertical="center" wrapText="1"/>
    </xf>
    <xf numFmtId="170" fontId="20" fillId="3" borderId="3" xfId="0" applyNumberFormat="1" applyFont="1" applyFill="1" applyBorder="1" applyAlignment="1">
      <alignment horizontal="center" vertical="center" wrapText="1"/>
    </xf>
    <xf numFmtId="171" fontId="20" fillId="3" borderId="3" xfId="0" applyNumberFormat="1" applyFont="1" applyFill="1" applyBorder="1" applyAlignment="1">
      <alignment horizontal="center" vertical="center" wrapText="1"/>
    </xf>
    <xf numFmtId="172" fontId="20" fillId="3" borderId="3" xfId="0" applyNumberFormat="1" applyFont="1" applyFill="1" applyBorder="1" applyAlignment="1">
      <alignment horizontal="center" vertical="center" wrapText="1"/>
    </xf>
    <xf numFmtId="173" fontId="20" fillId="3" borderId="3" xfId="0" applyNumberFormat="1" applyFont="1" applyFill="1" applyBorder="1" applyAlignment="1">
      <alignment horizontal="center" vertical="center" wrapText="1"/>
    </xf>
    <xf numFmtId="174" fontId="20" fillId="3" borderId="3" xfId="0" applyNumberFormat="1" applyFont="1" applyFill="1" applyBorder="1" applyAlignment="1">
      <alignment horizontal="center" vertical="center" wrapText="1"/>
    </xf>
    <xf numFmtId="175" fontId="20" fillId="3" borderId="3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3" fontId="24" fillId="4" borderId="4" xfId="0" applyNumberFormat="1" applyFont="1" applyFill="1" applyBorder="1" applyAlignment="1">
      <alignment horizontal="center" vertical="center" wrapText="1"/>
    </xf>
    <xf numFmtId="4" fontId="24" fillId="4" borderId="5" xfId="0" applyNumberFormat="1" applyFont="1" applyFill="1" applyBorder="1" applyAlignment="1">
      <alignment horizontal="center" vertical="center" wrapText="1"/>
    </xf>
    <xf numFmtId="4" fontId="19" fillId="4" borderId="4" xfId="0" applyNumberFormat="1" applyFont="1" applyFill="1" applyBorder="1" applyAlignment="1">
      <alignment horizontal="center" vertical="center" wrapText="1"/>
    </xf>
    <xf numFmtId="176" fontId="24" fillId="4" borderId="5" xfId="0" applyNumberFormat="1" applyFont="1" applyFill="1" applyBorder="1" applyAlignment="1">
      <alignment horizontal="center" vertical="center" wrapText="1"/>
    </xf>
    <xf numFmtId="3" fontId="19" fillId="4" borderId="4" xfId="0" applyNumberFormat="1" applyFont="1" applyFill="1" applyBorder="1" applyAlignment="1">
      <alignment horizontal="center" vertical="center" wrapText="1"/>
    </xf>
    <xf numFmtId="176" fontId="19" fillId="4" borderId="4" xfId="0" applyNumberFormat="1" applyFont="1" applyFill="1" applyBorder="1" applyAlignment="1">
      <alignment horizontal="center" vertical="center" wrapText="1"/>
    </xf>
    <xf numFmtId="174" fontId="24" fillId="4" borderId="5" xfId="0" applyNumberFormat="1" applyFont="1" applyFill="1" applyBorder="1" applyAlignment="1">
      <alignment horizontal="center" vertical="center" wrapText="1"/>
    </xf>
    <xf numFmtId="167" fontId="24" fillId="4" borderId="5" xfId="2" applyNumberFormat="1" applyFont="1" applyFill="1" applyBorder="1" applyAlignment="1">
      <alignment horizontal="center" vertical="center" wrapText="1"/>
    </xf>
    <xf numFmtId="177" fontId="24" fillId="4" borderId="5" xfId="0" applyNumberFormat="1" applyFont="1" applyFill="1" applyBorder="1" applyAlignment="1">
      <alignment horizontal="center" vertical="center" wrapText="1"/>
    </xf>
    <xf numFmtId="167" fontId="24" fillId="4" borderId="5" xfId="0" applyNumberFormat="1" applyFont="1" applyFill="1" applyBorder="1" applyAlignment="1">
      <alignment horizontal="center" vertical="center" wrapText="1"/>
    </xf>
    <xf numFmtId="167" fontId="20" fillId="0" borderId="3" xfId="0" applyNumberFormat="1" applyFont="1" applyBorder="1" applyAlignment="1">
      <alignment horizontal="center" vertical="center" wrapText="1"/>
    </xf>
    <xf numFmtId="167" fontId="20" fillId="3" borderId="3" xfId="0" applyNumberFormat="1" applyFont="1" applyFill="1" applyBorder="1" applyAlignment="1">
      <alignment horizontal="center" vertical="center" wrapText="1"/>
    </xf>
    <xf numFmtId="167" fontId="19" fillId="2" borderId="2" xfId="0" applyNumberFormat="1" applyFont="1" applyFill="1" applyBorder="1" applyAlignment="1">
      <alignment horizontal="center" vertical="center" wrapText="1"/>
    </xf>
    <xf numFmtId="43" fontId="20" fillId="0" borderId="3" xfId="1" applyFont="1" applyBorder="1" applyAlignment="1">
      <alignment horizontal="center" vertical="center" wrapText="1"/>
    </xf>
    <xf numFmtId="43" fontId="20" fillId="3" borderId="3" xfId="1" applyFont="1" applyFill="1" applyBorder="1" applyAlignment="1">
      <alignment horizontal="center" vertical="center" wrapText="1"/>
    </xf>
    <xf numFmtId="43" fontId="19" fillId="2" borderId="2" xfId="1" applyFont="1" applyFill="1" applyBorder="1" applyAlignment="1">
      <alignment horizontal="center" vertical="center" wrapText="1"/>
    </xf>
    <xf numFmtId="43" fontId="24" fillId="4" borderId="5" xfId="1" applyFont="1" applyFill="1" applyBorder="1" applyAlignment="1">
      <alignment horizontal="center" vertical="center" wrapText="1"/>
    </xf>
    <xf numFmtId="177" fontId="20" fillId="0" borderId="3" xfId="0" applyNumberFormat="1" applyFont="1" applyBorder="1" applyAlignment="1">
      <alignment horizontal="center" vertical="center" wrapText="1"/>
    </xf>
    <xf numFmtId="177" fontId="20" fillId="3" borderId="3" xfId="0" applyNumberFormat="1" applyFont="1" applyFill="1" applyBorder="1" applyAlignment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70" fontId="27" fillId="0" borderId="8" xfId="0" applyNumberFormat="1" applyFont="1" applyBorder="1" applyAlignment="1">
      <alignment horizontal="center" vertical="center" wrapText="1"/>
    </xf>
    <xf numFmtId="9" fontId="27" fillId="0" borderId="8" xfId="4" applyFont="1" applyFill="1" applyBorder="1" applyAlignment="1" applyProtection="1">
      <alignment horizontal="center" vertical="center" wrapText="1"/>
    </xf>
    <xf numFmtId="179" fontId="27" fillId="0" borderId="8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67" fontId="26" fillId="0" borderId="3" xfId="4" applyNumberFormat="1" applyFont="1" applyBorder="1" applyAlignment="1">
      <alignment horizontal="left" vertical="center" wrapText="1"/>
    </xf>
    <xf numFmtId="0" fontId="29" fillId="0" borderId="8" xfId="0" applyFont="1" applyBorder="1" applyAlignment="1">
      <alignment horizontal="center" vertical="center" wrapText="1"/>
    </xf>
    <xf numFmtId="180" fontId="27" fillId="0" borderId="8" xfId="0" applyNumberFormat="1" applyFont="1" applyBorder="1" applyAlignment="1">
      <alignment horizontal="center" vertical="center" wrapText="1"/>
    </xf>
    <xf numFmtId="173" fontId="19" fillId="2" borderId="2" xfId="0" applyNumberFormat="1" applyFont="1" applyFill="1" applyBorder="1" applyAlignment="1">
      <alignment horizontal="center" vertical="center" wrapText="1"/>
    </xf>
    <xf numFmtId="170" fontId="19" fillId="2" borderId="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7" xfId="0" applyFont="1" applyBorder="1" applyAlignment="1">
      <alignment vertical="center" wrapText="1"/>
    </xf>
    <xf numFmtId="44" fontId="20" fillId="3" borderId="3" xfId="2" applyFont="1" applyFill="1" applyBorder="1" applyAlignment="1">
      <alignment horizontal="center" vertical="center" wrapText="1"/>
    </xf>
    <xf numFmtId="44" fontId="20" fillId="0" borderId="3" xfId="2" applyFont="1" applyBorder="1" applyAlignment="1">
      <alignment horizontal="center" vertical="center" wrapText="1"/>
    </xf>
    <xf numFmtId="44" fontId="20" fillId="0" borderId="3" xfId="2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181" fontId="20" fillId="0" borderId="3" xfId="0" applyNumberFormat="1" applyFont="1" applyBorder="1" applyAlignment="1">
      <alignment horizontal="center" vertical="center" wrapText="1"/>
    </xf>
    <xf numFmtId="2" fontId="20" fillId="3" borderId="3" xfId="0" applyNumberFormat="1" applyFont="1" applyFill="1" applyBorder="1" applyAlignment="1">
      <alignment horizontal="center" vertical="center" wrapText="1"/>
    </xf>
    <xf numFmtId="181" fontId="20" fillId="3" borderId="3" xfId="0" applyNumberFormat="1" applyFont="1" applyFill="1" applyBorder="1" applyAlignment="1">
      <alignment horizontal="center" vertical="center" wrapText="1"/>
    </xf>
    <xf numFmtId="172" fontId="19" fillId="2" borderId="2" xfId="0" applyNumberFormat="1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181" fontId="19" fillId="2" borderId="2" xfId="0" applyNumberFormat="1" applyFont="1" applyFill="1" applyBorder="1" applyAlignment="1">
      <alignment horizontal="center" vertical="center" wrapText="1"/>
    </xf>
    <xf numFmtId="2" fontId="24" fillId="4" borderId="5" xfId="0" applyNumberFormat="1" applyFont="1" applyFill="1" applyBorder="1" applyAlignment="1">
      <alignment horizontal="center" vertical="center" wrapText="1"/>
    </xf>
    <xf numFmtId="181" fontId="24" fillId="4" borderId="5" xfId="0" applyNumberFormat="1" applyFont="1" applyFill="1" applyBorder="1" applyAlignment="1">
      <alignment horizontal="center" vertical="center" wrapText="1"/>
    </xf>
    <xf numFmtId="178" fontId="26" fillId="0" borderId="3" xfId="0" applyNumberFormat="1" applyFont="1" applyBorder="1" applyAlignment="1">
      <alignment horizontal="left" vertical="center" wrapText="1"/>
    </xf>
    <xf numFmtId="4" fontId="12" fillId="0" borderId="0" xfId="21" applyNumberFormat="1" applyFont="1" applyAlignment="1">
      <alignment horizontal="center" vertical="center" wrapText="1"/>
    </xf>
    <xf numFmtId="170" fontId="26" fillId="0" borderId="3" xfId="0" applyNumberFormat="1" applyFont="1" applyBorder="1" applyAlignment="1">
      <alignment horizontal="left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10" fontId="26" fillId="0" borderId="3" xfId="4" applyNumberFormat="1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" fillId="0" borderId="0" xfId="3" applyFont="1" applyAlignment="1">
      <alignment horizontal="center"/>
    </xf>
  </cellXfs>
  <cellStyles count="22">
    <cellStyle name="Comma" xfId="1" builtinId="3"/>
    <cellStyle name="Comma 2" xfId="6" xr:uid="{00000000-0005-0000-0000-000001000000}"/>
    <cellStyle name="Comma 3" xfId="10" xr:uid="{00000000-0005-0000-0000-000002000000}"/>
    <cellStyle name="Comma 4" xfId="12" xr:uid="{00000000-0005-0000-0000-000003000000}"/>
    <cellStyle name="Currency" xfId="2" builtinId="4"/>
    <cellStyle name="Currency 2" xfId="7" xr:uid="{00000000-0005-0000-0000-000005000000}"/>
    <cellStyle name="Currency 3" xfId="11" xr:uid="{00000000-0005-0000-0000-000006000000}"/>
    <cellStyle name="Currency 4" xfId="13" xr:uid="{00000000-0005-0000-0000-000007000000}"/>
    <cellStyle name="Normal" xfId="0" builtinId="0"/>
    <cellStyle name="Normal 10" xfId="20" xr:uid="{49E0050A-87AA-4EB7-8984-F9DB2B2592F6}"/>
    <cellStyle name="Normal 2" xfId="8" xr:uid="{00000000-0005-0000-0000-000009000000}"/>
    <cellStyle name="Normal 3" xfId="5" xr:uid="{00000000-0005-0000-0000-00000A000000}"/>
    <cellStyle name="Normal 3 2" xfId="21" xr:uid="{3F55CC7C-F085-4DFE-9166-287E62B9C4AC}"/>
    <cellStyle name="Normal 4" xfId="9" xr:uid="{00000000-0005-0000-0000-00000B000000}"/>
    <cellStyle name="Normal 5" xfId="15" xr:uid="{00000000-0005-0000-0000-00000C000000}"/>
    <cellStyle name="Normal 6" xfId="16" xr:uid="{00000000-0005-0000-0000-00000D000000}"/>
    <cellStyle name="Normal 7" xfId="17" xr:uid="{00000000-0005-0000-0000-00000E000000}"/>
    <cellStyle name="Normal 8" xfId="18" xr:uid="{00000000-0005-0000-0000-00000F000000}"/>
    <cellStyle name="Normal 9" xfId="19" xr:uid="{00000000-0005-0000-0000-000010000000}"/>
    <cellStyle name="Normal_Copy of Avoided Cost adjusted Final" xfId="3" xr:uid="{00000000-0005-0000-0000-000011000000}"/>
    <cellStyle name="Percent" xfId="4" builtinId="5"/>
    <cellStyle name="Percent 2" xfId="14" xr:uid="{00000000-0005-0000-0000-000014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DaveB/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lison.spector/Local%20Settings/Temporary%20Internet%20Files/OLKE1/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lison.spector/Local%20Settings/Temporary%20Internet%20Files/OLKE1/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d Profiles"/>
      <sheetName val="loadprofiles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1"/>
    <pageSetUpPr fitToPage="1"/>
  </sheetPr>
  <dimension ref="A1:Z84"/>
  <sheetViews>
    <sheetView tabSelected="1" showOutlineSymbols="0" topLeftCell="P1" zoomScale="80" zoomScaleNormal="80" workbookViewId="0">
      <selection activeCell="AC2" sqref="AC2"/>
    </sheetView>
  </sheetViews>
  <sheetFormatPr defaultColWidth="16.1640625" defaultRowHeight="12.75" x14ac:dyDescent="0.2"/>
  <cols>
    <col min="1" max="1" width="68.1640625" style="1" hidden="1" customWidth="1"/>
    <col min="2" max="2" width="49" style="1" customWidth="1" collapsed="1"/>
    <col min="3" max="3" width="69.83203125" style="16" customWidth="1"/>
    <col min="4" max="4" width="91.1640625" style="16" customWidth="1"/>
    <col min="5" max="5" width="28.33203125" style="17" customWidth="1"/>
    <col min="6" max="6" width="29.33203125" style="2" customWidth="1"/>
    <col min="7" max="7" width="11.1640625" style="2" customWidth="1"/>
    <col min="8" max="8" width="20.6640625" style="15" customWidth="1"/>
    <col min="9" max="9" width="37.5" style="15" bestFit="1" customWidth="1"/>
    <col min="10" max="10" width="35.33203125" style="1" customWidth="1"/>
    <col min="11" max="11" width="31.83203125" style="1" customWidth="1"/>
    <col min="12" max="12" width="27.6640625" style="1" customWidth="1"/>
    <col min="13" max="13" width="53.6640625" style="1" customWidth="1"/>
    <col min="14" max="14" width="17.1640625" style="1" customWidth="1"/>
    <col min="15" max="15" width="34.83203125" style="1" customWidth="1"/>
    <col min="16" max="16" width="41.33203125" style="2" customWidth="1"/>
    <col min="17" max="17" width="22" style="2" bestFit="1" customWidth="1"/>
    <col min="18" max="18" width="32.1640625" style="18" bestFit="1" customWidth="1"/>
    <col min="19" max="19" width="47.5" style="18" hidden="1" customWidth="1"/>
    <col min="20" max="20" width="20.83203125" style="2" bestFit="1" customWidth="1"/>
    <col min="21" max="21" width="30.83203125" style="2" bestFit="1" customWidth="1"/>
    <col min="22" max="22" width="51.1640625" style="2" bestFit="1" customWidth="1"/>
    <col min="23" max="23" width="11.6640625" style="2" customWidth="1"/>
    <col min="24" max="24" width="34.83203125" style="2" bestFit="1" customWidth="1"/>
    <col min="25" max="25" width="32.1640625" style="2" bestFit="1" customWidth="1"/>
    <col min="26" max="26" width="53.83203125" style="1" bestFit="1" customWidth="1"/>
  </cols>
  <sheetData>
    <row r="1" spans="1:26" ht="27.75" thickBot="1" x14ac:dyDescent="0.25">
      <c r="A1" s="68"/>
      <c r="B1" s="68" t="s">
        <v>0</v>
      </c>
      <c r="C1" s="125" t="s">
        <v>1</v>
      </c>
      <c r="D1" s="126"/>
      <c r="E1" s="126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3"/>
    </row>
    <row r="2" spans="1:26" ht="22.5" thickBot="1" x14ac:dyDescent="0.25">
      <c r="A2" s="68"/>
      <c r="B2" s="68">
        <v>2023</v>
      </c>
      <c r="C2" s="127" t="s">
        <v>2</v>
      </c>
      <c r="D2" s="128"/>
      <c r="E2" s="128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5"/>
    </row>
    <row r="3" spans="1:26" ht="33" customHeight="1" thickBot="1" x14ac:dyDescent="0.25">
      <c r="A3" s="49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49" t="s">
        <v>12</v>
      </c>
      <c r="K3" s="49" t="s">
        <v>13</v>
      </c>
      <c r="L3" s="49" t="s">
        <v>14</v>
      </c>
      <c r="M3" s="49" t="s">
        <v>15</v>
      </c>
      <c r="N3" s="49" t="s">
        <v>16</v>
      </c>
      <c r="O3" s="49" t="s">
        <v>17</v>
      </c>
      <c r="P3" s="49" t="s">
        <v>18</v>
      </c>
      <c r="Q3" s="49" t="s">
        <v>19</v>
      </c>
      <c r="R3" s="49" t="s">
        <v>20</v>
      </c>
      <c r="S3" s="49" t="s">
        <v>21</v>
      </c>
      <c r="T3" s="49" t="s">
        <v>22</v>
      </c>
      <c r="U3" s="49" t="s">
        <v>23</v>
      </c>
      <c r="V3" s="49" t="s">
        <v>24</v>
      </c>
      <c r="W3" s="49"/>
      <c r="X3" s="49" t="s">
        <v>25</v>
      </c>
      <c r="Y3" s="49" t="s">
        <v>26</v>
      </c>
      <c r="Z3" s="49" t="s">
        <v>27</v>
      </c>
    </row>
    <row r="4" spans="1:26" x14ac:dyDescent="0.2">
      <c r="A4" s="59" t="s">
        <v>28</v>
      </c>
      <c r="B4" s="59" t="s">
        <v>29</v>
      </c>
      <c r="C4" s="59" t="s">
        <v>30</v>
      </c>
      <c r="D4" s="60" t="s">
        <v>31</v>
      </c>
      <c r="E4" s="60">
        <v>27</v>
      </c>
      <c r="F4" s="85">
        <v>2.1</v>
      </c>
      <c r="G4" s="61" t="s">
        <v>32</v>
      </c>
      <c r="H4" s="85">
        <v>42196</v>
      </c>
      <c r="I4" s="85">
        <f>ROUNDDOWN(H4*F4,2)</f>
        <v>88611.6</v>
      </c>
      <c r="J4" s="106">
        <v>10.74</v>
      </c>
      <c r="K4" s="64">
        <f>H4*J4</f>
        <v>453185.04000000004</v>
      </c>
      <c r="L4" s="82">
        <f t="shared" ref="L4:L9" si="0">PV($C$40,$N4,(-0.05*0.9*$F4))</f>
        <v>1.5745438968150938</v>
      </c>
      <c r="M4" s="82">
        <f t="shared" ref="M4:M9" si="1">MAX(0,H4*(J4-L4))</f>
        <v>386745.58572999033</v>
      </c>
      <c r="N4" s="60">
        <v>25</v>
      </c>
      <c r="O4" s="61">
        <f t="shared" ref="O4:O26" si="2">PV($C$40,N4,-I4)</f>
        <v>1476432.3171113264</v>
      </c>
      <c r="P4" s="62">
        <f t="shared" ref="P4:P26" si="3">$C$43*I4/SUM($I$4:$I$26)</f>
        <v>248823.64929129541</v>
      </c>
      <c r="Q4" s="63">
        <v>10</v>
      </c>
      <c r="R4" s="65">
        <f t="shared" ref="R4:R9" si="4">H4*Q4</f>
        <v>421960</v>
      </c>
      <c r="S4" s="65">
        <v>0</v>
      </c>
      <c r="T4" s="82">
        <f t="shared" ref="T4:T25" si="5">IF(ISERROR(R4/O4),0,R4/O4)</f>
        <v>0.28579704948857687</v>
      </c>
      <c r="U4" s="67">
        <f t="shared" ref="U4:U25" si="6">IF(O4=0,0,(R4+P4)/O4)</f>
        <v>0.45432739551766177</v>
      </c>
      <c r="V4" s="89">
        <f t="shared" ref="V4:V26" si="7">(IFERROR(IF($R4=0,"-",(VLOOKUP($N4,AC,6)*$I4)/($R4+$P4)),0))</f>
        <v>3.6538656507136511</v>
      </c>
      <c r="W4" s="66"/>
      <c r="X4" s="82">
        <f t="shared" ref="X4:X25" si="8">IF(ISERROR(M4/O4),0,M4/O4)</f>
        <v>0.26194603115073162</v>
      </c>
      <c r="Y4" s="82">
        <f>IF(O4=0,0,(M4+P4)/O4)</f>
        <v>0.43047637717981646</v>
      </c>
      <c r="Z4" s="89">
        <f t="shared" ref="Z4:Z13" si="9">IF($M4=0,"-",(VLOOKUP($N4,AC,4)*$I4)/(M4+P4))</f>
        <v>3.5057382781704804</v>
      </c>
    </row>
    <row r="5" spans="1:26" x14ac:dyDescent="0.2">
      <c r="A5" s="50" t="s">
        <v>33</v>
      </c>
      <c r="B5" s="50" t="s">
        <v>29</v>
      </c>
      <c r="C5" s="50" t="s">
        <v>34</v>
      </c>
      <c r="D5" s="51" t="s">
        <v>35</v>
      </c>
      <c r="E5" s="51">
        <v>3</v>
      </c>
      <c r="F5" s="84">
        <v>1.35</v>
      </c>
      <c r="G5" s="52" t="s">
        <v>32</v>
      </c>
      <c r="H5" s="84">
        <v>3300</v>
      </c>
      <c r="I5" s="84">
        <f t="shared" ref="I5:I13" si="10">ROUNDDOWN(H5*F5,2)</f>
        <v>4455</v>
      </c>
      <c r="J5" s="107">
        <v>6.07</v>
      </c>
      <c r="K5" s="55">
        <f t="shared" ref="K5:K9" si="11">H5*J5</f>
        <v>20031</v>
      </c>
      <c r="L5" s="81">
        <f t="shared" si="0"/>
        <v>1.012206790809703</v>
      </c>
      <c r="M5" s="81">
        <f t="shared" si="1"/>
        <v>16690.717590327982</v>
      </c>
      <c r="N5" s="51">
        <v>25</v>
      </c>
      <c r="O5" s="52">
        <f t="shared" si="2"/>
        <v>74228.497992711549</v>
      </c>
      <c r="P5" s="53">
        <f t="shared" si="3"/>
        <v>12509.75445193091</v>
      </c>
      <c r="Q5" s="54">
        <v>6</v>
      </c>
      <c r="R5" s="56">
        <f t="shared" si="4"/>
        <v>19800</v>
      </c>
      <c r="S5" s="56">
        <v>0</v>
      </c>
      <c r="T5" s="81">
        <f t="shared" si="5"/>
        <v>0.26674391285600513</v>
      </c>
      <c r="U5" s="58">
        <f t="shared" si="6"/>
        <v>0.43527425888508997</v>
      </c>
      <c r="V5" s="88">
        <f t="shared" si="7"/>
        <v>3.8138052751206311</v>
      </c>
      <c r="W5" s="57"/>
      <c r="X5" s="81">
        <f t="shared" si="8"/>
        <v>0.22485592517265854</v>
      </c>
      <c r="Y5" s="81">
        <f t="shared" ref="Y5:Y25" si="12">IF(O5=0,0,(M5+P5)/O5)</f>
        <v>0.39338627120174346</v>
      </c>
      <c r="Z5" s="88">
        <f t="shared" si="9"/>
        <v>3.8362739724424513</v>
      </c>
    </row>
    <row r="6" spans="1:26" x14ac:dyDescent="0.2">
      <c r="A6" s="59" t="s">
        <v>36</v>
      </c>
      <c r="B6" s="59" t="s">
        <v>37</v>
      </c>
      <c r="C6" s="59" t="s">
        <v>38</v>
      </c>
      <c r="D6" s="60" t="s">
        <v>39</v>
      </c>
      <c r="E6" s="60">
        <v>5</v>
      </c>
      <c r="F6" s="85"/>
      <c r="G6" s="61" t="s">
        <v>40</v>
      </c>
      <c r="H6" s="85">
        <v>5</v>
      </c>
      <c r="I6" s="85">
        <f t="shared" si="10"/>
        <v>0</v>
      </c>
      <c r="J6" s="106">
        <v>0</v>
      </c>
      <c r="K6" s="64">
        <f t="shared" si="11"/>
        <v>0</v>
      </c>
      <c r="L6" s="82">
        <f t="shared" si="0"/>
        <v>0</v>
      </c>
      <c r="M6" s="82">
        <f t="shared" si="1"/>
        <v>0</v>
      </c>
      <c r="N6" s="60"/>
      <c r="O6" s="61">
        <f t="shared" si="2"/>
        <v>0</v>
      </c>
      <c r="P6" s="62">
        <f t="shared" si="3"/>
        <v>0</v>
      </c>
      <c r="Q6" s="63">
        <v>500</v>
      </c>
      <c r="R6" s="65">
        <f t="shared" si="4"/>
        <v>2500</v>
      </c>
      <c r="S6" s="65">
        <v>0</v>
      </c>
      <c r="T6" s="82">
        <f t="shared" si="5"/>
        <v>0</v>
      </c>
      <c r="U6" s="67">
        <f t="shared" si="6"/>
        <v>0</v>
      </c>
      <c r="V6" s="89">
        <f t="shared" si="7"/>
        <v>0</v>
      </c>
      <c r="W6" s="66"/>
      <c r="X6" s="82">
        <f t="shared" si="8"/>
        <v>0</v>
      </c>
      <c r="Y6" s="82">
        <f t="shared" si="12"/>
        <v>0</v>
      </c>
      <c r="Z6" s="89" t="str">
        <f t="shared" si="9"/>
        <v>-</v>
      </c>
    </row>
    <row r="7" spans="1:26" x14ac:dyDescent="0.2">
      <c r="A7" s="50" t="s">
        <v>41</v>
      </c>
      <c r="B7" s="50" t="s">
        <v>42</v>
      </c>
      <c r="C7" s="50" t="s">
        <v>43</v>
      </c>
      <c r="D7" s="51" t="s">
        <v>44</v>
      </c>
      <c r="E7" s="51">
        <v>1</v>
      </c>
      <c r="F7" s="84"/>
      <c r="G7" s="52" t="s">
        <v>40</v>
      </c>
      <c r="H7" s="84">
        <v>1</v>
      </c>
      <c r="I7" s="84">
        <f t="shared" si="10"/>
        <v>0</v>
      </c>
      <c r="J7" s="107">
        <v>0</v>
      </c>
      <c r="K7" s="55">
        <f t="shared" si="11"/>
        <v>0</v>
      </c>
      <c r="L7" s="81">
        <f t="shared" si="0"/>
        <v>0</v>
      </c>
      <c r="M7" s="81">
        <f t="shared" si="1"/>
        <v>0</v>
      </c>
      <c r="N7" s="51"/>
      <c r="O7" s="52">
        <f t="shared" si="2"/>
        <v>0</v>
      </c>
      <c r="P7" s="53">
        <f t="shared" si="3"/>
        <v>0</v>
      </c>
      <c r="Q7" s="54">
        <v>300</v>
      </c>
      <c r="R7" s="56">
        <f t="shared" si="4"/>
        <v>300</v>
      </c>
      <c r="S7" s="56">
        <v>0</v>
      </c>
      <c r="T7" s="81">
        <f t="shared" si="5"/>
        <v>0</v>
      </c>
      <c r="U7" s="58">
        <f t="shared" si="6"/>
        <v>0</v>
      </c>
      <c r="V7" s="88">
        <f t="shared" si="7"/>
        <v>0</v>
      </c>
      <c r="W7" s="57"/>
      <c r="X7" s="81">
        <f t="shared" si="8"/>
        <v>0</v>
      </c>
      <c r="Y7" s="81">
        <f t="shared" si="12"/>
        <v>0</v>
      </c>
      <c r="Z7" s="88" t="str">
        <f t="shared" si="9"/>
        <v>-</v>
      </c>
    </row>
    <row r="8" spans="1:26" x14ac:dyDescent="0.2">
      <c r="A8" s="59" t="s">
        <v>45</v>
      </c>
      <c r="B8" s="59" t="s">
        <v>46</v>
      </c>
      <c r="C8" s="59" t="s">
        <v>47</v>
      </c>
      <c r="D8" s="60" t="s">
        <v>48</v>
      </c>
      <c r="E8" s="60">
        <v>1</v>
      </c>
      <c r="F8" s="85"/>
      <c r="G8" s="61" t="s">
        <v>40</v>
      </c>
      <c r="H8" s="85">
        <v>1</v>
      </c>
      <c r="I8" s="85">
        <f t="shared" si="10"/>
        <v>0</v>
      </c>
      <c r="J8" s="106">
        <v>0</v>
      </c>
      <c r="K8" s="64">
        <f t="shared" si="11"/>
        <v>0</v>
      </c>
      <c r="L8" s="82">
        <f t="shared" si="0"/>
        <v>0</v>
      </c>
      <c r="M8" s="82">
        <f t="shared" si="1"/>
        <v>0</v>
      </c>
      <c r="N8" s="60"/>
      <c r="O8" s="61">
        <f t="shared" si="2"/>
        <v>0</v>
      </c>
      <c r="P8" s="62">
        <f t="shared" si="3"/>
        <v>0</v>
      </c>
      <c r="Q8" s="63">
        <v>500</v>
      </c>
      <c r="R8" s="65">
        <f t="shared" si="4"/>
        <v>500</v>
      </c>
      <c r="S8" s="65">
        <v>0</v>
      </c>
      <c r="T8" s="82">
        <f t="shared" si="5"/>
        <v>0</v>
      </c>
      <c r="U8" s="67">
        <f t="shared" si="6"/>
        <v>0</v>
      </c>
      <c r="V8" s="89">
        <f t="shared" si="7"/>
        <v>0</v>
      </c>
      <c r="W8" s="66"/>
      <c r="X8" s="82">
        <f t="shared" si="8"/>
        <v>0</v>
      </c>
      <c r="Y8" s="82">
        <f t="shared" si="12"/>
        <v>0</v>
      </c>
      <c r="Z8" s="89" t="str">
        <f t="shared" si="9"/>
        <v>-</v>
      </c>
    </row>
    <row r="9" spans="1:26" x14ac:dyDescent="0.2">
      <c r="A9" s="50" t="s">
        <v>49</v>
      </c>
      <c r="B9" s="50" t="s">
        <v>50</v>
      </c>
      <c r="C9" s="50" t="s">
        <v>51</v>
      </c>
      <c r="D9" s="51" t="s">
        <v>52</v>
      </c>
      <c r="E9" s="51">
        <v>1</v>
      </c>
      <c r="F9" s="84"/>
      <c r="G9" s="52" t="s">
        <v>40</v>
      </c>
      <c r="H9" s="84">
        <v>1</v>
      </c>
      <c r="I9" s="84">
        <f t="shared" si="10"/>
        <v>0</v>
      </c>
      <c r="J9" s="108">
        <v>0</v>
      </c>
      <c r="K9" s="55">
        <f t="shared" si="11"/>
        <v>0</v>
      </c>
      <c r="L9" s="81">
        <f t="shared" si="0"/>
        <v>0</v>
      </c>
      <c r="M9" s="81">
        <f t="shared" si="1"/>
        <v>0</v>
      </c>
      <c r="N9" s="51"/>
      <c r="O9" s="52">
        <f t="shared" si="2"/>
        <v>0</v>
      </c>
      <c r="P9" s="53">
        <f t="shared" si="3"/>
        <v>0</v>
      </c>
      <c r="Q9" s="54"/>
      <c r="R9" s="56">
        <f t="shared" si="4"/>
        <v>0</v>
      </c>
      <c r="S9" s="56">
        <v>4350</v>
      </c>
      <c r="T9" s="81">
        <f t="shared" si="5"/>
        <v>0</v>
      </c>
      <c r="U9" s="58">
        <f t="shared" si="6"/>
        <v>0</v>
      </c>
      <c r="V9" s="88" t="str">
        <f t="shared" si="7"/>
        <v>-</v>
      </c>
      <c r="W9" s="57"/>
      <c r="X9" s="81">
        <f t="shared" si="8"/>
        <v>0</v>
      </c>
      <c r="Y9" s="81">
        <f t="shared" si="12"/>
        <v>0</v>
      </c>
      <c r="Z9" s="88" t="str">
        <f t="shared" si="9"/>
        <v>-</v>
      </c>
    </row>
    <row r="10" spans="1:26" x14ac:dyDescent="0.2">
      <c r="A10" s="59" t="s">
        <v>53</v>
      </c>
      <c r="B10" s="59" t="s">
        <v>54</v>
      </c>
      <c r="C10" s="59" t="s">
        <v>55</v>
      </c>
      <c r="D10" s="60" t="s">
        <v>56</v>
      </c>
      <c r="E10" s="60">
        <v>2</v>
      </c>
      <c r="F10" s="85">
        <v>219</v>
      </c>
      <c r="G10" s="61" t="s">
        <v>57</v>
      </c>
      <c r="H10" s="85">
        <v>2</v>
      </c>
      <c r="I10" s="85">
        <f t="shared" si="10"/>
        <v>438</v>
      </c>
      <c r="J10" s="106">
        <v>900</v>
      </c>
      <c r="K10" s="64">
        <f t="shared" ref="K10:K17" si="13">H10*J10</f>
        <v>1800</v>
      </c>
      <c r="L10" s="82">
        <f>PV($C$40,$N10,(-0.05*0.9*$F10))+PV($C$40,$N10,-3500/1000*10)</f>
        <v>436.01097846840753</v>
      </c>
      <c r="M10" s="82">
        <f t="shared" ref="M10:M17" si="14">MAX(0,H10*(J10-L10))</f>
        <v>927.97804306318494</v>
      </c>
      <c r="N10" s="60">
        <v>12</v>
      </c>
      <c r="O10" s="61">
        <f t="shared" si="2"/>
        <v>4257.5589916210565</v>
      </c>
      <c r="P10" s="62">
        <f t="shared" si="3"/>
        <v>1229.9152525130726</v>
      </c>
      <c r="Q10" s="63">
        <v>800</v>
      </c>
      <c r="R10" s="65">
        <f t="shared" ref="R10:R17" si="15">H10*Q10</f>
        <v>1600</v>
      </c>
      <c r="S10" s="65">
        <v>0</v>
      </c>
      <c r="T10" s="82">
        <f t="shared" si="5"/>
        <v>0.37580219161938222</v>
      </c>
      <c r="U10" s="67">
        <f t="shared" si="6"/>
        <v>0.66468022124470627</v>
      </c>
      <c r="V10" s="89">
        <f t="shared" si="7"/>
        <v>1.841249056406304</v>
      </c>
      <c r="W10" s="66"/>
      <c r="X10" s="82">
        <f t="shared" si="8"/>
        <v>0.21796011397363146</v>
      </c>
      <c r="Y10" s="82">
        <f t="shared" si="12"/>
        <v>0.50683814359895552</v>
      </c>
      <c r="Z10" s="89">
        <f t="shared" si="9"/>
        <v>2.1951455233429149</v>
      </c>
    </row>
    <row r="11" spans="1:26" x14ac:dyDescent="0.2">
      <c r="A11" s="50" t="s">
        <v>58</v>
      </c>
      <c r="B11" s="50" t="s">
        <v>59</v>
      </c>
      <c r="C11" s="50" t="s">
        <v>55</v>
      </c>
      <c r="D11" s="51" t="s">
        <v>56</v>
      </c>
      <c r="E11" s="51">
        <v>1</v>
      </c>
      <c r="F11" s="84">
        <v>649</v>
      </c>
      <c r="G11" s="52" t="s">
        <v>57</v>
      </c>
      <c r="H11" s="84">
        <v>1</v>
      </c>
      <c r="I11" s="84">
        <f t="shared" si="10"/>
        <v>649</v>
      </c>
      <c r="J11" s="107">
        <v>900</v>
      </c>
      <c r="K11" s="55">
        <f t="shared" si="13"/>
        <v>900</v>
      </c>
      <c r="L11" s="81">
        <f>PV($C$40,$N11,(-0.05*0.9*$F11))+PV($C$40,$N11,-1180/1000*10)</f>
        <v>398.58722934114485</v>
      </c>
      <c r="M11" s="81">
        <f t="shared" si="14"/>
        <v>501.41277065885515</v>
      </c>
      <c r="N11" s="51">
        <v>12</v>
      </c>
      <c r="O11" s="52">
        <f t="shared" si="2"/>
        <v>6308.5748528814283</v>
      </c>
      <c r="P11" s="53">
        <f t="shared" si="3"/>
        <v>1822.4086732442559</v>
      </c>
      <c r="Q11" s="54">
        <v>800</v>
      </c>
      <c r="R11" s="56">
        <f t="shared" si="15"/>
        <v>800</v>
      </c>
      <c r="S11" s="56">
        <v>0</v>
      </c>
      <c r="T11" s="81">
        <f t="shared" si="5"/>
        <v>0.12681152536925225</v>
      </c>
      <c r="U11" s="58">
        <f t="shared" si="6"/>
        <v>0.41568955499457633</v>
      </c>
      <c r="V11" s="88">
        <f t="shared" si="7"/>
        <v>2.9441245647721819</v>
      </c>
      <c r="W11" s="57"/>
      <c r="X11" s="81">
        <f t="shared" si="8"/>
        <v>7.948114785859059E-2</v>
      </c>
      <c r="Y11" s="81">
        <f t="shared" si="12"/>
        <v>0.36835917748391467</v>
      </c>
      <c r="Z11" s="88">
        <f t="shared" si="9"/>
        <v>3.0203767137830155</v>
      </c>
    </row>
    <row r="12" spans="1:26" x14ac:dyDescent="0.2">
      <c r="A12" s="59" t="s">
        <v>60</v>
      </c>
      <c r="B12" s="59" t="s">
        <v>61</v>
      </c>
      <c r="C12" s="59" t="s">
        <v>62</v>
      </c>
      <c r="D12" s="60" t="s">
        <v>63</v>
      </c>
      <c r="E12" s="60">
        <v>21</v>
      </c>
      <c r="F12" s="85">
        <v>3.7987000000000002</v>
      </c>
      <c r="G12" s="61" t="s">
        <v>32</v>
      </c>
      <c r="H12" s="85">
        <v>5586.7</v>
      </c>
      <c r="I12" s="85">
        <f t="shared" si="10"/>
        <v>21222.19</v>
      </c>
      <c r="J12" s="106">
        <v>2.62</v>
      </c>
      <c r="K12" s="64">
        <f t="shared" si="13"/>
        <v>14637.154</v>
      </c>
      <c r="L12" s="82">
        <f>PV($C$40,$N12,(-0.05*0.9*$F12))</f>
        <v>1.4288456489557884</v>
      </c>
      <c r="M12" s="82">
        <f t="shared" si="14"/>
        <v>6654.622012978698</v>
      </c>
      <c r="N12" s="60">
        <v>10</v>
      </c>
      <c r="O12" s="61">
        <f t="shared" si="2"/>
        <v>177389.53877679227</v>
      </c>
      <c r="P12" s="62">
        <f t="shared" si="3"/>
        <v>59592.454732261191</v>
      </c>
      <c r="Q12" s="63">
        <v>3</v>
      </c>
      <c r="R12" s="65">
        <f t="shared" si="15"/>
        <v>16760.099999999999</v>
      </c>
      <c r="S12" s="65">
        <v>0</v>
      </c>
      <c r="T12" s="82">
        <f t="shared" si="5"/>
        <v>9.4481896258206577E-2</v>
      </c>
      <c r="U12" s="67">
        <f t="shared" si="6"/>
        <v>0.43042309743155127</v>
      </c>
      <c r="V12" s="89">
        <f t="shared" si="7"/>
        <v>2.715249039674156</v>
      </c>
      <c r="W12" s="66"/>
      <c r="X12" s="82">
        <f t="shared" si="8"/>
        <v>3.7514173940956866E-2</v>
      </c>
      <c r="Y12" s="82">
        <f t="shared" si="12"/>
        <v>0.37345537511430149</v>
      </c>
      <c r="Z12" s="89">
        <f t="shared" si="9"/>
        <v>2.8449447555618455</v>
      </c>
    </row>
    <row r="13" spans="1:26" x14ac:dyDescent="0.2">
      <c r="A13" s="50" t="s">
        <v>64</v>
      </c>
      <c r="B13" s="50" t="s">
        <v>65</v>
      </c>
      <c r="C13" s="50" t="s">
        <v>66</v>
      </c>
      <c r="D13" s="51" t="s">
        <v>67</v>
      </c>
      <c r="E13" s="51">
        <v>4</v>
      </c>
      <c r="F13" s="84">
        <v>1806</v>
      </c>
      <c r="G13" s="52" t="s">
        <v>40</v>
      </c>
      <c r="H13" s="84">
        <v>4</v>
      </c>
      <c r="I13" s="84">
        <f t="shared" si="10"/>
        <v>7224</v>
      </c>
      <c r="J13" s="107">
        <v>4287.4399999999996</v>
      </c>
      <c r="K13" s="55">
        <f t="shared" si="13"/>
        <v>17149.759999999998</v>
      </c>
      <c r="L13" s="81">
        <f>PV($C$40,$N13,(-0.05*0.9*$F13))</f>
        <v>789.98132248640024</v>
      </c>
      <c r="M13" s="81">
        <f t="shared" si="14"/>
        <v>13989.834710054398</v>
      </c>
      <c r="N13" s="51">
        <v>12</v>
      </c>
      <c r="O13" s="52">
        <f t="shared" si="2"/>
        <v>70220.56199879112</v>
      </c>
      <c r="P13" s="53">
        <f t="shared" si="3"/>
        <v>20285.17758939369</v>
      </c>
      <c r="Q13" s="54">
        <v>2500</v>
      </c>
      <c r="R13" s="56">
        <f t="shared" si="15"/>
        <v>10000</v>
      </c>
      <c r="S13" s="56">
        <v>0</v>
      </c>
      <c r="T13" s="81">
        <f t="shared" si="5"/>
        <v>0.14240843017138136</v>
      </c>
      <c r="U13" s="58">
        <f t="shared" si="6"/>
        <v>0.43128645979670549</v>
      </c>
      <c r="V13" s="88">
        <f t="shared" si="7"/>
        <v>2.8376541910349529</v>
      </c>
      <c r="W13" s="57"/>
      <c r="X13" s="81">
        <f t="shared" si="8"/>
        <v>0.19922703994159488</v>
      </c>
      <c r="Y13" s="81">
        <f t="shared" si="12"/>
        <v>0.48810506956691907</v>
      </c>
      <c r="Z13" s="88">
        <f t="shared" si="9"/>
        <v>2.2793934161918101</v>
      </c>
    </row>
    <row r="14" spans="1:26" x14ac:dyDescent="0.2">
      <c r="A14" s="59" t="s">
        <v>68</v>
      </c>
      <c r="B14" s="59" t="s">
        <v>69</v>
      </c>
      <c r="C14" s="59" t="s">
        <v>70</v>
      </c>
      <c r="D14" s="60" t="s">
        <v>71</v>
      </c>
      <c r="E14" s="60">
        <v>3</v>
      </c>
      <c r="F14" s="85">
        <v>1.1000000000000001</v>
      </c>
      <c r="G14" s="61" t="s">
        <v>32</v>
      </c>
      <c r="H14" s="85">
        <v>394</v>
      </c>
      <c r="I14" s="85">
        <f t="shared" ref="I14:I24" si="16">ROUNDDOWN(H14*F14,2)</f>
        <v>433.4</v>
      </c>
      <c r="J14" s="106">
        <v>16.739999999999998</v>
      </c>
      <c r="K14" s="64">
        <f t="shared" si="13"/>
        <v>6595.5599999999995</v>
      </c>
      <c r="L14" s="82">
        <f>PV($C$40,$N14,(-0.05*0.9*$F14))+PV($C$40,$N14,-850/1000*10)</f>
        <v>113.70572552624149</v>
      </c>
      <c r="M14" s="82">
        <f t="shared" si="14"/>
        <v>0</v>
      </c>
      <c r="N14" s="60">
        <v>18</v>
      </c>
      <c r="O14" s="61">
        <f t="shared" si="2"/>
        <v>5764.0869574914395</v>
      </c>
      <c r="P14" s="62">
        <f t="shared" si="3"/>
        <v>1216.9983343359945</v>
      </c>
      <c r="Q14" s="63">
        <v>5</v>
      </c>
      <c r="R14" s="65">
        <f t="shared" si="15"/>
        <v>1970</v>
      </c>
      <c r="S14" s="65">
        <v>0</v>
      </c>
      <c r="T14" s="82">
        <f t="shared" si="5"/>
        <v>0.34177138799747642</v>
      </c>
      <c r="U14" s="67">
        <f t="shared" si="6"/>
        <v>0.55290601232063863</v>
      </c>
      <c r="V14" s="89">
        <f t="shared" si="7"/>
        <v>2.5429479615169464</v>
      </c>
      <c r="W14" s="66"/>
      <c r="X14" s="82">
        <f t="shared" si="8"/>
        <v>0</v>
      </c>
      <c r="Y14" s="82">
        <f t="shared" si="12"/>
        <v>0.21113462432316227</v>
      </c>
      <c r="Z14" s="89" t="str">
        <f t="shared" ref="Z14:Z26" si="17">IF($M14=0,"-",(VLOOKUP($N14,AC,4)*$I14)/(M14+P14))</f>
        <v>-</v>
      </c>
    </row>
    <row r="15" spans="1:26" x14ac:dyDescent="0.2">
      <c r="A15" s="50" t="s">
        <v>72</v>
      </c>
      <c r="B15" s="50" t="s">
        <v>73</v>
      </c>
      <c r="C15" s="50" t="s">
        <v>74</v>
      </c>
      <c r="D15" s="51" t="s">
        <v>75</v>
      </c>
      <c r="E15" s="51">
        <v>5</v>
      </c>
      <c r="F15" s="84">
        <v>0.31</v>
      </c>
      <c r="G15" s="52" t="s">
        <v>76</v>
      </c>
      <c r="H15" s="84">
        <v>104080</v>
      </c>
      <c r="I15" s="84">
        <f t="shared" si="16"/>
        <v>32264.799999999999</v>
      </c>
      <c r="J15" s="107">
        <v>1.35</v>
      </c>
      <c r="K15" s="55">
        <f t="shared" si="13"/>
        <v>140508</v>
      </c>
      <c r="L15" s="81">
        <f t="shared" ref="L15:L26" si="18">PV($C$40,$N15,(-0.05*0.9*$F15))</f>
        <v>0.25981399800736749</v>
      </c>
      <c r="M15" s="81">
        <f t="shared" si="14"/>
        <v>113466.55908739319</v>
      </c>
      <c r="N15" s="51">
        <v>30</v>
      </c>
      <c r="O15" s="52">
        <f t="shared" si="2"/>
        <v>600920.90916904015</v>
      </c>
      <c r="P15" s="53">
        <f t="shared" si="3"/>
        <v>90600.387304300864</v>
      </c>
      <c r="Q15" s="54">
        <v>2</v>
      </c>
      <c r="R15" s="56">
        <f t="shared" si="15"/>
        <v>208160</v>
      </c>
      <c r="S15" s="56">
        <v>0</v>
      </c>
      <c r="T15" s="81">
        <f t="shared" si="5"/>
        <v>0.34640165922641281</v>
      </c>
      <c r="U15" s="58">
        <f t="shared" si="6"/>
        <v>0.49717089677812992</v>
      </c>
      <c r="V15" s="88">
        <f t="shared" si="7"/>
        <v>3.7644582739552148</v>
      </c>
      <c r="W15" s="57"/>
      <c r="X15" s="81">
        <f t="shared" si="8"/>
        <v>0.18882111997782863</v>
      </c>
      <c r="Y15" s="81">
        <f t="shared" si="12"/>
        <v>0.33959035752954581</v>
      </c>
      <c r="Z15" s="88">
        <f t="shared" si="17"/>
        <v>5.0102586956439383</v>
      </c>
    </row>
    <row r="16" spans="1:26" x14ac:dyDescent="0.2">
      <c r="A16" s="59" t="s">
        <v>77</v>
      </c>
      <c r="B16" s="59" t="s">
        <v>78</v>
      </c>
      <c r="C16" s="59" t="s">
        <v>74</v>
      </c>
      <c r="D16" s="60" t="s">
        <v>79</v>
      </c>
      <c r="E16" s="60">
        <v>9</v>
      </c>
      <c r="F16" s="85">
        <v>0.32</v>
      </c>
      <c r="G16" s="61" t="s">
        <v>76</v>
      </c>
      <c r="H16" s="85">
        <v>119306</v>
      </c>
      <c r="I16" s="85">
        <f t="shared" si="16"/>
        <v>38177.919999999998</v>
      </c>
      <c r="J16" s="106">
        <v>1.63</v>
      </c>
      <c r="K16" s="64">
        <f t="shared" si="13"/>
        <v>194468.78</v>
      </c>
      <c r="L16" s="82">
        <f t="shared" si="18"/>
        <v>0.26819509471728253</v>
      </c>
      <c r="M16" s="82">
        <f t="shared" si="14"/>
        <v>162471.4960296599</v>
      </c>
      <c r="N16" s="60">
        <v>30</v>
      </c>
      <c r="O16" s="61">
        <f t="shared" si="2"/>
        <v>711050.75489644683</v>
      </c>
      <c r="P16" s="62">
        <f t="shared" si="3"/>
        <v>107204.58017631024</v>
      </c>
      <c r="Q16" s="63">
        <v>2.5</v>
      </c>
      <c r="R16" s="65">
        <f t="shared" si="15"/>
        <v>298265</v>
      </c>
      <c r="S16" s="65">
        <v>-20377.929999999993</v>
      </c>
      <c r="T16" s="82">
        <f t="shared" si="5"/>
        <v>0.41947075921948429</v>
      </c>
      <c r="U16" s="67">
        <f t="shared" si="6"/>
        <v>0.57023999677120152</v>
      </c>
      <c r="V16" s="89">
        <f t="shared" si="7"/>
        <v>3.2820901840336929</v>
      </c>
      <c r="W16" s="66"/>
      <c r="X16" s="82">
        <f t="shared" si="8"/>
        <v>0.22849493501110379</v>
      </c>
      <c r="Y16" s="82">
        <f t="shared" si="12"/>
        <v>0.37926417256282097</v>
      </c>
      <c r="Z16" s="89">
        <f t="shared" si="17"/>
        <v>4.4861488768423454</v>
      </c>
    </row>
    <row r="17" spans="1:26" x14ac:dyDescent="0.2">
      <c r="A17" s="50" t="s">
        <v>80</v>
      </c>
      <c r="B17" s="50" t="s">
        <v>81</v>
      </c>
      <c r="C17" s="50" t="s">
        <v>82</v>
      </c>
      <c r="D17" s="51" t="s">
        <v>83</v>
      </c>
      <c r="E17" s="51">
        <v>2</v>
      </c>
      <c r="F17" s="84">
        <v>5.6000000000000001E-2</v>
      </c>
      <c r="G17" s="52" t="s">
        <v>84</v>
      </c>
      <c r="H17" s="84">
        <v>5890</v>
      </c>
      <c r="I17" s="84">
        <f>ROUNDDOWN(H17*F17,2)</f>
        <v>329.84</v>
      </c>
      <c r="J17" s="107">
        <v>1.08</v>
      </c>
      <c r="K17" s="55">
        <f t="shared" si="13"/>
        <v>6361.2000000000007</v>
      </c>
      <c r="L17" s="81">
        <f t="shared" si="18"/>
        <v>4.6934141575524453E-2</v>
      </c>
      <c r="M17" s="81">
        <f t="shared" si="14"/>
        <v>6084.7579061201614</v>
      </c>
      <c r="N17" s="51">
        <v>30</v>
      </c>
      <c r="O17" s="52">
        <f t="shared" si="2"/>
        <v>6143.157641774199</v>
      </c>
      <c r="P17" s="53">
        <f t="shared" si="3"/>
        <v>926.19919381030093</v>
      </c>
      <c r="Q17" s="54">
        <v>1.25</v>
      </c>
      <c r="R17" s="56">
        <f t="shared" si="15"/>
        <v>7362.5</v>
      </c>
      <c r="S17" s="56">
        <v>-274.80000000000018</v>
      </c>
      <c r="T17" s="81">
        <f t="shared" si="5"/>
        <v>1.198487883484241</v>
      </c>
      <c r="U17" s="58">
        <f t="shared" si="6"/>
        <v>1.3492571210359579</v>
      </c>
      <c r="V17" s="88">
        <f t="shared" si="7"/>
        <v>1.3871181902743408</v>
      </c>
      <c r="W17" s="57"/>
      <c r="X17" s="81">
        <f t="shared" si="8"/>
        <v>0.9904935313303842</v>
      </c>
      <c r="Y17" s="81">
        <f t="shared" si="12"/>
        <v>1.1412627688821013</v>
      </c>
      <c r="Z17" s="88">
        <f t="shared" si="17"/>
        <v>1.4908359303053795</v>
      </c>
    </row>
    <row r="18" spans="1:26" x14ac:dyDescent="0.2">
      <c r="A18" s="59" t="s">
        <v>85</v>
      </c>
      <c r="B18" s="59" t="s">
        <v>86</v>
      </c>
      <c r="C18" s="59" t="s">
        <v>87</v>
      </c>
      <c r="D18" s="60" t="s">
        <v>88</v>
      </c>
      <c r="E18" s="60">
        <v>1</v>
      </c>
      <c r="F18" s="85">
        <v>6</v>
      </c>
      <c r="G18" s="61" t="s">
        <v>89</v>
      </c>
      <c r="H18" s="85">
        <v>782</v>
      </c>
      <c r="I18" s="85">
        <f t="shared" si="16"/>
        <v>4692</v>
      </c>
      <c r="J18" s="106">
        <v>8</v>
      </c>
      <c r="K18" s="64">
        <f t="shared" ref="K18:K26" si="19">H18*J18</f>
        <v>6256</v>
      </c>
      <c r="L18" s="82">
        <f t="shared" si="18"/>
        <v>3.8723040576252239</v>
      </c>
      <c r="M18" s="82">
        <f t="shared" ref="M18:M35" si="20">MAX(0,H18*(J18-L18))</f>
        <v>3227.8582269370754</v>
      </c>
      <c r="N18" s="60">
        <v>20</v>
      </c>
      <c r="O18" s="61">
        <f t="shared" si="2"/>
        <v>67292.039401398331</v>
      </c>
      <c r="P18" s="62">
        <f t="shared" si="3"/>
        <v>13175.256540619488</v>
      </c>
      <c r="Q18" s="63">
        <v>15</v>
      </c>
      <c r="R18" s="65">
        <f t="shared" ref="R18:R26" si="21">H18*Q18</f>
        <v>11730</v>
      </c>
      <c r="S18" s="65">
        <v>0</v>
      </c>
      <c r="T18" s="82">
        <f t="shared" si="5"/>
        <v>0.17431482392783967</v>
      </c>
      <c r="U18" s="67">
        <f t="shared" si="6"/>
        <v>0.37010702546937457</v>
      </c>
      <c r="V18" s="89">
        <f t="shared" si="7"/>
        <v>3.9826569813957002</v>
      </c>
      <c r="W18" s="66"/>
      <c r="X18" s="82">
        <f t="shared" si="8"/>
        <v>4.7967906094847829E-2</v>
      </c>
      <c r="Y18" s="82">
        <f t="shared" si="12"/>
        <v>0.2437601076363827</v>
      </c>
      <c r="Z18" s="89">
        <f t="shared" si="17"/>
        <v>5.4972427349387836</v>
      </c>
    </row>
    <row r="19" spans="1:26" x14ac:dyDescent="0.2">
      <c r="A19" s="50" t="s">
        <v>90</v>
      </c>
      <c r="B19" s="50" t="s">
        <v>91</v>
      </c>
      <c r="C19" s="50" t="s">
        <v>92</v>
      </c>
      <c r="D19" s="51" t="s">
        <v>93</v>
      </c>
      <c r="E19" s="51">
        <v>2</v>
      </c>
      <c r="F19" s="84">
        <v>0.36</v>
      </c>
      <c r="G19" s="52" t="s">
        <v>76</v>
      </c>
      <c r="H19" s="84">
        <v>29690</v>
      </c>
      <c r="I19" s="84">
        <f t="shared" si="16"/>
        <v>10688.4</v>
      </c>
      <c r="J19" s="107">
        <v>2.15</v>
      </c>
      <c r="K19" s="55">
        <f t="shared" si="19"/>
        <v>63833.5</v>
      </c>
      <c r="L19" s="81">
        <f t="shared" si="18"/>
        <v>0.30171948155694289</v>
      </c>
      <c r="M19" s="81">
        <f t="shared" si="20"/>
        <v>54875.448592574365</v>
      </c>
      <c r="N19" s="51">
        <v>30</v>
      </c>
      <c r="O19" s="52">
        <f t="shared" si="2"/>
        <v>199067.80905390292</v>
      </c>
      <c r="P19" s="53">
        <f t="shared" si="3"/>
        <v>30013.301792147773</v>
      </c>
      <c r="Q19" s="54">
        <v>2</v>
      </c>
      <c r="R19" s="56">
        <f t="shared" si="21"/>
        <v>59380</v>
      </c>
      <c r="S19" s="56">
        <v>0</v>
      </c>
      <c r="T19" s="81">
        <f t="shared" si="5"/>
        <v>0.29829031766718889</v>
      </c>
      <c r="U19" s="58">
        <f t="shared" si="6"/>
        <v>0.44905955521890611</v>
      </c>
      <c r="V19" s="88">
        <f t="shared" si="7"/>
        <v>4.167774795558719</v>
      </c>
      <c r="W19" s="57"/>
      <c r="X19" s="81">
        <f t="shared" si="8"/>
        <v>0.27566209149222803</v>
      </c>
      <c r="Y19" s="81">
        <f t="shared" si="12"/>
        <v>0.42643132904394526</v>
      </c>
      <c r="Z19" s="88">
        <f t="shared" si="17"/>
        <v>3.9899402925761631</v>
      </c>
    </row>
    <row r="20" spans="1:26" x14ac:dyDescent="0.2">
      <c r="A20" s="59" t="s">
        <v>94</v>
      </c>
      <c r="B20" s="59" t="s">
        <v>95</v>
      </c>
      <c r="C20" s="59" t="s">
        <v>96</v>
      </c>
      <c r="D20" s="60" t="s">
        <v>97</v>
      </c>
      <c r="E20" s="60">
        <v>5</v>
      </c>
      <c r="F20" s="85">
        <v>0.19</v>
      </c>
      <c r="G20" s="61" t="s">
        <v>84</v>
      </c>
      <c r="H20" s="85">
        <v>34100</v>
      </c>
      <c r="I20" s="85">
        <f t="shared" si="16"/>
        <v>6479</v>
      </c>
      <c r="J20" s="106">
        <v>1.7</v>
      </c>
      <c r="K20" s="64">
        <f t="shared" si="19"/>
        <v>57970</v>
      </c>
      <c r="L20" s="82">
        <f t="shared" si="18"/>
        <v>0.15924083748838649</v>
      </c>
      <c r="M20" s="82">
        <f t="shared" si="20"/>
        <v>52539.887441646017</v>
      </c>
      <c r="N20" s="60">
        <v>30</v>
      </c>
      <c r="O20" s="61">
        <f t="shared" si="2"/>
        <v>120669.16796342177</v>
      </c>
      <c r="P20" s="62">
        <f t="shared" si="3"/>
        <v>18193.1984498452</v>
      </c>
      <c r="Q20" s="63">
        <v>2</v>
      </c>
      <c r="R20" s="65">
        <f t="shared" si="21"/>
        <v>68200</v>
      </c>
      <c r="S20" s="65">
        <v>-95.850000000005821</v>
      </c>
      <c r="T20" s="82">
        <f t="shared" si="5"/>
        <v>0.56518165452730518</v>
      </c>
      <c r="U20" s="67">
        <f t="shared" si="6"/>
        <v>0.71595089207902229</v>
      </c>
      <c r="V20" s="89">
        <f t="shared" si="7"/>
        <v>2.614116577900139</v>
      </c>
      <c r="W20" s="66"/>
      <c r="X20" s="82">
        <f t="shared" si="8"/>
        <v>0.43540440634820932</v>
      </c>
      <c r="Y20" s="82">
        <f t="shared" si="12"/>
        <v>0.58617364389992643</v>
      </c>
      <c r="Z20" s="89">
        <f t="shared" si="17"/>
        <v>2.9026135164475524</v>
      </c>
    </row>
    <row r="21" spans="1:26" x14ac:dyDescent="0.2">
      <c r="A21" s="50" t="s">
        <v>98</v>
      </c>
      <c r="B21" s="50" t="s">
        <v>99</v>
      </c>
      <c r="C21" s="50" t="s">
        <v>100</v>
      </c>
      <c r="D21" s="51" t="s">
        <v>101</v>
      </c>
      <c r="E21" s="51">
        <v>42</v>
      </c>
      <c r="F21" s="84">
        <v>4.33</v>
      </c>
      <c r="G21" s="52" t="s">
        <v>32</v>
      </c>
      <c r="H21" s="84">
        <v>4150</v>
      </c>
      <c r="I21" s="84">
        <f t="shared" si="16"/>
        <v>17969.5</v>
      </c>
      <c r="J21" s="107">
        <v>21</v>
      </c>
      <c r="K21" s="55">
        <f t="shared" si="19"/>
        <v>87150</v>
      </c>
      <c r="L21" s="81">
        <f t="shared" si="18"/>
        <v>2.5914451861264589</v>
      </c>
      <c r="M21" s="81">
        <f t="shared" si="20"/>
        <v>76395.502477575195</v>
      </c>
      <c r="N21" s="51">
        <v>18</v>
      </c>
      <c r="O21" s="52">
        <f t="shared" si="2"/>
        <v>238988.83383166228</v>
      </c>
      <c r="P21" s="53">
        <f t="shared" si="3"/>
        <v>50458.817648478667</v>
      </c>
      <c r="Q21" s="54">
        <v>15</v>
      </c>
      <c r="R21" s="56">
        <f t="shared" si="21"/>
        <v>62250</v>
      </c>
      <c r="S21" s="56">
        <v>-5512.1399999999994</v>
      </c>
      <c r="T21" s="81">
        <f t="shared" si="5"/>
        <v>0.26047242041378105</v>
      </c>
      <c r="U21" s="58">
        <f t="shared" si="6"/>
        <v>0.47160704473694331</v>
      </c>
      <c r="V21" s="88">
        <f t="shared" si="7"/>
        <v>2.9813193688094453</v>
      </c>
      <c r="W21" s="57"/>
      <c r="X21" s="81">
        <f t="shared" si="8"/>
        <v>0.31966138857929349</v>
      </c>
      <c r="Y21" s="81">
        <f t="shared" si="12"/>
        <v>0.5307960129024557</v>
      </c>
      <c r="Z21" s="88">
        <f t="shared" si="17"/>
        <v>2.4080663462632534</v>
      </c>
    </row>
    <row r="22" spans="1:26" x14ac:dyDescent="0.2">
      <c r="A22" s="59" t="s">
        <v>102</v>
      </c>
      <c r="B22" s="59" t="s">
        <v>103</v>
      </c>
      <c r="C22" s="59" t="s">
        <v>55</v>
      </c>
      <c r="D22" s="60" t="s">
        <v>104</v>
      </c>
      <c r="E22" s="60">
        <v>1</v>
      </c>
      <c r="F22" s="85">
        <v>22</v>
      </c>
      <c r="G22" s="61" t="s">
        <v>105</v>
      </c>
      <c r="H22" s="85">
        <v>4.8</v>
      </c>
      <c r="I22" s="85">
        <f t="shared" si="16"/>
        <v>105.6</v>
      </c>
      <c r="J22" s="106">
        <v>137.9</v>
      </c>
      <c r="K22" s="64">
        <f t="shared" si="19"/>
        <v>661.92</v>
      </c>
      <c r="L22" s="82">
        <f t="shared" si="18"/>
        <v>13.166696095792631</v>
      </c>
      <c r="M22" s="82">
        <f t="shared" si="20"/>
        <v>598.71985874019538</v>
      </c>
      <c r="N22" s="60">
        <v>18</v>
      </c>
      <c r="O22" s="61">
        <f t="shared" si="2"/>
        <v>1404.4475835512137</v>
      </c>
      <c r="P22" s="62">
        <f>$C$43*I22/SUM($I$4:$I$26)</f>
        <v>296.5275129346586</v>
      </c>
      <c r="Q22" s="63">
        <v>120</v>
      </c>
      <c r="R22" s="65">
        <f t="shared" si="21"/>
        <v>576</v>
      </c>
      <c r="S22" s="65">
        <v>0</v>
      </c>
      <c r="T22" s="82">
        <f t="shared" si="5"/>
        <v>0.41012566559697167</v>
      </c>
      <c r="U22" s="67">
        <f t="shared" si="6"/>
        <v>0.62126028992013393</v>
      </c>
      <c r="V22" s="89">
        <f t="shared" si="7"/>
        <v>2.2631596446023958</v>
      </c>
      <c r="W22" s="66"/>
      <c r="X22" s="82">
        <f t="shared" si="8"/>
        <v>0.42630274404851992</v>
      </c>
      <c r="Y22" s="82">
        <f t="shared" si="12"/>
        <v>0.63743736837168219</v>
      </c>
      <c r="Z22" s="89">
        <f t="shared" si="17"/>
        <v>2.0052040856440985</v>
      </c>
    </row>
    <row r="23" spans="1:26" x14ac:dyDescent="0.2">
      <c r="A23" s="50" t="s">
        <v>106</v>
      </c>
      <c r="B23" s="50" t="s">
        <v>107</v>
      </c>
      <c r="C23" s="50" t="s">
        <v>55</v>
      </c>
      <c r="D23" s="51" t="s">
        <v>108</v>
      </c>
      <c r="E23" s="51">
        <v>18</v>
      </c>
      <c r="F23" s="84">
        <v>38</v>
      </c>
      <c r="G23" s="52" t="s">
        <v>105</v>
      </c>
      <c r="H23" s="84">
        <v>111.60000000000001</v>
      </c>
      <c r="I23" s="84">
        <f t="shared" si="16"/>
        <v>4240.8</v>
      </c>
      <c r="J23" s="107">
        <v>52.8</v>
      </c>
      <c r="K23" s="55">
        <f t="shared" si="19"/>
        <v>5892.4800000000005</v>
      </c>
      <c r="L23" s="81">
        <f t="shared" si="18"/>
        <v>24.524592364959751</v>
      </c>
      <c r="M23" s="81">
        <f t="shared" si="20"/>
        <v>3155.5354920704917</v>
      </c>
      <c r="N23" s="51">
        <v>20</v>
      </c>
      <c r="O23" s="52">
        <f t="shared" si="2"/>
        <v>60820.989065100177</v>
      </c>
      <c r="P23" s="53">
        <f t="shared" si="3"/>
        <v>11908.275348989584</v>
      </c>
      <c r="Q23" s="54">
        <v>150</v>
      </c>
      <c r="R23" s="56">
        <f t="shared" si="21"/>
        <v>16740</v>
      </c>
      <c r="S23" s="56">
        <v>0</v>
      </c>
      <c r="T23" s="81">
        <f t="shared" si="5"/>
        <v>0.27523393251764161</v>
      </c>
      <c r="U23" s="58">
        <f t="shared" si="6"/>
        <v>0.47102613405917648</v>
      </c>
      <c r="V23" s="88">
        <f t="shared" si="7"/>
        <v>3.1293578471890404</v>
      </c>
      <c r="W23" s="57"/>
      <c r="X23" s="81">
        <f t="shared" si="8"/>
        <v>5.1882344246209841E-2</v>
      </c>
      <c r="Y23" s="81">
        <f t="shared" si="12"/>
        <v>0.24767454578774475</v>
      </c>
      <c r="Z23" s="88">
        <f t="shared" si="17"/>
        <v>5.4103601018425937</v>
      </c>
    </row>
    <row r="24" spans="1:26" x14ac:dyDescent="0.2">
      <c r="A24" s="59" t="s">
        <v>109</v>
      </c>
      <c r="B24" s="59" t="s">
        <v>110</v>
      </c>
      <c r="C24" s="59" t="s">
        <v>111</v>
      </c>
      <c r="D24" s="60" t="s">
        <v>112</v>
      </c>
      <c r="E24" s="60">
        <v>24</v>
      </c>
      <c r="F24" s="85">
        <v>1.1000000000000001</v>
      </c>
      <c r="G24" s="61" t="s">
        <v>32</v>
      </c>
      <c r="H24" s="85">
        <v>2314</v>
      </c>
      <c r="I24" s="85">
        <f t="shared" si="16"/>
        <v>2545.4</v>
      </c>
      <c r="J24" s="106">
        <v>6.72</v>
      </c>
      <c r="K24" s="64">
        <f t="shared" si="19"/>
        <v>15550.08</v>
      </c>
      <c r="L24" s="82">
        <f t="shared" si="18"/>
        <v>0.65833480478963158</v>
      </c>
      <c r="M24" s="82">
        <f t="shared" si="20"/>
        <v>14026.693261716793</v>
      </c>
      <c r="N24" s="60">
        <v>18</v>
      </c>
      <c r="O24" s="61">
        <f t="shared" si="2"/>
        <v>33853.038628515715</v>
      </c>
      <c r="P24" s="62">
        <f t="shared" si="3"/>
        <v>7147.5485930291661</v>
      </c>
      <c r="Q24" s="63">
        <v>5</v>
      </c>
      <c r="R24" s="65">
        <f t="shared" si="21"/>
        <v>11570</v>
      </c>
      <c r="S24" s="65">
        <v>0</v>
      </c>
      <c r="T24" s="82">
        <f t="shared" si="5"/>
        <v>0.34177138799747636</v>
      </c>
      <c r="U24" s="67">
        <f t="shared" si="6"/>
        <v>0.55290601232063863</v>
      </c>
      <c r="V24" s="89">
        <f t="shared" si="7"/>
        <v>2.5429479615169468</v>
      </c>
      <c r="W24" s="66"/>
      <c r="X24" s="82">
        <f t="shared" si="8"/>
        <v>0.41434074546860827</v>
      </c>
      <c r="Y24" s="82">
        <f>IF(O24=0,0,(M24+P24)/O24)</f>
        <v>0.62547536979177054</v>
      </c>
      <c r="Z24" s="89">
        <f t="shared" si="17"/>
        <v>2.043552915323664</v>
      </c>
    </row>
    <row r="25" spans="1:26" x14ac:dyDescent="0.2">
      <c r="A25" s="50" t="s">
        <v>113</v>
      </c>
      <c r="B25" s="50" t="s">
        <v>114</v>
      </c>
      <c r="C25" s="50" t="s">
        <v>115</v>
      </c>
      <c r="D25" s="51" t="s">
        <v>116</v>
      </c>
      <c r="E25" s="51">
        <v>10</v>
      </c>
      <c r="F25" s="84">
        <v>0.48770000000000002</v>
      </c>
      <c r="G25" s="52" t="s">
        <v>84</v>
      </c>
      <c r="H25" s="84">
        <v>1085.7400000000002</v>
      </c>
      <c r="I25" s="84">
        <f t="shared" ref="I25:I26" si="22">ROUNDDOWN(H25*F25,2)</f>
        <v>529.51</v>
      </c>
      <c r="J25" s="107">
        <v>24.31</v>
      </c>
      <c r="K25" s="55">
        <f t="shared" si="19"/>
        <v>26394.339400000004</v>
      </c>
      <c r="L25" s="81">
        <f t="shared" si="18"/>
        <v>0.50211403206450478</v>
      </c>
      <c r="M25" s="81">
        <f t="shared" si="20"/>
        <v>25849.17411082629</v>
      </c>
      <c r="N25" s="51">
        <v>45</v>
      </c>
      <c r="O25" s="52">
        <f t="shared" si="2"/>
        <v>12114.660703003936</v>
      </c>
      <c r="P25" s="53">
        <f t="shared" si="3"/>
        <v>1486.8776834662033</v>
      </c>
      <c r="Q25" s="54">
        <v>7.5</v>
      </c>
      <c r="R25" s="56">
        <f t="shared" si="21"/>
        <v>8143.050000000002</v>
      </c>
      <c r="S25" s="56">
        <v>-0.49000000000069122</v>
      </c>
      <c r="T25" s="81">
        <f t="shared" si="5"/>
        <v>0.67216492476597889</v>
      </c>
      <c r="U25" s="58">
        <f t="shared" si="6"/>
        <v>0.79489867025977712</v>
      </c>
      <c r="V25" s="88">
        <f t="shared" si="7"/>
        <v>3.3687993252918411</v>
      </c>
      <c r="W25" s="57"/>
      <c r="X25" s="81">
        <f t="shared" si="8"/>
        <v>2.1337101173965825</v>
      </c>
      <c r="Y25" s="81">
        <f t="shared" si="12"/>
        <v>2.2564438628903805</v>
      </c>
      <c r="Z25" s="88">
        <f t="shared" si="17"/>
        <v>1.0788714321224557</v>
      </c>
    </row>
    <row r="26" spans="1:26" x14ac:dyDescent="0.2">
      <c r="A26" s="59" t="s">
        <v>117</v>
      </c>
      <c r="B26" s="59" t="s">
        <v>118</v>
      </c>
      <c r="C26" s="59" t="s">
        <v>119</v>
      </c>
      <c r="D26" s="60" t="s">
        <v>120</v>
      </c>
      <c r="E26" s="60">
        <v>1</v>
      </c>
      <c r="F26" s="85">
        <v>0.54</v>
      </c>
      <c r="G26" s="61" t="s">
        <v>84</v>
      </c>
      <c r="H26" s="85">
        <v>2652</v>
      </c>
      <c r="I26" s="85">
        <f t="shared" si="22"/>
        <v>1432.08</v>
      </c>
      <c r="J26" s="106">
        <v>26.23</v>
      </c>
      <c r="K26" s="64">
        <f t="shared" si="19"/>
        <v>69561.960000000006</v>
      </c>
      <c r="L26" s="82">
        <f t="shared" si="18"/>
        <v>0.55595976484484844</v>
      </c>
      <c r="M26" s="82">
        <f t="shared" si="20"/>
        <v>68087.554703631467</v>
      </c>
      <c r="N26" s="60">
        <v>45</v>
      </c>
      <c r="O26" s="61">
        <f t="shared" si="2"/>
        <v>32764.56214152306</v>
      </c>
      <c r="P26" s="62">
        <f t="shared" si="3"/>
        <v>4021.3174310934269</v>
      </c>
      <c r="Q26" s="63">
        <v>9</v>
      </c>
      <c r="R26" s="65">
        <f t="shared" si="21"/>
        <v>23868</v>
      </c>
      <c r="S26" s="65">
        <v>0</v>
      </c>
      <c r="T26" s="82">
        <f t="shared" ref="T26" si="23">IF(ISERROR(R26/O26),0,R26/O26)</f>
        <v>0.72846998219920345</v>
      </c>
      <c r="U26" s="67">
        <f t="shared" ref="U26" si="24">IF(O26=0,0,(R26+P26)/O26)</f>
        <v>0.85120372769300168</v>
      </c>
      <c r="V26" s="89">
        <f t="shared" si="7"/>
        <v>3.1459614389897541</v>
      </c>
      <c r="W26" s="66"/>
      <c r="X26" s="82">
        <f t="shared" ref="X26" si="25">IF(ISERROR(M26/O26),0,M26/O26)</f>
        <v>2.078085292565012</v>
      </c>
      <c r="Y26" s="82">
        <f t="shared" ref="Y26" si="26">IF(O26=0,0,(M26+P26)/O26)</f>
        <v>2.2008190380588104</v>
      </c>
      <c r="Z26" s="89">
        <f t="shared" si="17"/>
        <v>1.1061394779680285</v>
      </c>
    </row>
    <row r="27" spans="1:26" ht="14.25" customHeight="1" x14ac:dyDescent="0.2">
      <c r="A27" s="49" t="s">
        <v>121</v>
      </c>
      <c r="B27" s="49" t="s">
        <v>121</v>
      </c>
      <c r="C27" s="49"/>
      <c r="D27" s="49"/>
      <c r="E27" s="49"/>
      <c r="F27" s="86"/>
      <c r="G27" s="49"/>
      <c r="H27" s="86"/>
      <c r="I27" s="86"/>
      <c r="J27" s="49"/>
      <c r="K27" s="49"/>
      <c r="L27" s="83"/>
      <c r="M27" s="83">
        <f t="shared" si="20"/>
        <v>0</v>
      </c>
      <c r="N27" s="123"/>
      <c r="O27" s="49"/>
      <c r="P27" s="101"/>
      <c r="Q27" s="49"/>
      <c r="R27" s="100">
        <f>SUM(R4:R26)</f>
        <v>1252434.6500000001</v>
      </c>
      <c r="S27" s="100">
        <f>SUM(S4:S26)</f>
        <v>-21911.21</v>
      </c>
      <c r="T27" s="83"/>
      <c r="U27" s="49"/>
      <c r="V27" s="90"/>
      <c r="W27" s="49"/>
      <c r="X27" s="83"/>
      <c r="Y27" s="83"/>
      <c r="Z27" s="90"/>
    </row>
    <row r="28" spans="1:26" x14ac:dyDescent="0.2">
      <c r="A28" s="50"/>
      <c r="B28" s="50" t="s">
        <v>122</v>
      </c>
      <c r="C28" s="50"/>
      <c r="D28" s="51" t="s">
        <v>123</v>
      </c>
      <c r="E28" s="51">
        <v>1</v>
      </c>
      <c r="F28" s="84">
        <v>2005</v>
      </c>
      <c r="G28" s="52" t="s">
        <v>40</v>
      </c>
      <c r="H28" s="84">
        <v>1</v>
      </c>
      <c r="I28" s="84">
        <f t="shared" ref="I28:I31" si="27">H28*F28</f>
        <v>2005</v>
      </c>
      <c r="J28" s="54">
        <v>37930.81</v>
      </c>
      <c r="K28" s="55">
        <f t="shared" ref="K28:K31" si="28">H28*J28</f>
        <v>37930.81</v>
      </c>
      <c r="L28" s="81">
        <f t="shared" ref="L28:L35" si="29">PV($C$40,$N28,(-0.05*0.9*$F28))</f>
        <v>877.02799091098132</v>
      </c>
      <c r="M28" s="81">
        <f t="shared" ref="M28:M31" si="30">MAX(0,H28*(J28-L28))</f>
        <v>37053.782009089016</v>
      </c>
      <c r="N28" s="51">
        <v>12</v>
      </c>
      <c r="O28" s="52">
        <f t="shared" ref="O28:O35" si="31">PV($C$40,N28,-I28)</f>
        <v>19489.510909132918</v>
      </c>
      <c r="P28" s="53">
        <f t="shared" ref="P28:P35" si="32">$C$42*I28/SUM($I$28:$I$35)</f>
        <v>19094.390903788862</v>
      </c>
      <c r="Q28" s="54">
        <v>8428</v>
      </c>
      <c r="R28" s="56">
        <v>2566</v>
      </c>
      <c r="S28" s="56"/>
      <c r="T28" s="81">
        <f t="shared" ref="T28:T31" si="33">IF(ISERROR(R28/O28),0,R28/O28)</f>
        <v>0.13166056408309124</v>
      </c>
      <c r="U28" s="58">
        <f t="shared" ref="U28:U31" si="34">IF(O28=0,0,(R28+P28)/O28)</f>
        <v>1.1113870945647311</v>
      </c>
      <c r="V28" s="88">
        <f t="shared" ref="V28:V36" si="35">IF($R28=0,"-",(VLOOKUP($N28,AC,6)*$I28)/($R28+$P28))</f>
        <v>1.1011841294216758</v>
      </c>
      <c r="W28" s="57"/>
      <c r="X28" s="81">
        <f t="shared" ref="X28:X31" si="36">IF(ISERROR((M28)/O28),0,(M28)/O28)</f>
        <v>1.9012166175871228</v>
      </c>
      <c r="Y28" s="81">
        <f t="shared" ref="Y28:Y31" si="37">IF(O28=0,0,((M28)+P28)/O28)</f>
        <v>2.8809431480687628</v>
      </c>
      <c r="Z28" s="88">
        <f t="shared" ref="Z28:Z35" si="38">(VLOOKUP($N28,AC,4)*$I28)/($M28+$P28)</f>
        <v>0.3861872396636844</v>
      </c>
    </row>
    <row r="29" spans="1:26" x14ac:dyDescent="0.2">
      <c r="A29" s="59"/>
      <c r="B29" s="59" t="s">
        <v>124</v>
      </c>
      <c r="C29" s="59"/>
      <c r="D29" s="60" t="s">
        <v>125</v>
      </c>
      <c r="E29" s="60">
        <v>1</v>
      </c>
      <c r="F29" s="85">
        <v>26000</v>
      </c>
      <c r="G29" s="61" t="s">
        <v>40</v>
      </c>
      <c r="H29" s="85">
        <v>1</v>
      </c>
      <c r="I29" s="85">
        <f t="shared" si="27"/>
        <v>26000</v>
      </c>
      <c r="J29" s="63">
        <v>267570</v>
      </c>
      <c r="K29" s="63">
        <f t="shared" si="28"/>
        <v>267570</v>
      </c>
      <c r="L29" s="63">
        <f t="shared" si="29"/>
        <v>11372.931552960359</v>
      </c>
      <c r="M29" s="82">
        <f t="shared" si="30"/>
        <v>256197.06844703964</v>
      </c>
      <c r="N29" s="60">
        <v>12</v>
      </c>
      <c r="O29" s="61">
        <f t="shared" si="31"/>
        <v>252731.8122880079</v>
      </c>
      <c r="P29" s="62">
        <f t="shared" si="32"/>
        <v>247608.06159526706</v>
      </c>
      <c r="Q29" s="63">
        <v>8428</v>
      </c>
      <c r="R29" s="65">
        <v>43680</v>
      </c>
      <c r="S29" s="65"/>
      <c r="T29" s="82">
        <f t="shared" si="33"/>
        <v>0.1728314279257539</v>
      </c>
      <c r="U29" s="67">
        <f t="shared" si="34"/>
        <v>1.1525579584073937</v>
      </c>
      <c r="V29" s="89">
        <f t="shared" si="35"/>
        <v>1.0618484053243236</v>
      </c>
      <c r="W29" s="66"/>
      <c r="X29" s="82">
        <f t="shared" si="36"/>
        <v>1.0137111989490377</v>
      </c>
      <c r="Y29" s="82">
        <f t="shared" si="37"/>
        <v>1.9934377294306778</v>
      </c>
      <c r="Z29" s="89">
        <f t="shared" si="38"/>
        <v>0.55812301811826981</v>
      </c>
    </row>
    <row r="30" spans="1:26" x14ac:dyDescent="0.2">
      <c r="A30" s="50"/>
      <c r="B30" s="50" t="s">
        <v>126</v>
      </c>
      <c r="C30" s="50"/>
      <c r="D30" s="51" t="s">
        <v>127</v>
      </c>
      <c r="E30" s="51">
        <v>1</v>
      </c>
      <c r="F30" s="84">
        <v>12600</v>
      </c>
      <c r="G30" s="52" t="s">
        <v>40</v>
      </c>
      <c r="H30" s="84">
        <v>1</v>
      </c>
      <c r="I30" s="84">
        <f t="shared" si="27"/>
        <v>12600</v>
      </c>
      <c r="J30" s="54">
        <v>229000</v>
      </c>
      <c r="K30" s="55">
        <f t="shared" si="28"/>
        <v>229000</v>
      </c>
      <c r="L30" s="81">
        <f t="shared" si="29"/>
        <v>6577.0592599742149</v>
      </c>
      <c r="M30" s="81">
        <f t="shared" si="30"/>
        <v>222422.94074002578</v>
      </c>
      <c r="N30" s="51">
        <v>15</v>
      </c>
      <c r="O30" s="52">
        <f t="shared" si="31"/>
        <v>146156.87244387143</v>
      </c>
      <c r="P30" s="53">
        <f t="shared" si="32"/>
        <v>119994.67600386018</v>
      </c>
      <c r="Q30" s="54">
        <v>8428</v>
      </c>
      <c r="R30" s="56">
        <v>42840</v>
      </c>
      <c r="S30" s="56"/>
      <c r="T30" s="81">
        <f t="shared" si="33"/>
        <v>0.29310972028668603</v>
      </c>
      <c r="U30" s="58">
        <f t="shared" si="34"/>
        <v>1.1141089247540756</v>
      </c>
      <c r="V30" s="88">
        <f t="shared" si="35"/>
        <v>1.1772406706901601</v>
      </c>
      <c r="W30" s="57"/>
      <c r="X30" s="81">
        <f t="shared" si="36"/>
        <v>1.5218096625968975</v>
      </c>
      <c r="Y30" s="81">
        <f t="shared" si="37"/>
        <v>2.3428088670642873</v>
      </c>
      <c r="Z30" s="88">
        <f t="shared" si="38"/>
        <v>0.50893622772754699</v>
      </c>
    </row>
    <row r="31" spans="1:26" x14ac:dyDescent="0.2">
      <c r="A31" s="59"/>
      <c r="B31" s="59" t="s">
        <v>128</v>
      </c>
      <c r="C31" s="59"/>
      <c r="D31" s="60" t="s">
        <v>129</v>
      </c>
      <c r="E31" s="60">
        <v>1</v>
      </c>
      <c r="F31" s="85">
        <v>5892</v>
      </c>
      <c r="G31" s="61" t="s">
        <v>40</v>
      </c>
      <c r="H31" s="85">
        <v>1</v>
      </c>
      <c r="I31" s="85">
        <f t="shared" si="27"/>
        <v>5892</v>
      </c>
      <c r="J31" s="63">
        <v>45000</v>
      </c>
      <c r="K31" s="63">
        <f t="shared" si="28"/>
        <v>45000</v>
      </c>
      <c r="L31" s="63">
        <f t="shared" si="29"/>
        <v>3075.5581872831804</v>
      </c>
      <c r="M31" s="82">
        <f t="shared" si="30"/>
        <v>41924.441812716817</v>
      </c>
      <c r="N31" s="60">
        <v>15</v>
      </c>
      <c r="O31" s="61">
        <f t="shared" si="31"/>
        <v>68345.737495181776</v>
      </c>
      <c r="P31" s="62">
        <f t="shared" si="32"/>
        <v>56111.796112281292</v>
      </c>
      <c r="Q31" s="63">
        <v>8428</v>
      </c>
      <c r="R31" s="65">
        <v>13528</v>
      </c>
      <c r="S31" s="65"/>
      <c r="T31" s="82">
        <f t="shared" si="33"/>
        <v>0.19793480172708203</v>
      </c>
      <c r="U31" s="67">
        <f t="shared" si="34"/>
        <v>1.0189340061944718</v>
      </c>
      <c r="V31" s="89">
        <f t="shared" si="35"/>
        <v>1.2872024388486811</v>
      </c>
      <c r="W31" s="66"/>
      <c r="X31" s="82">
        <f t="shared" si="36"/>
        <v>0.61341706665572815</v>
      </c>
      <c r="Y31" s="82">
        <f t="shared" si="37"/>
        <v>1.4344162711231179</v>
      </c>
      <c r="Z31" s="89">
        <f t="shared" si="38"/>
        <v>0.83123729916753453</v>
      </c>
    </row>
    <row r="32" spans="1:26" x14ac:dyDescent="0.2">
      <c r="A32" s="50"/>
      <c r="B32" s="50" t="s">
        <v>130</v>
      </c>
      <c r="C32" s="50"/>
      <c r="D32" s="51" t="s">
        <v>131</v>
      </c>
      <c r="E32" s="51">
        <v>1</v>
      </c>
      <c r="F32" s="84">
        <v>497</v>
      </c>
      <c r="G32" s="52" t="s">
        <v>40</v>
      </c>
      <c r="H32" s="84">
        <v>1</v>
      </c>
      <c r="I32" s="84">
        <f t="shared" ref="I32:I33" si="39">H32*F32</f>
        <v>497</v>
      </c>
      <c r="J32" s="54">
        <v>6593.94</v>
      </c>
      <c r="K32" s="55">
        <f t="shared" ref="K32:K33" si="40">H32*J32</f>
        <v>6593.94</v>
      </c>
      <c r="L32" s="81">
        <f t="shared" si="29"/>
        <v>416.54050648277945</v>
      </c>
      <c r="M32" s="81">
        <f t="shared" ref="M32:M33" si="41">MAX(0,H32*(J32-L32))</f>
        <v>6177.3994935172204</v>
      </c>
      <c r="N32" s="51">
        <v>30</v>
      </c>
      <c r="O32" s="52">
        <f t="shared" si="31"/>
        <v>9256.4556996173196</v>
      </c>
      <c r="P32" s="53">
        <f t="shared" si="32"/>
        <v>4733.123331263374</v>
      </c>
      <c r="Q32" s="54">
        <v>8428</v>
      </c>
      <c r="R32" s="56">
        <v>2447</v>
      </c>
      <c r="S32" s="56"/>
      <c r="T32" s="81">
        <f t="shared" ref="T32:T33" si="42">IF(ISERROR(R32/O32),0,R32/O32)</f>
        <v>0.26435604289676057</v>
      </c>
      <c r="U32" s="58">
        <f t="shared" ref="U32:U33" si="43">IF(O32=0,0,(R32+P32)/O32)</f>
        <v>0.77568818609051571</v>
      </c>
      <c r="V32" s="88">
        <f t="shared" si="35"/>
        <v>2.4127982474233138</v>
      </c>
      <c r="W32" s="57"/>
      <c r="X32" s="81">
        <f t="shared" ref="X32:X33" si="44">IF(ISERROR((M32)/O32),0,(M32)/O32)</f>
        <v>0.66736121189156739</v>
      </c>
      <c r="Y32" s="81">
        <f t="shared" ref="Y32:Y33" si="45">IF(O32=0,0,((M32)+P32)/O32)</f>
        <v>1.1786933550853225</v>
      </c>
      <c r="Z32" s="88">
        <f t="shared" si="38"/>
        <v>1.4434929444784041</v>
      </c>
    </row>
    <row r="33" spans="1:26" x14ac:dyDescent="0.2">
      <c r="A33" s="59"/>
      <c r="B33" s="59" t="s">
        <v>132</v>
      </c>
      <c r="C33" s="59"/>
      <c r="D33" s="60" t="s">
        <v>133</v>
      </c>
      <c r="E33" s="60">
        <v>1</v>
      </c>
      <c r="F33" s="85">
        <v>66</v>
      </c>
      <c r="G33" s="61" t="s">
        <v>40</v>
      </c>
      <c r="H33" s="85">
        <v>1</v>
      </c>
      <c r="I33" s="85">
        <f t="shared" si="39"/>
        <v>66</v>
      </c>
      <c r="J33" s="63">
        <v>1637.5</v>
      </c>
      <c r="K33" s="63">
        <f t="shared" si="40"/>
        <v>1637.5</v>
      </c>
      <c r="L33" s="63">
        <f t="shared" si="29"/>
        <v>55.315238285439527</v>
      </c>
      <c r="M33" s="82">
        <f t="shared" si="41"/>
        <v>1582.1847617145604</v>
      </c>
      <c r="N33" s="60">
        <v>30</v>
      </c>
      <c r="O33" s="61">
        <f t="shared" si="31"/>
        <v>1229.2275174542117</v>
      </c>
      <c r="P33" s="62">
        <f t="shared" si="32"/>
        <v>628.54354097260102</v>
      </c>
      <c r="Q33" s="63">
        <v>8428</v>
      </c>
      <c r="R33" s="65">
        <v>527</v>
      </c>
      <c r="S33" s="65"/>
      <c r="T33" s="82">
        <f t="shared" si="42"/>
        <v>0.42872453839256863</v>
      </c>
      <c r="U33" s="67">
        <f t="shared" si="43"/>
        <v>0.94005668158632372</v>
      </c>
      <c r="V33" s="89">
        <f t="shared" si="35"/>
        <v>1.9909215397394115</v>
      </c>
      <c r="W33" s="66"/>
      <c r="X33" s="82">
        <f t="shared" si="44"/>
        <v>1.2871374414000589</v>
      </c>
      <c r="Y33" s="82">
        <f t="shared" si="45"/>
        <v>1.7984695845938141</v>
      </c>
      <c r="Z33" s="89">
        <f t="shared" si="38"/>
        <v>0.94604632535585043</v>
      </c>
    </row>
    <row r="34" spans="1:26" x14ac:dyDescent="0.2">
      <c r="A34" s="50"/>
      <c r="B34" s="50" t="s">
        <v>132</v>
      </c>
      <c r="C34" s="50"/>
      <c r="D34" s="51" t="s">
        <v>134</v>
      </c>
      <c r="E34" s="51">
        <v>1</v>
      </c>
      <c r="F34" s="84">
        <v>350</v>
      </c>
      <c r="G34" s="52" t="s">
        <v>40</v>
      </c>
      <c r="H34" s="84">
        <v>1</v>
      </c>
      <c r="I34" s="84">
        <f t="shared" ref="I34:I35" si="46">H34*F34</f>
        <v>350</v>
      </c>
      <c r="J34" s="54">
        <v>1637.5</v>
      </c>
      <c r="K34" s="55">
        <f t="shared" ref="K34:K35" si="47">H34*J34</f>
        <v>1637.5</v>
      </c>
      <c r="L34" s="81">
        <f t="shared" si="29"/>
        <v>293.33838484702778</v>
      </c>
      <c r="M34" s="81">
        <f t="shared" si="20"/>
        <v>1344.1616151529722</v>
      </c>
      <c r="N34" s="51">
        <v>30</v>
      </c>
      <c r="O34" s="52">
        <f t="shared" si="31"/>
        <v>6518.6307743783946</v>
      </c>
      <c r="P34" s="53">
        <f t="shared" si="32"/>
        <v>3333.1854445516715</v>
      </c>
      <c r="Q34" s="54">
        <v>8428</v>
      </c>
      <c r="R34" s="56">
        <v>2300</v>
      </c>
      <c r="S34" s="56"/>
      <c r="T34" s="81">
        <f t="shared" ref="T34:T35" si="48">IF(ISERROR(R34/O34),0,R34/O34)</f>
        <v>0.35283483289776052</v>
      </c>
      <c r="U34" s="58">
        <f t="shared" ref="U34:U35" si="49">IF(O34=0,0,(R34+P34)/O34)</f>
        <v>0.86416697609151549</v>
      </c>
      <c r="V34" s="88">
        <f t="shared" si="35"/>
        <v>2.1657609556095383</v>
      </c>
      <c r="W34" s="57"/>
      <c r="X34" s="81">
        <f t="shared" ref="X34:X35" si="50">IF(ISERROR((M34)/O34),0,(M34)/O34)</f>
        <v>0.20620306037829689</v>
      </c>
      <c r="Y34" s="81">
        <f t="shared" ref="Y34:Y35" si="51">IF(O34=0,0,((M34)+P34)/O34)</f>
        <v>0.71753520357205192</v>
      </c>
      <c r="Z34" s="88">
        <f t="shared" si="38"/>
        <v>2.3712223920152096</v>
      </c>
    </row>
    <row r="35" spans="1:26" x14ac:dyDescent="0.2">
      <c r="A35" s="59"/>
      <c r="B35" s="59" t="s">
        <v>135</v>
      </c>
      <c r="C35" s="59"/>
      <c r="D35" s="60" t="s">
        <v>136</v>
      </c>
      <c r="E35" s="60">
        <v>1</v>
      </c>
      <c r="F35" s="85">
        <v>256</v>
      </c>
      <c r="G35" s="61" t="s">
        <v>40</v>
      </c>
      <c r="H35" s="85">
        <v>1</v>
      </c>
      <c r="I35" s="85">
        <f t="shared" si="46"/>
        <v>256</v>
      </c>
      <c r="J35" s="63">
        <v>6629</v>
      </c>
      <c r="K35" s="63">
        <f t="shared" si="47"/>
        <v>6629</v>
      </c>
      <c r="L35" s="63">
        <f t="shared" si="29"/>
        <v>214.55607577382605</v>
      </c>
      <c r="M35" s="82">
        <f t="shared" si="20"/>
        <v>6414.4439242261742</v>
      </c>
      <c r="N35" s="60">
        <v>30</v>
      </c>
      <c r="O35" s="61">
        <f t="shared" si="31"/>
        <v>4767.9127949739113</v>
      </c>
      <c r="P35" s="62">
        <f t="shared" si="32"/>
        <v>2437.987068014937</v>
      </c>
      <c r="Q35" s="63">
        <v>8428</v>
      </c>
      <c r="R35" s="65">
        <v>2169</v>
      </c>
      <c r="S35" s="65"/>
      <c r="T35" s="82">
        <f t="shared" si="48"/>
        <v>0.45491603837353073</v>
      </c>
      <c r="U35" s="67">
        <f t="shared" si="49"/>
        <v>0.96624818156728576</v>
      </c>
      <c r="V35" s="89">
        <f t="shared" si="35"/>
        <v>1.9369548441585718</v>
      </c>
      <c r="W35" s="66"/>
      <c r="X35" s="82">
        <f t="shared" si="50"/>
        <v>1.3453358314329809</v>
      </c>
      <c r="Y35" s="82">
        <f t="shared" si="51"/>
        <v>1.8566679746267361</v>
      </c>
      <c r="Z35" s="89">
        <f t="shared" si="38"/>
        <v>0.91639192630082233</v>
      </c>
    </row>
    <row r="36" spans="1:26" ht="15.75" thickBot="1" x14ac:dyDescent="0.25">
      <c r="A36" s="69" t="s">
        <v>137</v>
      </c>
      <c r="B36" s="69" t="s">
        <v>137</v>
      </c>
      <c r="C36" s="70"/>
      <c r="D36" s="70"/>
      <c r="E36" s="71">
        <f>SUM(E4:E26,E28:E35)</f>
        <v>197</v>
      </c>
      <c r="F36" s="72"/>
      <c r="G36" s="70"/>
      <c r="H36" s="73"/>
      <c r="I36" s="87">
        <f>SUM(I4:I35)</f>
        <v>290154.03999999992</v>
      </c>
      <c r="J36" s="74"/>
      <c r="K36" s="74">
        <f>SUM(K4:K35)</f>
        <v>1784905.5233999998</v>
      </c>
      <c r="L36" s="74"/>
      <c r="M36" s="80">
        <f>SUM(M4:M35)</f>
        <v>1579405.760849447</v>
      </c>
      <c r="N36" s="73">
        <f>SUMPRODUCT(I4:I35,N4:N35)/SUM(I4:I35)</f>
        <v>22.647368446084712</v>
      </c>
      <c r="O36" s="75">
        <f>SUM(O4:O35)</f>
        <v>4408187.6666835733</v>
      </c>
      <c r="P36" s="76">
        <f>SUM(P4:P35)</f>
        <v>1134854.4099999999</v>
      </c>
      <c r="Q36" s="70"/>
      <c r="R36" s="74">
        <f>SUM(R4:R26,R28:R35)+S27</f>
        <v>1340580.4400000002</v>
      </c>
      <c r="S36" s="74"/>
      <c r="T36" s="78">
        <f>S36/O36</f>
        <v>0</v>
      </c>
      <c r="U36" s="78">
        <f>(S36+P36)/O36</f>
        <v>0.25744239941894054</v>
      </c>
      <c r="V36" s="79">
        <f t="shared" si="35"/>
        <v>2.774515302165137</v>
      </c>
      <c r="W36" s="74"/>
      <c r="X36" s="80">
        <f>(M36)/O36</f>
        <v>0.3582891383654922</v>
      </c>
      <c r="Y36" s="80">
        <f>(M36+P36)/O36</f>
        <v>0.61573153778443279</v>
      </c>
      <c r="Z36" s="77">
        <f>IF($M36=0,"-",(VLOOKUP($N36,AC,4)*$I36)/($M36+P36))</f>
        <v>2.300352896628258</v>
      </c>
    </row>
    <row r="37" spans="1:26" ht="13.5" thickBot="1" x14ac:dyDescent="0.25">
      <c r="I37" s="19"/>
      <c r="J37" s="2"/>
      <c r="K37" s="2"/>
      <c r="L37" s="2"/>
      <c r="M37" s="20"/>
      <c r="N37" s="21"/>
      <c r="O37" s="22"/>
      <c r="R37" s="46"/>
      <c r="S37" s="23"/>
      <c r="T37" s="24"/>
      <c r="V37" s="25"/>
      <c r="X37" s="26"/>
      <c r="Y37" s="26"/>
    </row>
    <row r="38" spans="1:26" ht="33.75" customHeight="1" thickBot="1" x14ac:dyDescent="0.25">
      <c r="B38" s="91" t="s">
        <v>138</v>
      </c>
      <c r="C38" s="124">
        <v>3.4000000000000002E-2</v>
      </c>
      <c r="D38" s="27"/>
      <c r="F38" s="28"/>
      <c r="G38" s="29"/>
      <c r="H38" s="28"/>
      <c r="I38" s="19"/>
      <c r="J38" s="1" t="s">
        <v>139</v>
      </c>
      <c r="K38" s="48">
        <f>K36-M36</f>
        <v>205499.76255055284</v>
      </c>
      <c r="L38" s="28"/>
      <c r="M38" s="30"/>
      <c r="N38" s="19"/>
      <c r="O38" s="31"/>
      <c r="P38" s="31"/>
      <c r="R38" s="47"/>
      <c r="S38" s="31"/>
      <c r="T38" s="32"/>
      <c r="U38" s="33"/>
      <c r="V38" s="34"/>
      <c r="W38" s="28"/>
      <c r="X38" s="28"/>
      <c r="Y38" s="28"/>
      <c r="Z38" s="28"/>
    </row>
    <row r="39" spans="1:26" ht="33.75" customHeight="1" x14ac:dyDescent="0.2">
      <c r="B39" s="91" t="s">
        <v>140</v>
      </c>
      <c r="C39" s="124">
        <v>0.02</v>
      </c>
      <c r="D39" s="27"/>
      <c r="E39" s="35"/>
      <c r="F39" s="1"/>
      <c r="G39" s="28"/>
      <c r="H39" s="13"/>
      <c r="I39" s="13"/>
      <c r="N39" s="19"/>
      <c r="O39" s="36"/>
      <c r="R39" s="47"/>
      <c r="S39" s="2"/>
    </row>
    <row r="40" spans="1:26" ht="33.75" customHeight="1" x14ac:dyDescent="0.2">
      <c r="B40" s="91" t="s">
        <v>141</v>
      </c>
      <c r="C40" s="124">
        <v>3.4000000000000002E-2</v>
      </c>
      <c r="D40" s="27"/>
      <c r="F40" s="1"/>
      <c r="G40" s="28"/>
      <c r="H40" s="13"/>
      <c r="I40" s="13"/>
      <c r="N40" s="19"/>
      <c r="S40" s="2"/>
    </row>
    <row r="41" spans="1:26" ht="33.75" customHeight="1" x14ac:dyDescent="0.2">
      <c r="B41" s="91" t="s">
        <v>142</v>
      </c>
      <c r="C41" s="97">
        <v>1134854.4099999999</v>
      </c>
      <c r="D41" s="27"/>
      <c r="I41" s="13"/>
      <c r="N41" s="19"/>
      <c r="S41" s="2"/>
    </row>
    <row r="42" spans="1:26" ht="33.75" customHeight="1" x14ac:dyDescent="0.2">
      <c r="B42" s="91" t="s">
        <v>143</v>
      </c>
      <c r="C42" s="97">
        <f>C41*0.4</f>
        <v>453941.76399999997</v>
      </c>
      <c r="D42" s="27"/>
      <c r="F42" s="16"/>
      <c r="H42" s="14"/>
      <c r="I42" s="37"/>
      <c r="J42" s="16"/>
      <c r="K42" s="16"/>
      <c r="L42" s="16"/>
      <c r="M42" s="16"/>
      <c r="N42" s="19"/>
      <c r="O42" s="16"/>
      <c r="P42" s="16"/>
      <c r="Q42" s="16"/>
      <c r="R42" s="38"/>
      <c r="S42" s="2"/>
      <c r="T42" s="16"/>
      <c r="U42" s="16"/>
      <c r="V42" s="16"/>
      <c r="W42" s="16"/>
      <c r="X42" s="16"/>
      <c r="Y42" s="16"/>
      <c r="Z42" s="16"/>
    </row>
    <row r="43" spans="1:26" ht="33.75" customHeight="1" x14ac:dyDescent="0.2">
      <c r="B43" s="91" t="s">
        <v>144</v>
      </c>
      <c r="C43" s="97">
        <f>C41*0.6</f>
        <v>680912.64599999995</v>
      </c>
      <c r="D43" s="27"/>
      <c r="F43" s="16"/>
      <c r="G43" s="39"/>
      <c r="H43" s="14"/>
      <c r="I43" s="37"/>
      <c r="J43" s="16"/>
      <c r="K43" s="16"/>
      <c r="L43" s="16"/>
      <c r="M43" s="16"/>
      <c r="N43" s="19"/>
      <c r="O43" s="16"/>
      <c r="P43" s="16"/>
      <c r="Q43" s="16"/>
      <c r="R43" s="38"/>
      <c r="S43" s="38"/>
      <c r="T43" s="16"/>
      <c r="U43" s="16"/>
      <c r="V43" s="16"/>
      <c r="W43" s="16"/>
      <c r="X43" s="16"/>
      <c r="Y43" s="16"/>
      <c r="Z43" s="16"/>
    </row>
    <row r="44" spans="1:26" ht="16.899999999999999" customHeight="1" x14ac:dyDescent="0.2">
      <c r="B44" s="16"/>
      <c r="D44" s="27"/>
      <c r="F44" s="16"/>
      <c r="H44" s="14"/>
      <c r="I44" s="37"/>
      <c r="J44" s="16"/>
      <c r="K44" s="16"/>
      <c r="L44" s="16"/>
      <c r="M44" s="16"/>
      <c r="N44" s="19"/>
      <c r="O44" s="16"/>
      <c r="P44" s="16"/>
      <c r="Q44" s="16"/>
      <c r="R44" s="38"/>
      <c r="S44" s="38"/>
      <c r="T44" s="16"/>
      <c r="U44" s="16"/>
      <c r="V44" s="16"/>
      <c r="W44" s="16"/>
      <c r="X44" s="16"/>
      <c r="Y44" s="16"/>
      <c r="Z44" s="16"/>
    </row>
    <row r="45" spans="1:26" ht="14.45" customHeight="1" x14ac:dyDescent="0.2">
      <c r="A45" s="16"/>
      <c r="B45" s="16"/>
      <c r="D45" s="27"/>
      <c r="F45" s="16"/>
      <c r="G45" s="40"/>
      <c r="H45" s="14"/>
      <c r="I45" s="37"/>
      <c r="J45" s="16"/>
      <c r="K45" s="16"/>
      <c r="L45" s="16"/>
      <c r="M45" s="16"/>
      <c r="N45" s="19"/>
      <c r="O45" s="16"/>
      <c r="P45" s="16"/>
      <c r="Q45" s="16"/>
      <c r="R45" s="38"/>
      <c r="S45" s="38"/>
      <c r="T45" s="16"/>
      <c r="U45" s="16"/>
      <c r="V45" s="16"/>
      <c r="W45" s="16"/>
      <c r="X45" s="16"/>
      <c r="Y45" s="16"/>
      <c r="Z45" s="16"/>
    </row>
    <row r="46" spans="1:26" ht="16.899999999999999" customHeight="1" x14ac:dyDescent="0.2">
      <c r="A46" s="16"/>
      <c r="B46" s="41">
        <v>766935</v>
      </c>
      <c r="D46" s="27"/>
      <c r="F46" s="16"/>
      <c r="H46" s="14"/>
      <c r="I46" s="37"/>
      <c r="J46" s="16"/>
      <c r="K46" s="16"/>
      <c r="L46" s="16"/>
      <c r="M46" s="16"/>
      <c r="N46" s="19"/>
      <c r="O46" s="16"/>
      <c r="P46" s="16"/>
      <c r="Q46" s="16"/>
      <c r="R46" s="38"/>
      <c r="S46" s="38"/>
      <c r="T46" s="16"/>
      <c r="U46" s="16"/>
      <c r="V46" s="16"/>
      <c r="W46" s="16"/>
      <c r="X46" s="16"/>
      <c r="Y46" s="16"/>
      <c r="Z46" s="16"/>
    </row>
    <row r="47" spans="1:26" ht="14.45" customHeight="1" x14ac:dyDescent="0.2">
      <c r="B47" s="16"/>
      <c r="D47" s="27"/>
      <c r="F47" s="16"/>
      <c r="G47" s="40"/>
      <c r="H47" s="14"/>
      <c r="I47" s="37"/>
      <c r="J47" s="16"/>
      <c r="K47" s="16"/>
      <c r="L47" s="16"/>
      <c r="M47" s="16"/>
      <c r="N47" s="19"/>
      <c r="O47" s="16"/>
      <c r="P47" s="16"/>
      <c r="Q47" s="16"/>
      <c r="R47" s="38"/>
      <c r="S47" s="38"/>
      <c r="T47" s="16"/>
      <c r="U47" s="16"/>
      <c r="V47" s="16"/>
      <c r="W47" s="16"/>
      <c r="X47" s="16"/>
      <c r="Y47" s="16"/>
      <c r="Z47" s="16"/>
    </row>
    <row r="48" spans="1:26" x14ac:dyDescent="0.2">
      <c r="B48" s="16"/>
      <c r="F48" s="16"/>
      <c r="H48" s="14"/>
      <c r="I48" s="37"/>
      <c r="J48" s="16"/>
      <c r="K48" s="16"/>
      <c r="L48" s="16"/>
      <c r="M48" s="16"/>
      <c r="N48" s="19"/>
      <c r="O48" s="16"/>
      <c r="P48" s="16"/>
      <c r="Q48" s="16"/>
      <c r="R48" s="38"/>
      <c r="S48" s="38"/>
      <c r="T48" s="16"/>
      <c r="U48" s="16"/>
      <c r="V48" s="16"/>
      <c r="W48" s="16"/>
      <c r="X48" s="16"/>
      <c r="Y48" s="16"/>
      <c r="Z48" s="16"/>
    </row>
    <row r="49" spans="2:26" ht="18" customHeight="1" x14ac:dyDescent="0.2">
      <c r="B49" s="45"/>
      <c r="C49" s="39"/>
      <c r="F49" s="16"/>
      <c r="H49" s="14"/>
      <c r="I49" s="37"/>
      <c r="J49" s="16"/>
      <c r="K49" s="16"/>
      <c r="L49" s="16"/>
      <c r="M49" s="16"/>
      <c r="N49" s="19"/>
      <c r="O49" s="16"/>
      <c r="P49" s="16"/>
      <c r="Q49" s="16"/>
      <c r="R49" s="38"/>
      <c r="S49" s="38"/>
      <c r="T49" s="42"/>
      <c r="U49" s="16"/>
      <c r="V49" s="16"/>
      <c r="W49" s="16"/>
      <c r="X49" s="16"/>
      <c r="Y49" s="16"/>
      <c r="Z49" s="16"/>
    </row>
    <row r="50" spans="2:26" x14ac:dyDescent="0.2">
      <c r="C50" s="43"/>
      <c r="I50" s="44"/>
      <c r="N50" s="19"/>
    </row>
    <row r="51" spans="2:26" x14ac:dyDescent="0.2">
      <c r="C51" s="40"/>
      <c r="I51" s="44"/>
      <c r="N51" s="19"/>
    </row>
    <row r="52" spans="2:26" x14ac:dyDescent="0.2">
      <c r="I52" s="44"/>
      <c r="N52" s="19"/>
    </row>
    <row r="53" spans="2:26" x14ac:dyDescent="0.2">
      <c r="I53" s="44"/>
      <c r="N53" s="19"/>
    </row>
    <row r="54" spans="2:26" x14ac:dyDescent="0.2">
      <c r="I54" s="44"/>
      <c r="N54" s="19"/>
    </row>
    <row r="55" spans="2:26" x14ac:dyDescent="0.2">
      <c r="I55" s="44"/>
      <c r="N55" s="19"/>
    </row>
    <row r="56" spans="2:26" x14ac:dyDescent="0.2">
      <c r="N56" s="19"/>
    </row>
    <row r="57" spans="2:26" x14ac:dyDescent="0.2">
      <c r="N57" s="19"/>
    </row>
    <row r="58" spans="2:26" x14ac:dyDescent="0.2">
      <c r="N58" s="19"/>
    </row>
    <row r="59" spans="2:26" x14ac:dyDescent="0.2">
      <c r="N59" s="19"/>
    </row>
    <row r="60" spans="2:26" x14ac:dyDescent="0.2">
      <c r="N60" s="19"/>
    </row>
    <row r="61" spans="2:26" x14ac:dyDescent="0.2">
      <c r="N61" s="19"/>
    </row>
    <row r="62" spans="2:26" x14ac:dyDescent="0.2">
      <c r="N62" s="19"/>
    </row>
    <row r="63" spans="2:26" x14ac:dyDescent="0.2">
      <c r="N63" s="19"/>
    </row>
    <row r="64" spans="2:26" x14ac:dyDescent="0.2">
      <c r="N64" s="19"/>
    </row>
    <row r="65" spans="14:14" x14ac:dyDescent="0.2">
      <c r="N65" s="19"/>
    </row>
    <row r="66" spans="14:14" x14ac:dyDescent="0.2">
      <c r="N66" s="19"/>
    </row>
    <row r="67" spans="14:14" x14ac:dyDescent="0.2">
      <c r="N67" s="19"/>
    </row>
    <row r="68" spans="14:14" x14ac:dyDescent="0.2">
      <c r="N68" s="19"/>
    </row>
    <row r="69" spans="14:14" x14ac:dyDescent="0.2">
      <c r="N69" s="19"/>
    </row>
    <row r="70" spans="14:14" x14ac:dyDescent="0.2">
      <c r="N70" s="19"/>
    </row>
    <row r="71" spans="14:14" x14ac:dyDescent="0.2">
      <c r="N71" s="19"/>
    </row>
    <row r="72" spans="14:14" x14ac:dyDescent="0.2">
      <c r="N72" s="19"/>
    </row>
    <row r="73" spans="14:14" x14ac:dyDescent="0.2">
      <c r="N73" s="19"/>
    </row>
    <row r="74" spans="14:14" x14ac:dyDescent="0.2">
      <c r="N74" s="19"/>
    </row>
    <row r="75" spans="14:14" x14ac:dyDescent="0.2">
      <c r="N75" s="19"/>
    </row>
    <row r="76" spans="14:14" x14ac:dyDescent="0.2">
      <c r="N76" s="19"/>
    </row>
    <row r="77" spans="14:14" x14ac:dyDescent="0.2">
      <c r="N77" s="19"/>
    </row>
    <row r="78" spans="14:14" x14ac:dyDescent="0.2">
      <c r="N78" s="19"/>
    </row>
    <row r="79" spans="14:14" x14ac:dyDescent="0.2">
      <c r="N79" s="19"/>
    </row>
    <row r="80" spans="14:14" x14ac:dyDescent="0.2">
      <c r="N80" s="19"/>
    </row>
    <row r="81" spans="14:14" x14ac:dyDescent="0.2">
      <c r="N81" s="19"/>
    </row>
    <row r="82" spans="14:14" x14ac:dyDescent="0.2">
      <c r="N82" s="19"/>
    </row>
    <row r="83" spans="14:14" x14ac:dyDescent="0.2">
      <c r="N83" s="19"/>
    </row>
    <row r="84" spans="14:14" x14ac:dyDescent="0.2">
      <c r="N84" s="19"/>
    </row>
  </sheetData>
  <autoFilter ref="A3:Z36" xr:uid="{00000000-0001-0000-0000-000000000000}"/>
  <mergeCells count="2">
    <mergeCell ref="C1:E1"/>
    <mergeCell ref="C2:E2"/>
  </mergeCells>
  <phoneticPr fontId="0" type="noConversion"/>
  <printOptions horizontalCentered="1" verticalCentered="1"/>
  <pageMargins left="0.25" right="0.02" top="0.73" bottom="0.72" header="0.5" footer="0.5"/>
  <pageSetup paperSize="5" scale="21" orientation="landscape" horizontalDpi="1200" verticalDpi="1200" r:id="rId1"/>
  <headerFooter alignWithMargins="0">
    <oddHeader>&amp;C&amp;c</oddHeader>
    <oddFooter>&amp;C&amp;14Appendix A&amp;R&amp;14Page 3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B78F3-7FA6-4D1A-9D54-5E1183563828}">
  <sheetPr>
    <tabColor indexed="41"/>
    <pageSetUpPr fitToPage="1"/>
  </sheetPr>
  <dimension ref="A1:AA68"/>
  <sheetViews>
    <sheetView showOutlineSymbols="0" topLeftCell="B1" zoomScale="90" zoomScaleNormal="90" workbookViewId="0">
      <pane xSplit="1" topLeftCell="W1" activePane="topRight" state="frozen"/>
      <selection activeCell="M51" sqref="M51"/>
      <selection pane="topRight" activeCell="AH1" sqref="AH1"/>
    </sheetView>
  </sheetViews>
  <sheetFormatPr defaultColWidth="16.1640625" defaultRowHeight="12.75" x14ac:dyDescent="0.2"/>
  <cols>
    <col min="1" max="1" width="68.1640625" style="1" customWidth="1"/>
    <col min="2" max="2" width="49" style="1" bestFit="1" customWidth="1" collapsed="1"/>
    <col min="3" max="3" width="69.83203125" style="16" customWidth="1"/>
    <col min="4" max="4" width="91.1640625" style="16" bestFit="1" customWidth="1"/>
    <col min="5" max="5" width="28.33203125" style="17" bestFit="1" customWidth="1"/>
    <col min="6" max="6" width="29.33203125" style="2" bestFit="1" customWidth="1"/>
    <col min="7" max="7" width="11.1640625" style="2" bestFit="1" customWidth="1"/>
    <col min="8" max="8" width="20.6640625" style="15" bestFit="1" customWidth="1"/>
    <col min="9" max="9" width="37.5" style="15" bestFit="1" customWidth="1"/>
    <col min="10" max="10" width="35.33203125" style="1" bestFit="1" customWidth="1"/>
    <col min="11" max="11" width="31.83203125" style="1" bestFit="1" customWidth="1"/>
    <col min="12" max="12" width="27" style="1" customWidth="1"/>
    <col min="13" max="13" width="53.6640625" style="1" bestFit="1" customWidth="1"/>
    <col min="14" max="14" width="17.1640625" style="1" bestFit="1" customWidth="1"/>
    <col min="15" max="15" width="34.83203125" style="1" bestFit="1" customWidth="1"/>
    <col min="16" max="16" width="37.33203125" style="2" bestFit="1" customWidth="1"/>
    <col min="17" max="17" width="22" style="2" bestFit="1" customWidth="1"/>
    <col min="18" max="18" width="32.1640625" style="18" bestFit="1" customWidth="1"/>
    <col min="19" max="19" width="47.5" style="18" bestFit="1" customWidth="1"/>
    <col min="20" max="20" width="20.83203125" style="2" bestFit="1" customWidth="1"/>
    <col min="21" max="21" width="30.83203125" style="2" bestFit="1" customWidth="1"/>
    <col min="22" max="22" width="51.1640625" style="2" bestFit="1" customWidth="1"/>
    <col min="23" max="23" width="11.6640625" style="2" customWidth="1"/>
    <col min="24" max="24" width="29.5" style="2" bestFit="1" customWidth="1"/>
    <col min="25" max="25" width="32.1640625" style="2" bestFit="1" customWidth="1"/>
    <col min="26" max="26" width="53.83203125" style="1" bestFit="1" customWidth="1"/>
  </cols>
  <sheetData>
    <row r="1" spans="1:27" ht="27.75" customHeight="1" thickBot="1" x14ac:dyDescent="0.25">
      <c r="B1" s="68" t="s">
        <v>0</v>
      </c>
      <c r="C1" s="125" t="s">
        <v>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09"/>
    </row>
    <row r="2" spans="1:27" ht="22.5" customHeight="1" thickBot="1" x14ac:dyDescent="0.25">
      <c r="B2" s="68">
        <v>2022</v>
      </c>
      <c r="C2" s="127" t="s">
        <v>2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10"/>
    </row>
    <row r="3" spans="1:27" ht="33" customHeight="1" thickBot="1" x14ac:dyDescent="0.25">
      <c r="A3" s="49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49" t="s">
        <v>12</v>
      </c>
      <c r="K3" s="49" t="s">
        <v>13</v>
      </c>
      <c r="L3" s="49" t="s">
        <v>14</v>
      </c>
      <c r="M3" s="49" t="s">
        <v>15</v>
      </c>
      <c r="N3" s="49" t="s">
        <v>16</v>
      </c>
      <c r="O3" s="49" t="s">
        <v>17</v>
      </c>
      <c r="P3" s="49" t="s">
        <v>18</v>
      </c>
      <c r="Q3" s="49" t="s">
        <v>19</v>
      </c>
      <c r="R3" s="49" t="s">
        <v>20</v>
      </c>
      <c r="S3" s="49" t="s">
        <v>21</v>
      </c>
      <c r="T3" s="49" t="s">
        <v>22</v>
      </c>
      <c r="U3" s="49" t="s">
        <v>23</v>
      </c>
      <c r="V3" s="49" t="s">
        <v>24</v>
      </c>
      <c r="W3" s="49"/>
      <c r="X3" s="49" t="s">
        <v>25</v>
      </c>
      <c r="Y3" s="49" t="s">
        <v>26</v>
      </c>
      <c r="Z3" s="49" t="s">
        <v>27</v>
      </c>
    </row>
    <row r="4" spans="1:27" ht="13.5" thickBot="1" x14ac:dyDescent="0.25">
      <c r="A4" s="50" t="s">
        <v>145</v>
      </c>
      <c r="B4" s="50" t="s">
        <v>29</v>
      </c>
      <c r="C4" s="50" t="s">
        <v>30</v>
      </c>
      <c r="D4" s="51" t="s">
        <v>31</v>
      </c>
      <c r="E4" s="51">
        <v>2</v>
      </c>
      <c r="F4" s="84">
        <v>1.5</v>
      </c>
      <c r="G4" s="52" t="s">
        <v>32</v>
      </c>
      <c r="H4" s="84">
        <v>1700</v>
      </c>
      <c r="I4" s="84">
        <f t="shared" ref="I4:I33" si="0">ROUNDDOWN(H4*F4,2)</f>
        <v>2550</v>
      </c>
      <c r="J4" s="84">
        <v>8.89</v>
      </c>
      <c r="K4" s="55">
        <f t="shared" ref="K4:K32" si="1">H4*J4</f>
        <v>15113.000000000002</v>
      </c>
      <c r="L4" s="81">
        <f>PV($C$53,$N4,(-0.05*0.9*$F4))</f>
        <v>0.96807601440630597</v>
      </c>
      <c r="M4" s="81">
        <f t="shared" ref="M4:M32" si="2">MAX(0,H4*(J4-L4))</f>
        <v>13467.27077550928</v>
      </c>
      <c r="N4" s="51">
        <v>20</v>
      </c>
      <c r="O4" s="52">
        <f t="shared" ref="O4:O33" si="3">PV($C$53,N4,-I4)</f>
        <v>36571.760544238219</v>
      </c>
      <c r="P4" s="53">
        <f t="shared" ref="P4:P33" si="4">$C$56*I4/SUM($I$4:$I$29)</f>
        <v>9039.4769011248736</v>
      </c>
      <c r="Q4" s="54">
        <v>6</v>
      </c>
      <c r="R4" s="56">
        <f t="shared" ref="R4:R32" si="5">H4*Q4</f>
        <v>10200</v>
      </c>
      <c r="S4" s="56">
        <v>0</v>
      </c>
      <c r="T4" s="81">
        <f t="shared" ref="T4:T33" si="6">IF(ISERROR(R4/O4),0,R4/O4)</f>
        <v>0.27890371828454352</v>
      </c>
      <c r="U4" s="55">
        <f t="shared" ref="U4:U33" si="7">IF(O4=0,0,(R4+P4)/O4)</f>
        <v>0.52607467113463857</v>
      </c>
      <c r="V4" s="111">
        <f t="shared" ref="V4:V33" si="8">IF(OR($R4=0,ISERROR(R4/I4)),"-",(VLOOKUP($N4,AC,6)*$I4)/($R4+$P4))</f>
        <v>2.8019013454307844</v>
      </c>
      <c r="W4" s="57"/>
      <c r="X4" s="81">
        <f t="shared" ref="X4:X33" si="9">IF(ISERROR(M4/O4),0,M4/O4)</f>
        <v>0.3682423425915986</v>
      </c>
      <c r="Y4" s="81">
        <f t="shared" ref="Y4:Y33" si="10">IF(O4=0,0,(M4+P4)/O4)</f>
        <v>0.61541329544169376</v>
      </c>
      <c r="Z4" s="112">
        <f t="shared" ref="Z4:Z33" si="11">IF($M4=0,"-",(VLOOKUP($N4,AC,4)*$I4)/(M4+P4))</f>
        <v>2.1774123027521717</v>
      </c>
    </row>
    <row r="5" spans="1:27" ht="13.5" thickBot="1" x14ac:dyDescent="0.25">
      <c r="A5" s="59" t="s">
        <v>28</v>
      </c>
      <c r="B5" s="59" t="s">
        <v>29</v>
      </c>
      <c r="C5" s="59" t="s">
        <v>30</v>
      </c>
      <c r="D5" s="60" t="s">
        <v>31</v>
      </c>
      <c r="E5" s="60">
        <v>13</v>
      </c>
      <c r="F5" s="85">
        <v>2.1</v>
      </c>
      <c r="G5" s="61" t="s">
        <v>32</v>
      </c>
      <c r="H5" s="85">
        <v>25699</v>
      </c>
      <c r="I5" s="85">
        <f t="shared" si="0"/>
        <v>53967.9</v>
      </c>
      <c r="J5" s="85">
        <v>10.74</v>
      </c>
      <c r="K5" s="64">
        <f t="shared" si="1"/>
        <v>276007.26</v>
      </c>
      <c r="L5" s="82">
        <f>PV($C$53,$N5,(-0.05*0.9*$F5))</f>
        <v>1.5745438968150938</v>
      </c>
      <c r="M5" s="82">
        <f t="shared" si="2"/>
        <v>235543.05639574892</v>
      </c>
      <c r="N5" s="60">
        <v>25</v>
      </c>
      <c r="O5" s="61">
        <f t="shared" si="3"/>
        <v>899204.52453891304</v>
      </c>
      <c r="P5" s="62">
        <f t="shared" si="4"/>
        <v>191310.42566753612</v>
      </c>
      <c r="Q5" s="63">
        <v>10</v>
      </c>
      <c r="R5" s="65">
        <f t="shared" si="5"/>
        <v>256990</v>
      </c>
      <c r="S5" s="65">
        <v>0</v>
      </c>
      <c r="T5" s="82">
        <f t="shared" si="6"/>
        <v>0.28579704948857693</v>
      </c>
      <c r="U5" s="64">
        <f t="shared" si="7"/>
        <v>0.49855223526306436</v>
      </c>
      <c r="V5" s="113">
        <f t="shared" si="8"/>
        <v>3.3297439009259335</v>
      </c>
      <c r="W5" s="66"/>
      <c r="X5" s="82">
        <f t="shared" si="9"/>
        <v>0.26194603115073162</v>
      </c>
      <c r="Y5" s="82">
        <f t="shared" si="10"/>
        <v>0.4747012169252191</v>
      </c>
      <c r="Z5" s="114">
        <f t="shared" si="11"/>
        <v>3.1791313346583947</v>
      </c>
    </row>
    <row r="6" spans="1:27" ht="13.5" thickBot="1" x14ac:dyDescent="0.25">
      <c r="A6" s="59" t="s">
        <v>53</v>
      </c>
      <c r="B6" s="59" t="s">
        <v>54</v>
      </c>
      <c r="C6" s="59" t="s">
        <v>55</v>
      </c>
      <c r="D6" s="60" t="s">
        <v>56</v>
      </c>
      <c r="E6" s="60">
        <v>1</v>
      </c>
      <c r="F6" s="85">
        <v>219</v>
      </c>
      <c r="G6" s="61" t="s">
        <v>57</v>
      </c>
      <c r="H6" s="85">
        <v>1</v>
      </c>
      <c r="I6" s="85">
        <f t="shared" si="0"/>
        <v>219</v>
      </c>
      <c r="J6" s="85">
        <v>900</v>
      </c>
      <c r="K6" s="64">
        <f t="shared" si="1"/>
        <v>900</v>
      </c>
      <c r="L6" s="82">
        <f>PV($C$53,$N6,(-0.05*0.9*$F6))+PV($C$53,$N6,-3500/1000*10)</f>
        <v>436.01097846840753</v>
      </c>
      <c r="M6" s="82">
        <f t="shared" si="2"/>
        <v>463.98902153159247</v>
      </c>
      <c r="N6" s="60">
        <v>12</v>
      </c>
      <c r="O6" s="61">
        <f t="shared" si="3"/>
        <v>2128.7794958105283</v>
      </c>
      <c r="P6" s="62">
        <f t="shared" si="4"/>
        <v>776.33154562601862</v>
      </c>
      <c r="Q6" s="63">
        <v>800</v>
      </c>
      <c r="R6" s="65">
        <f t="shared" si="5"/>
        <v>800</v>
      </c>
      <c r="S6" s="65">
        <v>0</v>
      </c>
      <c r="T6" s="82">
        <f t="shared" si="6"/>
        <v>0.37580219161938222</v>
      </c>
      <c r="U6" s="64">
        <f t="shared" si="7"/>
        <v>0.74048606195628253</v>
      </c>
      <c r="V6" s="113">
        <f t="shared" si="8"/>
        <v>1.6527547148497217</v>
      </c>
      <c r="W6" s="66"/>
      <c r="X6" s="82">
        <f t="shared" si="9"/>
        <v>0.21796011397363146</v>
      </c>
      <c r="Y6" s="82">
        <f t="shared" si="10"/>
        <v>0.58264398431053177</v>
      </c>
      <c r="Z6" s="114">
        <f t="shared" si="11"/>
        <v>1.909542554184696</v>
      </c>
    </row>
    <row r="7" spans="1:27" ht="13.5" thickBot="1" x14ac:dyDescent="0.25">
      <c r="A7" s="50" t="s">
        <v>58</v>
      </c>
      <c r="B7" s="50" t="s">
        <v>59</v>
      </c>
      <c r="C7" s="50" t="s">
        <v>55</v>
      </c>
      <c r="D7" s="51" t="s">
        <v>56</v>
      </c>
      <c r="E7" s="51">
        <v>15</v>
      </c>
      <c r="F7" s="84">
        <v>649</v>
      </c>
      <c r="G7" s="52" t="s">
        <v>57</v>
      </c>
      <c r="H7" s="84">
        <v>15</v>
      </c>
      <c r="I7" s="84">
        <f t="shared" si="0"/>
        <v>9735</v>
      </c>
      <c r="J7" s="84">
        <v>900</v>
      </c>
      <c r="K7" s="55">
        <f t="shared" si="1"/>
        <v>13500</v>
      </c>
      <c r="L7" s="81">
        <f>PV($C$53,$N7,(-0.05*0.9*$F7))+PV($C$53,$N7,-1180/1000*10)</f>
        <v>398.58722934114485</v>
      </c>
      <c r="M7" s="81">
        <f t="shared" si="2"/>
        <v>7521.1915598828273</v>
      </c>
      <c r="N7" s="51">
        <v>12</v>
      </c>
      <c r="O7" s="52">
        <f t="shared" si="3"/>
        <v>94628.622793221424</v>
      </c>
      <c r="P7" s="53">
        <f t="shared" si="4"/>
        <v>34509.532404882608</v>
      </c>
      <c r="Q7" s="54">
        <v>800</v>
      </c>
      <c r="R7" s="56">
        <f t="shared" si="5"/>
        <v>12000</v>
      </c>
      <c r="S7" s="56">
        <v>0</v>
      </c>
      <c r="T7" s="81">
        <f t="shared" si="6"/>
        <v>0.12681152536925225</v>
      </c>
      <c r="U7" s="55">
        <f t="shared" si="7"/>
        <v>0.49149539570615253</v>
      </c>
      <c r="V7" s="111">
        <f t="shared" si="8"/>
        <v>2.4900372228724601</v>
      </c>
      <c r="W7" s="57"/>
      <c r="X7" s="81">
        <f t="shared" si="9"/>
        <v>7.948114785859059E-2</v>
      </c>
      <c r="Y7" s="81">
        <f t="shared" si="10"/>
        <v>0.44416501819549087</v>
      </c>
      <c r="Z7" s="112">
        <f t="shared" si="11"/>
        <v>2.5048876800356168</v>
      </c>
    </row>
    <row r="8" spans="1:27" ht="13.5" thickBot="1" x14ac:dyDescent="0.25">
      <c r="A8" s="50" t="s">
        <v>146</v>
      </c>
      <c r="B8" s="50" t="s">
        <v>147</v>
      </c>
      <c r="C8" s="50" t="s">
        <v>148</v>
      </c>
      <c r="D8" s="51" t="s">
        <v>149</v>
      </c>
      <c r="E8" s="51">
        <v>2</v>
      </c>
      <c r="F8" s="84">
        <v>13</v>
      </c>
      <c r="G8" s="52" t="s">
        <v>150</v>
      </c>
      <c r="H8" s="84">
        <v>14</v>
      </c>
      <c r="I8" s="84">
        <f t="shared" si="0"/>
        <v>182</v>
      </c>
      <c r="J8" s="84">
        <v>55</v>
      </c>
      <c r="K8" s="55">
        <f t="shared" si="1"/>
        <v>770</v>
      </c>
      <c r="L8" s="81">
        <f>PV($C$53,$N8,(-0.05*0.9*$F8))+PV($C$53,$N8,-900/1000*10)</f>
        <v>80.117967522463715</v>
      </c>
      <c r="M8" s="81">
        <f t="shared" si="2"/>
        <v>0</v>
      </c>
      <c r="N8" s="51">
        <v>10</v>
      </c>
      <c r="O8" s="52">
        <f t="shared" si="3"/>
        <v>1521.2801344901818</v>
      </c>
      <c r="P8" s="53">
        <f t="shared" si="4"/>
        <v>645.17050823714794</v>
      </c>
      <c r="Q8" s="54">
        <v>20</v>
      </c>
      <c r="R8" s="56">
        <f t="shared" si="5"/>
        <v>280</v>
      </c>
      <c r="S8" s="56">
        <v>0</v>
      </c>
      <c r="T8" s="81">
        <f t="shared" si="6"/>
        <v>0.1840555159118244</v>
      </c>
      <c r="U8" s="55">
        <f t="shared" si="7"/>
        <v>0.60815262571426087</v>
      </c>
      <c r="V8" s="111">
        <f t="shared" si="8"/>
        <v>1.9217312439981293</v>
      </c>
      <c r="W8" s="57"/>
      <c r="X8" s="81">
        <f t="shared" si="9"/>
        <v>0</v>
      </c>
      <c r="Y8" s="81">
        <f t="shared" si="10"/>
        <v>0.42409710980243648</v>
      </c>
      <c r="Z8" s="112" t="str">
        <f t="shared" si="11"/>
        <v>-</v>
      </c>
    </row>
    <row r="9" spans="1:27" ht="13.5" thickBot="1" x14ac:dyDescent="0.25">
      <c r="A9" s="59" t="s">
        <v>151</v>
      </c>
      <c r="B9" s="59" t="s">
        <v>61</v>
      </c>
      <c r="C9" s="59" t="s">
        <v>62</v>
      </c>
      <c r="D9" s="60" t="s">
        <v>63</v>
      </c>
      <c r="E9" s="60">
        <v>10</v>
      </c>
      <c r="F9" s="85">
        <v>0.79</v>
      </c>
      <c r="G9" s="61" t="s">
        <v>32</v>
      </c>
      <c r="H9" s="85">
        <v>1849.5000000000002</v>
      </c>
      <c r="I9" s="85">
        <f t="shared" si="0"/>
        <v>1461.1</v>
      </c>
      <c r="J9" s="85">
        <v>6.06</v>
      </c>
      <c r="K9" s="64">
        <f t="shared" si="1"/>
        <v>11207.970000000001</v>
      </c>
      <c r="L9" s="82">
        <f>PV($C$53,$N9,(-0.05*0.9*$F9))</f>
        <v>0.41237117582378013</v>
      </c>
      <c r="M9" s="82">
        <f t="shared" si="2"/>
        <v>10445.28951031392</v>
      </c>
      <c r="N9" s="60">
        <v>15</v>
      </c>
      <c r="O9" s="61">
        <f t="shared" si="3"/>
        <v>16948.397327598454</v>
      </c>
      <c r="P9" s="62">
        <f t="shared" si="4"/>
        <v>5179.4430196994326</v>
      </c>
      <c r="Q9" s="63">
        <v>2.5</v>
      </c>
      <c r="R9" s="65">
        <f t="shared" si="5"/>
        <v>4623.7500000000009</v>
      </c>
      <c r="S9" s="65">
        <v>0</v>
      </c>
      <c r="T9" s="82">
        <f t="shared" si="6"/>
        <v>0.27281340593017445</v>
      </c>
      <c r="U9" s="64">
        <f t="shared" si="7"/>
        <v>0.57841416095055176</v>
      </c>
      <c r="V9" s="113">
        <f t="shared" si="8"/>
        <v>2.2675349712115831</v>
      </c>
      <c r="W9" s="66"/>
      <c r="X9" s="82">
        <f t="shared" si="9"/>
        <v>0.61629954198117631</v>
      </c>
      <c r="Y9" s="82">
        <f t="shared" si="10"/>
        <v>0.92190029700155363</v>
      </c>
      <c r="Z9" s="114">
        <f t="shared" si="11"/>
        <v>1.2933506052318118</v>
      </c>
    </row>
    <row r="10" spans="1:27" ht="13.5" thickBot="1" x14ac:dyDescent="0.25">
      <c r="A10" s="50" t="s">
        <v>60</v>
      </c>
      <c r="B10" s="50" t="s">
        <v>61</v>
      </c>
      <c r="C10" s="50" t="s">
        <v>62</v>
      </c>
      <c r="D10" s="51" t="s">
        <v>63</v>
      </c>
      <c r="E10" s="51">
        <v>30</v>
      </c>
      <c r="F10" s="84">
        <v>3.7987000000000002</v>
      </c>
      <c r="G10" s="52" t="s">
        <v>32</v>
      </c>
      <c r="H10" s="84">
        <v>6778.2999999999993</v>
      </c>
      <c r="I10" s="84">
        <f t="shared" si="0"/>
        <v>25748.720000000001</v>
      </c>
      <c r="J10" s="84">
        <v>6.06</v>
      </c>
      <c r="K10" s="55">
        <f t="shared" si="1"/>
        <v>41076.497999999992</v>
      </c>
      <c r="L10" s="81">
        <f>PV($C$53,$N10,(-0.05*0.9*$F10))</f>
        <v>1.4288456489557884</v>
      </c>
      <c r="M10" s="81">
        <f t="shared" si="2"/>
        <v>31391.353537682971</v>
      </c>
      <c r="N10" s="51">
        <v>10</v>
      </c>
      <c r="O10" s="52">
        <f t="shared" si="3"/>
        <v>215225.36387115406</v>
      </c>
      <c r="P10" s="53">
        <f t="shared" si="4"/>
        <v>91276.454773934151</v>
      </c>
      <c r="Q10" s="54">
        <v>3</v>
      </c>
      <c r="R10" s="56">
        <f t="shared" si="5"/>
        <v>20334.899999999998</v>
      </c>
      <c r="S10" s="56">
        <v>0</v>
      </c>
      <c r="T10" s="81">
        <f t="shared" si="6"/>
        <v>9.4481893928513028E-2</v>
      </c>
      <c r="U10" s="55">
        <f t="shared" si="7"/>
        <v>0.51857900373094945</v>
      </c>
      <c r="V10" s="111">
        <f t="shared" si="8"/>
        <v>2.2536699201978228</v>
      </c>
      <c r="W10" s="57"/>
      <c r="X10" s="81">
        <f t="shared" si="9"/>
        <v>0.14585341138731026</v>
      </c>
      <c r="Y10" s="81">
        <f t="shared" si="10"/>
        <v>0.56995052118974665</v>
      </c>
      <c r="Z10" s="112">
        <f t="shared" si="11"/>
        <v>1.8641265712854784</v>
      </c>
    </row>
    <row r="11" spans="1:27" ht="13.5" thickBot="1" x14ac:dyDescent="0.25">
      <c r="A11" s="59" t="s">
        <v>152</v>
      </c>
      <c r="B11" s="59" t="s">
        <v>153</v>
      </c>
      <c r="C11" s="59" t="s">
        <v>55</v>
      </c>
      <c r="D11" s="60" t="s">
        <v>154</v>
      </c>
      <c r="E11" s="60">
        <v>8</v>
      </c>
      <c r="F11" s="85">
        <v>685</v>
      </c>
      <c r="G11" s="61" t="s">
        <v>155</v>
      </c>
      <c r="H11" s="85">
        <v>16</v>
      </c>
      <c r="I11" s="85">
        <f t="shared" si="0"/>
        <v>10960</v>
      </c>
      <c r="J11" s="85">
        <v>6200</v>
      </c>
      <c r="K11" s="64">
        <f t="shared" si="1"/>
        <v>99200</v>
      </c>
      <c r="L11" s="82">
        <f>PV($C$53,$N11,(-0.05*0.9*$F11))</f>
        <v>299.63300437607097</v>
      </c>
      <c r="M11" s="82">
        <f t="shared" si="2"/>
        <v>94405.871929982866</v>
      </c>
      <c r="N11" s="60">
        <v>12</v>
      </c>
      <c r="O11" s="61">
        <f t="shared" si="3"/>
        <v>106536.1793337141</v>
      </c>
      <c r="P11" s="62">
        <f t="shared" si="4"/>
        <v>38852.026210324948</v>
      </c>
      <c r="Q11" s="63">
        <v>750</v>
      </c>
      <c r="R11" s="65">
        <f t="shared" si="5"/>
        <v>12000</v>
      </c>
      <c r="S11" s="65">
        <v>0</v>
      </c>
      <c r="T11" s="82">
        <f t="shared" si="6"/>
        <v>0.11263779192241521</v>
      </c>
      <c r="U11" s="64">
        <f t="shared" si="7"/>
        <v>0.47732166225931549</v>
      </c>
      <c r="V11" s="113">
        <f t="shared" si="8"/>
        <v>2.5639771394114312</v>
      </c>
      <c r="W11" s="66"/>
      <c r="X11" s="82">
        <f t="shared" si="9"/>
        <v>0.88613907989196572</v>
      </c>
      <c r="Y11" s="82">
        <f t="shared" si="10"/>
        <v>1.2508229502288659</v>
      </c>
      <c r="Z11" s="114">
        <f t="shared" si="11"/>
        <v>0.88948118658768516</v>
      </c>
    </row>
    <row r="12" spans="1:27" ht="13.5" thickBot="1" x14ac:dyDescent="0.25">
      <c r="A12" s="59" t="s">
        <v>156</v>
      </c>
      <c r="B12" s="59" t="s">
        <v>157</v>
      </c>
      <c r="C12" s="59" t="s">
        <v>158</v>
      </c>
      <c r="D12" s="60" t="s">
        <v>159</v>
      </c>
      <c r="E12" s="60">
        <v>1</v>
      </c>
      <c r="F12" s="85">
        <v>77</v>
      </c>
      <c r="G12" s="61" t="s">
        <v>57</v>
      </c>
      <c r="H12" s="85">
        <v>2</v>
      </c>
      <c r="I12" s="85">
        <f t="shared" si="0"/>
        <v>154</v>
      </c>
      <c r="J12" s="85">
        <v>1800</v>
      </c>
      <c r="K12" s="64">
        <f t="shared" si="1"/>
        <v>3600</v>
      </c>
      <c r="L12" s="82">
        <f>PV($C$53,$N12,(-0.05*0.9*$F12))</f>
        <v>42.222572458476435</v>
      </c>
      <c r="M12" s="82">
        <f t="shared" si="2"/>
        <v>3515.5548550830472</v>
      </c>
      <c r="N12" s="60">
        <v>16</v>
      </c>
      <c r="O12" s="61">
        <f t="shared" si="3"/>
        <v>1876.5587759322859</v>
      </c>
      <c r="P12" s="62">
        <f t="shared" si="4"/>
        <v>545.91350696989434</v>
      </c>
      <c r="Q12" s="63">
        <v>450</v>
      </c>
      <c r="R12" s="65">
        <f t="shared" si="5"/>
        <v>900</v>
      </c>
      <c r="S12" s="65">
        <v>0</v>
      </c>
      <c r="T12" s="82">
        <f t="shared" si="6"/>
        <v>0.47960128483205888</v>
      </c>
      <c r="U12" s="64">
        <f t="shared" si="7"/>
        <v>0.77051330633198822</v>
      </c>
      <c r="V12" s="113">
        <f t="shared" si="8"/>
        <v>1.7414312085217412</v>
      </c>
      <c r="W12" s="66"/>
      <c r="X12" s="82">
        <f t="shared" si="9"/>
        <v>1.8734051393282356</v>
      </c>
      <c r="Y12" s="82">
        <f t="shared" si="10"/>
        <v>2.1643171608281646</v>
      </c>
      <c r="Z12" s="114">
        <f t="shared" si="11"/>
        <v>0.56360245771438744</v>
      </c>
    </row>
    <row r="13" spans="1:27" ht="13.5" thickBot="1" x14ac:dyDescent="0.25">
      <c r="A13" s="59" t="s">
        <v>68</v>
      </c>
      <c r="B13" s="59" t="s">
        <v>69</v>
      </c>
      <c r="C13" s="59" t="s">
        <v>70</v>
      </c>
      <c r="D13" s="60" t="s">
        <v>71</v>
      </c>
      <c r="E13" s="60">
        <v>12</v>
      </c>
      <c r="F13" s="85">
        <v>1.1000000000000001</v>
      </c>
      <c r="G13" s="61" t="s">
        <v>32</v>
      </c>
      <c r="H13" s="85">
        <v>3312.5</v>
      </c>
      <c r="I13" s="85">
        <f t="shared" si="0"/>
        <v>3643.75</v>
      </c>
      <c r="J13" s="85">
        <v>5.23</v>
      </c>
      <c r="K13" s="64">
        <f t="shared" si="1"/>
        <v>17324.375</v>
      </c>
      <c r="L13" s="82">
        <f>PV($C$53,$N13,(-0.05*0.9*$F13))+PV($C$53,$N13,-850/1000*10)</f>
        <v>113.70572552624149</v>
      </c>
      <c r="M13" s="82">
        <f t="shared" si="2"/>
        <v>0</v>
      </c>
      <c r="N13" s="60">
        <v>18</v>
      </c>
      <c r="O13" s="61">
        <f t="shared" si="3"/>
        <v>48460.756463681202</v>
      </c>
      <c r="P13" s="62">
        <f t="shared" si="4"/>
        <v>12916.703513126964</v>
      </c>
      <c r="Q13" s="63">
        <v>5</v>
      </c>
      <c r="R13" s="65">
        <f t="shared" si="5"/>
        <v>16562.5</v>
      </c>
      <c r="S13" s="65">
        <v>0</v>
      </c>
      <c r="T13" s="82">
        <f t="shared" si="6"/>
        <v>0.34177138799747642</v>
      </c>
      <c r="U13" s="64">
        <f t="shared" si="7"/>
        <v>0.60831084085986331</v>
      </c>
      <c r="V13" s="113">
        <f t="shared" si="8"/>
        <v>2.3113367747216178</v>
      </c>
      <c r="W13" s="66"/>
      <c r="X13" s="82">
        <f t="shared" si="9"/>
        <v>0</v>
      </c>
      <c r="Y13" s="82">
        <f t="shared" si="10"/>
        <v>0.26653945286238684</v>
      </c>
      <c r="Z13" s="114" t="str">
        <f t="shared" si="11"/>
        <v>-</v>
      </c>
    </row>
    <row r="14" spans="1:27" ht="13.5" thickBot="1" x14ac:dyDescent="0.25">
      <c r="A14" s="50" t="s">
        <v>72</v>
      </c>
      <c r="B14" s="50" t="s">
        <v>73</v>
      </c>
      <c r="C14" s="50" t="s">
        <v>74</v>
      </c>
      <c r="D14" s="51" t="s">
        <v>75</v>
      </c>
      <c r="E14" s="51">
        <v>3</v>
      </c>
      <c r="F14" s="84">
        <v>0.31</v>
      </c>
      <c r="G14" s="52" t="s">
        <v>76</v>
      </c>
      <c r="H14" s="84">
        <v>12873</v>
      </c>
      <c r="I14" s="84">
        <f t="shared" si="0"/>
        <v>3990.63</v>
      </c>
      <c r="J14" s="84">
        <v>1.65</v>
      </c>
      <c r="K14" s="55">
        <f t="shared" si="1"/>
        <v>21240.449999999997</v>
      </c>
      <c r="L14" s="81">
        <f t="shared" ref="L14:L33" si="12">PV($C$53,$N14,(-0.05*0.9*$F14))</f>
        <v>0.25981399800736749</v>
      </c>
      <c r="M14" s="81">
        <f t="shared" si="2"/>
        <v>17895.864403651158</v>
      </c>
      <c r="N14" s="51">
        <v>30</v>
      </c>
      <c r="O14" s="52">
        <f t="shared" si="3"/>
        <v>74324.124363307579</v>
      </c>
      <c r="P14" s="53">
        <f t="shared" si="4"/>
        <v>14146.355963112141</v>
      </c>
      <c r="Q14" s="54">
        <v>2</v>
      </c>
      <c r="R14" s="56">
        <f t="shared" si="5"/>
        <v>25746</v>
      </c>
      <c r="S14" s="56">
        <v>-3166.2000000000007</v>
      </c>
      <c r="T14" s="81">
        <f t="shared" si="6"/>
        <v>0.34640165922641286</v>
      </c>
      <c r="U14" s="55">
        <f t="shared" si="7"/>
        <v>0.53673496061806603</v>
      </c>
      <c r="V14" s="111">
        <f t="shared" si="8"/>
        <v>3.4869707272114105</v>
      </c>
      <c r="W14" s="57"/>
      <c r="X14" s="81">
        <f t="shared" si="9"/>
        <v>0.24078136886179058</v>
      </c>
      <c r="Y14" s="81">
        <f t="shared" si="10"/>
        <v>0.43111467025344385</v>
      </c>
      <c r="Z14" s="112">
        <f t="shared" si="11"/>
        <v>3.9465962519183133</v>
      </c>
    </row>
    <row r="15" spans="1:27" ht="13.5" thickBot="1" x14ac:dyDescent="0.25">
      <c r="A15" s="59" t="s">
        <v>77</v>
      </c>
      <c r="B15" s="59" t="s">
        <v>78</v>
      </c>
      <c r="C15" s="59" t="s">
        <v>74</v>
      </c>
      <c r="D15" s="60" t="s">
        <v>79</v>
      </c>
      <c r="E15" s="60">
        <v>7</v>
      </c>
      <c r="F15" s="85">
        <v>0.32</v>
      </c>
      <c r="G15" s="61" t="s">
        <v>76</v>
      </c>
      <c r="H15" s="85">
        <v>45996</v>
      </c>
      <c r="I15" s="85">
        <f t="shared" si="0"/>
        <v>14718.72</v>
      </c>
      <c r="J15" s="85">
        <v>1.63</v>
      </c>
      <c r="K15" s="64">
        <f t="shared" si="1"/>
        <v>74973.48</v>
      </c>
      <c r="L15" s="82">
        <f t="shared" si="12"/>
        <v>0.26819509471728253</v>
      </c>
      <c r="M15" s="82">
        <f t="shared" si="2"/>
        <v>62637.578423383871</v>
      </c>
      <c r="N15" s="60">
        <v>30</v>
      </c>
      <c r="O15" s="61">
        <f t="shared" si="3"/>
        <v>274131.14614702499</v>
      </c>
      <c r="P15" s="62">
        <f t="shared" si="4"/>
        <v>52176.286060441067</v>
      </c>
      <c r="Q15" s="63">
        <v>2.5</v>
      </c>
      <c r="R15" s="65">
        <f t="shared" si="5"/>
        <v>114990</v>
      </c>
      <c r="S15" s="65">
        <v>-10971.979999999996</v>
      </c>
      <c r="T15" s="82">
        <f t="shared" si="6"/>
        <v>0.41947075921948435</v>
      </c>
      <c r="U15" s="64">
        <f t="shared" si="7"/>
        <v>0.60980406061113757</v>
      </c>
      <c r="V15" s="113">
        <f t="shared" si="8"/>
        <v>3.0691482999809701</v>
      </c>
      <c r="W15" s="66"/>
      <c r="X15" s="82">
        <f t="shared" si="9"/>
        <v>0.22849493501110379</v>
      </c>
      <c r="Y15" s="82">
        <f t="shared" si="10"/>
        <v>0.41882823640275707</v>
      </c>
      <c r="Z15" s="114">
        <f t="shared" si="11"/>
        <v>4.0623706662725878</v>
      </c>
    </row>
    <row r="16" spans="1:27" ht="13.5" thickBot="1" x14ac:dyDescent="0.25">
      <c r="A16" s="59" t="s">
        <v>80</v>
      </c>
      <c r="B16" s="59" t="s">
        <v>81</v>
      </c>
      <c r="C16" s="59" t="s">
        <v>82</v>
      </c>
      <c r="D16" s="60" t="s">
        <v>83</v>
      </c>
      <c r="E16" s="60">
        <v>1</v>
      </c>
      <c r="F16" s="85">
        <v>5.6000000000000001E-2</v>
      </c>
      <c r="G16" s="61" t="s">
        <v>84</v>
      </c>
      <c r="H16" s="85">
        <v>1559</v>
      </c>
      <c r="I16" s="85">
        <f t="shared" si="0"/>
        <v>87.3</v>
      </c>
      <c r="J16" s="85">
        <v>1.08</v>
      </c>
      <c r="K16" s="64">
        <f t="shared" si="1"/>
        <v>1683.72</v>
      </c>
      <c r="L16" s="82">
        <f t="shared" si="12"/>
        <v>4.6934141575524453E-2</v>
      </c>
      <c r="M16" s="82">
        <f t="shared" si="2"/>
        <v>1610.5496732837576</v>
      </c>
      <c r="N16" s="60">
        <v>30</v>
      </c>
      <c r="O16" s="61">
        <f t="shared" si="3"/>
        <v>1625.9327617235253</v>
      </c>
      <c r="P16" s="62">
        <f t="shared" si="4"/>
        <v>309.46915037968688</v>
      </c>
      <c r="Q16" s="63">
        <v>1.25</v>
      </c>
      <c r="R16" s="65">
        <f t="shared" si="5"/>
        <v>1948.75</v>
      </c>
      <c r="S16" s="65">
        <v>0</v>
      </c>
      <c r="T16" s="82">
        <f t="shared" si="6"/>
        <v>1.198542797018421</v>
      </c>
      <c r="U16" s="64">
        <f t="shared" si="7"/>
        <v>1.3888760984100741</v>
      </c>
      <c r="V16" s="113">
        <f t="shared" si="8"/>
        <v>1.3475493588583378</v>
      </c>
      <c r="W16" s="66"/>
      <c r="X16" s="82">
        <f t="shared" si="9"/>
        <v>0.99053891476824574</v>
      </c>
      <c r="Y16" s="82">
        <f t="shared" si="10"/>
        <v>1.180872216159899</v>
      </c>
      <c r="Z16" s="114">
        <f t="shared" si="11"/>
        <v>1.4408295143924816</v>
      </c>
    </row>
    <row r="17" spans="1:26" ht="13.5" thickBot="1" x14ac:dyDescent="0.25">
      <c r="A17" s="50" t="s">
        <v>160</v>
      </c>
      <c r="B17" s="50" t="s">
        <v>161</v>
      </c>
      <c r="C17" s="50" t="s">
        <v>92</v>
      </c>
      <c r="D17" s="51" t="s">
        <v>162</v>
      </c>
      <c r="E17" s="51">
        <v>3</v>
      </c>
      <c r="F17" s="84">
        <v>0.35</v>
      </c>
      <c r="G17" s="52" t="s">
        <v>76</v>
      </c>
      <c r="H17" s="84">
        <v>45348</v>
      </c>
      <c r="I17" s="84">
        <f t="shared" si="0"/>
        <v>15871.8</v>
      </c>
      <c r="J17" s="84">
        <v>1.83</v>
      </c>
      <c r="K17" s="55">
        <f t="shared" si="1"/>
        <v>82986.84</v>
      </c>
      <c r="L17" s="81">
        <f t="shared" si="12"/>
        <v>0.29333838484702779</v>
      </c>
      <c r="M17" s="81">
        <f t="shared" si="2"/>
        <v>69684.530923956976</v>
      </c>
      <c r="N17" s="51">
        <v>30</v>
      </c>
      <c r="O17" s="52">
        <f t="shared" si="3"/>
        <v>295606.8683565114</v>
      </c>
      <c r="P17" s="53">
        <f t="shared" si="4"/>
        <v>56263.831168342658</v>
      </c>
      <c r="Q17" s="54">
        <v>2</v>
      </c>
      <c r="R17" s="56">
        <f t="shared" si="5"/>
        <v>90696</v>
      </c>
      <c r="S17" s="56">
        <v>0</v>
      </c>
      <c r="T17" s="81">
        <f t="shared" si="6"/>
        <v>0.30681289817196566</v>
      </c>
      <c r="U17" s="55">
        <f t="shared" si="7"/>
        <v>0.497146199563619</v>
      </c>
      <c r="V17" s="111">
        <f t="shared" si="8"/>
        <v>3.7646452846043781</v>
      </c>
      <c r="W17" s="57"/>
      <c r="X17" s="81">
        <f t="shared" si="9"/>
        <v>0.23573380182734857</v>
      </c>
      <c r="Y17" s="81">
        <f t="shared" si="10"/>
        <v>0.42606710321900182</v>
      </c>
      <c r="Z17" s="112">
        <f t="shared" si="11"/>
        <v>3.9933511151521359</v>
      </c>
    </row>
    <row r="18" spans="1:26" ht="13.5" thickBot="1" x14ac:dyDescent="0.25">
      <c r="A18" s="59" t="s">
        <v>163</v>
      </c>
      <c r="B18" s="59" t="s">
        <v>91</v>
      </c>
      <c r="C18" s="59" t="s">
        <v>92</v>
      </c>
      <c r="D18" s="60" t="s">
        <v>93</v>
      </c>
      <c r="E18" s="60">
        <v>1</v>
      </c>
      <c r="F18" s="85">
        <v>0.36</v>
      </c>
      <c r="G18" s="61" t="s">
        <v>76</v>
      </c>
      <c r="H18" s="85">
        <v>5100</v>
      </c>
      <c r="I18" s="85">
        <f t="shared" si="0"/>
        <v>1836</v>
      </c>
      <c r="J18" s="85">
        <v>2.15</v>
      </c>
      <c r="K18" s="64">
        <f t="shared" si="1"/>
        <v>10965</v>
      </c>
      <c r="L18" s="82">
        <f t="shared" si="12"/>
        <v>0.30171948155694289</v>
      </c>
      <c r="M18" s="82">
        <f t="shared" si="2"/>
        <v>9426.2306440595912</v>
      </c>
      <c r="N18" s="60">
        <v>30</v>
      </c>
      <c r="O18" s="61">
        <f t="shared" si="3"/>
        <v>34194.87457645352</v>
      </c>
      <c r="P18" s="62">
        <f t="shared" si="4"/>
        <v>6508.4233688099102</v>
      </c>
      <c r="Q18" s="63">
        <v>2.5</v>
      </c>
      <c r="R18" s="65">
        <f t="shared" si="5"/>
        <v>12750</v>
      </c>
      <c r="S18" s="65">
        <v>0</v>
      </c>
      <c r="T18" s="82">
        <f t="shared" si="6"/>
        <v>0.37286289708398607</v>
      </c>
      <c r="U18" s="64">
        <f t="shared" si="7"/>
        <v>0.5631961984756394</v>
      </c>
      <c r="V18" s="113">
        <f t="shared" si="8"/>
        <v>3.3231387232581246</v>
      </c>
      <c r="W18" s="66"/>
      <c r="X18" s="82">
        <f t="shared" si="9"/>
        <v>0.27566209149222798</v>
      </c>
      <c r="Y18" s="82">
        <f t="shared" si="10"/>
        <v>0.46599539288388125</v>
      </c>
      <c r="Z18" s="114">
        <f t="shared" si="11"/>
        <v>3.651185328763995</v>
      </c>
    </row>
    <row r="19" spans="1:26" ht="13.5" thickBot="1" x14ac:dyDescent="0.25">
      <c r="A19" s="50" t="s">
        <v>90</v>
      </c>
      <c r="B19" s="50" t="s">
        <v>91</v>
      </c>
      <c r="C19" s="50" t="s">
        <v>92</v>
      </c>
      <c r="D19" s="51" t="s">
        <v>93</v>
      </c>
      <c r="E19" s="51">
        <v>1</v>
      </c>
      <c r="F19" s="84">
        <v>0.36</v>
      </c>
      <c r="G19" s="52" t="s">
        <v>76</v>
      </c>
      <c r="H19" s="84">
        <v>2400</v>
      </c>
      <c r="I19" s="84">
        <f t="shared" si="0"/>
        <v>864</v>
      </c>
      <c r="J19" s="84">
        <v>1.5</v>
      </c>
      <c r="K19" s="55">
        <f t="shared" si="1"/>
        <v>3600</v>
      </c>
      <c r="L19" s="81">
        <f t="shared" si="12"/>
        <v>0.30171948155694289</v>
      </c>
      <c r="M19" s="81">
        <f t="shared" si="2"/>
        <v>2875.8732442633373</v>
      </c>
      <c r="N19" s="51">
        <v>30</v>
      </c>
      <c r="O19" s="52">
        <f t="shared" si="3"/>
        <v>16091.705683036951</v>
      </c>
      <c r="P19" s="53">
        <f t="shared" si="4"/>
        <v>3062.7874676752513</v>
      </c>
      <c r="Q19" s="54">
        <v>2</v>
      </c>
      <c r="R19" s="56">
        <f t="shared" si="5"/>
        <v>4800</v>
      </c>
      <c r="S19" s="56">
        <v>0</v>
      </c>
      <c r="T19" s="81">
        <f t="shared" si="6"/>
        <v>0.29829031766718883</v>
      </c>
      <c r="U19" s="55">
        <f t="shared" si="7"/>
        <v>0.48862361905884205</v>
      </c>
      <c r="V19" s="111">
        <f t="shared" si="8"/>
        <v>3.8303082842190284</v>
      </c>
      <c r="W19" s="57"/>
      <c r="X19" s="81">
        <f t="shared" si="9"/>
        <v>0.17871773825039164</v>
      </c>
      <c r="Y19" s="81">
        <f t="shared" si="10"/>
        <v>0.36905103964204483</v>
      </c>
      <c r="Z19" s="112">
        <f t="shared" si="11"/>
        <v>4.6102987365095114</v>
      </c>
    </row>
    <row r="20" spans="1:26" ht="13.5" thickBot="1" x14ac:dyDescent="0.25">
      <c r="A20" s="50" t="s">
        <v>164</v>
      </c>
      <c r="B20" s="50" t="s">
        <v>95</v>
      </c>
      <c r="C20" s="50" t="s">
        <v>96</v>
      </c>
      <c r="D20" s="51" t="s">
        <v>97</v>
      </c>
      <c r="E20" s="51">
        <v>2</v>
      </c>
      <c r="F20" s="84">
        <v>0.19</v>
      </c>
      <c r="G20" s="52" t="s">
        <v>84</v>
      </c>
      <c r="H20" s="84">
        <v>3228</v>
      </c>
      <c r="I20" s="84">
        <f t="shared" si="0"/>
        <v>613.32000000000005</v>
      </c>
      <c r="J20" s="84">
        <v>1.7</v>
      </c>
      <c r="K20" s="55">
        <f t="shared" si="1"/>
        <v>5487.5999999999995</v>
      </c>
      <c r="L20" s="81">
        <f t="shared" si="12"/>
        <v>0.15924083748838649</v>
      </c>
      <c r="M20" s="81">
        <f t="shared" si="2"/>
        <v>4973.5705765874882</v>
      </c>
      <c r="N20" s="51">
        <v>30</v>
      </c>
      <c r="O20" s="52">
        <f t="shared" si="3"/>
        <v>11422.876075833592</v>
      </c>
      <c r="P20" s="53">
        <f t="shared" si="4"/>
        <v>2174.1537149011406</v>
      </c>
      <c r="Q20" s="54">
        <v>1.5</v>
      </c>
      <c r="R20" s="56">
        <f t="shared" si="5"/>
        <v>4842</v>
      </c>
      <c r="S20" s="56">
        <v>0</v>
      </c>
      <c r="T20" s="81">
        <f t="shared" si="6"/>
        <v>0.42388624089547883</v>
      </c>
      <c r="U20" s="55">
        <f t="shared" si="7"/>
        <v>0.61421954228713205</v>
      </c>
      <c r="V20" s="111">
        <f t="shared" si="8"/>
        <v>3.0470849054673184</v>
      </c>
      <c r="W20" s="57"/>
      <c r="X20" s="81">
        <f t="shared" si="9"/>
        <v>0.43540440634820932</v>
      </c>
      <c r="Y20" s="81">
        <f t="shared" si="10"/>
        <v>0.62573770773986259</v>
      </c>
      <c r="Z20" s="112">
        <f t="shared" si="11"/>
        <v>2.719087439871176</v>
      </c>
    </row>
    <row r="21" spans="1:26" ht="13.5" thickBot="1" x14ac:dyDescent="0.25">
      <c r="A21" s="59" t="s">
        <v>94</v>
      </c>
      <c r="B21" s="59" t="s">
        <v>95</v>
      </c>
      <c r="C21" s="59" t="s">
        <v>96</v>
      </c>
      <c r="D21" s="60" t="s">
        <v>97</v>
      </c>
      <c r="E21" s="60">
        <v>2</v>
      </c>
      <c r="F21" s="85">
        <v>0.19</v>
      </c>
      <c r="G21" s="61" t="s">
        <v>84</v>
      </c>
      <c r="H21" s="85">
        <v>17414</v>
      </c>
      <c r="I21" s="85">
        <f t="shared" si="0"/>
        <v>3308.66</v>
      </c>
      <c r="J21" s="85">
        <v>1.7</v>
      </c>
      <c r="K21" s="64">
        <f t="shared" si="1"/>
        <v>29603.8</v>
      </c>
      <c r="L21" s="82">
        <f t="shared" si="12"/>
        <v>0.15924083748838649</v>
      </c>
      <c r="M21" s="82">
        <f t="shared" si="2"/>
        <v>26830.780055977237</v>
      </c>
      <c r="N21" s="60">
        <v>30</v>
      </c>
      <c r="O21" s="61">
        <f t="shared" si="3"/>
        <v>61622.665422728052</v>
      </c>
      <c r="P21" s="62">
        <f t="shared" si="4"/>
        <v>11728.845350461108</v>
      </c>
      <c r="Q21" s="63">
        <v>2</v>
      </c>
      <c r="R21" s="65">
        <f t="shared" si="5"/>
        <v>34828</v>
      </c>
      <c r="S21" s="65">
        <v>-4096.3899999999994</v>
      </c>
      <c r="T21" s="82">
        <f t="shared" si="6"/>
        <v>0.56518165452730518</v>
      </c>
      <c r="U21" s="64">
        <f t="shared" si="7"/>
        <v>0.75551495591895845</v>
      </c>
      <c r="V21" s="113">
        <f t="shared" si="8"/>
        <v>2.4772230930487673</v>
      </c>
      <c r="W21" s="66"/>
      <c r="X21" s="82">
        <f t="shared" si="9"/>
        <v>0.43540440634820937</v>
      </c>
      <c r="Y21" s="82">
        <f t="shared" si="10"/>
        <v>0.6257377077398627</v>
      </c>
      <c r="Z21" s="114">
        <f t="shared" si="11"/>
        <v>2.7190874398711755</v>
      </c>
    </row>
    <row r="22" spans="1:26" ht="13.5" thickBot="1" x14ac:dyDescent="0.25">
      <c r="A22" s="50" t="s">
        <v>165</v>
      </c>
      <c r="B22" s="50" t="s">
        <v>166</v>
      </c>
      <c r="C22" s="50" t="s">
        <v>55</v>
      </c>
      <c r="D22" s="51" t="s">
        <v>167</v>
      </c>
      <c r="E22" s="51">
        <v>1</v>
      </c>
      <c r="F22" s="84">
        <v>448</v>
      </c>
      <c r="G22" s="52" t="s">
        <v>40</v>
      </c>
      <c r="H22" s="84">
        <v>1</v>
      </c>
      <c r="I22" s="84">
        <f t="shared" si="0"/>
        <v>448</v>
      </c>
      <c r="J22" s="84">
        <v>1800</v>
      </c>
      <c r="K22" s="55">
        <f t="shared" si="1"/>
        <v>1800</v>
      </c>
      <c r="L22" s="81">
        <f t="shared" si="12"/>
        <v>195.96435906639385</v>
      </c>
      <c r="M22" s="81">
        <f t="shared" si="2"/>
        <v>1604.0356409336061</v>
      </c>
      <c r="N22" s="51">
        <v>12</v>
      </c>
      <c r="O22" s="52">
        <f t="shared" si="3"/>
        <v>4354.7635348087515</v>
      </c>
      <c r="P22" s="53">
        <f t="shared" si="4"/>
        <v>1588.1120202760565</v>
      </c>
      <c r="Q22" s="54">
        <v>800</v>
      </c>
      <c r="R22" s="56">
        <f t="shared" si="5"/>
        <v>800</v>
      </c>
      <c r="S22" s="56">
        <v>0</v>
      </c>
      <c r="T22" s="81">
        <f t="shared" si="6"/>
        <v>0.18370687492108195</v>
      </c>
      <c r="U22" s="55">
        <f t="shared" si="7"/>
        <v>0.54839074525798237</v>
      </c>
      <c r="V22" s="111">
        <f t="shared" si="8"/>
        <v>2.2316967249383661</v>
      </c>
      <c r="W22" s="57"/>
      <c r="X22" s="81">
        <f t="shared" si="9"/>
        <v>0.36834046857243435</v>
      </c>
      <c r="Y22" s="81">
        <f t="shared" si="10"/>
        <v>0.73302433890933472</v>
      </c>
      <c r="Z22" s="112">
        <f t="shared" si="11"/>
        <v>1.5177988273023668</v>
      </c>
    </row>
    <row r="23" spans="1:26" ht="13.5" thickBot="1" x14ac:dyDescent="0.25">
      <c r="A23" s="50" t="s">
        <v>168</v>
      </c>
      <c r="B23" s="50" t="s">
        <v>169</v>
      </c>
      <c r="C23" s="50" t="s">
        <v>170</v>
      </c>
      <c r="D23" s="51" t="s">
        <v>171</v>
      </c>
      <c r="E23" s="51">
        <v>1</v>
      </c>
      <c r="F23" s="84">
        <v>136</v>
      </c>
      <c r="G23" s="52" t="s">
        <v>172</v>
      </c>
      <c r="H23" s="84">
        <v>42</v>
      </c>
      <c r="I23" s="84">
        <f t="shared" si="0"/>
        <v>5712</v>
      </c>
      <c r="J23" s="84">
        <v>315</v>
      </c>
      <c r="K23" s="55">
        <f t="shared" si="1"/>
        <v>13230</v>
      </c>
      <c r="L23" s="81">
        <f t="shared" si="12"/>
        <v>27.710552416440954</v>
      </c>
      <c r="M23" s="81">
        <f t="shared" si="2"/>
        <v>12066.156798509479</v>
      </c>
      <c r="N23" s="51">
        <v>5</v>
      </c>
      <c r="O23" s="52">
        <f t="shared" si="3"/>
        <v>25863.182255344884</v>
      </c>
      <c r="P23" s="53">
        <f t="shared" si="4"/>
        <v>20248.428258519718</v>
      </c>
      <c r="Q23" s="54">
        <v>105</v>
      </c>
      <c r="R23" s="56">
        <f t="shared" si="5"/>
        <v>4410</v>
      </c>
      <c r="S23" s="56">
        <v>0</v>
      </c>
      <c r="T23" s="81">
        <f t="shared" si="6"/>
        <v>0.17051265990628936</v>
      </c>
      <c r="U23" s="55">
        <f t="shared" si="7"/>
        <v>0.95341818400648704</v>
      </c>
      <c r="V23" s="111">
        <f t="shared" si="8"/>
        <v>1.085140991933649</v>
      </c>
      <c r="W23" s="57"/>
      <c r="X23" s="81">
        <f t="shared" si="9"/>
        <v>0.46653797971886801</v>
      </c>
      <c r="Y23" s="81">
        <f t="shared" si="10"/>
        <v>1.2494435038190657</v>
      </c>
      <c r="Z23" s="112">
        <f t="shared" si="11"/>
        <v>0.75276651402151606</v>
      </c>
    </row>
    <row r="24" spans="1:26" ht="13.5" thickBot="1" x14ac:dyDescent="0.25">
      <c r="A24" s="59" t="s">
        <v>98</v>
      </c>
      <c r="B24" s="59" t="s">
        <v>99</v>
      </c>
      <c r="C24" s="59" t="s">
        <v>100</v>
      </c>
      <c r="D24" s="60" t="s">
        <v>101</v>
      </c>
      <c r="E24" s="60">
        <v>26</v>
      </c>
      <c r="F24" s="85">
        <v>4.33</v>
      </c>
      <c r="G24" s="61" t="s">
        <v>32</v>
      </c>
      <c r="H24" s="85">
        <v>4450</v>
      </c>
      <c r="I24" s="85">
        <f t="shared" si="0"/>
        <v>19268.5</v>
      </c>
      <c r="J24" s="85">
        <v>21</v>
      </c>
      <c r="K24" s="64">
        <f t="shared" si="1"/>
        <v>93450</v>
      </c>
      <c r="L24" s="82">
        <f t="shared" si="12"/>
        <v>2.5914451861264589</v>
      </c>
      <c r="M24" s="82">
        <f t="shared" si="2"/>
        <v>81918.068921737256</v>
      </c>
      <c r="N24" s="60">
        <v>18</v>
      </c>
      <c r="O24" s="61">
        <f t="shared" si="3"/>
        <v>256265.13507250533</v>
      </c>
      <c r="P24" s="62">
        <f t="shared" si="4"/>
        <v>68304.768889931234</v>
      </c>
      <c r="Q24" s="63">
        <v>15</v>
      </c>
      <c r="R24" s="65">
        <f t="shared" si="5"/>
        <v>66750</v>
      </c>
      <c r="S24" s="65">
        <v>-5305.2999999999738</v>
      </c>
      <c r="T24" s="82">
        <f t="shared" si="6"/>
        <v>0.26047242041378105</v>
      </c>
      <c r="U24" s="64">
        <f t="shared" si="7"/>
        <v>0.52701187327616794</v>
      </c>
      <c r="V24" s="113">
        <f t="shared" si="8"/>
        <v>2.6678928658680241</v>
      </c>
      <c r="W24" s="66"/>
      <c r="X24" s="82">
        <f t="shared" si="9"/>
        <v>0.31966138857929349</v>
      </c>
      <c r="Y24" s="82">
        <f t="shared" si="10"/>
        <v>0.58620084144168028</v>
      </c>
      <c r="Z24" s="114">
        <f t="shared" si="11"/>
        <v>2.1804677254600695</v>
      </c>
    </row>
    <row r="25" spans="1:26" ht="13.5" thickBot="1" x14ac:dyDescent="0.25">
      <c r="A25" s="50" t="s">
        <v>102</v>
      </c>
      <c r="B25" s="50" t="s">
        <v>103</v>
      </c>
      <c r="C25" s="50" t="s">
        <v>55</v>
      </c>
      <c r="D25" s="51" t="s">
        <v>104</v>
      </c>
      <c r="E25" s="51">
        <v>3</v>
      </c>
      <c r="F25" s="84">
        <v>22</v>
      </c>
      <c r="G25" s="52" t="s">
        <v>105</v>
      </c>
      <c r="H25" s="84">
        <v>52.400000000000006</v>
      </c>
      <c r="I25" s="84">
        <f t="shared" si="0"/>
        <v>1152.8</v>
      </c>
      <c r="J25" s="84">
        <v>137.9</v>
      </c>
      <c r="K25" s="55">
        <f t="shared" si="1"/>
        <v>7225.9600000000009</v>
      </c>
      <c r="L25" s="81">
        <f t="shared" si="12"/>
        <v>13.166696095792631</v>
      </c>
      <c r="M25" s="81">
        <f t="shared" si="2"/>
        <v>6536.0251245804675</v>
      </c>
      <c r="N25" s="51">
        <v>18</v>
      </c>
      <c r="O25" s="52">
        <f t="shared" si="3"/>
        <v>15331.886120434083</v>
      </c>
      <c r="P25" s="53">
        <f t="shared" si="4"/>
        <v>4086.5525378889233</v>
      </c>
      <c r="Q25" s="54">
        <v>120</v>
      </c>
      <c r="R25" s="56">
        <f t="shared" si="5"/>
        <v>6288.0000000000009</v>
      </c>
      <c r="S25" s="56">
        <v>0</v>
      </c>
      <c r="T25" s="81">
        <f t="shared" si="6"/>
        <v>0.41012566559697172</v>
      </c>
      <c r="U25" s="55">
        <f t="shared" si="7"/>
        <v>0.67666511845935862</v>
      </c>
      <c r="V25" s="111">
        <f t="shared" si="8"/>
        <v>2.0778538431868028</v>
      </c>
      <c r="W25" s="57"/>
      <c r="X25" s="81">
        <f t="shared" si="9"/>
        <v>0.42630274404852003</v>
      </c>
      <c r="Y25" s="81">
        <f t="shared" si="10"/>
        <v>0.69284219691090676</v>
      </c>
      <c r="Z25" s="112">
        <f t="shared" si="11"/>
        <v>1.8448530142939363</v>
      </c>
    </row>
    <row r="26" spans="1:26" ht="13.5" thickBot="1" x14ac:dyDescent="0.25">
      <c r="A26" s="59" t="s">
        <v>106</v>
      </c>
      <c r="B26" s="59" t="s">
        <v>107</v>
      </c>
      <c r="C26" s="59" t="s">
        <v>55</v>
      </c>
      <c r="D26" s="60" t="s">
        <v>108</v>
      </c>
      <c r="E26" s="60">
        <v>16</v>
      </c>
      <c r="F26" s="85">
        <v>38</v>
      </c>
      <c r="G26" s="61" t="s">
        <v>105</v>
      </c>
      <c r="H26" s="85">
        <v>193.44</v>
      </c>
      <c r="I26" s="85">
        <f t="shared" si="0"/>
        <v>7350.72</v>
      </c>
      <c r="J26" s="85">
        <v>52.8</v>
      </c>
      <c r="K26" s="64">
        <f t="shared" si="1"/>
        <v>10213.632</v>
      </c>
      <c r="L26" s="82">
        <f t="shared" si="12"/>
        <v>24.524592364959751</v>
      </c>
      <c r="M26" s="82">
        <f t="shared" si="2"/>
        <v>5469.5948529221851</v>
      </c>
      <c r="N26" s="60">
        <v>20</v>
      </c>
      <c r="O26" s="61">
        <f t="shared" si="3"/>
        <v>105423.0477128403</v>
      </c>
      <c r="P26" s="62">
        <f t="shared" si="4"/>
        <v>26057.515155543781</v>
      </c>
      <c r="Q26" s="63">
        <v>150</v>
      </c>
      <c r="R26" s="65">
        <f t="shared" si="5"/>
        <v>29016</v>
      </c>
      <c r="S26" s="65">
        <v>0</v>
      </c>
      <c r="T26" s="82">
        <f t="shared" si="6"/>
        <v>0.27523393251764161</v>
      </c>
      <c r="U26" s="64">
        <f t="shared" si="7"/>
        <v>0.52240488536773677</v>
      </c>
      <c r="V26" s="113">
        <f t="shared" si="8"/>
        <v>2.8215841201630436</v>
      </c>
      <c r="W26" s="66"/>
      <c r="X26" s="82">
        <f t="shared" si="9"/>
        <v>5.1882344246209834E-2</v>
      </c>
      <c r="Y26" s="82">
        <f t="shared" si="10"/>
        <v>0.29905329709630502</v>
      </c>
      <c r="Z26" s="114">
        <f t="shared" si="11"/>
        <v>4.4808350009278586</v>
      </c>
    </row>
    <row r="27" spans="1:26" ht="13.5" thickBot="1" x14ac:dyDescent="0.25">
      <c r="A27" s="50" t="s">
        <v>109</v>
      </c>
      <c r="B27" s="50" t="s">
        <v>110</v>
      </c>
      <c r="C27" s="50" t="s">
        <v>111</v>
      </c>
      <c r="D27" s="51" t="s">
        <v>112</v>
      </c>
      <c r="E27" s="51">
        <v>29</v>
      </c>
      <c r="F27" s="84">
        <v>1.1000000000000001</v>
      </c>
      <c r="G27" s="52" t="s">
        <v>32</v>
      </c>
      <c r="H27" s="84">
        <v>4074.8</v>
      </c>
      <c r="I27" s="84">
        <f t="shared" si="0"/>
        <v>4482.28</v>
      </c>
      <c r="J27" s="84">
        <v>6.72</v>
      </c>
      <c r="K27" s="55">
        <f t="shared" si="1"/>
        <v>27382.655999999999</v>
      </c>
      <c r="L27" s="81">
        <f t="shared" si="12"/>
        <v>0.65833480478963158</v>
      </c>
      <c r="M27" s="81">
        <f t="shared" si="2"/>
        <v>24700.073337443209</v>
      </c>
      <c r="N27" s="51">
        <v>18</v>
      </c>
      <c r="O27" s="52">
        <f t="shared" si="3"/>
        <v>59612.948056817564</v>
      </c>
      <c r="P27" s="53">
        <f t="shared" si="4"/>
        <v>15889.202558578039</v>
      </c>
      <c r="Q27" s="54">
        <v>5</v>
      </c>
      <c r="R27" s="56">
        <f t="shared" si="5"/>
        <v>20374</v>
      </c>
      <c r="S27" s="56">
        <v>0</v>
      </c>
      <c r="T27" s="81">
        <f t="shared" si="6"/>
        <v>0.34177138799747636</v>
      </c>
      <c r="U27" s="55">
        <f t="shared" si="7"/>
        <v>0.60831084085986309</v>
      </c>
      <c r="V27" s="111">
        <f t="shared" si="8"/>
        <v>2.3113367747216178</v>
      </c>
      <c r="W27" s="57"/>
      <c r="X27" s="81">
        <f t="shared" si="9"/>
        <v>0.41434074546860822</v>
      </c>
      <c r="Y27" s="81">
        <f t="shared" si="10"/>
        <v>0.68088019833099511</v>
      </c>
      <c r="Z27" s="112">
        <f t="shared" si="11"/>
        <v>1.8772641920477089</v>
      </c>
    </row>
    <row r="28" spans="1:26" ht="13.5" thickBot="1" x14ac:dyDescent="0.25">
      <c r="A28" s="59" t="s">
        <v>173</v>
      </c>
      <c r="B28" s="59" t="s">
        <v>174</v>
      </c>
      <c r="C28" s="59" t="s">
        <v>175</v>
      </c>
      <c r="D28" s="60" t="s">
        <v>176</v>
      </c>
      <c r="E28" s="60">
        <v>59</v>
      </c>
      <c r="F28" s="85">
        <v>1.1000000000000001</v>
      </c>
      <c r="G28" s="61" t="s">
        <v>84</v>
      </c>
      <c r="H28" s="85">
        <v>2410.0200000000004</v>
      </c>
      <c r="I28" s="85">
        <f t="shared" si="0"/>
        <v>2651.02</v>
      </c>
      <c r="J28" s="85">
        <v>24.31</v>
      </c>
      <c r="K28" s="64">
        <f t="shared" si="1"/>
        <v>58587.586200000005</v>
      </c>
      <c r="L28" s="82">
        <f t="shared" si="12"/>
        <v>1.132510632091358</v>
      </c>
      <c r="M28" s="82">
        <f t="shared" si="2"/>
        <v>55858.212926447195</v>
      </c>
      <c r="N28" s="60">
        <v>45</v>
      </c>
      <c r="O28" s="61">
        <f t="shared" si="3"/>
        <v>60652.693654279414</v>
      </c>
      <c r="P28" s="62">
        <f t="shared" si="4"/>
        <v>9397.5819821255154</v>
      </c>
      <c r="Q28" s="63">
        <v>5</v>
      </c>
      <c r="R28" s="65">
        <f t="shared" si="5"/>
        <v>12050.100000000002</v>
      </c>
      <c r="S28" s="65">
        <v>0</v>
      </c>
      <c r="T28" s="82">
        <f t="shared" si="6"/>
        <v>0.19867378139354566</v>
      </c>
      <c r="U28" s="64">
        <f t="shared" si="7"/>
        <v>0.35361466556419391</v>
      </c>
      <c r="V28" s="113">
        <f t="shared" si="8"/>
        <v>7.5728027280033476</v>
      </c>
      <c r="W28" s="66"/>
      <c r="X28" s="82">
        <f t="shared" si="9"/>
        <v>0.920951891186222</v>
      </c>
      <c r="Y28" s="82">
        <f t="shared" si="10"/>
        <v>1.0758927753568701</v>
      </c>
      <c r="Z28" s="114">
        <f t="shared" si="11"/>
        <v>2.2626909275907949</v>
      </c>
    </row>
    <row r="29" spans="1:26" ht="13.5" thickBot="1" x14ac:dyDescent="0.25">
      <c r="A29" s="50" t="s">
        <v>113</v>
      </c>
      <c r="B29" s="50" t="s">
        <v>114</v>
      </c>
      <c r="C29" s="50" t="s">
        <v>115</v>
      </c>
      <c r="D29" s="51" t="s">
        <v>116</v>
      </c>
      <c r="E29" s="51">
        <v>1</v>
      </c>
      <c r="F29" s="84">
        <v>0.48770000000000002</v>
      </c>
      <c r="G29" s="52" t="s">
        <v>84</v>
      </c>
      <c r="H29" s="84">
        <v>313</v>
      </c>
      <c r="I29" s="84">
        <f t="shared" si="0"/>
        <v>152.65</v>
      </c>
      <c r="J29" s="84">
        <v>24.31</v>
      </c>
      <c r="K29" s="55">
        <f t="shared" si="1"/>
        <v>7609.03</v>
      </c>
      <c r="L29" s="81">
        <f t="shared" si="12"/>
        <v>0.50211403206450478</v>
      </c>
      <c r="M29" s="81">
        <f t="shared" si="2"/>
        <v>7451.8683079638095</v>
      </c>
      <c r="N29" s="51">
        <v>45</v>
      </c>
      <c r="O29" s="52">
        <f t="shared" si="3"/>
        <v>3492.4797573483997</v>
      </c>
      <c r="P29" s="53">
        <f t="shared" si="4"/>
        <v>541.1279015516518</v>
      </c>
      <c r="Q29" s="54">
        <v>7.5</v>
      </c>
      <c r="R29" s="56">
        <f t="shared" si="5"/>
        <v>2347.5</v>
      </c>
      <c r="S29" s="56">
        <v>0</v>
      </c>
      <c r="T29" s="81">
        <f t="shared" si="6"/>
        <v>0.67215851289065043</v>
      </c>
      <c r="U29" s="55">
        <f t="shared" si="7"/>
        <v>0.82709939706129865</v>
      </c>
      <c r="V29" s="111">
        <f t="shared" si="8"/>
        <v>3.2376448508619271</v>
      </c>
      <c r="W29" s="57"/>
      <c r="X29" s="81">
        <f t="shared" si="9"/>
        <v>2.1336897636370273</v>
      </c>
      <c r="Y29" s="81">
        <f t="shared" si="10"/>
        <v>2.2886306478076754</v>
      </c>
      <c r="Z29" s="112">
        <f t="shared" si="11"/>
        <v>1.0636984277880064</v>
      </c>
    </row>
    <row r="30" spans="1:26" ht="13.5" thickBot="1" x14ac:dyDescent="0.25">
      <c r="A30" s="59" t="s">
        <v>36</v>
      </c>
      <c r="B30" s="59" t="s">
        <v>37</v>
      </c>
      <c r="C30" s="59" t="s">
        <v>38</v>
      </c>
      <c r="D30" s="60" t="s">
        <v>39</v>
      </c>
      <c r="E30" s="60">
        <v>3</v>
      </c>
      <c r="F30" s="85"/>
      <c r="G30" s="61" t="s">
        <v>40</v>
      </c>
      <c r="H30" s="85">
        <v>3</v>
      </c>
      <c r="I30" s="85">
        <f t="shared" si="0"/>
        <v>0</v>
      </c>
      <c r="J30" s="85">
        <v>0</v>
      </c>
      <c r="K30" s="64">
        <f t="shared" si="1"/>
        <v>0</v>
      </c>
      <c r="L30" s="82">
        <f t="shared" si="12"/>
        <v>0</v>
      </c>
      <c r="M30" s="82">
        <f t="shared" si="2"/>
        <v>0</v>
      </c>
      <c r="N30" s="60"/>
      <c r="O30" s="61">
        <f t="shared" si="3"/>
        <v>0</v>
      </c>
      <c r="P30" s="62">
        <f t="shared" si="4"/>
        <v>0</v>
      </c>
      <c r="Q30" s="63">
        <v>500</v>
      </c>
      <c r="R30" s="65">
        <f t="shared" si="5"/>
        <v>1500</v>
      </c>
      <c r="S30" s="65">
        <v>0</v>
      </c>
      <c r="T30" s="82">
        <f t="shared" si="6"/>
        <v>0</v>
      </c>
      <c r="U30" s="64">
        <f t="shared" si="7"/>
        <v>0</v>
      </c>
      <c r="V30" s="113" t="str">
        <f>IF(OR($R30=0,ISERROR(R30/I30)),"-",(VLOOKUP($N30,AC,6)*$I30)/($R30+$P30))</f>
        <v>-</v>
      </c>
      <c r="W30" s="66"/>
      <c r="X30" s="82">
        <f t="shared" si="9"/>
        <v>0</v>
      </c>
      <c r="Y30" s="82">
        <f t="shared" si="10"/>
        <v>0</v>
      </c>
      <c r="Z30" s="114" t="str">
        <f t="shared" si="11"/>
        <v>-</v>
      </c>
    </row>
    <row r="31" spans="1:26" ht="13.5" thickBot="1" x14ac:dyDescent="0.25">
      <c r="A31" s="50" t="s">
        <v>41</v>
      </c>
      <c r="B31" s="50" t="s">
        <v>42</v>
      </c>
      <c r="C31" s="50" t="s">
        <v>43</v>
      </c>
      <c r="D31" s="51" t="s">
        <v>44</v>
      </c>
      <c r="E31" s="51">
        <v>9</v>
      </c>
      <c r="F31" s="84"/>
      <c r="G31" s="52" t="s">
        <v>40</v>
      </c>
      <c r="H31" s="84">
        <v>9</v>
      </c>
      <c r="I31" s="84">
        <f t="shared" si="0"/>
        <v>0</v>
      </c>
      <c r="J31" s="84">
        <v>0</v>
      </c>
      <c r="K31" s="55">
        <f t="shared" si="1"/>
        <v>0</v>
      </c>
      <c r="L31" s="81">
        <f t="shared" si="12"/>
        <v>0</v>
      </c>
      <c r="M31" s="81">
        <f t="shared" si="2"/>
        <v>0</v>
      </c>
      <c r="N31" s="51"/>
      <c r="O31" s="52">
        <f t="shared" si="3"/>
        <v>0</v>
      </c>
      <c r="P31" s="53">
        <f t="shared" si="4"/>
        <v>0</v>
      </c>
      <c r="Q31" s="54">
        <v>300</v>
      </c>
      <c r="R31" s="56">
        <f t="shared" si="5"/>
        <v>2700</v>
      </c>
      <c r="S31" s="56">
        <v>0</v>
      </c>
      <c r="T31" s="81">
        <f t="shared" si="6"/>
        <v>0</v>
      </c>
      <c r="U31" s="55">
        <f t="shared" si="7"/>
        <v>0</v>
      </c>
      <c r="V31" s="111" t="str">
        <f t="shared" si="8"/>
        <v>-</v>
      </c>
      <c r="W31" s="57"/>
      <c r="X31" s="81">
        <f t="shared" si="9"/>
        <v>0</v>
      </c>
      <c r="Y31" s="81">
        <f t="shared" si="10"/>
        <v>0</v>
      </c>
      <c r="Z31" s="112" t="str">
        <f t="shared" si="11"/>
        <v>-</v>
      </c>
    </row>
    <row r="32" spans="1:26" ht="33.75" customHeight="1" thickBot="1" x14ac:dyDescent="0.25">
      <c r="A32" s="59" t="s">
        <v>45</v>
      </c>
      <c r="B32" s="59" t="s">
        <v>46</v>
      </c>
      <c r="C32" s="59" t="s">
        <v>47</v>
      </c>
      <c r="D32" s="60" t="s">
        <v>48</v>
      </c>
      <c r="E32" s="60">
        <v>2</v>
      </c>
      <c r="F32" s="85"/>
      <c r="G32" s="61" t="s">
        <v>40</v>
      </c>
      <c r="H32" s="85">
        <v>2</v>
      </c>
      <c r="I32" s="85">
        <f t="shared" si="0"/>
        <v>0</v>
      </c>
      <c r="J32" s="85">
        <v>0</v>
      </c>
      <c r="K32" s="64">
        <f t="shared" si="1"/>
        <v>0</v>
      </c>
      <c r="L32" s="82">
        <f t="shared" si="12"/>
        <v>0</v>
      </c>
      <c r="M32" s="82">
        <f t="shared" si="2"/>
        <v>0</v>
      </c>
      <c r="N32" s="60"/>
      <c r="O32" s="61">
        <f t="shared" si="3"/>
        <v>0</v>
      </c>
      <c r="P32" s="62">
        <f t="shared" si="4"/>
        <v>0</v>
      </c>
      <c r="Q32" s="63">
        <v>500</v>
      </c>
      <c r="R32" s="65">
        <f t="shared" si="5"/>
        <v>1000</v>
      </c>
      <c r="S32" s="65">
        <v>0</v>
      </c>
      <c r="T32" s="82">
        <f t="shared" si="6"/>
        <v>0</v>
      </c>
      <c r="U32" s="64">
        <f t="shared" si="7"/>
        <v>0</v>
      </c>
      <c r="V32" s="113" t="str">
        <f t="shared" si="8"/>
        <v>-</v>
      </c>
      <c r="W32" s="66"/>
      <c r="X32" s="82">
        <f t="shared" si="9"/>
        <v>0</v>
      </c>
      <c r="Y32" s="82">
        <f t="shared" si="10"/>
        <v>0</v>
      </c>
      <c r="Z32" s="114" t="str">
        <f t="shared" si="11"/>
        <v>-</v>
      </c>
    </row>
    <row r="33" spans="1:26" ht="13.5" thickBot="1" x14ac:dyDescent="0.25">
      <c r="A33" s="59" t="s">
        <v>177</v>
      </c>
      <c r="B33" s="59" t="s">
        <v>178</v>
      </c>
      <c r="C33" s="59" t="s">
        <v>179</v>
      </c>
      <c r="D33" s="60" t="s">
        <v>180</v>
      </c>
      <c r="E33" s="60">
        <v>6</v>
      </c>
      <c r="F33" s="85"/>
      <c r="G33" s="61" t="s">
        <v>40</v>
      </c>
      <c r="H33" s="85">
        <v>6</v>
      </c>
      <c r="I33" s="85">
        <f t="shared" si="0"/>
        <v>0</v>
      </c>
      <c r="J33" s="85">
        <v>0</v>
      </c>
      <c r="K33" s="64">
        <f>R33*J33</f>
        <v>0</v>
      </c>
      <c r="L33" s="82">
        <f t="shared" si="12"/>
        <v>0</v>
      </c>
      <c r="M33" s="82">
        <f>MAX(0,R33*(J33-L33))</f>
        <v>0</v>
      </c>
      <c r="N33" s="60"/>
      <c r="O33" s="61">
        <f t="shared" si="3"/>
        <v>0</v>
      </c>
      <c r="P33" s="62">
        <f t="shared" si="4"/>
        <v>0</v>
      </c>
      <c r="Q33" s="63">
        <v>0.1</v>
      </c>
      <c r="R33" s="65">
        <v>4515.4399999999996</v>
      </c>
      <c r="S33" s="65">
        <v>0</v>
      </c>
      <c r="T33" s="82">
        <f t="shared" si="6"/>
        <v>0</v>
      </c>
      <c r="U33" s="64">
        <f t="shared" si="7"/>
        <v>0</v>
      </c>
      <c r="V33" s="113" t="str">
        <f t="shared" si="8"/>
        <v>-</v>
      </c>
      <c r="W33" s="66"/>
      <c r="X33" s="82">
        <f t="shared" si="9"/>
        <v>0</v>
      </c>
      <c r="Y33" s="82">
        <f t="shared" si="10"/>
        <v>0</v>
      </c>
      <c r="Z33" s="114" t="str">
        <f t="shared" si="11"/>
        <v>-</v>
      </c>
    </row>
    <row r="34" spans="1:26" ht="14.25" customHeight="1" thickBot="1" x14ac:dyDescent="0.25">
      <c r="A34" s="49" t="s">
        <v>121</v>
      </c>
      <c r="B34" s="49"/>
      <c r="C34" s="49"/>
      <c r="D34" s="49"/>
      <c r="E34" s="49"/>
      <c r="F34" s="86"/>
      <c r="G34" s="49"/>
      <c r="H34" s="86"/>
      <c r="I34" s="86"/>
      <c r="J34" s="49"/>
      <c r="K34" s="49"/>
      <c r="L34" s="83"/>
      <c r="M34" s="83">
        <f t="shared" ref="M34:M48" si="13">MAX(0,H34*(J34-L34))</f>
        <v>0</v>
      </c>
      <c r="N34" s="49"/>
      <c r="O34" s="49"/>
      <c r="P34" s="49"/>
      <c r="Q34" s="49"/>
      <c r="R34" s="100">
        <f>SUM(R4:R33)</f>
        <v>777042.94</v>
      </c>
      <c r="S34" s="100">
        <f>SUM(S4:S29)</f>
        <v>-23539.86999999997</v>
      </c>
      <c r="T34" s="83"/>
      <c r="U34" s="115"/>
      <c r="V34" s="116"/>
      <c r="W34" s="49"/>
      <c r="X34" s="83"/>
      <c r="Y34" s="83"/>
      <c r="Z34" s="117"/>
    </row>
    <row r="35" spans="1:26" ht="13.5" thickBot="1" x14ac:dyDescent="0.25">
      <c r="A35" s="50"/>
      <c r="B35" s="50" t="s">
        <v>181</v>
      </c>
      <c r="C35" s="50"/>
      <c r="D35" s="51" t="s">
        <v>123</v>
      </c>
      <c r="E35" s="51">
        <v>1</v>
      </c>
      <c r="F35" s="84">
        <v>11110</v>
      </c>
      <c r="G35" s="52" t="s">
        <v>40</v>
      </c>
      <c r="H35" s="84">
        <v>1</v>
      </c>
      <c r="I35" s="84">
        <f t="shared" ref="I35:I48" si="14">H35*F35</f>
        <v>11110</v>
      </c>
      <c r="J35" s="54">
        <v>103968</v>
      </c>
      <c r="K35" s="55">
        <f t="shared" ref="K35:K48" si="15">H35*J35</f>
        <v>103968</v>
      </c>
      <c r="L35" s="81">
        <f t="shared" ref="L35:L48" si="16">PV($C$53,$N35,(-0.05*0.9*$F35))</f>
        <v>4859.7411366688293</v>
      </c>
      <c r="M35" s="81">
        <f t="shared" si="13"/>
        <v>99108.258863331168</v>
      </c>
      <c r="N35" s="51">
        <v>12</v>
      </c>
      <c r="O35" s="52">
        <f t="shared" ref="O35:O48" si="17">PV($C$53,N35,-I35)</f>
        <v>107994.24748152953</v>
      </c>
      <c r="P35" s="53">
        <f t="shared" ref="P35:P48" si="18">$C$55*I35/SUM($I$35:$I$48)</f>
        <v>50797.787254220479</v>
      </c>
      <c r="Q35" s="54">
        <v>8428</v>
      </c>
      <c r="R35" s="56">
        <v>14221</v>
      </c>
      <c r="S35" s="56"/>
      <c r="T35" s="81">
        <f t="shared" ref="T35:T48" si="19">IF(ISERROR(R35/O35),0,R35/O35)</f>
        <v>0.13168293989392579</v>
      </c>
      <c r="U35" s="55">
        <f t="shared" ref="U35:U48" si="20">IF(O35=0,0,(R35+P35)/O35)</f>
        <v>0.60205787595622418</v>
      </c>
      <c r="V35" s="111">
        <f t="shared" ref="V35:V48" si="21">IF(OR($R35=0,ISERROR(R35/I35)),"-",(VLOOKUP($N35,AC,6)*$I35)/($R35+$P35))</f>
        <v>2.03276442191703</v>
      </c>
      <c r="W35" s="57"/>
      <c r="X35" s="81">
        <f t="shared" ref="X35:X48" si="22">IF(ISERROR((M35)/O35),0,(M35)/O35)</f>
        <v>0.91771794493296366</v>
      </c>
      <c r="Y35" s="81">
        <f t="shared" ref="Y35:Y48" si="23">IF(O35=0,0,((M35)+P35)/O35)</f>
        <v>1.3880928809952622</v>
      </c>
      <c r="Z35" s="112">
        <f t="shared" ref="Z35:Z48" si="24">(VLOOKUP($N35,AC,4)*$I35)/($M35+$P35)</f>
        <v>0.80151947842492988</v>
      </c>
    </row>
    <row r="36" spans="1:26" ht="13.5" thickBot="1" x14ac:dyDescent="0.25">
      <c r="A36" s="59"/>
      <c r="B36" s="59" t="s">
        <v>182</v>
      </c>
      <c r="C36" s="59"/>
      <c r="D36" s="60" t="s">
        <v>183</v>
      </c>
      <c r="E36" s="60">
        <v>1</v>
      </c>
      <c r="F36" s="85">
        <v>1333</v>
      </c>
      <c r="G36" s="61" t="s">
        <v>40</v>
      </c>
      <c r="H36" s="85">
        <v>1</v>
      </c>
      <c r="I36" s="85">
        <f t="shared" si="14"/>
        <v>1333</v>
      </c>
      <c r="J36" s="63">
        <v>1800</v>
      </c>
      <c r="K36" s="63">
        <f t="shared" si="15"/>
        <v>1800</v>
      </c>
      <c r="L36" s="63">
        <f t="shared" si="16"/>
        <v>501.39554322743726</v>
      </c>
      <c r="M36" s="82">
        <f t="shared" si="13"/>
        <v>1298.6044567725628</v>
      </c>
      <c r="N36" s="60">
        <v>10</v>
      </c>
      <c r="O36" s="61">
        <f t="shared" si="17"/>
        <v>11142.123182831938</v>
      </c>
      <c r="P36" s="62">
        <f t="shared" si="18"/>
        <v>6094.8200188907213</v>
      </c>
      <c r="Q36" s="63">
        <v>8428</v>
      </c>
      <c r="R36" s="65">
        <v>1002</v>
      </c>
      <c r="S36" s="65"/>
      <c r="T36" s="82">
        <f t="shared" si="19"/>
        <v>8.9929000385124677E-2</v>
      </c>
      <c r="U36" s="64">
        <f t="shared" si="20"/>
        <v>0.63693605809579268</v>
      </c>
      <c r="V36" s="113">
        <f t="shared" si="21"/>
        <v>1.8348873283271181</v>
      </c>
      <c r="W36" s="66"/>
      <c r="X36" s="82">
        <f t="shared" si="22"/>
        <v>0.11654910248824793</v>
      </c>
      <c r="Y36" s="82">
        <f t="shared" si="23"/>
        <v>0.66355616019891595</v>
      </c>
      <c r="Z36" s="114">
        <f t="shared" si="24"/>
        <v>1.6011604964217609</v>
      </c>
    </row>
    <row r="37" spans="1:26" ht="13.5" thickBot="1" x14ac:dyDescent="0.25">
      <c r="A37" s="50"/>
      <c r="B37" s="50" t="s">
        <v>184</v>
      </c>
      <c r="C37" s="50"/>
      <c r="D37" s="51" t="s">
        <v>123</v>
      </c>
      <c r="E37" s="51">
        <v>1</v>
      </c>
      <c r="F37" s="84">
        <v>11606</v>
      </c>
      <c r="G37" s="52" t="s">
        <v>40</v>
      </c>
      <c r="H37" s="84">
        <v>1</v>
      </c>
      <c r="I37" s="84">
        <f t="shared" si="14"/>
        <v>11606</v>
      </c>
      <c r="J37" s="54">
        <v>105548</v>
      </c>
      <c r="K37" s="55">
        <f t="shared" si="15"/>
        <v>105548</v>
      </c>
      <c r="L37" s="81">
        <f t="shared" si="16"/>
        <v>5076.7016770637665</v>
      </c>
      <c r="M37" s="81">
        <f t="shared" si="13"/>
        <v>100471.29832293623</v>
      </c>
      <c r="N37" s="51">
        <v>12</v>
      </c>
      <c r="O37" s="52">
        <f t="shared" si="17"/>
        <v>112815.59282363924</v>
      </c>
      <c r="P37" s="53">
        <f t="shared" si="18"/>
        <v>53065.627261249589</v>
      </c>
      <c r="Q37" s="54">
        <v>8428</v>
      </c>
      <c r="R37" s="56">
        <v>14856</v>
      </c>
      <c r="S37" s="56"/>
      <c r="T37" s="81">
        <f t="shared" si="19"/>
        <v>0.13168392443076443</v>
      </c>
      <c r="U37" s="55">
        <f t="shared" si="20"/>
        <v>0.60205886049306268</v>
      </c>
      <c r="V37" s="111">
        <f t="shared" si="21"/>
        <v>2.0327610977711879</v>
      </c>
      <c r="W37" s="57"/>
      <c r="X37" s="81">
        <f t="shared" si="22"/>
        <v>0.89057989067166965</v>
      </c>
      <c r="Y37" s="81">
        <f t="shared" si="23"/>
        <v>1.3609548267339679</v>
      </c>
      <c r="Z37" s="112">
        <f t="shared" si="24"/>
        <v>0.81750213903180668</v>
      </c>
    </row>
    <row r="38" spans="1:26" ht="13.5" thickBot="1" x14ac:dyDescent="0.25">
      <c r="A38" s="59"/>
      <c r="B38" s="59" t="s">
        <v>185</v>
      </c>
      <c r="C38" s="59"/>
      <c r="D38" s="60" t="s">
        <v>123</v>
      </c>
      <c r="E38" s="60">
        <v>1</v>
      </c>
      <c r="F38" s="85">
        <v>9955</v>
      </c>
      <c r="G38" s="61" t="s">
        <v>40</v>
      </c>
      <c r="H38" s="85">
        <v>1</v>
      </c>
      <c r="I38" s="85">
        <f t="shared" si="14"/>
        <v>9955</v>
      </c>
      <c r="J38" s="63">
        <v>100343</v>
      </c>
      <c r="K38" s="63">
        <f t="shared" si="15"/>
        <v>100343</v>
      </c>
      <c r="L38" s="63">
        <f t="shared" si="16"/>
        <v>4354.520523450783</v>
      </c>
      <c r="M38" s="82">
        <f t="shared" si="13"/>
        <v>95988.479476549212</v>
      </c>
      <c r="N38" s="60">
        <v>12</v>
      </c>
      <c r="O38" s="61">
        <f t="shared" si="17"/>
        <v>96767.122743350716</v>
      </c>
      <c r="P38" s="62">
        <f t="shared" si="18"/>
        <v>45516.829173336177</v>
      </c>
      <c r="Q38" s="63">
        <v>8428</v>
      </c>
      <c r="R38" s="65">
        <v>12742</v>
      </c>
      <c r="S38" s="65"/>
      <c r="T38" s="82">
        <f t="shared" si="19"/>
        <v>0.13167695430807419</v>
      </c>
      <c r="U38" s="64">
        <f t="shared" si="20"/>
        <v>0.60205189037037266</v>
      </c>
      <c r="V38" s="113">
        <f t="shared" si="21"/>
        <v>2.0327846316134996</v>
      </c>
      <c r="W38" s="66"/>
      <c r="X38" s="82">
        <f t="shared" si="22"/>
        <v>0.99195343165398597</v>
      </c>
      <c r="Y38" s="82">
        <f t="shared" si="23"/>
        <v>1.4623283677162844</v>
      </c>
      <c r="Z38" s="114">
        <f t="shared" si="24"/>
        <v>0.76083012991001508</v>
      </c>
    </row>
    <row r="39" spans="1:26" ht="13.5" thickBot="1" x14ac:dyDescent="0.25">
      <c r="A39" s="50"/>
      <c r="B39" s="50" t="s">
        <v>186</v>
      </c>
      <c r="C39" s="50"/>
      <c r="D39" s="51" t="s">
        <v>123</v>
      </c>
      <c r="E39" s="51">
        <v>1</v>
      </c>
      <c r="F39" s="84">
        <v>10736</v>
      </c>
      <c r="G39" s="52" t="s">
        <v>40</v>
      </c>
      <c r="H39" s="84">
        <v>1</v>
      </c>
      <c r="I39" s="84">
        <f t="shared" si="14"/>
        <v>10736</v>
      </c>
      <c r="J39" s="54">
        <v>108383</v>
      </c>
      <c r="K39" s="55">
        <f t="shared" si="15"/>
        <v>108383</v>
      </c>
      <c r="L39" s="81">
        <f t="shared" si="16"/>
        <v>4696.1458904839383</v>
      </c>
      <c r="M39" s="81">
        <f t="shared" si="13"/>
        <v>103686.85410951606</v>
      </c>
      <c r="N39" s="51">
        <v>12</v>
      </c>
      <c r="O39" s="52">
        <f t="shared" si="17"/>
        <v>104358.79756630973</v>
      </c>
      <c r="P39" s="53">
        <f t="shared" si="18"/>
        <v>49087.762732791278</v>
      </c>
      <c r="Q39" s="54">
        <v>8428</v>
      </c>
      <c r="R39" s="56">
        <v>13742</v>
      </c>
      <c r="S39" s="56"/>
      <c r="T39" s="81">
        <f t="shared" si="19"/>
        <v>0.13168032135736629</v>
      </c>
      <c r="U39" s="55">
        <f t="shared" si="20"/>
        <v>0.6020552574196647</v>
      </c>
      <c r="V39" s="111">
        <f t="shared" si="21"/>
        <v>2.0327732630788504</v>
      </c>
      <c r="W39" s="57"/>
      <c r="X39" s="81">
        <f t="shared" si="22"/>
        <v>0.99356121886737225</v>
      </c>
      <c r="Y39" s="81">
        <f t="shared" si="23"/>
        <v>1.4639361549296706</v>
      </c>
      <c r="Z39" s="112">
        <f t="shared" si="24"/>
        <v>0.75999453817310136</v>
      </c>
    </row>
    <row r="40" spans="1:26" ht="13.5" thickBot="1" x14ac:dyDescent="0.25">
      <c r="A40" s="59"/>
      <c r="B40" s="59" t="s">
        <v>187</v>
      </c>
      <c r="C40" s="59"/>
      <c r="D40" s="60" t="s">
        <v>123</v>
      </c>
      <c r="E40" s="60">
        <v>1</v>
      </c>
      <c r="F40" s="85">
        <v>12639</v>
      </c>
      <c r="G40" s="61" t="s">
        <v>40</v>
      </c>
      <c r="H40" s="85">
        <v>1</v>
      </c>
      <c r="I40" s="85">
        <f t="shared" si="14"/>
        <v>12639</v>
      </c>
      <c r="J40" s="63">
        <v>123635</v>
      </c>
      <c r="K40" s="63">
        <f t="shared" si="15"/>
        <v>123635</v>
      </c>
      <c r="L40" s="63">
        <f t="shared" si="16"/>
        <v>5528.5569960717685</v>
      </c>
      <c r="M40" s="82">
        <f t="shared" si="13"/>
        <v>118106.44300392823</v>
      </c>
      <c r="N40" s="60">
        <v>12</v>
      </c>
      <c r="O40" s="61">
        <f t="shared" si="17"/>
        <v>122856.82213492815</v>
      </c>
      <c r="P40" s="62">
        <f t="shared" si="18"/>
        <v>57788.769856533989</v>
      </c>
      <c r="Q40" s="63">
        <v>8428</v>
      </c>
      <c r="R40" s="65">
        <v>16178</v>
      </c>
      <c r="S40" s="65"/>
      <c r="T40" s="82">
        <f t="shared" si="19"/>
        <v>0.13168173910792211</v>
      </c>
      <c r="U40" s="64">
        <f t="shared" si="20"/>
        <v>0.60205667517022055</v>
      </c>
      <c r="V40" s="113">
        <f t="shared" si="21"/>
        <v>2.0327684762115297</v>
      </c>
      <c r="W40" s="66"/>
      <c r="X40" s="82">
        <f t="shared" si="22"/>
        <v>0.96133402241364507</v>
      </c>
      <c r="Y40" s="82">
        <f t="shared" si="23"/>
        <v>1.4317089584759435</v>
      </c>
      <c r="Z40" s="114">
        <f t="shared" si="24"/>
        <v>0.77710171148543195</v>
      </c>
    </row>
    <row r="41" spans="1:26" ht="13.5" thickBot="1" x14ac:dyDescent="0.25">
      <c r="A41" s="50"/>
      <c r="B41" s="50" t="s">
        <v>188</v>
      </c>
      <c r="C41" s="50"/>
      <c r="D41" s="51" t="s">
        <v>123</v>
      </c>
      <c r="E41" s="51">
        <v>1</v>
      </c>
      <c r="F41" s="84">
        <v>12960</v>
      </c>
      <c r="G41" s="52" t="s">
        <v>40</v>
      </c>
      <c r="H41" s="84">
        <v>1</v>
      </c>
      <c r="I41" s="84">
        <f t="shared" si="14"/>
        <v>12960</v>
      </c>
      <c r="J41" s="54">
        <v>127175</v>
      </c>
      <c r="K41" s="55">
        <f t="shared" si="15"/>
        <v>127175</v>
      </c>
      <c r="L41" s="81">
        <f t="shared" si="16"/>
        <v>5668.968958706394</v>
      </c>
      <c r="M41" s="81">
        <f t="shared" si="13"/>
        <v>121506.03104129361</v>
      </c>
      <c r="N41" s="51">
        <v>12</v>
      </c>
      <c r="O41" s="52">
        <f t="shared" si="17"/>
        <v>125977.08797125318</v>
      </c>
      <c r="P41" s="53">
        <f t="shared" si="18"/>
        <v>59256.464699792748</v>
      </c>
      <c r="Q41" s="54">
        <v>8428</v>
      </c>
      <c r="R41" s="56">
        <v>16589</v>
      </c>
      <c r="S41" s="56"/>
      <c r="T41" s="81">
        <f t="shared" si="19"/>
        <v>0.13168267553370863</v>
      </c>
      <c r="U41" s="55">
        <f t="shared" si="20"/>
        <v>0.60205761159600701</v>
      </c>
      <c r="V41" s="111">
        <f t="shared" si="21"/>
        <v>2.0327653144928131</v>
      </c>
      <c r="W41" s="57"/>
      <c r="X41" s="81">
        <f t="shared" si="22"/>
        <v>0.96450896744827264</v>
      </c>
      <c r="Y41" s="81">
        <f t="shared" si="23"/>
        <v>1.4348839035105712</v>
      </c>
      <c r="Z41" s="112">
        <f t="shared" si="24"/>
        <v>0.77538223075654145</v>
      </c>
    </row>
    <row r="42" spans="1:26" ht="13.5" thickBot="1" x14ac:dyDescent="0.25">
      <c r="A42" s="59"/>
      <c r="B42" s="59" t="s">
        <v>189</v>
      </c>
      <c r="C42" s="59"/>
      <c r="D42" s="60" t="s">
        <v>123</v>
      </c>
      <c r="E42" s="60">
        <v>1</v>
      </c>
      <c r="F42" s="85">
        <v>14208</v>
      </c>
      <c r="G42" s="61" t="s">
        <v>40</v>
      </c>
      <c r="H42" s="85">
        <v>1</v>
      </c>
      <c r="I42" s="85">
        <f t="shared" si="14"/>
        <v>14208</v>
      </c>
      <c r="J42" s="63">
        <v>142512</v>
      </c>
      <c r="K42" s="63">
        <f t="shared" si="15"/>
        <v>142512</v>
      </c>
      <c r="L42" s="63">
        <f t="shared" si="16"/>
        <v>6214.8696732484914</v>
      </c>
      <c r="M42" s="82">
        <f t="shared" si="13"/>
        <v>136297.1303267515</v>
      </c>
      <c r="N42" s="60">
        <v>12</v>
      </c>
      <c r="O42" s="61">
        <f t="shared" si="17"/>
        <v>138108.21496107755</v>
      </c>
      <c r="P42" s="62">
        <f t="shared" si="18"/>
        <v>64962.642781995019</v>
      </c>
      <c r="Q42" s="63">
        <v>8428</v>
      </c>
      <c r="R42" s="65">
        <v>18186</v>
      </c>
      <c r="S42" s="65"/>
      <c r="T42" s="82">
        <f t="shared" si="19"/>
        <v>0.13167935017569579</v>
      </c>
      <c r="U42" s="64">
        <f t="shared" si="20"/>
        <v>0.60205428623799417</v>
      </c>
      <c r="V42" s="113">
        <f t="shared" si="21"/>
        <v>2.0327765421720789</v>
      </c>
      <c r="W42" s="66"/>
      <c r="X42" s="82">
        <f t="shared" si="22"/>
        <v>0.98688648148239078</v>
      </c>
      <c r="Y42" s="82">
        <f t="shared" si="23"/>
        <v>1.457261417544689</v>
      </c>
      <c r="Z42" s="114">
        <f t="shared" si="24"/>
        <v>0.76347556353701496</v>
      </c>
    </row>
    <row r="43" spans="1:26" ht="13.5" thickBot="1" x14ac:dyDescent="0.25">
      <c r="A43" s="50"/>
      <c r="B43" s="50" t="s">
        <v>190</v>
      </c>
      <c r="C43" s="50"/>
      <c r="D43" s="51" t="s">
        <v>191</v>
      </c>
      <c r="E43" s="51">
        <v>1</v>
      </c>
      <c r="F43" s="84">
        <v>2675</v>
      </c>
      <c r="G43" s="52" t="s">
        <v>40</v>
      </c>
      <c r="H43" s="84">
        <v>1</v>
      </c>
      <c r="I43" s="84">
        <f t="shared" si="14"/>
        <v>2675</v>
      </c>
      <c r="J43" s="54">
        <v>55000</v>
      </c>
      <c r="K43" s="55">
        <f t="shared" si="15"/>
        <v>55000</v>
      </c>
      <c r="L43" s="81">
        <f t="shared" si="16"/>
        <v>1396.3201206691288</v>
      </c>
      <c r="M43" s="81">
        <f t="shared" si="13"/>
        <v>53603.67987933087</v>
      </c>
      <c r="N43" s="51">
        <v>15</v>
      </c>
      <c r="O43" s="52">
        <f t="shared" si="17"/>
        <v>31029.336014869525</v>
      </c>
      <c r="P43" s="53">
        <f t="shared" si="18"/>
        <v>12230.790360489629</v>
      </c>
      <c r="Q43" s="54">
        <v>8428</v>
      </c>
      <c r="R43" s="56">
        <v>6142</v>
      </c>
      <c r="S43" s="56"/>
      <c r="T43" s="81">
        <f t="shared" si="19"/>
        <v>0.19794171544813915</v>
      </c>
      <c r="U43" s="55">
        <f t="shared" si="20"/>
        <v>0.59211032913128492</v>
      </c>
      <c r="V43" s="111">
        <f t="shared" si="21"/>
        <v>2.2150843740957171</v>
      </c>
      <c r="W43" s="57"/>
      <c r="X43" s="81">
        <f t="shared" si="22"/>
        <v>1.7275161754554955</v>
      </c>
      <c r="Y43" s="81">
        <f t="shared" si="23"/>
        <v>2.1216847891386412</v>
      </c>
      <c r="Z43" s="112">
        <f t="shared" si="24"/>
        <v>0.56197806252568339</v>
      </c>
    </row>
    <row r="44" spans="1:26" ht="13.5" thickBot="1" x14ac:dyDescent="0.25">
      <c r="A44" s="59"/>
      <c r="B44" s="59" t="s">
        <v>192</v>
      </c>
      <c r="C44" s="59"/>
      <c r="D44" s="60" t="s">
        <v>193</v>
      </c>
      <c r="E44" s="60">
        <v>1</v>
      </c>
      <c r="F44" s="85">
        <v>1146</v>
      </c>
      <c r="G44" s="61" t="s">
        <v>40</v>
      </c>
      <c r="H44" s="85">
        <v>1</v>
      </c>
      <c r="I44" s="85">
        <f t="shared" si="14"/>
        <v>1146</v>
      </c>
      <c r="J44" s="63">
        <v>25000</v>
      </c>
      <c r="K44" s="63">
        <f t="shared" si="15"/>
        <v>25000</v>
      </c>
      <c r="L44" s="63">
        <f t="shared" si="16"/>
        <v>598.19919935955943</v>
      </c>
      <c r="M44" s="82">
        <f t="shared" si="13"/>
        <v>24401.800800640442</v>
      </c>
      <c r="N44" s="60">
        <v>15</v>
      </c>
      <c r="O44" s="61">
        <f t="shared" si="17"/>
        <v>13293.315541323544</v>
      </c>
      <c r="P44" s="62">
        <f t="shared" si="18"/>
        <v>5239.8077581761181</v>
      </c>
      <c r="Q44" s="63">
        <v>8428</v>
      </c>
      <c r="R44" s="65">
        <v>2631</v>
      </c>
      <c r="S44" s="65"/>
      <c r="T44" s="82">
        <f t="shared" si="19"/>
        <v>0.19791902116678753</v>
      </c>
      <c r="U44" s="64">
        <f t="shared" si="20"/>
        <v>0.59208763484993332</v>
      </c>
      <c r="V44" s="113">
        <f t="shared" si="21"/>
        <v>2.2151692766423068</v>
      </c>
      <c r="W44" s="66"/>
      <c r="X44" s="82">
        <f t="shared" si="22"/>
        <v>1.8356444428619112</v>
      </c>
      <c r="Y44" s="82">
        <f t="shared" si="23"/>
        <v>2.2298130565450571</v>
      </c>
      <c r="Z44" s="114">
        <f t="shared" si="24"/>
        <v>0.53472657880019614</v>
      </c>
    </row>
    <row r="45" spans="1:26" ht="13.5" thickBot="1" x14ac:dyDescent="0.25">
      <c r="A45" s="50"/>
      <c r="B45" s="50" t="s">
        <v>194</v>
      </c>
      <c r="C45" s="50"/>
      <c r="D45" s="51" t="s">
        <v>195</v>
      </c>
      <c r="E45" s="51">
        <v>1</v>
      </c>
      <c r="F45" s="84">
        <v>6766</v>
      </c>
      <c r="G45" s="52" t="s">
        <v>40</v>
      </c>
      <c r="H45" s="84">
        <v>1</v>
      </c>
      <c r="I45" s="84">
        <f t="shared" si="14"/>
        <v>6766</v>
      </c>
      <c r="J45" s="54">
        <v>22500</v>
      </c>
      <c r="K45" s="55">
        <f t="shared" si="15"/>
        <v>22500</v>
      </c>
      <c r="L45" s="81">
        <f t="shared" si="16"/>
        <v>3531.7764248401213</v>
      </c>
      <c r="M45" s="81">
        <f t="shared" si="13"/>
        <v>18968.223575159878</v>
      </c>
      <c r="N45" s="51">
        <v>15</v>
      </c>
      <c r="O45" s="52">
        <f t="shared" si="17"/>
        <v>78483.920552002703</v>
      </c>
      <c r="P45" s="53">
        <f t="shared" si="18"/>
        <v>30935.898160401062</v>
      </c>
      <c r="Q45" s="54">
        <v>8428</v>
      </c>
      <c r="R45" s="56">
        <v>16888</v>
      </c>
      <c r="S45" s="56"/>
      <c r="T45" s="81">
        <f t="shared" si="19"/>
        <v>0.21517783364058848</v>
      </c>
      <c r="U45" s="55">
        <f t="shared" si="20"/>
        <v>0.60934644732373433</v>
      </c>
      <c r="V45" s="111">
        <f t="shared" si="21"/>
        <v>2.1524279719030943</v>
      </c>
      <c r="W45" s="57"/>
      <c r="X45" s="81">
        <f t="shared" si="22"/>
        <v>0.24168292615545006</v>
      </c>
      <c r="Y45" s="81">
        <f t="shared" si="23"/>
        <v>0.63585153983859588</v>
      </c>
      <c r="Z45" s="112">
        <f t="shared" si="24"/>
        <v>1.8751866314470347</v>
      </c>
    </row>
    <row r="46" spans="1:26" ht="13.5" thickBot="1" x14ac:dyDescent="0.25">
      <c r="A46" s="59"/>
      <c r="B46" s="59" t="s">
        <v>196</v>
      </c>
      <c r="C46" s="59"/>
      <c r="D46" s="60" t="s">
        <v>197</v>
      </c>
      <c r="E46" s="60">
        <v>1</v>
      </c>
      <c r="F46" s="85">
        <v>2178</v>
      </c>
      <c r="G46" s="61" t="s">
        <v>40</v>
      </c>
      <c r="H46" s="85">
        <v>1</v>
      </c>
      <c r="I46" s="85">
        <f t="shared" si="14"/>
        <v>2178</v>
      </c>
      <c r="J46" s="63">
        <v>2564</v>
      </c>
      <c r="K46" s="63">
        <f t="shared" si="15"/>
        <v>2564</v>
      </c>
      <c r="L46" s="63">
        <f t="shared" si="16"/>
        <v>1303.5029134834704</v>
      </c>
      <c r="M46" s="82">
        <f t="shared" si="13"/>
        <v>1260.4970865165296</v>
      </c>
      <c r="N46" s="60">
        <v>18</v>
      </c>
      <c r="O46" s="61">
        <f t="shared" si="17"/>
        <v>28966.731410743785</v>
      </c>
      <c r="P46" s="62">
        <f t="shared" si="18"/>
        <v>9958.3780953818386</v>
      </c>
      <c r="Q46" s="63">
        <v>8428</v>
      </c>
      <c r="R46" s="65">
        <v>2564</v>
      </c>
      <c r="S46" s="65"/>
      <c r="T46" s="82">
        <f t="shared" si="19"/>
        <v>8.8515337255103979E-2</v>
      </c>
      <c r="U46" s="64">
        <f t="shared" si="20"/>
        <v>0.43230207501897427</v>
      </c>
      <c r="V46" s="113">
        <f t="shared" si="21"/>
        <v>3.252381374481073</v>
      </c>
      <c r="W46" s="66"/>
      <c r="X46" s="82">
        <f t="shared" si="22"/>
        <v>4.3515337255103981E-2</v>
      </c>
      <c r="Y46" s="82">
        <f t="shared" si="23"/>
        <v>0.38730207501897429</v>
      </c>
      <c r="Z46" s="114">
        <f t="shared" si="24"/>
        <v>3.3002457199293334</v>
      </c>
    </row>
    <row r="47" spans="1:26" ht="13.5" thickBot="1" x14ac:dyDescent="0.25">
      <c r="A47" s="50"/>
      <c r="B47" s="50" t="s">
        <v>198</v>
      </c>
      <c r="C47" s="50"/>
      <c r="D47" s="51" t="s">
        <v>199</v>
      </c>
      <c r="E47" s="51">
        <v>1</v>
      </c>
      <c r="F47" s="84">
        <v>641.25</v>
      </c>
      <c r="G47" s="52" t="s">
        <v>40</v>
      </c>
      <c r="H47" s="84">
        <v>1</v>
      </c>
      <c r="I47" s="84">
        <f t="shared" si="14"/>
        <v>641.25</v>
      </c>
      <c r="J47" s="54">
        <v>18795</v>
      </c>
      <c r="K47" s="55">
        <f t="shared" si="15"/>
        <v>18795</v>
      </c>
      <c r="L47" s="81">
        <f t="shared" si="16"/>
        <v>413.85249615869577</v>
      </c>
      <c r="M47" s="81">
        <f t="shared" si="13"/>
        <v>18381.147503841305</v>
      </c>
      <c r="N47" s="51">
        <v>20</v>
      </c>
      <c r="O47" s="52">
        <f t="shared" si="17"/>
        <v>9196.7221368599057</v>
      </c>
      <c r="P47" s="53">
        <f t="shared" si="18"/>
        <v>2931.9604929584957</v>
      </c>
      <c r="Q47" s="54">
        <v>8428</v>
      </c>
      <c r="R47" s="56">
        <v>2579</v>
      </c>
      <c r="S47" s="56"/>
      <c r="T47" s="81">
        <f t="shared" si="19"/>
        <v>0.28042599978785093</v>
      </c>
      <c r="U47" s="55">
        <f t="shared" si="20"/>
        <v>0.59923094456348747</v>
      </c>
      <c r="V47" s="111">
        <f t="shared" si="21"/>
        <v>2.4598351307156707</v>
      </c>
      <c r="W47" s="57"/>
      <c r="X47" s="81">
        <f t="shared" si="22"/>
        <v>1.9986629181902515</v>
      </c>
      <c r="Y47" s="81">
        <f t="shared" si="23"/>
        <v>2.3174678629658882</v>
      </c>
      <c r="Z47" s="112">
        <f t="shared" si="24"/>
        <v>0.57822095494220238</v>
      </c>
    </row>
    <row r="48" spans="1:26" ht="13.5" thickBot="1" x14ac:dyDescent="0.25">
      <c r="A48" s="59"/>
      <c r="B48" s="59" t="s">
        <v>200</v>
      </c>
      <c r="C48" s="59"/>
      <c r="D48" s="60" t="s">
        <v>201</v>
      </c>
      <c r="E48" s="60">
        <v>1</v>
      </c>
      <c r="F48" s="85">
        <v>836</v>
      </c>
      <c r="G48" s="61" t="s">
        <v>40</v>
      </c>
      <c r="H48" s="85">
        <v>1</v>
      </c>
      <c r="I48" s="85">
        <f t="shared" si="14"/>
        <v>836</v>
      </c>
      <c r="J48" s="63">
        <v>9840</v>
      </c>
      <c r="K48" s="63">
        <f t="shared" si="15"/>
        <v>9840</v>
      </c>
      <c r="L48" s="63">
        <f t="shared" si="16"/>
        <v>700.65968494890069</v>
      </c>
      <c r="M48" s="82">
        <f t="shared" si="13"/>
        <v>9139.3403150510985</v>
      </c>
      <c r="N48" s="60">
        <v>30</v>
      </c>
      <c r="O48" s="61">
        <f t="shared" si="17"/>
        <v>15570.215221086681</v>
      </c>
      <c r="P48" s="62">
        <f t="shared" si="18"/>
        <v>3822.4077537829276</v>
      </c>
      <c r="Q48" s="63">
        <v>8428</v>
      </c>
      <c r="R48" s="65">
        <v>5484</v>
      </c>
      <c r="S48" s="65"/>
      <c r="T48" s="82">
        <f t="shared" si="19"/>
        <v>0.35221093107133422</v>
      </c>
      <c r="U48" s="64">
        <f t="shared" si="20"/>
        <v>0.59770578772599725</v>
      </c>
      <c r="V48" s="113">
        <f t="shared" si="21"/>
        <v>3.1312714957415508</v>
      </c>
      <c r="W48" s="66"/>
      <c r="X48" s="82">
        <f t="shared" si="22"/>
        <v>0.5869758500623502</v>
      </c>
      <c r="Y48" s="82">
        <f t="shared" si="23"/>
        <v>0.83247070671701329</v>
      </c>
      <c r="Z48" s="114">
        <f t="shared" si="24"/>
        <v>2.0438383333380403</v>
      </c>
    </row>
    <row r="49" spans="1:26" ht="15.75" thickBot="1" x14ac:dyDescent="0.25">
      <c r="A49" s="69" t="s">
        <v>137</v>
      </c>
      <c r="B49" s="70"/>
      <c r="C49" s="70"/>
      <c r="D49" s="70"/>
      <c r="E49" s="71">
        <f>SUM(E4:E33,E35:E48)</f>
        <v>284</v>
      </c>
      <c r="F49" s="72"/>
      <c r="G49" s="70"/>
      <c r="H49" s="73"/>
      <c r="I49" s="87">
        <f>SUM(I4:I48)</f>
        <v>289919.12</v>
      </c>
      <c r="J49" s="74"/>
      <c r="K49" s="74">
        <f>SUM(K4:K48)</f>
        <v>1875801.8572</v>
      </c>
      <c r="L49" s="74"/>
      <c r="M49" s="80">
        <f>SUM(M4:M48)</f>
        <v>1690510.3802030545</v>
      </c>
      <c r="N49" s="73">
        <f>SUMPRODUCT(I4:I48,N4:N48)/SUM(I4:I48)</f>
        <v>18.082096793064217</v>
      </c>
      <c r="O49" s="73">
        <f>SUM(O4:O48)</f>
        <v>3719678.8025715579</v>
      </c>
      <c r="P49" s="76">
        <f>SUM(P4:P48)</f>
        <v>1129224.8659999999</v>
      </c>
      <c r="Q49" s="70"/>
      <c r="R49" s="74">
        <f>SUM(R4:R33,R35:R48)+S34</f>
        <v>897307.07</v>
      </c>
      <c r="S49" s="74"/>
      <c r="T49" s="78">
        <f>R49/O49</f>
        <v>0.24123240678191268</v>
      </c>
      <c r="U49" s="78">
        <f>(R49+P49)/O49</f>
        <v>0.54481369052590767</v>
      </c>
      <c r="V49" s="118">
        <f>IF($R49=0,"-",(VLOOKUP($N49,AC,6)*$I49)/($R49+$P49))</f>
        <v>2.6751849225262339</v>
      </c>
      <c r="W49" s="74"/>
      <c r="X49" s="80">
        <f>(M49)/O49</f>
        <v>0.45447751537964493</v>
      </c>
      <c r="Y49" s="80">
        <f>(M49+P49)/O49</f>
        <v>0.75805879912364005</v>
      </c>
      <c r="Z49" s="119">
        <f>IF($M49=0,"-",(VLOOKUP($N49,AC,4)*$I49)/($M49+P49))</f>
        <v>1.7478583841273989</v>
      </c>
    </row>
    <row r="50" spans="1:26" ht="13.5" thickBot="1" x14ac:dyDescent="0.25">
      <c r="I50" s="19"/>
      <c r="J50" s="2"/>
      <c r="K50" s="2"/>
      <c r="L50" s="39"/>
      <c r="M50" s="20"/>
      <c r="N50" s="21"/>
      <c r="O50" s="22"/>
      <c r="R50" s="46"/>
      <c r="S50" s="23"/>
      <c r="T50" s="24"/>
      <c r="V50" s="25"/>
      <c r="X50" s="26"/>
      <c r="Y50" s="26"/>
    </row>
    <row r="51" spans="1:26" ht="33.75" customHeight="1" thickBot="1" x14ac:dyDescent="0.25">
      <c r="B51" s="91" t="s">
        <v>138</v>
      </c>
      <c r="C51" s="120">
        <v>3.4000000000000002E-2</v>
      </c>
      <c r="D51" s="27"/>
      <c r="F51" s="28"/>
      <c r="G51" s="29"/>
      <c r="H51" s="28"/>
      <c r="I51" s="19"/>
      <c r="J51" s="1" t="s">
        <v>139</v>
      </c>
      <c r="K51" s="121">
        <f>K49-M49</f>
        <v>185291.47699694545</v>
      </c>
      <c r="L51" s="28"/>
      <c r="M51" s="30"/>
      <c r="N51" s="19"/>
      <c r="O51" s="31"/>
      <c r="P51" s="31"/>
      <c r="R51" s="47"/>
      <c r="S51" s="31"/>
      <c r="T51" s="32"/>
      <c r="U51" s="33"/>
      <c r="V51" s="34"/>
      <c r="W51" s="28"/>
      <c r="X51" s="28"/>
      <c r="Y51" s="28"/>
      <c r="Z51" s="28"/>
    </row>
    <row r="52" spans="1:26" ht="33.75" customHeight="1" thickBot="1" x14ac:dyDescent="0.25">
      <c r="B52" s="91" t="s">
        <v>140</v>
      </c>
      <c r="C52" s="120">
        <v>0.02</v>
      </c>
      <c r="D52" s="27"/>
      <c r="E52" s="35"/>
      <c r="F52" s="1"/>
      <c r="G52" s="28"/>
      <c r="H52" s="13"/>
      <c r="I52" s="13"/>
      <c r="O52" s="36"/>
      <c r="R52" s="47"/>
      <c r="S52" s="2"/>
    </row>
    <row r="53" spans="1:26" ht="33.75" customHeight="1" thickBot="1" x14ac:dyDescent="0.25">
      <c r="B53" s="91" t="s">
        <v>141</v>
      </c>
      <c r="C53" s="120">
        <v>3.4000000000000002E-2</v>
      </c>
      <c r="D53" s="27"/>
      <c r="F53" s="1"/>
      <c r="G53" s="28"/>
      <c r="H53" s="13"/>
      <c r="I53" s="13"/>
      <c r="S53" s="2"/>
    </row>
    <row r="54" spans="1:26" ht="33.75" customHeight="1" thickBot="1" x14ac:dyDescent="0.25">
      <c r="B54" s="91" t="s">
        <v>202</v>
      </c>
      <c r="C54" s="122">
        <v>1129224.8660000002</v>
      </c>
      <c r="D54" s="27"/>
      <c r="I54" s="13"/>
      <c r="S54" s="2"/>
    </row>
    <row r="55" spans="1:26" ht="33.75" customHeight="1" thickBot="1" x14ac:dyDescent="0.25">
      <c r="B55" s="91" t="s">
        <v>143</v>
      </c>
      <c r="C55" s="97">
        <f>C54*0.4</f>
        <v>451689.94640000007</v>
      </c>
      <c r="D55" s="27"/>
      <c r="F55" s="16"/>
      <c r="H55" s="14"/>
      <c r="I55" s="37"/>
      <c r="J55" s="16"/>
      <c r="K55" s="16"/>
      <c r="L55" s="16"/>
      <c r="M55" s="16"/>
      <c r="N55" s="16"/>
      <c r="O55" s="16"/>
      <c r="P55" s="16"/>
      <c r="Q55" s="16"/>
      <c r="R55" s="38"/>
      <c r="S55" s="2"/>
      <c r="T55" s="16"/>
      <c r="U55" s="16"/>
      <c r="V55" s="16"/>
      <c r="W55" s="16"/>
      <c r="X55" s="16"/>
      <c r="Y55" s="16"/>
      <c r="Z55" s="16"/>
    </row>
    <row r="56" spans="1:26" ht="33.75" customHeight="1" thickBot="1" x14ac:dyDescent="0.25">
      <c r="B56" s="91" t="s">
        <v>144</v>
      </c>
      <c r="C56" s="97">
        <f>C54*0.6</f>
        <v>677534.91960000002</v>
      </c>
      <c r="D56" s="27"/>
      <c r="F56" s="16"/>
      <c r="G56" s="39"/>
      <c r="H56" s="14"/>
      <c r="I56" s="37"/>
      <c r="J56" s="16"/>
      <c r="K56" s="16"/>
      <c r="L56" s="16"/>
      <c r="M56" s="16"/>
      <c r="N56" s="16"/>
      <c r="O56" s="16"/>
      <c r="P56" s="16"/>
      <c r="Q56" s="16"/>
      <c r="R56" s="38"/>
      <c r="S56" s="38"/>
      <c r="T56" s="16"/>
      <c r="U56" s="16"/>
      <c r="V56" s="16"/>
      <c r="W56" s="16"/>
      <c r="X56" s="16"/>
      <c r="Y56" s="16"/>
      <c r="Z56" s="16"/>
    </row>
    <row r="57" spans="1:26" ht="16.899999999999999" customHeight="1" x14ac:dyDescent="0.2">
      <c r="B57" s="16"/>
      <c r="D57" s="27"/>
      <c r="F57" s="16"/>
      <c r="H57" s="14"/>
      <c r="I57" s="37"/>
      <c r="J57" s="16"/>
      <c r="K57" s="16"/>
      <c r="L57" s="16"/>
      <c r="M57" s="16"/>
      <c r="N57" s="16"/>
      <c r="O57" s="16"/>
      <c r="P57" s="16"/>
      <c r="Q57" s="16"/>
      <c r="R57" s="38"/>
      <c r="S57" s="38"/>
      <c r="T57" s="16"/>
      <c r="U57" s="16"/>
      <c r="V57" s="16"/>
      <c r="W57" s="16"/>
      <c r="X57" s="16"/>
      <c r="Y57" s="16"/>
      <c r="Z57" s="16"/>
    </row>
    <row r="58" spans="1:26" ht="14.45" customHeight="1" x14ac:dyDescent="0.2">
      <c r="A58" s="16"/>
      <c r="B58" s="16"/>
      <c r="D58" s="27"/>
      <c r="F58" s="16"/>
      <c r="G58" s="40"/>
      <c r="H58" s="14"/>
      <c r="I58" s="37"/>
      <c r="J58" s="16"/>
      <c r="K58" s="16"/>
      <c r="L58" s="16"/>
      <c r="M58" s="16"/>
      <c r="N58" s="16"/>
      <c r="O58" s="16"/>
      <c r="P58" s="16"/>
      <c r="Q58" s="16"/>
      <c r="R58" s="38"/>
      <c r="S58" s="38"/>
      <c r="T58" s="16"/>
      <c r="U58" s="16"/>
      <c r="V58" s="16"/>
      <c r="W58" s="16"/>
      <c r="X58" s="16"/>
      <c r="Y58" s="16"/>
      <c r="Z58" s="16"/>
    </row>
    <row r="59" spans="1:26" ht="16.899999999999999" customHeight="1" x14ac:dyDescent="0.2">
      <c r="A59" s="16"/>
      <c r="B59" s="41">
        <v>766935</v>
      </c>
      <c r="D59" s="27"/>
      <c r="F59" s="16"/>
      <c r="H59" s="14"/>
      <c r="I59" s="37"/>
      <c r="J59" s="16"/>
      <c r="K59" s="16"/>
      <c r="L59" s="16"/>
      <c r="M59" s="16"/>
      <c r="N59" s="16"/>
      <c r="O59" s="16"/>
      <c r="P59" s="16"/>
      <c r="Q59" s="16"/>
      <c r="R59" s="38"/>
      <c r="S59" s="38"/>
      <c r="T59" s="16"/>
      <c r="U59" s="16"/>
      <c r="V59" s="16"/>
      <c r="W59" s="16"/>
      <c r="X59" s="16"/>
      <c r="Y59" s="16"/>
      <c r="Z59" s="16"/>
    </row>
    <row r="60" spans="1:26" ht="14.45" customHeight="1" x14ac:dyDescent="0.2">
      <c r="B60" s="16"/>
      <c r="D60" s="27"/>
      <c r="F60" s="16"/>
      <c r="G60" s="40"/>
      <c r="H60" s="14"/>
      <c r="I60" s="37"/>
      <c r="J60" s="16"/>
      <c r="K60" s="16"/>
      <c r="L60" s="16"/>
      <c r="M60" s="16"/>
      <c r="N60" s="16"/>
      <c r="O60" s="16"/>
      <c r="P60" s="16"/>
      <c r="Q60" s="16"/>
      <c r="R60" s="38"/>
      <c r="S60" s="38"/>
      <c r="T60" s="16"/>
      <c r="U60" s="16"/>
      <c r="V60" s="16"/>
      <c r="W60" s="16"/>
      <c r="X60" s="16"/>
      <c r="Y60" s="16"/>
      <c r="Z60" s="16"/>
    </row>
    <row r="61" spans="1:26" x14ac:dyDescent="0.2">
      <c r="B61" s="16"/>
      <c r="F61" s="16"/>
      <c r="H61" s="14"/>
      <c r="I61" s="37"/>
      <c r="J61" s="16"/>
      <c r="K61" s="16"/>
      <c r="L61" s="16"/>
      <c r="M61" s="16"/>
      <c r="N61" s="16"/>
      <c r="O61" s="16"/>
      <c r="P61" s="16"/>
      <c r="Q61" s="16"/>
      <c r="R61" s="38"/>
      <c r="S61" s="38"/>
      <c r="T61" s="16"/>
      <c r="U61" s="16"/>
      <c r="V61" s="16"/>
      <c r="W61" s="16"/>
      <c r="X61" s="16"/>
      <c r="Y61" s="16"/>
      <c r="Z61" s="16"/>
    </row>
    <row r="62" spans="1:26" ht="18" customHeight="1" x14ac:dyDescent="0.2">
      <c r="B62" s="45"/>
      <c r="F62" s="16"/>
      <c r="H62" s="14"/>
      <c r="I62" s="37"/>
      <c r="J62" s="16"/>
      <c r="K62" s="16"/>
      <c r="L62" s="16"/>
      <c r="M62" s="16"/>
      <c r="N62" s="16"/>
      <c r="O62" s="16"/>
      <c r="P62" s="16"/>
      <c r="Q62" s="16"/>
      <c r="R62" s="38"/>
      <c r="S62" s="38"/>
      <c r="T62" s="42"/>
      <c r="U62" s="16"/>
      <c r="V62" s="16"/>
      <c r="W62" s="16"/>
      <c r="X62" s="16"/>
      <c r="Y62" s="16"/>
      <c r="Z62" s="16"/>
    </row>
    <row r="63" spans="1:26" x14ac:dyDescent="0.2">
      <c r="I63" s="44"/>
    </row>
    <row r="64" spans="1:26" x14ac:dyDescent="0.2">
      <c r="I64" s="44"/>
    </row>
    <row r="65" spans="9:9" x14ac:dyDescent="0.2">
      <c r="I65" s="44"/>
    </row>
    <row r="66" spans="9:9" x14ac:dyDescent="0.2">
      <c r="I66" s="44"/>
    </row>
    <row r="67" spans="9:9" x14ac:dyDescent="0.2">
      <c r="I67" s="44"/>
    </row>
    <row r="68" spans="9:9" x14ac:dyDescent="0.2">
      <c r="I68" s="44"/>
    </row>
  </sheetData>
  <autoFilter ref="A3:Z49" xr:uid="{00000000-0001-0000-0000-000000000000}"/>
  <mergeCells count="2">
    <mergeCell ref="C1:Z1"/>
    <mergeCell ref="C2:Z2"/>
  </mergeCells>
  <printOptions horizontalCentered="1" verticalCentered="1"/>
  <pageMargins left="0.25" right="0.02" top="0.73" bottom="0.72" header="0.5" footer="0.5"/>
  <pageSetup paperSize="5" scale="21" orientation="landscape" horizontalDpi="1200" verticalDpi="1200" r:id="rId1"/>
  <headerFooter alignWithMargins="0">
    <oddHeader>&amp;C&amp;c</oddHeader>
    <oddFooter>&amp;C&amp;14Appendix A&amp;R&amp;14Page 3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56"/>
  <sheetViews>
    <sheetView topLeftCell="A31" zoomScaleNormal="100" workbookViewId="0">
      <selection activeCell="H78" sqref="H78"/>
    </sheetView>
  </sheetViews>
  <sheetFormatPr defaultColWidth="10.6640625" defaultRowHeight="12.75" x14ac:dyDescent="0.2"/>
  <cols>
    <col min="1" max="1" width="7.33203125" style="4" bestFit="1" customWidth="1"/>
    <col min="2" max="2" width="7.6640625" style="4" bestFit="1" customWidth="1"/>
    <col min="3" max="3" width="18" style="4" customWidth="1"/>
    <col min="4" max="4" width="12.33203125" style="4" bestFit="1" customWidth="1"/>
    <col min="5" max="5" width="13.5" style="4" bestFit="1" customWidth="1"/>
    <col min="6" max="6" width="20.33203125" style="4" bestFit="1" customWidth="1"/>
    <col min="7" max="7" width="20.33203125" style="4" customWidth="1"/>
    <col min="8" max="8" width="21.83203125" style="4" bestFit="1" customWidth="1"/>
    <col min="9" max="9" width="19.33203125" style="4" bestFit="1" customWidth="1"/>
    <col min="10" max="16384" width="10.6640625" style="4"/>
  </cols>
  <sheetData>
    <row r="1" spans="1:9" s="3" customFormat="1" x14ac:dyDescent="0.2">
      <c r="A1" s="129" t="s">
        <v>1</v>
      </c>
      <c r="B1" s="129"/>
      <c r="C1" s="129"/>
      <c r="D1" s="129"/>
      <c r="E1" s="129"/>
      <c r="F1" s="129"/>
      <c r="G1" s="129"/>
      <c r="H1" s="129"/>
      <c r="I1" s="129"/>
    </row>
    <row r="2" spans="1:9" s="3" customFormat="1" x14ac:dyDescent="0.2">
      <c r="A2" s="129" t="s">
        <v>203</v>
      </c>
      <c r="B2" s="129"/>
      <c r="C2" s="129"/>
      <c r="D2" s="129"/>
      <c r="E2" s="129"/>
      <c r="F2" s="129"/>
      <c r="G2" s="129"/>
      <c r="H2" s="129"/>
      <c r="I2" s="129"/>
    </row>
    <row r="3" spans="1:9" s="3" customFormat="1" x14ac:dyDescent="0.2">
      <c r="A3" s="129" t="s">
        <v>204</v>
      </c>
      <c r="B3" s="129"/>
      <c r="C3" s="129"/>
      <c r="D3" s="129"/>
      <c r="E3" s="129"/>
      <c r="F3" s="129"/>
      <c r="G3" s="129"/>
      <c r="H3" s="129"/>
      <c r="I3" s="129"/>
    </row>
    <row r="4" spans="1:9" s="3" customFormat="1" x14ac:dyDescent="0.2">
      <c r="A4" s="129" t="s">
        <v>205</v>
      </c>
      <c r="B4" s="129"/>
      <c r="C4" s="129"/>
      <c r="D4" s="129"/>
      <c r="E4" s="129"/>
      <c r="F4" s="129"/>
      <c r="G4" s="129"/>
      <c r="H4" s="129"/>
      <c r="I4" s="129"/>
    </row>
    <row r="6" spans="1:9" s="5" customFormat="1" ht="39" x14ac:dyDescent="0.2">
      <c r="B6" s="98" t="s">
        <v>206</v>
      </c>
      <c r="C6" s="98" t="s">
        <v>207</v>
      </c>
      <c r="D6" s="98" t="s">
        <v>208</v>
      </c>
      <c r="E6" s="98" t="s">
        <v>209</v>
      </c>
      <c r="F6" s="98" t="s">
        <v>210</v>
      </c>
      <c r="G6" s="98" t="s">
        <v>211</v>
      </c>
      <c r="H6" s="98" t="s">
        <v>212</v>
      </c>
    </row>
    <row r="7" spans="1:9" s="5" customFormat="1" x14ac:dyDescent="0.2">
      <c r="A7" s="92">
        <v>2021</v>
      </c>
      <c r="B7" s="92">
        <v>1</v>
      </c>
      <c r="C7" s="93">
        <v>0.88445163236383117</v>
      </c>
      <c r="D7" s="93">
        <v>0.88445163236383117</v>
      </c>
      <c r="E7" s="93">
        <v>0.88445163236383117</v>
      </c>
      <c r="F7" s="94">
        <v>0.1</v>
      </c>
      <c r="G7" s="95">
        <v>0.97289679560021436</v>
      </c>
      <c r="H7" s="99">
        <v>0.57011051999999995</v>
      </c>
    </row>
    <row r="8" spans="1:9" s="5" customFormat="1" x14ac:dyDescent="0.2">
      <c r="A8" s="92">
        <v>2022</v>
      </c>
      <c r="B8" s="92">
        <v>2</v>
      </c>
      <c r="C8" s="93">
        <v>0.81371500359565097</v>
      </c>
      <c r="D8" s="93">
        <v>0.84138131371790315</v>
      </c>
      <c r="E8" s="93">
        <v>1.7258329460817343</v>
      </c>
      <c r="F8" s="94">
        <v>0.1</v>
      </c>
      <c r="G8" s="95">
        <v>1.8984162406899079</v>
      </c>
      <c r="H8" s="99">
        <v>0.57615605137735904</v>
      </c>
    </row>
    <row r="9" spans="1:9" s="5" customFormat="1" x14ac:dyDescent="0.2">
      <c r="A9" s="92">
        <v>2023</v>
      </c>
      <c r="B9" s="92">
        <v>3</v>
      </c>
      <c r="C9" s="93">
        <v>0.76115943272610243</v>
      </c>
      <c r="D9" s="93">
        <v>0.81379817445570879</v>
      </c>
      <c r="E9" s="93">
        <v>2.5396311205374431</v>
      </c>
      <c r="F9" s="94">
        <v>0.1</v>
      </c>
      <c r="G9" s="95">
        <v>2.7935942325911878</v>
      </c>
      <c r="H9" s="99">
        <v>0.58293196065410902</v>
      </c>
    </row>
    <row r="10" spans="1:9" x14ac:dyDescent="0.2">
      <c r="A10" s="92">
        <v>2024</v>
      </c>
      <c r="B10" s="92">
        <v>4</v>
      </c>
      <c r="C10" s="93">
        <v>0.75798388048815024</v>
      </c>
      <c r="D10" s="93">
        <v>0.83795671619391321</v>
      </c>
      <c r="E10" s="93">
        <v>3.3775878367313563</v>
      </c>
      <c r="F10" s="94">
        <v>0.1</v>
      </c>
      <c r="G10" s="95">
        <v>3.715346620404492</v>
      </c>
      <c r="H10" s="99">
        <v>0.58975943021046795</v>
      </c>
    </row>
    <row r="11" spans="1:9" x14ac:dyDescent="0.2">
      <c r="A11" s="96">
        <v>2025</v>
      </c>
      <c r="B11" s="92">
        <v>5</v>
      </c>
      <c r="C11" s="93">
        <v>0.77075836546405829</v>
      </c>
      <c r="D11" s="93">
        <v>0.88104968872936473</v>
      </c>
      <c r="E11" s="93">
        <v>4.2586375254607214</v>
      </c>
      <c r="F11" s="94">
        <v>0.1</v>
      </c>
      <c r="G11" s="95">
        <v>4.6845012780067936</v>
      </c>
      <c r="H11" s="99">
        <v>0.61455510299969196</v>
      </c>
    </row>
    <row r="12" spans="1:9" x14ac:dyDescent="0.2">
      <c r="A12" s="92">
        <v>2026</v>
      </c>
      <c r="B12" s="92">
        <v>6</v>
      </c>
      <c r="C12" s="93">
        <v>0.76378755722747937</v>
      </c>
      <c r="D12" s="93">
        <v>0.90276616326625003</v>
      </c>
      <c r="E12" s="93">
        <v>5.1614036887269714</v>
      </c>
      <c r="F12" s="94">
        <v>0.1</v>
      </c>
      <c r="G12" s="95">
        <v>5.6775440575996692</v>
      </c>
      <c r="H12" s="99">
        <v>0.629247118316003</v>
      </c>
    </row>
    <row r="13" spans="1:9" x14ac:dyDescent="0.2">
      <c r="A13" s="92">
        <v>2027</v>
      </c>
      <c r="B13" s="92">
        <v>7</v>
      </c>
      <c r="C13" s="93">
        <v>0.74933499617350652</v>
      </c>
      <c r="D13" s="93">
        <v>0.91579706736600974</v>
      </c>
      <c r="E13" s="93">
        <v>6.0772007560929815</v>
      </c>
      <c r="F13" s="94">
        <v>0.1</v>
      </c>
      <c r="G13" s="95">
        <v>6.6849208317022804</v>
      </c>
      <c r="H13" s="99">
        <v>0.64174689766763904</v>
      </c>
    </row>
    <row r="14" spans="1:9" x14ac:dyDescent="0.2">
      <c r="A14" s="92">
        <v>2028</v>
      </c>
      <c r="B14" s="92">
        <v>8</v>
      </c>
      <c r="C14" s="93">
        <v>0.72707320786116503</v>
      </c>
      <c r="D14" s="93">
        <v>0.91880195964036115</v>
      </c>
      <c r="E14" s="93">
        <v>6.9960027157333426</v>
      </c>
      <c r="F14" s="94">
        <v>0.1</v>
      </c>
      <c r="G14" s="95">
        <v>7.6956029873066774</v>
      </c>
      <c r="H14" s="99">
        <v>0.65668675188056402</v>
      </c>
    </row>
    <row r="15" spans="1:9" x14ac:dyDescent="0.2">
      <c r="A15" s="92">
        <v>2029</v>
      </c>
      <c r="B15" s="92">
        <v>9</v>
      </c>
      <c r="C15" s="93">
        <v>0.7149322508405066</v>
      </c>
      <c r="D15" s="93">
        <v>0.93417706077384166</v>
      </c>
      <c r="E15" s="93">
        <v>7.9301797765071846</v>
      </c>
      <c r="F15" s="94">
        <v>0.1</v>
      </c>
      <c r="G15" s="95">
        <v>8.7231977541579031</v>
      </c>
      <c r="H15" s="99">
        <v>0.671362515855918</v>
      </c>
    </row>
    <row r="16" spans="1:9" x14ac:dyDescent="0.2">
      <c r="A16" s="96">
        <v>2030</v>
      </c>
      <c r="B16" s="92">
        <v>10</v>
      </c>
      <c r="C16" s="93">
        <v>0.70356791294168164</v>
      </c>
      <c r="D16" s="93">
        <v>0.95058481742366419</v>
      </c>
      <c r="E16" s="93">
        <v>8.8807645939308486</v>
      </c>
      <c r="F16" s="94">
        <v>0.1</v>
      </c>
      <c r="G16" s="95">
        <v>9.7688410533239338</v>
      </c>
      <c r="H16" s="99">
        <v>0.70168753835864495</v>
      </c>
    </row>
    <row r="17" spans="1:8" x14ac:dyDescent="0.2">
      <c r="A17" s="92">
        <v>2031</v>
      </c>
      <c r="B17" s="92">
        <v>11</v>
      </c>
      <c r="C17" s="93">
        <v>0.6851545172570157</v>
      </c>
      <c r="D17" s="93">
        <v>0.95718065546171105</v>
      </c>
      <c r="E17" s="93">
        <v>9.8379452493925594</v>
      </c>
      <c r="F17" s="94">
        <v>0.1</v>
      </c>
      <c r="G17" s="95">
        <v>10.821739774331816</v>
      </c>
      <c r="H17" s="99">
        <v>0.71753017552309395</v>
      </c>
    </row>
    <row r="18" spans="1:8" x14ac:dyDescent="0.2">
      <c r="A18" s="92">
        <v>2032</v>
      </c>
      <c r="B18" s="92">
        <v>12</v>
      </c>
      <c r="C18" s="93">
        <v>0.67625670713780228</v>
      </c>
      <c r="D18" s="93">
        <v>0.97687166301819628</v>
      </c>
      <c r="E18" s="93">
        <v>10.814816912410755</v>
      </c>
      <c r="F18" s="94">
        <v>0.1</v>
      </c>
      <c r="G18" s="95">
        <v>11.896298603651832</v>
      </c>
      <c r="H18" s="99">
        <v>0.73540219867662504</v>
      </c>
    </row>
    <row r="19" spans="1:8" x14ac:dyDescent="0.2">
      <c r="A19" s="92">
        <v>2033</v>
      </c>
      <c r="B19" s="92">
        <v>13</v>
      </c>
      <c r="C19" s="93">
        <v>0.66587008865652375</v>
      </c>
      <c r="D19" s="93">
        <v>0.99457141181766762</v>
      </c>
      <c r="E19" s="93">
        <v>11.809388324228422</v>
      </c>
      <c r="F19" s="94">
        <v>0.1</v>
      </c>
      <c r="G19" s="95">
        <v>12.990327156651265</v>
      </c>
      <c r="H19" s="99">
        <v>0.75283800222888697</v>
      </c>
    </row>
    <row r="20" spans="1:8" x14ac:dyDescent="0.2">
      <c r="A20" s="92">
        <v>2034</v>
      </c>
      <c r="B20" s="92">
        <v>14</v>
      </c>
      <c r="C20" s="93">
        <v>0.64881311732878166</v>
      </c>
      <c r="D20" s="93">
        <v>1.0020436159092017</v>
      </c>
      <c r="E20" s="93">
        <v>12.811431940137624</v>
      </c>
      <c r="F20" s="94">
        <v>0.1</v>
      </c>
      <c r="G20" s="95">
        <v>14.092575134151387</v>
      </c>
      <c r="H20" s="99">
        <v>0.77211629283704597</v>
      </c>
    </row>
    <row r="21" spans="1:8" x14ac:dyDescent="0.2">
      <c r="A21" s="92">
        <v>2035</v>
      </c>
      <c r="B21" s="92">
        <v>15</v>
      </c>
      <c r="C21" s="93">
        <v>0.63835970106897866</v>
      </c>
      <c r="D21" s="93">
        <v>1.0194196609012849</v>
      </c>
      <c r="E21" s="93">
        <v>13.830851601038908</v>
      </c>
      <c r="F21" s="94">
        <v>0.1</v>
      </c>
      <c r="G21" s="95">
        <v>15.213936761142801</v>
      </c>
      <c r="H21" s="99">
        <v>0.81064038086745605</v>
      </c>
    </row>
    <row r="22" spans="1:8" x14ac:dyDescent="0.2">
      <c r="A22" s="92">
        <v>2036</v>
      </c>
      <c r="B22" s="92">
        <v>16</v>
      </c>
      <c r="C22" s="93">
        <v>0.62567375799839731</v>
      </c>
      <c r="D22" s="93">
        <v>1.0331324949498273</v>
      </c>
      <c r="E22" s="93">
        <v>14.863984095988735</v>
      </c>
      <c r="F22" s="94">
        <v>0.1</v>
      </c>
      <c r="G22" s="95">
        <v>16.350382505587611</v>
      </c>
      <c r="H22" s="99">
        <v>0.83101695530386399</v>
      </c>
    </row>
    <row r="23" spans="1:8" x14ac:dyDescent="0.2">
      <c r="A23" s="92">
        <v>2037</v>
      </c>
      <c r="B23" s="92">
        <v>17</v>
      </c>
      <c r="C23" s="93">
        <v>0.61894833994618093</v>
      </c>
      <c r="D23" s="93">
        <v>1.0567761970079774</v>
      </c>
      <c r="E23" s="93">
        <v>15.920760292996713</v>
      </c>
      <c r="F23" s="94">
        <v>0.1</v>
      </c>
      <c r="G23" s="95">
        <v>17.512836322296387</v>
      </c>
      <c r="H23" s="99">
        <v>0.85329665766642104</v>
      </c>
    </row>
    <row r="24" spans="1:8" x14ac:dyDescent="0.2">
      <c r="A24" s="92">
        <v>2038</v>
      </c>
      <c r="B24" s="92">
        <v>18</v>
      </c>
      <c r="C24" s="93">
        <v>0.61107179398866485</v>
      </c>
      <c r="D24" s="93">
        <v>1.078801140190391</v>
      </c>
      <c r="E24" s="93">
        <v>16.999561433187104</v>
      </c>
      <c r="F24" s="94">
        <v>0.1</v>
      </c>
      <c r="G24" s="95">
        <v>18.699517576505816</v>
      </c>
      <c r="H24" s="99">
        <v>0.87508084147130905</v>
      </c>
    </row>
    <row r="25" spans="1:8" x14ac:dyDescent="0.2">
      <c r="A25" s="92">
        <v>2039</v>
      </c>
      <c r="B25" s="92">
        <v>19</v>
      </c>
      <c r="C25" s="93">
        <v>0.60374811403143069</v>
      </c>
      <c r="D25" s="93">
        <v>1.1021113748980613</v>
      </c>
      <c r="E25" s="93">
        <v>18.101672808085166</v>
      </c>
      <c r="F25" s="94">
        <v>0.1</v>
      </c>
      <c r="G25" s="95">
        <v>19.911840088893683</v>
      </c>
      <c r="H25" s="99">
        <v>0.897067740402681</v>
      </c>
    </row>
    <row r="26" spans="1:8" x14ac:dyDescent="0.2">
      <c r="A26" s="96">
        <v>2040</v>
      </c>
      <c r="B26" s="92">
        <v>20</v>
      </c>
      <c r="C26" s="93">
        <v>0.59154544035996659</v>
      </c>
      <c r="D26" s="93">
        <v>1.1165504413430951</v>
      </c>
      <c r="E26" s="93">
        <v>19.218223249428259</v>
      </c>
      <c r="F26" s="94">
        <v>0.1</v>
      </c>
      <c r="G26" s="95">
        <v>21.140045574371086</v>
      </c>
      <c r="H26" s="99">
        <v>0.91930355234543903</v>
      </c>
    </row>
    <row r="27" spans="1:8" x14ac:dyDescent="0.2">
      <c r="A27" s="92">
        <v>2041</v>
      </c>
      <c r="B27" s="92">
        <v>21</v>
      </c>
      <c r="C27" s="93">
        <v>0.58353612105141783</v>
      </c>
      <c r="D27" s="93">
        <v>1.1388814501699571</v>
      </c>
      <c r="E27" s="93">
        <v>20.357104699598217</v>
      </c>
      <c r="F27" s="94">
        <v>0.1</v>
      </c>
      <c r="G27" s="95">
        <v>22.392815169558041</v>
      </c>
      <c r="H27" s="99">
        <v>0.96256067436903203</v>
      </c>
    </row>
    <row r="28" spans="1:8" x14ac:dyDescent="0.2">
      <c r="A28" s="92">
        <v>2042</v>
      </c>
      <c r="B28" s="92">
        <v>22</v>
      </c>
      <c r="C28" s="93">
        <v>0.57563524513776232</v>
      </c>
      <c r="D28" s="93">
        <v>1.1616590791733563</v>
      </c>
      <c r="E28" s="93">
        <v>21.518763778771575</v>
      </c>
      <c r="F28" s="94">
        <v>0.1</v>
      </c>
      <c r="G28" s="95">
        <v>23.670640156648734</v>
      </c>
      <c r="H28" s="99">
        <v>0.98552212265613304</v>
      </c>
    </row>
    <row r="29" spans="1:8" x14ac:dyDescent="0.2">
      <c r="A29" s="92">
        <v>2043</v>
      </c>
      <c r="B29" s="92">
        <v>23</v>
      </c>
      <c r="C29" s="93">
        <v>0.56784134433318922</v>
      </c>
      <c r="D29" s="93">
        <v>1.1848922607568235</v>
      </c>
      <c r="E29" s="93">
        <v>22.703656039528397</v>
      </c>
      <c r="F29" s="94">
        <v>0.1</v>
      </c>
      <c r="G29" s="95">
        <v>24.97402164348124</v>
      </c>
      <c r="H29" s="99">
        <v>1.0086464310452701</v>
      </c>
    </row>
    <row r="30" spans="1:8" x14ac:dyDescent="0.2">
      <c r="A30" s="92">
        <v>2044</v>
      </c>
      <c r="B30" s="92">
        <v>24</v>
      </c>
      <c r="C30" s="93">
        <v>0.56015297023196597</v>
      </c>
      <c r="D30" s="93">
        <v>1.2085901059719599</v>
      </c>
      <c r="E30" s="93">
        <v>23.912246145500358</v>
      </c>
      <c r="F30" s="94">
        <v>0.1</v>
      </c>
      <c r="G30" s="95">
        <v>26.303470760050395</v>
      </c>
      <c r="H30" s="99">
        <v>1.03195880055061</v>
      </c>
    </row>
    <row r="31" spans="1:8" x14ac:dyDescent="0.2">
      <c r="A31" s="92">
        <v>2045</v>
      </c>
      <c r="B31" s="92">
        <v>25</v>
      </c>
      <c r="C31" s="93">
        <v>0.55256869403927023</v>
      </c>
      <c r="D31" s="93">
        <v>1.2327619080913992</v>
      </c>
      <c r="E31" s="93">
        <v>25.145008053591756</v>
      </c>
      <c r="F31" s="94">
        <v>0.1</v>
      </c>
      <c r="G31" s="95">
        <v>27.659508858950932</v>
      </c>
      <c r="H31" s="99">
        <v>1.0554809412422199</v>
      </c>
    </row>
    <row r="32" spans="1:8" x14ac:dyDescent="0.2">
      <c r="A32" s="92">
        <v>2046</v>
      </c>
      <c r="B32" s="92">
        <v>26</v>
      </c>
      <c r="C32" s="93">
        <v>0.54508710630566315</v>
      </c>
      <c r="D32" s="93">
        <v>1.2574171462532271</v>
      </c>
      <c r="E32" s="93">
        <v>26.402425199844984</v>
      </c>
      <c r="F32" s="94">
        <v>0.1</v>
      </c>
      <c r="G32" s="95">
        <v>29.042667719829485</v>
      </c>
      <c r="H32" s="99">
        <v>1.1026933043184499</v>
      </c>
    </row>
    <row r="33" spans="1:10" x14ac:dyDescent="0.2">
      <c r="A33" s="92">
        <v>2047</v>
      </c>
      <c r="B33" s="92">
        <v>27</v>
      </c>
      <c r="C33" s="93">
        <v>0.53770681666516085</v>
      </c>
      <c r="D33" s="93">
        <v>1.2825654891782916</v>
      </c>
      <c r="E33" s="93">
        <v>27.684990689023277</v>
      </c>
      <c r="F33" s="94">
        <v>0.1</v>
      </c>
      <c r="G33" s="95">
        <v>30.453489757925606</v>
      </c>
      <c r="H33" s="99">
        <v>1.1272110200121499</v>
      </c>
    </row>
    <row r="34" spans="1:10" x14ac:dyDescent="0.2">
      <c r="A34" s="92">
        <v>2048</v>
      </c>
      <c r="B34" s="92">
        <v>28</v>
      </c>
      <c r="C34" s="93">
        <v>0.53042645357685103</v>
      </c>
      <c r="D34" s="93">
        <v>1.3082167989618574</v>
      </c>
      <c r="E34" s="93">
        <v>28.993207487985135</v>
      </c>
      <c r="F34" s="94">
        <v>0.1</v>
      </c>
      <c r="G34" s="95">
        <v>31.892528236783651</v>
      </c>
      <c r="H34" s="99">
        <v>1.1519943575740099</v>
      </c>
    </row>
    <row r="35" spans="1:10" x14ac:dyDescent="0.2">
      <c r="A35" s="92">
        <v>2049</v>
      </c>
      <c r="B35" s="92">
        <v>29</v>
      </c>
      <c r="C35" s="93">
        <v>0.52324466407000791</v>
      </c>
      <c r="D35" s="93">
        <v>1.3343811349410946</v>
      </c>
      <c r="E35" s="93">
        <v>30.327588622926228</v>
      </c>
      <c r="F35" s="94">
        <v>0.1</v>
      </c>
      <c r="G35" s="95">
        <v>33.360347485218853</v>
      </c>
      <c r="H35" s="99">
        <v>1.1770567561259799</v>
      </c>
    </row>
    <row r="36" spans="1:10" x14ac:dyDescent="0.2">
      <c r="A36" s="96">
        <v>2050</v>
      </c>
      <c r="B36" s="92">
        <v>30</v>
      </c>
      <c r="C36" s="93">
        <v>0.51616011349265778</v>
      </c>
      <c r="D36" s="93">
        <v>1.3610687576399165</v>
      </c>
      <c r="E36" s="93">
        <v>31.688657380566145</v>
      </c>
      <c r="F36" s="94">
        <v>0.1</v>
      </c>
      <c r="G36" s="95">
        <v>34.857523118622765</v>
      </c>
      <c r="H36" s="99">
        <v>1.2024103291102399</v>
      </c>
    </row>
    <row r="37" spans="1:10" x14ac:dyDescent="0.2">
      <c r="A37" s="92">
        <v>2051</v>
      </c>
      <c r="B37" s="92">
        <v>31</v>
      </c>
      <c r="C37" s="93">
        <v>0.50917148526355016</v>
      </c>
      <c r="D37" s="93">
        <v>1.3882901327927148</v>
      </c>
      <c r="E37" s="93">
        <v>33.07694751335886</v>
      </c>
      <c r="F37" s="94">
        <v>0.1</v>
      </c>
      <c r="G37" s="95">
        <v>36.384642264694747</v>
      </c>
      <c r="H37" s="99">
        <v>1.2541951448828901</v>
      </c>
    </row>
    <row r="38" spans="1:10" x14ac:dyDescent="0.2">
      <c r="A38" s="92">
        <v>2052</v>
      </c>
      <c r="B38" s="92">
        <v>32</v>
      </c>
      <c r="C38" s="93">
        <v>0.50227748062748667</v>
      </c>
      <c r="D38" s="93">
        <v>1.4160559354485691</v>
      </c>
      <c r="E38" s="93">
        <v>34.493003448807428</v>
      </c>
      <c r="F38" s="94">
        <v>0.1</v>
      </c>
      <c r="G38" s="95">
        <v>37.942303793688176</v>
      </c>
      <c r="H38" s="99">
        <v>1.2807156499932999</v>
      </c>
    </row>
    <row r="39" spans="1:10" x14ac:dyDescent="0.2">
      <c r="A39" s="92">
        <v>2053</v>
      </c>
      <c r="B39" s="92">
        <v>33</v>
      </c>
      <c r="C39" s="93">
        <v>0.49547681841396168</v>
      </c>
      <c r="D39" s="93">
        <v>1.4443770541575405</v>
      </c>
      <c r="E39" s="93">
        <v>35.93738050296497</v>
      </c>
      <c r="F39" s="94">
        <v>0.1</v>
      </c>
      <c r="G39" s="95">
        <v>39.531118553261472</v>
      </c>
      <c r="H39" s="99">
        <v>1.30756451467569</v>
      </c>
    </row>
    <row r="40" spans="1:10" x14ac:dyDescent="0.2">
      <c r="A40" s="92">
        <v>2054</v>
      </c>
      <c r="B40" s="92">
        <v>34</v>
      </c>
      <c r="C40" s="93">
        <v>0.48876823479907244</v>
      </c>
      <c r="D40" s="93">
        <v>1.4732645952406913</v>
      </c>
      <c r="E40" s="93">
        <v>37.410645098205663</v>
      </c>
      <c r="F40" s="94">
        <v>0.1</v>
      </c>
      <c r="G40" s="95">
        <v>41.151709608026231</v>
      </c>
      <c r="H40" s="99">
        <v>1.33475052162326</v>
      </c>
      <c r="J40" s="6"/>
    </row>
    <row r="41" spans="1:10" x14ac:dyDescent="0.2">
      <c r="A41" s="92">
        <v>2055</v>
      </c>
      <c r="B41" s="92">
        <v>35</v>
      </c>
      <c r="C41" s="93">
        <v>0.48215048307065178</v>
      </c>
      <c r="D41" s="93">
        <v>1.5027298871455053</v>
      </c>
      <c r="E41" s="93">
        <v>38.913374985351169</v>
      </c>
      <c r="F41" s="94">
        <v>0.1</v>
      </c>
      <c r="G41" s="95">
        <v>42.804712483886291</v>
      </c>
      <c r="H41" s="99">
        <v>1.3622818643825101</v>
      </c>
      <c r="J41" s="6"/>
    </row>
    <row r="42" spans="1:10" x14ac:dyDescent="0.2">
      <c r="A42" s="92">
        <v>2056</v>
      </c>
      <c r="B42" s="92">
        <v>36</v>
      </c>
      <c r="C42" s="93">
        <v>0.47562233339658105</v>
      </c>
      <c r="D42" s="93">
        <v>1.5327844848884153</v>
      </c>
      <c r="E42" s="93">
        <v>40.446159470239586</v>
      </c>
      <c r="F42" s="94">
        <v>0.1</v>
      </c>
      <c r="G42" s="95">
        <v>44.490775417263549</v>
      </c>
      <c r="H42" s="99">
        <v>1.3901662306967699</v>
      </c>
      <c r="J42" s="6"/>
    </row>
    <row r="43" spans="1:10" x14ac:dyDescent="0.2">
      <c r="A43" s="92">
        <v>2057</v>
      </c>
      <c r="B43" s="92">
        <v>37</v>
      </c>
      <c r="C43" s="93">
        <v>0.46918257259624058</v>
      </c>
      <c r="D43" s="93">
        <v>1.5634401745861837</v>
      </c>
      <c r="E43" s="93">
        <v>42.009599644825769</v>
      </c>
      <c r="F43" s="94">
        <v>0.1</v>
      </c>
      <c r="G43" s="95">
        <v>46.210559609308348</v>
      </c>
      <c r="H43" s="99">
        <v>1.41841087242749</v>
      </c>
      <c r="J43" s="6"/>
    </row>
    <row r="44" spans="1:10" x14ac:dyDescent="0.2">
      <c r="A44" s="92">
        <v>2058</v>
      </c>
      <c r="B44" s="92">
        <v>38</v>
      </c>
      <c r="C44" s="93">
        <v>0.46283000391505358</v>
      </c>
      <c r="D44" s="93">
        <v>1.5947089780779073</v>
      </c>
      <c r="E44" s="93">
        <v>43.604308622903673</v>
      </c>
      <c r="F44" s="94">
        <v>0.1</v>
      </c>
      <c r="G44" s="95">
        <v>47.964739485194045</v>
      </c>
      <c r="H44" s="99">
        <v>1.4470226645295901</v>
      </c>
      <c r="J44" s="6"/>
    </row>
    <row r="45" spans="1:10" x14ac:dyDescent="0.2">
      <c r="A45" s="92">
        <v>2059</v>
      </c>
      <c r="B45" s="92">
        <v>39</v>
      </c>
      <c r="C45" s="93">
        <v>0.45656344680208383</v>
      </c>
      <c r="D45" s="93">
        <v>1.6266031576394655</v>
      </c>
      <c r="E45" s="93">
        <v>45.230911780543138</v>
      </c>
      <c r="F45" s="94">
        <v>0.1</v>
      </c>
      <c r="G45" s="95">
        <v>49.754002958597454</v>
      </c>
      <c r="H45" s="99">
        <v>1.4760081550492099</v>
      </c>
      <c r="J45" s="6"/>
    </row>
    <row r="46" spans="1:10" x14ac:dyDescent="0.2">
      <c r="A46" s="96">
        <v>2060</v>
      </c>
      <c r="B46" s="92">
        <v>40</v>
      </c>
      <c r="C46" s="93">
        <v>0.45038173669064363</v>
      </c>
      <c r="D46" s="93">
        <v>1.6591352207922549</v>
      </c>
      <c r="E46" s="93">
        <v>46.890047001335397</v>
      </c>
      <c r="F46" s="94">
        <v>0.1</v>
      </c>
      <c r="G46" s="95">
        <v>51.579051701468941</v>
      </c>
      <c r="H46" s="99">
        <v>1.5053736077183399</v>
      </c>
      <c r="J46" s="6"/>
    </row>
    <row r="47" spans="1:10" x14ac:dyDescent="0.2">
      <c r="A47" s="92">
        <v>2061</v>
      </c>
      <c r="B47" s="92">
        <v>41</v>
      </c>
      <c r="C47" s="93">
        <v>0.44428372478187284</v>
      </c>
      <c r="D47" s="93">
        <v>1.6923179252081</v>
      </c>
      <c r="E47" s="93">
        <v>48.582364926543498</v>
      </c>
      <c r="F47" s="94">
        <v>0.1</v>
      </c>
      <c r="G47" s="95">
        <v>53.440601419197854</v>
      </c>
      <c r="H47" s="99">
        <v>1.53512503841349</v>
      </c>
      <c r="J47" s="6"/>
    </row>
    <row r="48" spans="1:10" x14ac:dyDescent="0.2">
      <c r="A48" s="92">
        <v>2062</v>
      </c>
      <c r="B48" s="92">
        <v>42</v>
      </c>
      <c r="C48" s="93">
        <v>0.43826827783124789</v>
      </c>
      <c r="D48" s="93">
        <v>1.7261642837122619</v>
      </c>
      <c r="E48" s="93">
        <v>50.308529210255763</v>
      </c>
      <c r="F48" s="94">
        <v>0.1</v>
      </c>
      <c r="G48" s="95">
        <v>55.339382131281347</v>
      </c>
      <c r="H48" s="99">
        <v>1.5652682465040999</v>
      </c>
      <c r="J48" s="6"/>
    </row>
    <row r="49" spans="1:10" x14ac:dyDescent="0.2">
      <c r="A49" s="92">
        <v>2063</v>
      </c>
      <c r="B49" s="92">
        <v>43</v>
      </c>
      <c r="C49" s="93">
        <v>0.43233427793798146</v>
      </c>
      <c r="D49" s="93">
        <v>1.7606875693865072</v>
      </c>
      <c r="E49" s="93">
        <v>52.069216779642268</v>
      </c>
      <c r="F49" s="94">
        <v>0.1</v>
      </c>
      <c r="G49" s="95">
        <v>57.2761384576065</v>
      </c>
      <c r="H49" s="99">
        <v>1.5958088419255401</v>
      </c>
      <c r="J49" s="6"/>
    </row>
    <row r="50" spans="1:10" x14ac:dyDescent="0.2">
      <c r="A50" s="92">
        <v>2064</v>
      </c>
      <c r="B50" s="92">
        <v>44</v>
      </c>
      <c r="C50" s="93">
        <v>0.42648062233727368</v>
      </c>
      <c r="D50" s="93">
        <v>1.7959013207742374</v>
      </c>
      <c r="E50" s="93">
        <v>53.865118100416503</v>
      </c>
      <c r="F50" s="94">
        <v>0.1</v>
      </c>
      <c r="G50" s="95">
        <v>59.251629910458156</v>
      </c>
      <c r="H50" s="99">
        <v>1.62675226865943</v>
      </c>
      <c r="J50" s="6"/>
    </row>
    <row r="51" spans="1:10" x14ac:dyDescent="0.2">
      <c r="A51" s="92">
        <v>2065</v>
      </c>
      <c r="B51" s="92">
        <v>45</v>
      </c>
      <c r="C51" s="93">
        <v>0.42070622319537654</v>
      </c>
      <c r="D51" s="93">
        <v>1.8318193471897222</v>
      </c>
      <c r="E51" s="93">
        <v>55.696937447606224</v>
      </c>
      <c r="F51" s="94">
        <v>0.1</v>
      </c>
      <c r="G51" s="95">
        <v>61.266631192366852</v>
      </c>
      <c r="H51" s="99">
        <v>1.65810382518273</v>
      </c>
      <c r="J51" s="6"/>
    </row>
    <row r="52" spans="1:10" x14ac:dyDescent="0.2">
      <c r="J52" s="6"/>
    </row>
    <row r="53" spans="1:10" x14ac:dyDescent="0.2">
      <c r="A53" s="7" t="s">
        <v>213</v>
      </c>
      <c r="E53" s="8">
        <v>3.4000000000000002E-2</v>
      </c>
      <c r="F53" s="8"/>
      <c r="G53" s="8"/>
      <c r="H53" s="8"/>
      <c r="J53" s="6"/>
    </row>
    <row r="54" spans="1:10" x14ac:dyDescent="0.2">
      <c r="C54" s="4" t="s">
        <v>214</v>
      </c>
      <c r="E54" s="9">
        <v>3.4000000000000002E-2</v>
      </c>
      <c r="J54" s="6"/>
    </row>
    <row r="55" spans="1:10" x14ac:dyDescent="0.2">
      <c r="C55" s="4" t="s">
        <v>215</v>
      </c>
      <c r="E55" s="10">
        <v>4.1700000000000001E-2</v>
      </c>
    </row>
    <row r="56" spans="1:10" x14ac:dyDescent="0.2">
      <c r="C56" s="4" t="s">
        <v>216</v>
      </c>
      <c r="E56" s="11">
        <v>0.02</v>
      </c>
      <c r="F56" s="12" t="s">
        <v>217</v>
      </c>
      <c r="G56" s="12"/>
      <c r="H56" s="12"/>
    </row>
  </sheetData>
  <mergeCells count="4">
    <mergeCell ref="A1:I1"/>
    <mergeCell ref="A2:I2"/>
    <mergeCell ref="A3:I3"/>
    <mergeCell ref="A4:I4"/>
  </mergeCells>
  <phoneticPr fontId="7" type="noConversion"/>
  <pageMargins left="0.75" right="0.75" top="1" bottom="1" header="0.5" footer="0.5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648E0-0CE6-4BFC-B677-017A6CACC516}">
  <dimension ref="A1:J56"/>
  <sheetViews>
    <sheetView topLeftCell="A21" zoomScaleNormal="100" workbookViewId="0">
      <selection activeCell="J31" sqref="J31"/>
    </sheetView>
  </sheetViews>
  <sheetFormatPr defaultColWidth="10.6640625" defaultRowHeight="12.75" x14ac:dyDescent="0.2"/>
  <cols>
    <col min="1" max="1" width="7.33203125" style="4" bestFit="1" customWidth="1"/>
    <col min="2" max="2" width="7.6640625" style="4" bestFit="1" customWidth="1"/>
    <col min="3" max="3" width="18" style="4" customWidth="1"/>
    <col min="4" max="4" width="12.33203125" style="4" bestFit="1" customWidth="1"/>
    <col min="5" max="5" width="13.5" style="4" bestFit="1" customWidth="1"/>
    <col min="6" max="6" width="20.33203125" style="4" bestFit="1" customWidth="1"/>
    <col min="7" max="7" width="20.33203125" style="4" customWidth="1"/>
    <col min="8" max="8" width="21.83203125" style="4" bestFit="1" customWidth="1"/>
    <col min="9" max="9" width="19.33203125" style="4" bestFit="1" customWidth="1"/>
    <col min="10" max="16384" width="10.6640625" style="4"/>
  </cols>
  <sheetData>
    <row r="1" spans="1:9" s="3" customFormat="1" x14ac:dyDescent="0.2">
      <c r="A1" s="129" t="s">
        <v>1</v>
      </c>
      <c r="B1" s="129"/>
      <c r="C1" s="129"/>
      <c r="D1" s="129"/>
      <c r="E1" s="129"/>
      <c r="F1" s="129"/>
      <c r="G1" s="129"/>
      <c r="H1" s="129"/>
      <c r="I1" s="129"/>
    </row>
    <row r="2" spans="1:9" s="3" customFormat="1" x14ac:dyDescent="0.2">
      <c r="A2" s="129" t="s">
        <v>203</v>
      </c>
      <c r="B2" s="129"/>
      <c r="C2" s="129"/>
      <c r="D2" s="129"/>
      <c r="E2" s="129"/>
      <c r="F2" s="129"/>
      <c r="G2" s="129"/>
      <c r="H2" s="129"/>
      <c r="I2" s="129"/>
    </row>
    <row r="3" spans="1:9" s="3" customFormat="1" x14ac:dyDescent="0.2">
      <c r="A3" s="129" t="s">
        <v>204</v>
      </c>
      <c r="B3" s="129"/>
      <c r="C3" s="129"/>
      <c r="D3" s="129"/>
      <c r="E3" s="129"/>
      <c r="F3" s="129"/>
      <c r="G3" s="129"/>
      <c r="H3" s="129"/>
      <c r="I3" s="129"/>
    </row>
    <row r="4" spans="1:9" s="3" customFormat="1" x14ac:dyDescent="0.2">
      <c r="A4" s="129" t="s">
        <v>205</v>
      </c>
      <c r="B4" s="129"/>
      <c r="C4" s="129"/>
      <c r="D4" s="129"/>
      <c r="E4" s="129"/>
      <c r="F4" s="129"/>
      <c r="G4" s="129"/>
      <c r="H4" s="129"/>
      <c r="I4" s="129"/>
    </row>
    <row r="6" spans="1:9" s="5" customFormat="1" ht="39" x14ac:dyDescent="0.2">
      <c r="B6" s="98" t="s">
        <v>206</v>
      </c>
      <c r="C6" s="98" t="s">
        <v>207</v>
      </c>
      <c r="D6" s="98" t="s">
        <v>208</v>
      </c>
      <c r="E6" s="98" t="s">
        <v>209</v>
      </c>
      <c r="F6" s="98" t="s">
        <v>210</v>
      </c>
      <c r="G6" s="98" t="s">
        <v>211</v>
      </c>
      <c r="H6" s="98" t="s">
        <v>212</v>
      </c>
    </row>
    <row r="7" spans="1:9" s="5" customFormat="1" x14ac:dyDescent="0.2">
      <c r="A7" s="92">
        <v>2021</v>
      </c>
      <c r="B7" s="92">
        <v>1</v>
      </c>
      <c r="C7" s="93">
        <v>0.88445163236383117</v>
      </c>
      <c r="D7" s="93">
        <v>0.88445163236383117</v>
      </c>
      <c r="E7" s="93">
        <v>0.88445163236383117</v>
      </c>
      <c r="F7" s="94">
        <v>0.1</v>
      </c>
      <c r="G7" s="95">
        <v>0.97289679560021436</v>
      </c>
      <c r="H7" s="99">
        <v>0.57011051999999995</v>
      </c>
    </row>
    <row r="8" spans="1:9" s="5" customFormat="1" x14ac:dyDescent="0.2">
      <c r="A8" s="92">
        <v>2022</v>
      </c>
      <c r="B8" s="92">
        <v>2</v>
      </c>
      <c r="C8" s="93">
        <v>0.81371500359565097</v>
      </c>
      <c r="D8" s="93">
        <v>0.84138131371790315</v>
      </c>
      <c r="E8" s="93">
        <v>1.7258329460817343</v>
      </c>
      <c r="F8" s="94">
        <v>0.1</v>
      </c>
      <c r="G8" s="95">
        <v>1.8984162406899079</v>
      </c>
      <c r="H8" s="99">
        <v>0.57615605137735904</v>
      </c>
    </row>
    <row r="9" spans="1:9" s="5" customFormat="1" x14ac:dyDescent="0.2">
      <c r="A9" s="92">
        <v>2023</v>
      </c>
      <c r="B9" s="92">
        <v>3</v>
      </c>
      <c r="C9" s="93">
        <v>0.76115943272610243</v>
      </c>
      <c r="D9" s="93">
        <v>0.81379817445570879</v>
      </c>
      <c r="E9" s="93">
        <v>2.5396311205374431</v>
      </c>
      <c r="F9" s="94">
        <v>0.1</v>
      </c>
      <c r="G9" s="95">
        <v>2.7935942325911878</v>
      </c>
      <c r="H9" s="99">
        <v>0.58293196065410902</v>
      </c>
    </row>
    <row r="10" spans="1:9" x14ac:dyDescent="0.2">
      <c r="A10" s="92">
        <v>2024</v>
      </c>
      <c r="B10" s="92">
        <v>4</v>
      </c>
      <c r="C10" s="93">
        <v>0.75798388048815024</v>
      </c>
      <c r="D10" s="93">
        <v>0.83795671619391321</v>
      </c>
      <c r="E10" s="93">
        <v>3.3775878367313563</v>
      </c>
      <c r="F10" s="94">
        <v>0.1</v>
      </c>
      <c r="G10" s="95">
        <v>3.715346620404492</v>
      </c>
      <c r="H10" s="99">
        <v>0.58975943021046795</v>
      </c>
    </row>
    <row r="11" spans="1:9" x14ac:dyDescent="0.2">
      <c r="A11" s="96">
        <v>2025</v>
      </c>
      <c r="B11" s="92">
        <v>5</v>
      </c>
      <c r="C11" s="93">
        <v>0.77075836546405829</v>
      </c>
      <c r="D11" s="93">
        <v>0.88104968872936473</v>
      </c>
      <c r="E11" s="93">
        <v>4.2586375254607214</v>
      </c>
      <c r="F11" s="94">
        <v>0.1</v>
      </c>
      <c r="G11" s="95">
        <v>4.6845012780067936</v>
      </c>
      <c r="H11" s="99">
        <v>0.61455510299969196</v>
      </c>
    </row>
    <row r="12" spans="1:9" x14ac:dyDescent="0.2">
      <c r="A12" s="92">
        <v>2026</v>
      </c>
      <c r="B12" s="92">
        <v>6</v>
      </c>
      <c r="C12" s="93">
        <v>0.76378755722747937</v>
      </c>
      <c r="D12" s="93">
        <v>0.90276616326625003</v>
      </c>
      <c r="E12" s="93">
        <v>5.1614036887269714</v>
      </c>
      <c r="F12" s="94">
        <v>0.1</v>
      </c>
      <c r="G12" s="95">
        <v>5.6775440575996692</v>
      </c>
      <c r="H12" s="99">
        <v>0.629247118316003</v>
      </c>
    </row>
    <row r="13" spans="1:9" x14ac:dyDescent="0.2">
      <c r="A13" s="92">
        <v>2027</v>
      </c>
      <c r="B13" s="92">
        <v>7</v>
      </c>
      <c r="C13" s="93">
        <v>0.74933499617350652</v>
      </c>
      <c r="D13" s="93">
        <v>0.91579706736600974</v>
      </c>
      <c r="E13" s="93">
        <v>6.0772007560929815</v>
      </c>
      <c r="F13" s="94">
        <v>0.1</v>
      </c>
      <c r="G13" s="95">
        <v>6.6849208317022804</v>
      </c>
      <c r="H13" s="99">
        <v>0.64174689766763904</v>
      </c>
    </row>
    <row r="14" spans="1:9" x14ac:dyDescent="0.2">
      <c r="A14" s="92">
        <v>2028</v>
      </c>
      <c r="B14" s="92">
        <v>8</v>
      </c>
      <c r="C14" s="93">
        <v>0.72707320786116503</v>
      </c>
      <c r="D14" s="93">
        <v>0.91880195964036115</v>
      </c>
      <c r="E14" s="93">
        <v>6.9960027157333426</v>
      </c>
      <c r="F14" s="94">
        <v>0.1</v>
      </c>
      <c r="G14" s="95">
        <v>7.6956029873066774</v>
      </c>
      <c r="H14" s="99">
        <v>0.65668675188056402</v>
      </c>
    </row>
    <row r="15" spans="1:9" x14ac:dyDescent="0.2">
      <c r="A15" s="92">
        <v>2029</v>
      </c>
      <c r="B15" s="92">
        <v>9</v>
      </c>
      <c r="C15" s="93">
        <v>0.7149322508405066</v>
      </c>
      <c r="D15" s="93">
        <v>0.93417706077384166</v>
      </c>
      <c r="E15" s="93">
        <v>7.9301797765071846</v>
      </c>
      <c r="F15" s="94">
        <v>0.1</v>
      </c>
      <c r="G15" s="95">
        <v>8.7231977541579031</v>
      </c>
      <c r="H15" s="99">
        <v>0.671362515855918</v>
      </c>
    </row>
    <row r="16" spans="1:9" x14ac:dyDescent="0.2">
      <c r="A16" s="96">
        <v>2030</v>
      </c>
      <c r="B16" s="92">
        <v>10</v>
      </c>
      <c r="C16" s="93">
        <v>0.70356791294168164</v>
      </c>
      <c r="D16" s="93">
        <v>0.95058481742366419</v>
      </c>
      <c r="E16" s="93">
        <v>8.8807645939308486</v>
      </c>
      <c r="F16" s="94">
        <v>0.1</v>
      </c>
      <c r="G16" s="95">
        <v>9.7688410533239338</v>
      </c>
      <c r="H16" s="99">
        <v>0.70168753835864495</v>
      </c>
    </row>
    <row r="17" spans="1:8" x14ac:dyDescent="0.2">
      <c r="A17" s="92">
        <v>2031</v>
      </c>
      <c r="B17" s="92">
        <v>11</v>
      </c>
      <c r="C17" s="93">
        <v>0.6851545172570157</v>
      </c>
      <c r="D17" s="93">
        <v>0.95718065546171105</v>
      </c>
      <c r="E17" s="93">
        <v>9.8379452493925594</v>
      </c>
      <c r="F17" s="94">
        <v>0.1</v>
      </c>
      <c r="G17" s="95">
        <v>10.821739774331816</v>
      </c>
      <c r="H17" s="99">
        <v>0.71753017552309395</v>
      </c>
    </row>
    <row r="18" spans="1:8" x14ac:dyDescent="0.2">
      <c r="A18" s="92">
        <v>2032</v>
      </c>
      <c r="B18" s="92">
        <v>12</v>
      </c>
      <c r="C18" s="93">
        <v>0.67625670713780228</v>
      </c>
      <c r="D18" s="93">
        <v>0.97687166301819628</v>
      </c>
      <c r="E18" s="93">
        <v>10.814816912410755</v>
      </c>
      <c r="F18" s="94">
        <v>0.1</v>
      </c>
      <c r="G18" s="95">
        <v>11.896298603651832</v>
      </c>
      <c r="H18" s="99">
        <v>0.73540219867662504</v>
      </c>
    </row>
    <row r="19" spans="1:8" x14ac:dyDescent="0.2">
      <c r="A19" s="92">
        <v>2033</v>
      </c>
      <c r="B19" s="92">
        <v>13</v>
      </c>
      <c r="C19" s="93">
        <v>0.66587008865652375</v>
      </c>
      <c r="D19" s="93">
        <v>0.99457141181766762</v>
      </c>
      <c r="E19" s="93">
        <v>11.809388324228422</v>
      </c>
      <c r="F19" s="94">
        <v>0.1</v>
      </c>
      <c r="G19" s="95">
        <v>12.990327156651265</v>
      </c>
      <c r="H19" s="99">
        <v>0.75283800222888697</v>
      </c>
    </row>
    <row r="20" spans="1:8" x14ac:dyDescent="0.2">
      <c r="A20" s="92">
        <v>2034</v>
      </c>
      <c r="B20" s="92">
        <v>14</v>
      </c>
      <c r="C20" s="93">
        <v>0.64881311732878166</v>
      </c>
      <c r="D20" s="93">
        <v>1.0020436159092017</v>
      </c>
      <c r="E20" s="93">
        <v>12.811431940137624</v>
      </c>
      <c r="F20" s="94">
        <v>0.1</v>
      </c>
      <c r="G20" s="95">
        <v>14.092575134151387</v>
      </c>
      <c r="H20" s="99">
        <v>0.77211629283704597</v>
      </c>
    </row>
    <row r="21" spans="1:8" x14ac:dyDescent="0.2">
      <c r="A21" s="92">
        <v>2035</v>
      </c>
      <c r="B21" s="92">
        <v>15</v>
      </c>
      <c r="C21" s="93">
        <v>0.63835970106897866</v>
      </c>
      <c r="D21" s="93">
        <v>1.0194196609012849</v>
      </c>
      <c r="E21" s="93">
        <v>13.830851601038908</v>
      </c>
      <c r="F21" s="94">
        <v>0.1</v>
      </c>
      <c r="G21" s="95">
        <v>15.213936761142801</v>
      </c>
      <c r="H21" s="99">
        <v>0.81064038086745605</v>
      </c>
    </row>
    <row r="22" spans="1:8" x14ac:dyDescent="0.2">
      <c r="A22" s="92">
        <v>2036</v>
      </c>
      <c r="B22" s="92">
        <v>16</v>
      </c>
      <c r="C22" s="93">
        <v>0.62567375799839731</v>
      </c>
      <c r="D22" s="93">
        <v>1.0331324949498273</v>
      </c>
      <c r="E22" s="93">
        <v>14.863984095988735</v>
      </c>
      <c r="F22" s="94">
        <v>0.1</v>
      </c>
      <c r="G22" s="95">
        <v>16.350382505587611</v>
      </c>
      <c r="H22" s="99">
        <v>0.83101695530386399</v>
      </c>
    </row>
    <row r="23" spans="1:8" x14ac:dyDescent="0.2">
      <c r="A23" s="92">
        <v>2037</v>
      </c>
      <c r="B23" s="92">
        <v>17</v>
      </c>
      <c r="C23" s="93">
        <v>0.61894833994618093</v>
      </c>
      <c r="D23" s="93">
        <v>1.0567761970079774</v>
      </c>
      <c r="E23" s="93">
        <v>15.920760292996713</v>
      </c>
      <c r="F23" s="94">
        <v>0.1</v>
      </c>
      <c r="G23" s="95">
        <v>17.512836322296387</v>
      </c>
      <c r="H23" s="99">
        <v>0.85329665766642104</v>
      </c>
    </row>
    <row r="24" spans="1:8" x14ac:dyDescent="0.2">
      <c r="A24" s="92">
        <v>2038</v>
      </c>
      <c r="B24" s="92">
        <v>18</v>
      </c>
      <c r="C24" s="93">
        <v>0.61107179398866485</v>
      </c>
      <c r="D24" s="93">
        <v>1.078801140190391</v>
      </c>
      <c r="E24" s="93">
        <v>16.999561433187104</v>
      </c>
      <c r="F24" s="94">
        <v>0.1</v>
      </c>
      <c r="G24" s="95">
        <v>18.699517576505816</v>
      </c>
      <c r="H24" s="99">
        <v>0.87508084147130905</v>
      </c>
    </row>
    <row r="25" spans="1:8" x14ac:dyDescent="0.2">
      <c r="A25" s="92">
        <v>2039</v>
      </c>
      <c r="B25" s="92">
        <v>19</v>
      </c>
      <c r="C25" s="93">
        <v>0.60374811403143069</v>
      </c>
      <c r="D25" s="93">
        <v>1.1021113748980613</v>
      </c>
      <c r="E25" s="93">
        <v>18.101672808085166</v>
      </c>
      <c r="F25" s="94">
        <v>0.1</v>
      </c>
      <c r="G25" s="95">
        <v>19.911840088893683</v>
      </c>
      <c r="H25" s="99">
        <v>0.897067740402681</v>
      </c>
    </row>
    <row r="26" spans="1:8" x14ac:dyDescent="0.2">
      <c r="A26" s="96">
        <v>2040</v>
      </c>
      <c r="B26" s="92">
        <v>20</v>
      </c>
      <c r="C26" s="93">
        <v>0.59154544035996659</v>
      </c>
      <c r="D26" s="93">
        <v>1.1165504413430951</v>
      </c>
      <c r="E26" s="93">
        <v>19.218223249428259</v>
      </c>
      <c r="F26" s="94">
        <v>0.1</v>
      </c>
      <c r="G26" s="95">
        <v>21.140045574371086</v>
      </c>
      <c r="H26" s="99">
        <v>0.91930355234543903</v>
      </c>
    </row>
    <row r="27" spans="1:8" x14ac:dyDescent="0.2">
      <c r="A27" s="92">
        <v>2041</v>
      </c>
      <c r="B27" s="92">
        <v>21</v>
      </c>
      <c r="C27" s="93">
        <v>0.58353612105141783</v>
      </c>
      <c r="D27" s="93">
        <v>1.1388814501699571</v>
      </c>
      <c r="E27" s="93">
        <v>20.357104699598217</v>
      </c>
      <c r="F27" s="94">
        <v>0.1</v>
      </c>
      <c r="G27" s="95">
        <v>22.392815169558041</v>
      </c>
      <c r="H27" s="99">
        <v>0.96256067436903203</v>
      </c>
    </row>
    <row r="28" spans="1:8" x14ac:dyDescent="0.2">
      <c r="A28" s="92">
        <v>2042</v>
      </c>
      <c r="B28" s="92">
        <v>22</v>
      </c>
      <c r="C28" s="93">
        <v>0.57563524513776232</v>
      </c>
      <c r="D28" s="93">
        <v>1.1616590791733563</v>
      </c>
      <c r="E28" s="93">
        <v>21.518763778771575</v>
      </c>
      <c r="F28" s="94">
        <v>0.1</v>
      </c>
      <c r="G28" s="95">
        <v>23.670640156648734</v>
      </c>
      <c r="H28" s="99">
        <v>0.98552212265613304</v>
      </c>
    </row>
    <row r="29" spans="1:8" x14ac:dyDescent="0.2">
      <c r="A29" s="92">
        <v>2043</v>
      </c>
      <c r="B29" s="92">
        <v>23</v>
      </c>
      <c r="C29" s="93">
        <v>0.56784134433318922</v>
      </c>
      <c r="D29" s="93">
        <v>1.1848922607568235</v>
      </c>
      <c r="E29" s="93">
        <v>22.703656039528397</v>
      </c>
      <c r="F29" s="94">
        <v>0.1</v>
      </c>
      <c r="G29" s="95">
        <v>24.97402164348124</v>
      </c>
      <c r="H29" s="99">
        <v>1.0086464310452701</v>
      </c>
    </row>
    <row r="30" spans="1:8" x14ac:dyDescent="0.2">
      <c r="A30" s="92">
        <v>2044</v>
      </c>
      <c r="B30" s="92">
        <v>24</v>
      </c>
      <c r="C30" s="93">
        <v>0.56015297023196597</v>
      </c>
      <c r="D30" s="93">
        <v>1.2085901059719599</v>
      </c>
      <c r="E30" s="93">
        <v>23.912246145500358</v>
      </c>
      <c r="F30" s="94">
        <v>0.1</v>
      </c>
      <c r="G30" s="95">
        <v>26.303470760050395</v>
      </c>
      <c r="H30" s="99">
        <v>1.03195880055061</v>
      </c>
    </row>
    <row r="31" spans="1:8" x14ac:dyDescent="0.2">
      <c r="A31" s="92">
        <v>2045</v>
      </c>
      <c r="B31" s="92">
        <v>25</v>
      </c>
      <c r="C31" s="93">
        <v>0.55256869403927023</v>
      </c>
      <c r="D31" s="93">
        <v>1.2327619080913992</v>
      </c>
      <c r="E31" s="93">
        <v>25.145008053591756</v>
      </c>
      <c r="F31" s="94">
        <v>0.1</v>
      </c>
      <c r="G31" s="95">
        <v>27.659508858950932</v>
      </c>
      <c r="H31" s="99">
        <v>1.0554809412422199</v>
      </c>
    </row>
    <row r="32" spans="1:8" x14ac:dyDescent="0.2">
      <c r="A32" s="92">
        <v>2046</v>
      </c>
      <c r="B32" s="92">
        <v>26</v>
      </c>
      <c r="C32" s="93">
        <v>0.54508710630566315</v>
      </c>
      <c r="D32" s="93">
        <v>1.2574171462532271</v>
      </c>
      <c r="E32" s="93">
        <v>26.402425199844984</v>
      </c>
      <c r="F32" s="94">
        <v>0.1</v>
      </c>
      <c r="G32" s="95">
        <v>29.042667719829485</v>
      </c>
      <c r="H32" s="99">
        <v>1.1026933043184499</v>
      </c>
    </row>
    <row r="33" spans="1:10" x14ac:dyDescent="0.2">
      <c r="A33" s="92">
        <v>2047</v>
      </c>
      <c r="B33" s="92">
        <v>27</v>
      </c>
      <c r="C33" s="93">
        <v>0.53770681666516085</v>
      </c>
      <c r="D33" s="93">
        <v>1.2825654891782916</v>
      </c>
      <c r="E33" s="93">
        <v>27.684990689023277</v>
      </c>
      <c r="F33" s="94">
        <v>0.1</v>
      </c>
      <c r="G33" s="95">
        <v>30.453489757925606</v>
      </c>
      <c r="H33" s="99">
        <v>1.1272110200121499</v>
      </c>
    </row>
    <row r="34" spans="1:10" x14ac:dyDescent="0.2">
      <c r="A34" s="92">
        <v>2048</v>
      </c>
      <c r="B34" s="92">
        <v>28</v>
      </c>
      <c r="C34" s="93">
        <v>0.53042645357685103</v>
      </c>
      <c r="D34" s="93">
        <v>1.3082167989618574</v>
      </c>
      <c r="E34" s="93">
        <v>28.993207487985135</v>
      </c>
      <c r="F34" s="94">
        <v>0.1</v>
      </c>
      <c r="G34" s="95">
        <v>31.892528236783651</v>
      </c>
      <c r="H34" s="99">
        <v>1.1519943575740099</v>
      </c>
    </row>
    <row r="35" spans="1:10" x14ac:dyDescent="0.2">
      <c r="A35" s="92">
        <v>2049</v>
      </c>
      <c r="B35" s="92">
        <v>29</v>
      </c>
      <c r="C35" s="93">
        <v>0.52324466407000791</v>
      </c>
      <c r="D35" s="93">
        <v>1.3343811349410946</v>
      </c>
      <c r="E35" s="93">
        <v>30.327588622926228</v>
      </c>
      <c r="F35" s="94">
        <v>0.1</v>
      </c>
      <c r="G35" s="95">
        <v>33.360347485218853</v>
      </c>
      <c r="H35" s="99">
        <v>1.1770567561259799</v>
      </c>
    </row>
    <row r="36" spans="1:10" x14ac:dyDescent="0.2">
      <c r="A36" s="96">
        <v>2050</v>
      </c>
      <c r="B36" s="92">
        <v>30</v>
      </c>
      <c r="C36" s="93">
        <v>0.51616011349265778</v>
      </c>
      <c r="D36" s="93">
        <v>1.3610687576399165</v>
      </c>
      <c r="E36" s="93">
        <v>31.688657380566145</v>
      </c>
      <c r="F36" s="94">
        <v>0.1</v>
      </c>
      <c r="G36" s="95">
        <v>34.857523118622765</v>
      </c>
      <c r="H36" s="99">
        <v>1.2024103291102399</v>
      </c>
    </row>
    <row r="37" spans="1:10" x14ac:dyDescent="0.2">
      <c r="A37" s="92">
        <v>2051</v>
      </c>
      <c r="B37" s="92">
        <v>31</v>
      </c>
      <c r="C37" s="93">
        <v>0.50917148526355016</v>
      </c>
      <c r="D37" s="93">
        <v>1.3882901327927148</v>
      </c>
      <c r="E37" s="93">
        <v>33.07694751335886</v>
      </c>
      <c r="F37" s="94">
        <v>0.1</v>
      </c>
      <c r="G37" s="95">
        <v>36.384642264694747</v>
      </c>
      <c r="H37" s="99">
        <v>1.2541951448828901</v>
      </c>
    </row>
    <row r="38" spans="1:10" x14ac:dyDescent="0.2">
      <c r="A38" s="92">
        <v>2052</v>
      </c>
      <c r="B38" s="92">
        <v>32</v>
      </c>
      <c r="C38" s="93">
        <v>0.50227748062748667</v>
      </c>
      <c r="D38" s="93">
        <v>1.4160559354485691</v>
      </c>
      <c r="E38" s="93">
        <v>34.493003448807428</v>
      </c>
      <c r="F38" s="94">
        <v>0.1</v>
      </c>
      <c r="G38" s="95">
        <v>37.942303793688176</v>
      </c>
      <c r="H38" s="99">
        <v>1.2807156499932999</v>
      </c>
    </row>
    <row r="39" spans="1:10" x14ac:dyDescent="0.2">
      <c r="A39" s="92">
        <v>2053</v>
      </c>
      <c r="B39" s="92">
        <v>33</v>
      </c>
      <c r="C39" s="93">
        <v>0.49547681841396168</v>
      </c>
      <c r="D39" s="93">
        <v>1.4443770541575405</v>
      </c>
      <c r="E39" s="93">
        <v>35.93738050296497</v>
      </c>
      <c r="F39" s="94">
        <v>0.1</v>
      </c>
      <c r="G39" s="95">
        <v>39.531118553261472</v>
      </c>
      <c r="H39" s="99">
        <v>1.30756451467569</v>
      </c>
    </row>
    <row r="40" spans="1:10" x14ac:dyDescent="0.2">
      <c r="A40" s="92">
        <v>2054</v>
      </c>
      <c r="B40" s="92">
        <v>34</v>
      </c>
      <c r="C40" s="93">
        <v>0.48876823479907244</v>
      </c>
      <c r="D40" s="93">
        <v>1.4732645952406913</v>
      </c>
      <c r="E40" s="93">
        <v>37.410645098205663</v>
      </c>
      <c r="F40" s="94">
        <v>0.1</v>
      </c>
      <c r="G40" s="95">
        <v>41.151709608026231</v>
      </c>
      <c r="H40" s="99">
        <v>1.33475052162326</v>
      </c>
      <c r="J40" s="6"/>
    </row>
    <row r="41" spans="1:10" x14ac:dyDescent="0.2">
      <c r="A41" s="92">
        <v>2055</v>
      </c>
      <c r="B41" s="92">
        <v>35</v>
      </c>
      <c r="C41" s="93">
        <v>0.48215048307065178</v>
      </c>
      <c r="D41" s="93">
        <v>1.5027298871455053</v>
      </c>
      <c r="E41" s="93">
        <v>38.913374985351169</v>
      </c>
      <c r="F41" s="94">
        <v>0.1</v>
      </c>
      <c r="G41" s="95">
        <v>42.804712483886291</v>
      </c>
      <c r="H41" s="99">
        <v>1.3622818643825101</v>
      </c>
      <c r="J41" s="6"/>
    </row>
    <row r="42" spans="1:10" x14ac:dyDescent="0.2">
      <c r="A42" s="92">
        <v>2056</v>
      </c>
      <c r="B42" s="92">
        <v>36</v>
      </c>
      <c r="C42" s="93">
        <v>0.47562233339658105</v>
      </c>
      <c r="D42" s="93">
        <v>1.5327844848884153</v>
      </c>
      <c r="E42" s="93">
        <v>40.446159470239586</v>
      </c>
      <c r="F42" s="94">
        <v>0.1</v>
      </c>
      <c r="G42" s="95">
        <v>44.490775417263549</v>
      </c>
      <c r="H42" s="99">
        <v>1.3901662306967699</v>
      </c>
      <c r="J42" s="6"/>
    </row>
    <row r="43" spans="1:10" x14ac:dyDescent="0.2">
      <c r="A43" s="92">
        <v>2057</v>
      </c>
      <c r="B43" s="92">
        <v>37</v>
      </c>
      <c r="C43" s="93">
        <v>0.46918257259624058</v>
      </c>
      <c r="D43" s="93">
        <v>1.5634401745861837</v>
      </c>
      <c r="E43" s="93">
        <v>42.009599644825769</v>
      </c>
      <c r="F43" s="94">
        <v>0.1</v>
      </c>
      <c r="G43" s="95">
        <v>46.210559609308348</v>
      </c>
      <c r="H43" s="99">
        <v>1.41841087242749</v>
      </c>
      <c r="J43" s="6"/>
    </row>
    <row r="44" spans="1:10" x14ac:dyDescent="0.2">
      <c r="A44" s="92">
        <v>2058</v>
      </c>
      <c r="B44" s="92">
        <v>38</v>
      </c>
      <c r="C44" s="93">
        <v>0.46283000391505358</v>
      </c>
      <c r="D44" s="93">
        <v>1.5947089780779073</v>
      </c>
      <c r="E44" s="93">
        <v>43.604308622903673</v>
      </c>
      <c r="F44" s="94">
        <v>0.1</v>
      </c>
      <c r="G44" s="95">
        <v>47.964739485194045</v>
      </c>
      <c r="H44" s="99">
        <v>1.4470226645295901</v>
      </c>
      <c r="J44" s="6"/>
    </row>
    <row r="45" spans="1:10" x14ac:dyDescent="0.2">
      <c r="A45" s="92">
        <v>2059</v>
      </c>
      <c r="B45" s="92">
        <v>39</v>
      </c>
      <c r="C45" s="93">
        <v>0.45656344680208383</v>
      </c>
      <c r="D45" s="93">
        <v>1.6266031576394655</v>
      </c>
      <c r="E45" s="93">
        <v>45.230911780543138</v>
      </c>
      <c r="F45" s="94">
        <v>0.1</v>
      </c>
      <c r="G45" s="95">
        <v>49.754002958597454</v>
      </c>
      <c r="H45" s="99">
        <v>1.4760081550492099</v>
      </c>
      <c r="J45" s="6"/>
    </row>
    <row r="46" spans="1:10" x14ac:dyDescent="0.2">
      <c r="A46" s="96">
        <v>2060</v>
      </c>
      <c r="B46" s="92">
        <v>40</v>
      </c>
      <c r="C46" s="93">
        <v>0.45038173669064363</v>
      </c>
      <c r="D46" s="93">
        <v>1.6591352207922549</v>
      </c>
      <c r="E46" s="93">
        <v>46.890047001335397</v>
      </c>
      <c r="F46" s="94">
        <v>0.1</v>
      </c>
      <c r="G46" s="95">
        <v>51.579051701468941</v>
      </c>
      <c r="H46" s="99">
        <v>1.5053736077183399</v>
      </c>
      <c r="J46" s="6"/>
    </row>
    <row r="47" spans="1:10" x14ac:dyDescent="0.2">
      <c r="A47" s="92">
        <v>2061</v>
      </c>
      <c r="B47" s="92">
        <v>41</v>
      </c>
      <c r="C47" s="93">
        <v>0.44428372478187284</v>
      </c>
      <c r="D47" s="93">
        <v>1.6923179252081</v>
      </c>
      <c r="E47" s="93">
        <v>48.582364926543498</v>
      </c>
      <c r="F47" s="94">
        <v>0.1</v>
      </c>
      <c r="G47" s="95">
        <v>53.440601419197854</v>
      </c>
      <c r="H47" s="99">
        <v>1.53512503841349</v>
      </c>
      <c r="J47" s="6"/>
    </row>
    <row r="48" spans="1:10" x14ac:dyDescent="0.2">
      <c r="A48" s="92">
        <v>2062</v>
      </c>
      <c r="B48" s="92">
        <v>42</v>
      </c>
      <c r="C48" s="93">
        <v>0.43826827783124789</v>
      </c>
      <c r="D48" s="93">
        <v>1.7261642837122619</v>
      </c>
      <c r="E48" s="93">
        <v>50.308529210255763</v>
      </c>
      <c r="F48" s="94">
        <v>0.1</v>
      </c>
      <c r="G48" s="95">
        <v>55.339382131281347</v>
      </c>
      <c r="H48" s="99">
        <v>1.5652682465040999</v>
      </c>
      <c r="J48" s="6"/>
    </row>
    <row r="49" spans="1:10" x14ac:dyDescent="0.2">
      <c r="A49" s="92">
        <v>2063</v>
      </c>
      <c r="B49" s="92">
        <v>43</v>
      </c>
      <c r="C49" s="93">
        <v>0.43233427793798146</v>
      </c>
      <c r="D49" s="93">
        <v>1.7606875693865072</v>
      </c>
      <c r="E49" s="93">
        <v>52.069216779642268</v>
      </c>
      <c r="F49" s="94">
        <v>0.1</v>
      </c>
      <c r="G49" s="95">
        <v>57.2761384576065</v>
      </c>
      <c r="H49" s="99">
        <v>1.5958088419255401</v>
      </c>
      <c r="J49" s="6"/>
    </row>
    <row r="50" spans="1:10" x14ac:dyDescent="0.2">
      <c r="A50" s="92">
        <v>2064</v>
      </c>
      <c r="B50" s="92">
        <v>44</v>
      </c>
      <c r="C50" s="93">
        <v>0.42648062233727368</v>
      </c>
      <c r="D50" s="93">
        <v>1.7959013207742374</v>
      </c>
      <c r="E50" s="93">
        <v>53.865118100416503</v>
      </c>
      <c r="F50" s="94">
        <v>0.1</v>
      </c>
      <c r="G50" s="95">
        <v>59.251629910458156</v>
      </c>
      <c r="H50" s="99">
        <v>1.62675226865943</v>
      </c>
      <c r="J50" s="6"/>
    </row>
    <row r="51" spans="1:10" x14ac:dyDescent="0.2">
      <c r="A51" s="92">
        <v>2065</v>
      </c>
      <c r="B51" s="92">
        <v>45</v>
      </c>
      <c r="C51" s="93">
        <v>0.42070622319537654</v>
      </c>
      <c r="D51" s="93">
        <v>1.8318193471897222</v>
      </c>
      <c r="E51" s="93">
        <v>55.696937447606224</v>
      </c>
      <c r="F51" s="94">
        <v>0.1</v>
      </c>
      <c r="G51" s="95">
        <v>61.266631192366852</v>
      </c>
      <c r="H51" s="99">
        <v>1.65810382518273</v>
      </c>
      <c r="J51" s="6"/>
    </row>
    <row r="52" spans="1:10" x14ac:dyDescent="0.2">
      <c r="J52" s="6"/>
    </row>
    <row r="53" spans="1:10" x14ac:dyDescent="0.2">
      <c r="A53" s="7" t="s">
        <v>213</v>
      </c>
      <c r="E53" s="8">
        <v>3.4000000000000002E-2</v>
      </c>
      <c r="F53" s="8"/>
      <c r="G53" s="8"/>
      <c r="H53" s="8"/>
      <c r="J53" s="6"/>
    </row>
    <row r="54" spans="1:10" x14ac:dyDescent="0.2">
      <c r="C54" s="4" t="s">
        <v>214</v>
      </c>
      <c r="E54" s="9">
        <v>3.4000000000000002E-2</v>
      </c>
      <c r="J54" s="6"/>
    </row>
    <row r="55" spans="1:10" x14ac:dyDescent="0.2">
      <c r="C55" s="4" t="s">
        <v>215</v>
      </c>
      <c r="E55" s="10">
        <v>4.1700000000000001E-2</v>
      </c>
    </row>
    <row r="56" spans="1:10" x14ac:dyDescent="0.2">
      <c r="C56" s="4" t="s">
        <v>216</v>
      </c>
      <c r="E56" s="11">
        <v>0.02</v>
      </c>
      <c r="F56" s="12" t="s">
        <v>217</v>
      </c>
      <c r="G56" s="12"/>
      <c r="H56" s="12"/>
    </row>
  </sheetData>
  <mergeCells count="4">
    <mergeCell ref="A1:I1"/>
    <mergeCell ref="A2:I2"/>
    <mergeCell ref="A3:I3"/>
    <mergeCell ref="A4:I4"/>
  </mergeCells>
  <pageMargins left="0.75" right="0.75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C9CC07A93E8F408AFF0ECAED90C02A" ma:contentTypeVersion="44" ma:contentTypeDescription="" ma:contentTypeScope="" ma:versionID="7fee11da47926caa4f923d3d4737414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2021-11-01T07:00:00+00:00</OpenedDate>
    <SignificantOrder xmlns="dc463f71-b30c-4ab2-9473-d307f9d35888">false</SignificantOrder>
    <Date1 xmlns="dc463f71-b30c-4ab2-9473-d307f9d35888">2024-06-14T07:00:00+00:00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210838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DD11259-5BE6-4322-BBE2-C92BEADDFDA6}"/>
</file>

<file path=customXml/itemProps2.xml><?xml version="1.0" encoding="utf-8"?>
<ds:datastoreItem xmlns:ds="http://schemas.openxmlformats.org/officeDocument/2006/customXml" ds:itemID="{F7191F4E-884F-4AA7-BFA6-BD8D7AFE2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FA0401-C236-45DA-A947-37C0E299495A}">
  <ds:schemaRefs>
    <ds:schemaRef ds:uri="http://schemas.microsoft.com/office/2006/metadata/properties"/>
    <ds:schemaRef ds:uri="http://schemas.microsoft.com/office/infopath/2007/PartnerControls"/>
    <ds:schemaRef ds:uri="cde2e64c-3dd4-4497-9228-a435f4be0d55"/>
    <ds:schemaRef ds:uri="e02f8695-751b-4e1b-8622-bb2a27d1fb80"/>
  </ds:schemaRefs>
</ds:datastoreItem>
</file>

<file path=customXml/itemProps4.xml><?xml version="1.0" encoding="utf-8"?>
<ds:datastoreItem xmlns:ds="http://schemas.openxmlformats.org/officeDocument/2006/customXml" ds:itemID="{5ED901C9-628C-47F8-9B6B-6C802AB7C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2023 TOTAL FIRST YEAR</vt:lpstr>
      <vt:lpstr>2022 TOTAL FIRST YEAR</vt:lpstr>
      <vt:lpstr>2023 APP 2885</vt:lpstr>
      <vt:lpstr>2022 APP 2885</vt:lpstr>
      <vt:lpstr>AC</vt:lpstr>
      <vt:lpstr>'2022 TOTAL FIRST YEAR'!Print_Area</vt:lpstr>
      <vt:lpstr>'2023 TOTAL FIRST YEAR'!Print_Area</vt:lpstr>
    </vt:vector>
  </TitlesOfParts>
  <Manager/>
  <Company>An MDU Resources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Cascade Natural Gas</dc:creator>
  <cp:keywords>Unrestricted</cp:keywords>
  <dc:description/>
  <cp:lastModifiedBy>Pettit, David</cp:lastModifiedBy>
  <cp:revision/>
  <dcterms:created xsi:type="dcterms:W3CDTF">2009-05-07T23:09:45Z</dcterms:created>
  <dcterms:modified xsi:type="dcterms:W3CDTF">2024-05-14T21:59:44Z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ID">
    <vt:lpwstr>0</vt:lpwstr>
  </property>
  <property fmtid="{D5CDD505-2E9C-101B-9397-08002B2CF9AE}" pid="3" name="checkedProgramsCount">
    <vt:i4>0</vt:i4>
  </property>
  <property fmtid="{D5CDD505-2E9C-101B-9397-08002B2CF9AE}" pid="4" name="LM SIP Document Sensitivity">
    <vt:lpwstr/>
  </property>
  <property fmtid="{D5CDD505-2E9C-101B-9397-08002B2CF9AE}" pid="5" name="Document Author">
    <vt:lpwstr>ACCT04\e320856</vt:lpwstr>
  </property>
  <property fmtid="{D5CDD505-2E9C-101B-9397-08002B2CF9AE}" pid="6" name="Document Sensitivity">
    <vt:lpwstr>1</vt:lpwstr>
  </property>
  <property fmtid="{D5CDD505-2E9C-101B-9397-08002B2CF9AE}" pid="7" name="ThirdParty">
    <vt:lpwstr/>
  </property>
  <property fmtid="{D5CDD505-2E9C-101B-9397-08002B2CF9AE}" pid="8" name="OCI Restriction">
    <vt:bool>false</vt:bool>
  </property>
  <property fmtid="{D5CDD505-2E9C-101B-9397-08002B2CF9AE}" pid="9" name="OCI Additional Info">
    <vt:lpwstr/>
  </property>
  <property fmtid="{D5CDD505-2E9C-101B-9397-08002B2CF9AE}" pid="10" name="Allow Header Overwrite">
    <vt:bool>false</vt:bool>
  </property>
  <property fmtid="{D5CDD505-2E9C-101B-9397-08002B2CF9AE}" pid="11" name="Allow Footer Overwrite">
    <vt:bool>false</vt:bool>
  </property>
  <property fmtid="{D5CDD505-2E9C-101B-9397-08002B2CF9AE}" pid="12" name="Multiple Selected">
    <vt:lpwstr>-1</vt:lpwstr>
  </property>
  <property fmtid="{D5CDD505-2E9C-101B-9397-08002B2CF9AE}" pid="13" name="SIPLongWording">
    <vt:lpwstr>_x000d_
_x000d_
</vt:lpwstr>
  </property>
  <property fmtid="{D5CDD505-2E9C-101B-9397-08002B2CF9AE}" pid="14" name="ExpCountry">
    <vt:lpwstr/>
  </property>
  <property fmtid="{D5CDD505-2E9C-101B-9397-08002B2CF9AE}" pid="15" name="ContentTypeId">
    <vt:lpwstr>0x0101006E56B4D1795A2E4DB2F0B01679ED314A00F2C9CC07A93E8F408AFF0ECAED90C02A</vt:lpwstr>
  </property>
  <property fmtid="{D5CDD505-2E9C-101B-9397-08002B2CF9AE}" pid="16" name="MediaServiceImageTags">
    <vt:lpwstr/>
  </property>
  <property fmtid="{D5CDD505-2E9C-101B-9397-08002B2CF9AE}" pid="17" name="_docset_NoMedatataSyncRequired">
    <vt:lpwstr>False</vt:lpwstr>
  </property>
</Properties>
</file>