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comments3.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9.xml" ContentType="application/vnd.openxmlformats-officedocument.spreadsheetml.comments+xml"/>
  <Override PartName="/xl/comments8.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M:\PGA Analysis\WA PGA\WA Monthly Report\2019\07.2019\"/>
    </mc:Choice>
  </mc:AlternateContent>
  <bookViews>
    <workbookView xWindow="-180" yWindow="-30" windowWidth="9720" windowHeight="7005" tabRatio="772" activeTab="8"/>
  </bookViews>
  <sheets>
    <sheet name="Jan" sheetId="5" r:id="rId1"/>
    <sheet name="Feb" sheetId="19" r:id="rId2"/>
    <sheet name="Mar" sheetId="21" r:id="rId3"/>
    <sheet name="Apr" sheetId="20" r:id="rId4"/>
    <sheet name="May" sheetId="23" r:id="rId5"/>
    <sheet name="May Revised" sheetId="44" r:id="rId6"/>
    <sheet name="Jun" sheetId="22" r:id="rId7"/>
    <sheet name="Jul" sheetId="24" r:id="rId8"/>
    <sheet name="WA - Def-Amtz (current)" sheetId="16" r:id="rId9"/>
    <sheet name="201905 WA_ID reclass Entry" sheetId="45" r:id="rId10"/>
  </sheets>
  <externalReferences>
    <externalReference r:id="rId11"/>
    <externalReference r:id="rId12"/>
    <externalReference r:id="rId13"/>
  </externalReferences>
  <definedNames>
    <definedName name="Actual_Cost_Per_MMBtu" localSheetId="5">'[1]Oregon Gas Costs - 1999'!#REF!</definedName>
    <definedName name="Actual_Cost_Per_MMBtu">'[1]Oregon Gas Costs - 1999'!#REF!</definedName>
    <definedName name="Actual_Gas_Costs" localSheetId="5">#REF!</definedName>
    <definedName name="Actual_Gas_Costs">#REF!</definedName>
    <definedName name="Actual_Volumes" localSheetId="5">#REF!</definedName>
    <definedName name="Actual_Volumes">#REF!</definedName>
    <definedName name="Analysis_of_Year_to_Date_Gas_Costs___WWP_System" localSheetId="5">#REF!</definedName>
    <definedName name="Analysis_of_Year_to_Date_Gas_Costs___WWP_System">#REF!</definedName>
    <definedName name="Balancing_Account_Summary" localSheetId="5">#REF!</definedName>
    <definedName name="Balancing_Account_Summary">#REF!</definedName>
    <definedName name="Budgeted_Costs_Volumes" localSheetId="5">#REF!</definedName>
    <definedName name="Budgeted_Costs_Volumes">#REF!</definedName>
    <definedName name="Commodity_Costs" localSheetId="5">#REF!</definedName>
    <definedName name="Commodity_Costs">#REF!</definedName>
    <definedName name="_xlnm.Database" localSheetId="5">'[2]May 2000'!#REF!</definedName>
    <definedName name="_xlnm.Database">'[2]May 2000'!#REF!</definedName>
    <definedName name="EIA857_Report_Info" localSheetId="5">#REF!</definedName>
    <definedName name="EIA857_Report_Info">#REF!</definedName>
    <definedName name="InputMonth">[3]Start!$B$2</definedName>
    <definedName name="JanJunPretaxRate">[3]Start!$C$7</definedName>
    <definedName name="jj" localSheetId="5">'[1]Oregon Gas Costs - 1999'!#REF!</definedName>
    <definedName name="jj">'[1]Oregon Gas Costs - 1999'!#REF!</definedName>
    <definedName name="Journal_Entry_Dollars" localSheetId="5">#REF!</definedName>
    <definedName name="Journal_Entry_Dollars">#REF!</definedName>
    <definedName name="Journal_Entry_Volumes" localSheetId="5">#REF!</definedName>
    <definedName name="Journal_Entry_Volumes">#REF!</definedName>
    <definedName name="JournalEntryPrintArea" localSheetId="5">#REF!</definedName>
    <definedName name="JournalEntryPrintArea">#REF!</definedName>
    <definedName name="JulDecPretaxRate">[3]Start!$C$8</definedName>
    <definedName name="Notes" localSheetId="5">#REF!</definedName>
    <definedName name="Notes">#REF!</definedName>
    <definedName name="_xlnm.Print_Area" localSheetId="9">'201905 WA_ID reclass Entry'!$A$1:$O$29</definedName>
    <definedName name="_xlnm.Print_Area" localSheetId="3">Apr!$A$1:$M$68</definedName>
    <definedName name="_xlnm.Print_Area" localSheetId="1">Feb!$A$1:$M$68</definedName>
    <definedName name="_xlnm.Print_Area" localSheetId="0">Jan!$A$1:$M$68</definedName>
    <definedName name="_xlnm.Print_Area" localSheetId="7">Jul!$A$1:$M$68</definedName>
    <definedName name="_xlnm.Print_Area" localSheetId="6">Jun!$A$1:$M$68</definedName>
    <definedName name="_xlnm.Print_Area" localSheetId="2">Mar!$A$1:$M$68</definedName>
    <definedName name="_xlnm.Print_Area" localSheetId="4">May!$A$1:$M$68</definedName>
    <definedName name="_xlnm.Print_Area" localSheetId="5">'May Revised'!$A$1:$M$70</definedName>
    <definedName name="_xlnm.Print_Area" localSheetId="8">'WA - Def-Amtz (current)'!$A$1:$BB$78</definedName>
    <definedName name="_xlnm.Print_Titles" localSheetId="3">Apr!$1:$2</definedName>
    <definedName name="_xlnm.Print_Titles" localSheetId="1">Feb!$1:$2</definedName>
    <definedName name="_xlnm.Print_Titles" localSheetId="0">Jan!$1:$2</definedName>
    <definedName name="_xlnm.Print_Titles" localSheetId="7">Jul!$1:$2</definedName>
    <definedName name="_xlnm.Print_Titles" localSheetId="6">Jun!$1:$2</definedName>
    <definedName name="_xlnm.Print_Titles" localSheetId="2">Mar!$1:$2</definedName>
    <definedName name="_xlnm.Print_Titles" localSheetId="4">May!$1:$2</definedName>
    <definedName name="_xlnm.Print_Titles" localSheetId="5">'May Revised'!$1:$2</definedName>
    <definedName name="SPREADSHEET_DOCUMENTATION" localSheetId="5">#REF!</definedName>
    <definedName name="SPREADSHEET_DOCUMENTATION">#REF!</definedName>
    <definedName name="Summary_of_Off_system_Sales" localSheetId="5">'[1]Oregon Gas Costs - 1999'!#REF!</definedName>
    <definedName name="Summary_of_Off_system_Sales">'[1]Oregon Gas Costs - 1999'!#REF!</definedName>
    <definedName name="Transportation_Costs" localSheetId="5">#REF!</definedName>
    <definedName name="Transportation_Costs">#REF!</definedName>
  </definedNames>
  <calcPr calcId="152511"/>
</workbook>
</file>

<file path=xl/calcChain.xml><?xml version="1.0" encoding="utf-8"?>
<calcChain xmlns="http://schemas.openxmlformats.org/spreadsheetml/2006/main">
  <c r="C22" i="24" l="1"/>
  <c r="C33" i="24" l="1"/>
  <c r="C52" i="24" s="1"/>
  <c r="C6" i="24"/>
  <c r="C15" i="24"/>
  <c r="C12" i="24"/>
  <c r="C18" i="24"/>
  <c r="AV24" i="16" l="1"/>
  <c r="AV23" i="16"/>
  <c r="AV22" i="16"/>
  <c r="AV21" i="16"/>
  <c r="AV20" i="16"/>
  <c r="AV19" i="16"/>
  <c r="AV39" i="16" s="1"/>
  <c r="AV72" i="16"/>
  <c r="AV61" i="16"/>
  <c r="AV57" i="16"/>
  <c r="AV56" i="16"/>
  <c r="AV55" i="16"/>
  <c r="AV54" i="16"/>
  <c r="AV53" i="16"/>
  <c r="AV52" i="16"/>
  <c r="AV51" i="16"/>
  <c r="AV50" i="16"/>
  <c r="AV49" i="16"/>
  <c r="AV58" i="16" s="1"/>
  <c r="AV48" i="16"/>
  <c r="AV37" i="16"/>
  <c r="AV36" i="16"/>
  <c r="AV28" i="16"/>
  <c r="AV25" i="16"/>
  <c r="AV18" i="16"/>
  <c r="AV77" i="16"/>
  <c r="AV44" i="16"/>
  <c r="AV14" i="16"/>
  <c r="C44" i="22" l="1"/>
  <c r="C9" i="22"/>
  <c r="C15" i="22"/>
  <c r="C12" i="22"/>
  <c r="C18" i="22"/>
  <c r="C6" i="22"/>
  <c r="C7" i="22" s="1"/>
  <c r="AU14" i="16"/>
  <c r="AU24" i="16" l="1"/>
  <c r="AU23" i="16"/>
  <c r="AU22" i="16"/>
  <c r="AU21" i="16"/>
  <c r="AU20" i="16"/>
  <c r="AU19" i="16"/>
  <c r="AU39" i="16" s="1"/>
  <c r="AU72" i="16"/>
  <c r="AU61" i="16"/>
  <c r="AU57" i="16"/>
  <c r="AU56" i="16"/>
  <c r="AU55" i="16"/>
  <c r="AU54" i="16"/>
  <c r="AU53" i="16"/>
  <c r="AU52" i="16"/>
  <c r="AU51" i="16"/>
  <c r="AU50" i="16"/>
  <c r="AU49" i="16"/>
  <c r="AU48" i="16"/>
  <c r="AU37" i="16"/>
  <c r="AU36" i="16"/>
  <c r="AU28" i="16"/>
  <c r="AU18" i="16"/>
  <c r="AU44" i="16"/>
  <c r="AU77" i="16"/>
  <c r="AU58" i="16" l="1"/>
  <c r="AU25" i="16"/>
  <c r="L18" i="45"/>
  <c r="K18" i="45"/>
  <c r="E18" i="45"/>
  <c r="D18" i="45"/>
  <c r="F17" i="45"/>
  <c r="F16" i="45"/>
  <c r="F14" i="45"/>
  <c r="F13" i="45"/>
  <c r="M11" i="45"/>
  <c r="F11" i="45"/>
  <c r="M10" i="45"/>
  <c r="F10" i="45"/>
  <c r="M9" i="45"/>
  <c r="F9" i="45"/>
  <c r="M7" i="45"/>
  <c r="F7" i="45"/>
  <c r="O7" i="45" s="1"/>
  <c r="M6" i="45"/>
  <c r="F6" i="45"/>
  <c r="M5" i="45"/>
  <c r="F5" i="45"/>
  <c r="H10" i="44"/>
  <c r="H11" i="44"/>
  <c r="O5" i="45" l="1"/>
  <c r="F18" i="45"/>
  <c r="M18" i="45"/>
  <c r="O6" i="45"/>
  <c r="O18" i="45" s="1"/>
  <c r="AT37" i="16"/>
  <c r="AT24" i="16"/>
  <c r="AT23" i="16"/>
  <c r="AT22" i="16"/>
  <c r="AT21" i="16"/>
  <c r="AT20" i="16"/>
  <c r="AT19" i="16"/>
  <c r="AT72" i="16"/>
  <c r="AT61" i="16"/>
  <c r="AT57" i="16"/>
  <c r="AT56" i="16"/>
  <c r="AT48" i="16"/>
  <c r="AT36" i="16"/>
  <c r="AT28" i="16"/>
  <c r="AT18" i="16"/>
  <c r="C1487" i="44"/>
  <c r="G44" i="44"/>
  <c r="I44" i="44" s="1"/>
  <c r="C44" i="44"/>
  <c r="G43" i="44"/>
  <c r="I43" i="44" s="1"/>
  <c r="M42" i="44"/>
  <c r="G42" i="44"/>
  <c r="I42" i="44" s="1"/>
  <c r="M41" i="44"/>
  <c r="G41" i="44"/>
  <c r="I41" i="44" s="1"/>
  <c r="K40" i="44"/>
  <c r="M40" i="44" s="1"/>
  <c r="G40" i="44"/>
  <c r="I40" i="44" s="1"/>
  <c r="K39" i="44"/>
  <c r="M39" i="44" s="1"/>
  <c r="G39" i="44"/>
  <c r="I39" i="44" s="1"/>
  <c r="K38" i="44"/>
  <c r="M38" i="44" s="1"/>
  <c r="G38" i="44"/>
  <c r="I38" i="44" s="1"/>
  <c r="C43" i="44"/>
  <c r="K37" i="44"/>
  <c r="M37" i="44" s="1"/>
  <c r="G37" i="44"/>
  <c r="I37" i="44" s="1"/>
  <c r="K36" i="44"/>
  <c r="M36" i="44" s="1"/>
  <c r="G32" i="44"/>
  <c r="G34" i="44" s="1"/>
  <c r="I31" i="44"/>
  <c r="I30" i="44"/>
  <c r="I29" i="44"/>
  <c r="K28" i="44"/>
  <c r="K30" i="44" s="1"/>
  <c r="I28" i="44"/>
  <c r="I27" i="44"/>
  <c r="I26" i="44"/>
  <c r="M25" i="44"/>
  <c r="I25" i="44"/>
  <c r="M24" i="44"/>
  <c r="I24" i="44"/>
  <c r="M23" i="44"/>
  <c r="I23" i="44"/>
  <c r="I32" i="44" s="1"/>
  <c r="C23" i="44"/>
  <c r="C27" i="44" s="1"/>
  <c r="C22" i="44"/>
  <c r="C18" i="44"/>
  <c r="C20" i="44" s="1"/>
  <c r="C17" i="44"/>
  <c r="C12" i="44"/>
  <c r="C14" i="44" s="1"/>
  <c r="L11" i="44"/>
  <c r="K10" i="44"/>
  <c r="C9" i="44"/>
  <c r="C33" i="44" s="1"/>
  <c r="C52" i="44" s="1"/>
  <c r="C6" i="44"/>
  <c r="C4" i="44"/>
  <c r="AT14" i="16"/>
  <c r="AT77" i="16"/>
  <c r="AT25" i="16" l="1"/>
  <c r="AT39" i="16"/>
  <c r="C7" i="44"/>
  <c r="C11" i="44"/>
  <c r="M28" i="44"/>
  <c r="M43" i="44"/>
  <c r="I53" i="44"/>
  <c r="I33" i="44"/>
  <c r="I45" i="44"/>
  <c r="J53" i="44"/>
  <c r="K53" i="44"/>
  <c r="M29" i="44"/>
  <c r="C56" i="44"/>
  <c r="G45" i="44"/>
  <c r="K43" i="44"/>
  <c r="K47" i="44" s="1"/>
  <c r="C44" i="23"/>
  <c r="H9" i="44" l="1"/>
  <c r="C61" i="44"/>
  <c r="M44" i="44"/>
  <c r="C30" i="44"/>
  <c r="C32" i="44" s="1"/>
  <c r="C34" i="44" s="1"/>
  <c r="H7" i="44" s="1"/>
  <c r="G47" i="44"/>
  <c r="K5" i="44"/>
  <c r="L5" i="44" s="1"/>
  <c r="H53" i="44"/>
  <c r="L53" i="44" s="1"/>
  <c r="I46" i="44"/>
  <c r="C63" i="44"/>
  <c r="C65" i="44" s="1"/>
  <c r="C38" i="23"/>
  <c r="C9" i="23"/>
  <c r="C6" i="23"/>
  <c r="C4" i="23"/>
  <c r="C23" i="23"/>
  <c r="C12" i="23"/>
  <c r="C18" i="23"/>
  <c r="AS14" i="16"/>
  <c r="J7" i="44" l="1"/>
  <c r="I7" i="44"/>
  <c r="K9" i="44"/>
  <c r="I14" i="44"/>
  <c r="I52" i="44" s="1"/>
  <c r="I55" i="44" s="1"/>
  <c r="AT7" i="16" s="1"/>
  <c r="L9" i="44"/>
  <c r="L12" i="44" s="1"/>
  <c r="K12" i="44"/>
  <c r="H12" i="44"/>
  <c r="BB40" i="16"/>
  <c r="AS37" i="16"/>
  <c r="AS24" i="16"/>
  <c r="AS23" i="16"/>
  <c r="AS22" i="16"/>
  <c r="AS21" i="16"/>
  <c r="AS20" i="16"/>
  <c r="AS19" i="16"/>
  <c r="AS39" i="16" s="1"/>
  <c r="AR24" i="16"/>
  <c r="AR23" i="16"/>
  <c r="AR22" i="16"/>
  <c r="AR21" i="16"/>
  <c r="AR20" i="16"/>
  <c r="AR19" i="16"/>
  <c r="AS72" i="16"/>
  <c r="AS61" i="16"/>
  <c r="AS57" i="16"/>
  <c r="AS56" i="16"/>
  <c r="AS55" i="16"/>
  <c r="AS54" i="16"/>
  <c r="AS53" i="16"/>
  <c r="AS52" i="16"/>
  <c r="AS51" i="16"/>
  <c r="AS50" i="16"/>
  <c r="AS49" i="16"/>
  <c r="AS48" i="16"/>
  <c r="AS36" i="16"/>
  <c r="AS28" i="16"/>
  <c r="AS18" i="16"/>
  <c r="AT44" i="16"/>
  <c r="AS44" i="16"/>
  <c r="AS77" i="16"/>
  <c r="J15" i="44" l="1"/>
  <c r="J14" i="44"/>
  <c r="K52" i="44" s="1"/>
  <c r="K55" i="44" s="1"/>
  <c r="AS58" i="16"/>
  <c r="H14" i="44"/>
  <c r="H15" i="44" s="1"/>
  <c r="H52" i="44"/>
  <c r="K14" i="44"/>
  <c r="L14" i="44"/>
  <c r="J52" i="44"/>
  <c r="J55" i="44" s="1"/>
  <c r="AS25" i="16"/>
  <c r="L15" i="44" l="1"/>
  <c r="K56" i="44"/>
  <c r="L52" i="44"/>
  <c r="L54" i="44" s="1"/>
  <c r="H55" i="44"/>
  <c r="AT6" i="16" s="1"/>
  <c r="I56" i="44" l="1"/>
  <c r="G61" i="44" s="1"/>
  <c r="L55" i="44"/>
  <c r="L56" i="44" s="1"/>
  <c r="AR25" i="16"/>
  <c r="AR72" i="16"/>
  <c r="AR61" i="16"/>
  <c r="AR57" i="16"/>
  <c r="AR55" i="16"/>
  <c r="AR53" i="16"/>
  <c r="AR52" i="16"/>
  <c r="AR51" i="16"/>
  <c r="AR50" i="16"/>
  <c r="AR49" i="16"/>
  <c r="AR48" i="16"/>
  <c r="AR37" i="16"/>
  <c r="AR36" i="16"/>
  <c r="AR28" i="16"/>
  <c r="AR18" i="16"/>
  <c r="C5" i="20"/>
  <c r="C9" i="20"/>
  <c r="C15" i="20"/>
  <c r="C12" i="20"/>
  <c r="C18" i="20"/>
  <c r="C6" i="20"/>
  <c r="G37" i="20"/>
  <c r="G38" i="20"/>
  <c r="G33" i="20"/>
  <c r="AR77" i="16"/>
  <c r="AR44" i="16"/>
  <c r="AR14" i="16"/>
  <c r="AR39" i="16" l="1"/>
  <c r="C54" i="21"/>
  <c r="C19" i="21"/>
  <c r="C5" i="21"/>
  <c r="C9" i="21"/>
  <c r="C15" i="21"/>
  <c r="C12" i="21"/>
  <c r="C18" i="21"/>
  <c r="C6" i="21"/>
  <c r="C21" i="21"/>
  <c r="AQ14" i="16"/>
  <c r="C44" i="21" l="1"/>
  <c r="K36" i="21" l="1"/>
  <c r="K37" i="21"/>
  <c r="K38" i="21"/>
  <c r="AQ37" i="16" l="1"/>
  <c r="AQ24" i="16"/>
  <c r="AQ23" i="16"/>
  <c r="AQ22" i="16"/>
  <c r="AQ21" i="16"/>
  <c r="AQ20" i="16"/>
  <c r="AQ19" i="16"/>
  <c r="AQ39" i="16" s="1"/>
  <c r="AP24" i="16"/>
  <c r="AP23" i="16"/>
  <c r="AP22" i="16"/>
  <c r="AP21" i="16"/>
  <c r="AP20" i="16"/>
  <c r="AP19" i="16"/>
  <c r="AP72" i="16"/>
  <c r="AP61" i="16"/>
  <c r="AP48" i="16"/>
  <c r="AP37" i="16"/>
  <c r="AP36" i="16"/>
  <c r="AP28" i="16"/>
  <c r="AP18" i="16"/>
  <c r="AP14" i="16"/>
  <c r="AP77" i="16"/>
  <c r="AP44" i="16"/>
  <c r="AP25" i="16" l="1"/>
  <c r="AP39" i="16"/>
  <c r="C54" i="19"/>
  <c r="C5" i="19"/>
  <c r="C9" i="19"/>
  <c r="C15" i="19"/>
  <c r="C12" i="19"/>
  <c r="C18" i="19"/>
  <c r="C6" i="19"/>
  <c r="C4" i="19"/>
  <c r="C10" i="19"/>
  <c r="C8" i="19"/>
  <c r="C44" i="19" l="1"/>
  <c r="C31" i="19"/>
  <c r="AQ72" i="16" l="1"/>
  <c r="AQ61" i="16"/>
  <c r="AQ57" i="16"/>
  <c r="AQ56" i="16"/>
  <c r="AQ55" i="16"/>
  <c r="AQ54" i="16"/>
  <c r="AQ53" i="16"/>
  <c r="AQ52" i="16"/>
  <c r="AQ51" i="16"/>
  <c r="AQ50" i="16"/>
  <c r="AQ49" i="16"/>
  <c r="AQ48" i="16"/>
  <c r="AQ36" i="16"/>
  <c r="AQ28" i="16"/>
  <c r="AQ25" i="16"/>
  <c r="AQ18" i="16"/>
  <c r="M42" i="19"/>
  <c r="M41" i="19"/>
  <c r="K40" i="19"/>
  <c r="M40" i="19" s="1"/>
  <c r="K39" i="19"/>
  <c r="M39" i="19" s="1"/>
  <c r="K38" i="19"/>
  <c r="M38" i="19" s="1"/>
  <c r="K37" i="19"/>
  <c r="M37" i="19" s="1"/>
  <c r="K36" i="19"/>
  <c r="M36" i="19" s="1"/>
  <c r="M27" i="19"/>
  <c r="AT53" i="16" s="1"/>
  <c r="M26" i="19"/>
  <c r="AT52" i="16" s="1"/>
  <c r="M25" i="19"/>
  <c r="AT51" i="16" s="1"/>
  <c r="M24" i="19"/>
  <c r="AT50" i="16" s="1"/>
  <c r="M23" i="19"/>
  <c r="AT49" i="16" s="1"/>
  <c r="G44" i="19"/>
  <c r="I44" i="19" s="1"/>
  <c r="G43" i="19"/>
  <c r="I43" i="19" s="1"/>
  <c r="G42" i="19"/>
  <c r="I42" i="19" s="1"/>
  <c r="G41" i="19"/>
  <c r="I41" i="19" s="1"/>
  <c r="G40" i="19"/>
  <c r="I40" i="19" s="1"/>
  <c r="G39" i="19"/>
  <c r="I39" i="19" s="1"/>
  <c r="G38" i="19"/>
  <c r="I38" i="19" s="1"/>
  <c r="G37" i="19"/>
  <c r="I37" i="19" s="1"/>
  <c r="I31" i="19"/>
  <c r="AP57" i="16" s="1"/>
  <c r="I30" i="19"/>
  <c r="AP56" i="16" s="1"/>
  <c r="I29" i="19"/>
  <c r="AP55" i="16" s="1"/>
  <c r="I28" i="19"/>
  <c r="AP54" i="16" s="1"/>
  <c r="I27" i="19"/>
  <c r="AP53" i="16" s="1"/>
  <c r="I26" i="19"/>
  <c r="AP52" i="16" s="1"/>
  <c r="I25" i="19"/>
  <c r="AP51" i="16" s="1"/>
  <c r="I24" i="19"/>
  <c r="AP50" i="16" s="1"/>
  <c r="I23" i="19"/>
  <c r="AP49" i="16" s="1"/>
  <c r="AQ77" i="16"/>
  <c r="AQ44" i="16"/>
  <c r="AP58" i="16" l="1"/>
  <c r="AQ58" i="16"/>
  <c r="C44" i="5" l="1"/>
  <c r="C54" i="5"/>
  <c r="C15" i="5" l="1"/>
  <c r="C12" i="5"/>
  <c r="C18" i="5"/>
  <c r="C6" i="5"/>
  <c r="C21" i="5"/>
  <c r="AC39" i="16" l="1"/>
  <c r="K40" i="5" l="1"/>
  <c r="K39" i="5"/>
  <c r="K38" i="5"/>
  <c r="K37" i="5"/>
  <c r="K36" i="5"/>
  <c r="G44" i="5"/>
  <c r="G43" i="5"/>
  <c r="G42" i="5"/>
  <c r="G41" i="5"/>
  <c r="G40" i="5"/>
  <c r="G37" i="5"/>
  <c r="G39" i="5"/>
  <c r="G38" i="5"/>
  <c r="AL39" i="16" l="1"/>
  <c r="AO24" i="16"/>
  <c r="AO23" i="16"/>
  <c r="AO22" i="16"/>
  <c r="AO21" i="16"/>
  <c r="AO20" i="16"/>
  <c r="AO19" i="16"/>
  <c r="AO72" i="16"/>
  <c r="AO61" i="16"/>
  <c r="AO57" i="16"/>
  <c r="AO56" i="16"/>
  <c r="AO55" i="16"/>
  <c r="AO54" i="16"/>
  <c r="AO53" i="16"/>
  <c r="AO52" i="16"/>
  <c r="AO51" i="16"/>
  <c r="AO50" i="16"/>
  <c r="AO49" i="16"/>
  <c r="AO48" i="16"/>
  <c r="AO37" i="16"/>
  <c r="AO36" i="16"/>
  <c r="AO28" i="16"/>
  <c r="AO18" i="16"/>
  <c r="AO14" i="16"/>
  <c r="AO77" i="16"/>
  <c r="AO44" i="16"/>
  <c r="AO39" i="16" l="1"/>
  <c r="AO58" i="16"/>
  <c r="AO25" i="16"/>
  <c r="AN72" i="16" l="1"/>
  <c r="AN61" i="16"/>
  <c r="AN57" i="16"/>
  <c r="AN56" i="16"/>
  <c r="AN55" i="16"/>
  <c r="AN54" i="16"/>
  <c r="AN53" i="16"/>
  <c r="AN52" i="16"/>
  <c r="AN51" i="16"/>
  <c r="AN50" i="16"/>
  <c r="AN49" i="16"/>
  <c r="AN48" i="16"/>
  <c r="AN37" i="16"/>
  <c r="AN36" i="16"/>
  <c r="AN28" i="16"/>
  <c r="AN18" i="16"/>
  <c r="AN14" i="16"/>
  <c r="AN77" i="16"/>
  <c r="AN44" i="16"/>
  <c r="AN58" i="16" l="1"/>
  <c r="AN25" i="16"/>
  <c r="AM14" i="16" l="1"/>
  <c r="AM42" i="16" l="1"/>
  <c r="AM41" i="16"/>
  <c r="AM10" i="16"/>
  <c r="AM9" i="16"/>
  <c r="AL37" i="16" l="1"/>
  <c r="AJ39" i="16"/>
  <c r="AI72" i="16"/>
  <c r="AI61" i="16"/>
  <c r="AI57" i="16"/>
  <c r="AI56" i="16"/>
  <c r="AI55" i="16"/>
  <c r="AI54" i="16"/>
  <c r="AI53" i="16"/>
  <c r="AI52" i="16"/>
  <c r="AI51" i="16"/>
  <c r="AI50" i="16"/>
  <c r="AI49" i="16"/>
  <c r="AI48" i="16"/>
  <c r="AI37" i="16"/>
  <c r="AI36" i="16"/>
  <c r="AI28" i="16"/>
  <c r="AI18" i="16"/>
  <c r="AL72" i="16"/>
  <c r="AK72" i="16"/>
  <c r="AJ72" i="16"/>
  <c r="AL61" i="16"/>
  <c r="AK61" i="16"/>
  <c r="AJ61" i="16"/>
  <c r="AL57" i="16"/>
  <c r="AK57" i="16"/>
  <c r="AJ57" i="16"/>
  <c r="AL56" i="16"/>
  <c r="AK56" i="16"/>
  <c r="AJ56" i="16"/>
  <c r="AL55" i="16"/>
  <c r="AK55" i="16"/>
  <c r="AJ55" i="16"/>
  <c r="AL54" i="16"/>
  <c r="AK54" i="16"/>
  <c r="AJ54" i="16"/>
  <c r="AL53" i="16"/>
  <c r="AK53" i="16"/>
  <c r="AJ53" i="16"/>
  <c r="AL52" i="16"/>
  <c r="AK52" i="16"/>
  <c r="AJ52" i="16"/>
  <c r="AL51" i="16"/>
  <c r="AK51" i="16"/>
  <c r="AJ51" i="16"/>
  <c r="AL50" i="16"/>
  <c r="AK50" i="16"/>
  <c r="AJ50" i="16"/>
  <c r="AL49" i="16"/>
  <c r="AK49" i="16"/>
  <c r="AJ49" i="16"/>
  <c r="AL48" i="16"/>
  <c r="AK48" i="16"/>
  <c r="AJ48" i="16"/>
  <c r="AK37" i="16"/>
  <c r="AJ37" i="16"/>
  <c r="AL36" i="16"/>
  <c r="AK36" i="16"/>
  <c r="AJ36" i="16"/>
  <c r="AL28" i="16"/>
  <c r="AK28" i="16"/>
  <c r="AJ28" i="16"/>
  <c r="AL18" i="16"/>
  <c r="AK18" i="16"/>
  <c r="AJ18" i="16"/>
  <c r="AI14" i="16"/>
  <c r="AK77" i="16"/>
  <c r="AI77" i="16"/>
  <c r="AJ77" i="16"/>
  <c r="AK14" i="16"/>
  <c r="AL77" i="16"/>
  <c r="AJ14" i="16"/>
  <c r="AL14" i="16"/>
  <c r="AJ44" i="16"/>
  <c r="AI44" i="16"/>
  <c r="AL44" i="16"/>
  <c r="AK44" i="16"/>
  <c r="AK58" i="16" l="1"/>
  <c r="AJ58" i="16"/>
  <c r="AI39" i="16"/>
  <c r="AL58" i="16"/>
  <c r="AK39" i="16"/>
  <c r="AI58" i="16"/>
  <c r="AI25" i="16"/>
  <c r="AK25" i="16"/>
  <c r="AL25" i="16"/>
  <c r="AJ25" i="16"/>
  <c r="AH72" i="16" l="1"/>
  <c r="AH61" i="16"/>
  <c r="AH57" i="16"/>
  <c r="AH56" i="16"/>
  <c r="AH55" i="16"/>
  <c r="AH54" i="16"/>
  <c r="AH53" i="16"/>
  <c r="AH52" i="16"/>
  <c r="AH51" i="16"/>
  <c r="AH50" i="16"/>
  <c r="AH49" i="16"/>
  <c r="AH48" i="16"/>
  <c r="AH37" i="16"/>
  <c r="AH36" i="16"/>
  <c r="AH28" i="16"/>
  <c r="AH18" i="16"/>
  <c r="AH39" i="16" l="1"/>
  <c r="AH58" i="16"/>
  <c r="AH25" i="16"/>
  <c r="AG72" i="16"/>
  <c r="AG61" i="16"/>
  <c r="AG57" i="16"/>
  <c r="AG56" i="16"/>
  <c r="AG55" i="16"/>
  <c r="AG54" i="16"/>
  <c r="AG53" i="16"/>
  <c r="AG52" i="16"/>
  <c r="AG51" i="16"/>
  <c r="AG50" i="16"/>
  <c r="AG49" i="16"/>
  <c r="AG48" i="16"/>
  <c r="AG37" i="16"/>
  <c r="AG36" i="16"/>
  <c r="AG28" i="16"/>
  <c r="AG18" i="16"/>
  <c r="AH14" i="16"/>
  <c r="AH77" i="16"/>
  <c r="AG14" i="16"/>
  <c r="AG44" i="16"/>
  <c r="AG77" i="16"/>
  <c r="AH44" i="16"/>
  <c r="AG39" i="16" l="1"/>
  <c r="AG58" i="16"/>
  <c r="AG25" i="16"/>
  <c r="G38" i="23" l="1"/>
  <c r="G39" i="23"/>
  <c r="G40" i="23"/>
  <c r="G41" i="23"/>
  <c r="G42" i="23"/>
  <c r="G43" i="23"/>
  <c r="G44" i="23"/>
  <c r="G37" i="23"/>
  <c r="K36" i="23"/>
  <c r="K37" i="23"/>
  <c r="AM72" i="16" l="1"/>
  <c r="AM61" i="16"/>
  <c r="AM57" i="16"/>
  <c r="AM56" i="16"/>
  <c r="AM55" i="16"/>
  <c r="AM54" i="16"/>
  <c r="AM53" i="16"/>
  <c r="AM52" i="16"/>
  <c r="AM51" i="16"/>
  <c r="AM50" i="16"/>
  <c r="AM49" i="16"/>
  <c r="AM48" i="16"/>
  <c r="AM37" i="16"/>
  <c r="AM36" i="16"/>
  <c r="AM28" i="16"/>
  <c r="AM18" i="16"/>
  <c r="AM77" i="16"/>
  <c r="AM44" i="16"/>
  <c r="AM58" i="16" l="1"/>
  <c r="AM25" i="16"/>
  <c r="AF39" i="16" l="1"/>
  <c r="AF25" i="16"/>
  <c r="AF72" i="16"/>
  <c r="AF61" i="16"/>
  <c r="AF57" i="16"/>
  <c r="AF56" i="16"/>
  <c r="AF55" i="16"/>
  <c r="AF54" i="16"/>
  <c r="AF53" i="16"/>
  <c r="AF52" i="16"/>
  <c r="AF51" i="16"/>
  <c r="AF50" i="16"/>
  <c r="AF49" i="16"/>
  <c r="AF48" i="16"/>
  <c r="AF37" i="16"/>
  <c r="AF36" i="16"/>
  <c r="AF28" i="16"/>
  <c r="AF18" i="16"/>
  <c r="AF14" i="16"/>
  <c r="AF77" i="16"/>
  <c r="AF44" i="16"/>
  <c r="AF58" i="16" l="1"/>
  <c r="AE14" i="16"/>
  <c r="K40" i="21" l="1"/>
  <c r="AE72" i="16" l="1"/>
  <c r="AE61" i="16"/>
  <c r="AE57" i="16"/>
  <c r="AE56" i="16"/>
  <c r="AE55" i="16"/>
  <c r="AE54" i="16"/>
  <c r="AE53" i="16"/>
  <c r="AE52" i="16"/>
  <c r="AE51" i="16"/>
  <c r="AE50" i="16"/>
  <c r="AE49" i="16"/>
  <c r="AE48" i="16"/>
  <c r="AE37" i="16"/>
  <c r="AE36" i="16"/>
  <c r="AE28" i="16"/>
  <c r="AE18" i="16"/>
  <c r="AE77" i="16"/>
  <c r="AE44" i="16"/>
  <c r="AE39" i="16" l="1"/>
  <c r="AE58" i="16"/>
  <c r="AE25" i="16"/>
  <c r="R25" i="16" l="1"/>
  <c r="R39" i="16" l="1"/>
  <c r="C23" i="16" l="1"/>
  <c r="D23" i="16"/>
  <c r="AD42" i="16" l="1"/>
  <c r="AD50" i="16" l="1"/>
  <c r="AD51" i="16"/>
  <c r="AD52" i="16"/>
  <c r="AD53" i="16"/>
  <c r="AD54" i="16"/>
  <c r="AD55" i="16"/>
  <c r="AD56" i="16"/>
  <c r="AD57" i="16"/>
  <c r="AD49" i="16"/>
  <c r="AC50" i="16"/>
  <c r="AC51" i="16"/>
  <c r="AC52" i="16"/>
  <c r="AC53" i="16"/>
  <c r="AC54" i="16"/>
  <c r="AC55" i="16"/>
  <c r="AC56" i="16"/>
  <c r="AC57" i="16"/>
  <c r="AC49" i="16"/>
  <c r="AD18" i="16"/>
  <c r="AC18" i="16"/>
  <c r="AC72" i="16"/>
  <c r="AC61" i="16"/>
  <c r="AC48" i="16"/>
  <c r="AC37" i="16"/>
  <c r="AC36" i="16"/>
  <c r="AC28" i="16"/>
  <c r="AD39" i="16" l="1"/>
  <c r="AD58" i="16"/>
  <c r="AC25" i="16"/>
  <c r="AD25" i="16"/>
  <c r="AC58" i="16"/>
  <c r="Q39" i="16"/>
  <c r="AC14" i="16"/>
  <c r="AC77" i="16"/>
  <c r="AC44" i="16"/>
  <c r="AD37" i="16" l="1"/>
  <c r="AW34" i="16" l="1"/>
  <c r="AA9" i="16"/>
  <c r="C6" i="16" l="1"/>
  <c r="D6" i="16"/>
  <c r="AD72" i="16"/>
  <c r="AD61" i="16"/>
  <c r="AD48" i="16"/>
  <c r="AD36" i="16"/>
  <c r="AD28" i="16"/>
  <c r="AD77" i="16"/>
  <c r="AD14" i="16"/>
  <c r="AD44" i="16"/>
  <c r="D73" i="16" l="1"/>
  <c r="D59" i="16"/>
  <c r="D42" i="16"/>
  <c r="D41" i="16"/>
  <c r="D38" i="16"/>
  <c r="D26" i="16"/>
  <c r="D12" i="16"/>
  <c r="D5" i="16"/>
  <c r="Q72" i="16"/>
  <c r="R72" i="16" s="1"/>
  <c r="Q61" i="16"/>
  <c r="R61" i="16" s="1"/>
  <c r="C59" i="16"/>
  <c r="Q48" i="16"/>
  <c r="R48" i="16" s="1"/>
  <c r="C42" i="16" l="1"/>
  <c r="C41" i="16"/>
  <c r="Q36" i="16"/>
  <c r="R36" i="16" s="1"/>
  <c r="Q28" i="16"/>
  <c r="R28" i="16" s="1"/>
  <c r="C26" i="16"/>
  <c r="Q18" i="16"/>
  <c r="R18" i="16" s="1"/>
  <c r="Q44" i="16"/>
  <c r="Q14" i="16"/>
  <c r="C12" i="16" l="1"/>
  <c r="R3" i="16"/>
  <c r="Q77" i="16"/>
  <c r="F3" i="16" l="1"/>
  <c r="F18" i="16"/>
  <c r="G18" i="16" s="1"/>
  <c r="H18" i="16" s="1"/>
  <c r="I18" i="16" s="1"/>
  <c r="J18" i="16" s="1"/>
  <c r="K18" i="16" s="1"/>
  <c r="L18" i="16" s="1"/>
  <c r="M18" i="16" s="1"/>
  <c r="N18" i="16" s="1"/>
  <c r="O18" i="16" s="1"/>
  <c r="P18" i="16" s="1"/>
  <c r="F25" i="16"/>
  <c r="G25" i="16"/>
  <c r="H25" i="16"/>
  <c r="I25" i="16"/>
  <c r="J25" i="16"/>
  <c r="K25" i="16"/>
  <c r="L25" i="16"/>
  <c r="M25" i="16"/>
  <c r="N25" i="16"/>
  <c r="O25" i="16"/>
  <c r="P25" i="16"/>
  <c r="F28" i="16"/>
  <c r="G28" i="16" s="1"/>
  <c r="H28" i="16" s="1"/>
  <c r="I28" i="16" s="1"/>
  <c r="J28" i="16" s="1"/>
  <c r="K28" i="16" s="1"/>
  <c r="L28" i="16" s="1"/>
  <c r="M28" i="16" s="1"/>
  <c r="N28" i="16" s="1"/>
  <c r="O28" i="16" s="1"/>
  <c r="P28" i="16" s="1"/>
  <c r="F36" i="16"/>
  <c r="P39" i="16"/>
  <c r="F48" i="16"/>
  <c r="G48" i="16" s="1"/>
  <c r="H48" i="16" s="1"/>
  <c r="I48" i="16" s="1"/>
  <c r="J48" i="16" s="1"/>
  <c r="K48" i="16" s="1"/>
  <c r="L48" i="16" s="1"/>
  <c r="M48" i="16" s="1"/>
  <c r="N48" i="16" s="1"/>
  <c r="O48" i="16" s="1"/>
  <c r="P48" i="16" s="1"/>
  <c r="F58" i="16"/>
  <c r="G58" i="16"/>
  <c r="H58" i="16"/>
  <c r="I58" i="16"/>
  <c r="J58" i="16"/>
  <c r="K58" i="16"/>
  <c r="L58" i="16"/>
  <c r="M58" i="16"/>
  <c r="N58" i="16"/>
  <c r="O58" i="16"/>
  <c r="P58" i="16"/>
  <c r="F61" i="16"/>
  <c r="G61" i="16" s="1"/>
  <c r="H61" i="16" s="1"/>
  <c r="I61" i="16" s="1"/>
  <c r="J61" i="16" s="1"/>
  <c r="K61" i="16" s="1"/>
  <c r="L61" i="16" s="1"/>
  <c r="M61" i="16" s="1"/>
  <c r="N61" i="16" s="1"/>
  <c r="O61" i="16" s="1"/>
  <c r="P61" i="16" s="1"/>
  <c r="F72" i="16"/>
  <c r="G72" i="16" s="1"/>
  <c r="H72" i="16" s="1"/>
  <c r="I72" i="16" s="1"/>
  <c r="J72" i="16" s="1"/>
  <c r="K72" i="16" s="1"/>
  <c r="L72" i="16" s="1"/>
  <c r="M72" i="16" s="1"/>
  <c r="N72" i="16" s="1"/>
  <c r="O72" i="16" s="1"/>
  <c r="P72" i="16" s="1"/>
  <c r="G77" i="16"/>
  <c r="O77" i="16"/>
  <c r="M77" i="16"/>
  <c r="P77" i="16"/>
  <c r="H77" i="16"/>
  <c r="I77" i="16"/>
  <c r="F44" i="16"/>
  <c r="N77" i="16"/>
  <c r="K77" i="16"/>
  <c r="J77" i="16"/>
  <c r="F77" i="16"/>
  <c r="F14" i="16"/>
  <c r="L77" i="16"/>
  <c r="G36" i="16" l="1"/>
  <c r="G3" i="16"/>
  <c r="G14" i="16"/>
  <c r="G44" i="16"/>
  <c r="H3" i="16" l="1"/>
  <c r="H36" i="16"/>
  <c r="H44" i="16"/>
  <c r="H14" i="16"/>
  <c r="I36" i="16" l="1"/>
  <c r="I3" i="16"/>
  <c r="F73" i="16"/>
  <c r="F76" i="16" s="1"/>
  <c r="F38" i="16"/>
  <c r="F43" i="16" s="1"/>
  <c r="I14" i="16"/>
  <c r="I44" i="16"/>
  <c r="J3" i="16" l="1"/>
  <c r="J36" i="16"/>
  <c r="F45" i="16"/>
  <c r="G38" i="16"/>
  <c r="G43" i="16" s="1"/>
  <c r="F78" i="16"/>
  <c r="G73" i="16"/>
  <c r="G76" i="16" s="1"/>
  <c r="J14" i="16"/>
  <c r="J44" i="16"/>
  <c r="K36" i="16" l="1"/>
  <c r="K3" i="16"/>
  <c r="H73" i="16"/>
  <c r="H76" i="16" s="1"/>
  <c r="G78" i="16"/>
  <c r="H38" i="16"/>
  <c r="H43" i="16" s="1"/>
  <c r="G45" i="16"/>
  <c r="F5" i="16"/>
  <c r="F13" i="16" s="1"/>
  <c r="K14" i="16"/>
  <c r="K44" i="16"/>
  <c r="L3" i="16" l="1"/>
  <c r="L36" i="16"/>
  <c r="I38" i="16"/>
  <c r="I43" i="16" s="1"/>
  <c r="H45" i="16"/>
  <c r="F15" i="16"/>
  <c r="G5" i="16"/>
  <c r="G13" i="16" s="1"/>
  <c r="I73" i="16"/>
  <c r="I76" i="16" s="1"/>
  <c r="H78" i="16"/>
  <c r="L14" i="16"/>
  <c r="L44" i="16"/>
  <c r="M36" i="16" l="1"/>
  <c r="M3" i="16"/>
  <c r="J73" i="16"/>
  <c r="J76" i="16" s="1"/>
  <c r="I78" i="16"/>
  <c r="G15" i="16"/>
  <c r="H5" i="16"/>
  <c r="H13" i="16" s="1"/>
  <c r="I45" i="16"/>
  <c r="J38" i="16"/>
  <c r="J43" i="16" s="1"/>
  <c r="M44" i="16"/>
  <c r="M14" i="16"/>
  <c r="N3" i="16" l="1"/>
  <c r="N36" i="16"/>
  <c r="I5" i="16"/>
  <c r="I13" i="16" s="1"/>
  <c r="H15" i="16"/>
  <c r="J45" i="16"/>
  <c r="K38" i="16"/>
  <c r="J78" i="16"/>
  <c r="K73" i="16"/>
  <c r="N44" i="16"/>
  <c r="N14" i="16"/>
  <c r="O36" i="16" l="1"/>
  <c r="O3" i="16"/>
  <c r="K76" i="16"/>
  <c r="K78" i="16" s="1"/>
  <c r="K43" i="16"/>
  <c r="K45" i="16" s="1"/>
  <c r="J5" i="16"/>
  <c r="J13" i="16" s="1"/>
  <c r="I15" i="16"/>
  <c r="O14" i="16"/>
  <c r="O44" i="16"/>
  <c r="P3" i="16" l="1"/>
  <c r="P36" i="16"/>
  <c r="L73" i="16"/>
  <c r="L76" i="16" s="1"/>
  <c r="M73" i="16" s="1"/>
  <c r="M76" i="16" s="1"/>
  <c r="L38" i="16"/>
  <c r="L43" i="16" s="1"/>
  <c r="M38" i="16" s="1"/>
  <c r="M43" i="16" s="1"/>
  <c r="J15" i="16"/>
  <c r="K5" i="16"/>
  <c r="P44" i="16"/>
  <c r="P14" i="16"/>
  <c r="L78" i="16" l="1"/>
  <c r="L45" i="16"/>
  <c r="K13" i="16"/>
  <c r="K15" i="16" s="1"/>
  <c r="N73" i="16"/>
  <c r="N76" i="16" s="1"/>
  <c r="M78" i="16"/>
  <c r="N38" i="16"/>
  <c r="N43" i="16" s="1"/>
  <c r="M45" i="16"/>
  <c r="L5" i="16" l="1"/>
  <c r="L13" i="16" s="1"/>
  <c r="L15" i="16" s="1"/>
  <c r="N78" i="16"/>
  <c r="O73" i="16"/>
  <c r="O76" i="16" s="1"/>
  <c r="N45" i="16"/>
  <c r="O38" i="16"/>
  <c r="M5" i="16" l="1"/>
  <c r="M13" i="16" s="1"/>
  <c r="N5" i="16" s="1"/>
  <c r="N13" i="16" s="1"/>
  <c r="O40" i="16"/>
  <c r="O78" i="16"/>
  <c r="P73" i="16"/>
  <c r="P76" i="16" s="1"/>
  <c r="P78" i="16" s="1"/>
  <c r="M15" i="16" l="1"/>
  <c r="O43" i="16"/>
  <c r="O45" i="16" s="1"/>
  <c r="O5" i="16"/>
  <c r="N15" i="16"/>
  <c r="Z39" i="16" l="1"/>
  <c r="P38" i="16"/>
  <c r="P40" i="16" s="1"/>
  <c r="O8" i="16"/>
  <c r="Z25" i="16"/>
  <c r="O13" i="16" l="1"/>
  <c r="O15" i="16" s="1"/>
  <c r="P43" i="16"/>
  <c r="P45" i="16" s="1"/>
  <c r="P5" i="16" l="1"/>
  <c r="P13" i="16" s="1"/>
  <c r="P15" i="16" s="1"/>
  <c r="BB71" i="16" l="1"/>
  <c r="BD72" i="16"/>
  <c r="BD73" i="16"/>
  <c r="BD71" i="16"/>
  <c r="Z49" i="16" l="1"/>
  <c r="Y25" i="16" l="1"/>
  <c r="BD36" i="16" l="1"/>
  <c r="BD38" i="16"/>
  <c r="BD35" i="16"/>
  <c r="BD37" i="16"/>
  <c r="BD7" i="16"/>
  <c r="BD5" i="16"/>
  <c r="BD9" i="16"/>
  <c r="BD70" i="16"/>
  <c r="BD8" i="16"/>
  <c r="BD6" i="16"/>
  <c r="C43" i="22" l="1"/>
  <c r="C33" i="23" l="1"/>
  <c r="C43" i="23" l="1"/>
  <c r="C33" i="20" l="1"/>
  <c r="C52" i="20" s="1"/>
  <c r="C43" i="21" l="1"/>
  <c r="C33" i="21" l="1"/>
  <c r="C52" i="21" s="1"/>
  <c r="C56" i="21" l="1"/>
  <c r="H9" i="21" s="1"/>
  <c r="H11" i="19" l="1"/>
  <c r="H10" i="19"/>
  <c r="K10" i="19" s="1"/>
  <c r="C43" i="19"/>
  <c r="C33" i="19" l="1"/>
  <c r="C52" i="19" l="1"/>
  <c r="C56" i="19" s="1"/>
  <c r="Q75" i="16"/>
  <c r="C59" i="19" l="1"/>
  <c r="H9" i="19"/>
  <c r="D75" i="16"/>
  <c r="C75" i="16"/>
  <c r="G32" i="5"/>
  <c r="C33" i="5" l="1"/>
  <c r="C52" i="5" s="1"/>
  <c r="AA57" i="16" l="1"/>
  <c r="Z57" i="16"/>
  <c r="Y57" i="16"/>
  <c r="X57" i="16"/>
  <c r="W57" i="16"/>
  <c r="V57" i="16"/>
  <c r="U57" i="16"/>
  <c r="AA56" i="16"/>
  <c r="Z56" i="16"/>
  <c r="Y56" i="16"/>
  <c r="X56" i="16"/>
  <c r="W56" i="16"/>
  <c r="V56" i="16"/>
  <c r="U56" i="16"/>
  <c r="AB55" i="16"/>
  <c r="AA55" i="16"/>
  <c r="Z55" i="16"/>
  <c r="Y55" i="16"/>
  <c r="X55" i="16"/>
  <c r="W55" i="16"/>
  <c r="V55" i="16"/>
  <c r="U55" i="16"/>
  <c r="AA54" i="16"/>
  <c r="Z54" i="16"/>
  <c r="Y54" i="16"/>
  <c r="X54" i="16"/>
  <c r="W54" i="16"/>
  <c r="V54" i="16"/>
  <c r="U54" i="16"/>
  <c r="AA53" i="16"/>
  <c r="Z53" i="16"/>
  <c r="Y53" i="16"/>
  <c r="X53" i="16"/>
  <c r="W53" i="16"/>
  <c r="V53" i="16"/>
  <c r="U53" i="16"/>
  <c r="AA52" i="16"/>
  <c r="Z52" i="16"/>
  <c r="Y52" i="16"/>
  <c r="X52" i="16"/>
  <c r="W52" i="16"/>
  <c r="V52" i="16"/>
  <c r="U52" i="16"/>
  <c r="AA51" i="16"/>
  <c r="Z51" i="16"/>
  <c r="Y51" i="16"/>
  <c r="X51" i="16"/>
  <c r="W51" i="16"/>
  <c r="V51" i="16"/>
  <c r="U51" i="16"/>
  <c r="AA50" i="16"/>
  <c r="Z50" i="16"/>
  <c r="Y50" i="16"/>
  <c r="X50" i="16"/>
  <c r="W50" i="16"/>
  <c r="V50" i="16"/>
  <c r="U50" i="16"/>
  <c r="AA49" i="16"/>
  <c r="Y49" i="16"/>
  <c r="X49" i="16"/>
  <c r="W49" i="16"/>
  <c r="V49" i="16"/>
  <c r="U49" i="16"/>
  <c r="AB49" i="16"/>
  <c r="AB50" i="16"/>
  <c r="AB51" i="16"/>
  <c r="AB52" i="16"/>
  <c r="AB53" i="16"/>
  <c r="AB54" i="16"/>
  <c r="AB56" i="16"/>
  <c r="AB57" i="16"/>
  <c r="S72" i="16"/>
  <c r="T72" i="16" s="1"/>
  <c r="U72" i="16" s="1"/>
  <c r="V72" i="16" s="1"/>
  <c r="W72" i="16" s="1"/>
  <c r="S48" i="16"/>
  <c r="T48" i="16" s="1"/>
  <c r="U48" i="16" s="1"/>
  <c r="V48" i="16" s="1"/>
  <c r="W48" i="16" s="1"/>
  <c r="X48" i="16" s="1"/>
  <c r="Y48" i="16" s="1"/>
  <c r="Z48" i="16" s="1"/>
  <c r="AA48" i="16" s="1"/>
  <c r="AB48" i="16" s="1"/>
  <c r="S36" i="16"/>
  <c r="S28" i="16"/>
  <c r="T28" i="16" s="1"/>
  <c r="U28" i="16" s="1"/>
  <c r="V28" i="16" s="1"/>
  <c r="W28" i="16" s="1"/>
  <c r="X28" i="16" s="1"/>
  <c r="Y28" i="16" s="1"/>
  <c r="Z28" i="16" s="1"/>
  <c r="AA28" i="16" s="1"/>
  <c r="AB28" i="16" s="1"/>
  <c r="S61" i="16"/>
  <c r="T61" i="16" s="1"/>
  <c r="U61" i="16" s="1"/>
  <c r="V61" i="16" s="1"/>
  <c r="W61" i="16" s="1"/>
  <c r="X61" i="16" s="1"/>
  <c r="Y61" i="16" s="1"/>
  <c r="Z61" i="16" s="1"/>
  <c r="AA61" i="16" s="1"/>
  <c r="AB61" i="16" s="1"/>
  <c r="T57" i="16"/>
  <c r="S57" i="16"/>
  <c r="R57" i="16"/>
  <c r="T56" i="16"/>
  <c r="S56" i="16"/>
  <c r="R56" i="16"/>
  <c r="T55" i="16"/>
  <c r="S55" i="16"/>
  <c r="R55" i="16"/>
  <c r="T54" i="16"/>
  <c r="S54" i="16"/>
  <c r="R54" i="16"/>
  <c r="T53" i="16"/>
  <c r="S53" i="16"/>
  <c r="R53" i="16"/>
  <c r="T52" i="16"/>
  <c r="S52" i="16"/>
  <c r="R52" i="16"/>
  <c r="T51" i="16"/>
  <c r="S51" i="16"/>
  <c r="R51" i="16"/>
  <c r="T50" i="16"/>
  <c r="S50" i="16"/>
  <c r="R50" i="16"/>
  <c r="T49" i="16"/>
  <c r="S49" i="16"/>
  <c r="R49" i="16"/>
  <c r="Y39" i="16"/>
  <c r="AA25" i="16"/>
  <c r="S18" i="16"/>
  <c r="T18" i="16" s="1"/>
  <c r="U18" i="16" s="1"/>
  <c r="V18" i="16" s="1"/>
  <c r="W18" i="16" s="1"/>
  <c r="X18" i="16" s="1"/>
  <c r="Y18" i="16" s="1"/>
  <c r="Z18" i="16" s="1"/>
  <c r="AA18" i="16" s="1"/>
  <c r="AB18" i="16" s="1"/>
  <c r="S3" i="16"/>
  <c r="T3" i="16" s="1"/>
  <c r="U3" i="16" s="1"/>
  <c r="V3" i="16" s="1"/>
  <c r="R74" i="16" l="1"/>
  <c r="S74" i="16"/>
  <c r="Z74" i="16"/>
  <c r="D19" i="16"/>
  <c r="C19" i="16"/>
  <c r="Q25" i="16"/>
  <c r="D20" i="16"/>
  <c r="C20" i="16"/>
  <c r="D24" i="16"/>
  <c r="C24" i="16"/>
  <c r="D21" i="16"/>
  <c r="C21" i="16"/>
  <c r="D49" i="16"/>
  <c r="Q58" i="16"/>
  <c r="C49" i="16"/>
  <c r="Q74" i="16"/>
  <c r="C50" i="16"/>
  <c r="D50" i="16"/>
  <c r="C51" i="16"/>
  <c r="D51" i="16"/>
  <c r="D52" i="16"/>
  <c r="C52" i="16"/>
  <c r="D53" i="16"/>
  <c r="C53" i="16"/>
  <c r="C54" i="16"/>
  <c r="D54" i="16"/>
  <c r="C55" i="16"/>
  <c r="D55" i="16"/>
  <c r="D56" i="16"/>
  <c r="C56" i="16"/>
  <c r="D57" i="16"/>
  <c r="C57" i="16"/>
  <c r="D22" i="16"/>
  <c r="C22" i="16"/>
  <c r="T74" i="16"/>
  <c r="T39" i="16"/>
  <c r="X39" i="16"/>
  <c r="U39" i="16"/>
  <c r="AB25" i="16"/>
  <c r="S39" i="16"/>
  <c r="W39" i="16"/>
  <c r="V74" i="16"/>
  <c r="W74" i="16"/>
  <c r="X72" i="16"/>
  <c r="W3" i="16"/>
  <c r="V25" i="16"/>
  <c r="V39" i="16"/>
  <c r="U25" i="16"/>
  <c r="T36" i="16"/>
  <c r="R58" i="16"/>
  <c r="S58" i="16"/>
  <c r="AB58" i="16"/>
  <c r="U58" i="16"/>
  <c r="U74" i="16"/>
  <c r="AA58" i="16"/>
  <c r="V58" i="16"/>
  <c r="Y74" i="16"/>
  <c r="X74" i="16"/>
  <c r="Y58" i="16"/>
  <c r="Z58" i="16"/>
  <c r="W25" i="16"/>
  <c r="X25" i="16"/>
  <c r="W58" i="16"/>
  <c r="S25" i="16"/>
  <c r="T25" i="16"/>
  <c r="T58" i="16"/>
  <c r="X58" i="16"/>
  <c r="W77" i="16"/>
  <c r="X77" i="16"/>
  <c r="T44" i="16"/>
  <c r="V14" i="16"/>
  <c r="S77" i="16"/>
  <c r="U14" i="16"/>
  <c r="S44" i="16"/>
  <c r="R14" i="16"/>
  <c r="W14" i="16"/>
  <c r="V77" i="16"/>
  <c r="U77" i="16"/>
  <c r="R44" i="16"/>
  <c r="T14" i="16"/>
  <c r="S14" i="16"/>
  <c r="T77" i="16"/>
  <c r="R77" i="16"/>
  <c r="D74" i="16" l="1"/>
  <c r="C74" i="16"/>
  <c r="C76" i="16" s="1"/>
  <c r="D25" i="16"/>
  <c r="C39" i="16"/>
  <c r="D39" i="16"/>
  <c r="D58" i="16"/>
  <c r="C25" i="16"/>
  <c r="C58" i="16"/>
  <c r="Y72" i="16"/>
  <c r="X3" i="16"/>
  <c r="U36" i="16"/>
  <c r="Y77" i="16"/>
  <c r="X14" i="16"/>
  <c r="U44" i="16"/>
  <c r="Z72" i="16" l="1"/>
  <c r="Y3" i="16"/>
  <c r="V36" i="16"/>
  <c r="V44" i="16"/>
  <c r="Y14" i="16"/>
  <c r="Z77" i="16"/>
  <c r="AA72" i="16" l="1"/>
  <c r="Z3" i="16"/>
  <c r="W36" i="16"/>
  <c r="AA77" i="16"/>
  <c r="Z14" i="16"/>
  <c r="W44" i="16"/>
  <c r="AB72" i="16" l="1"/>
  <c r="AA3" i="16"/>
  <c r="X36" i="16"/>
  <c r="AB77" i="16"/>
  <c r="AA14" i="16"/>
  <c r="D77" i="16"/>
  <c r="X44" i="16"/>
  <c r="AB3" i="16" l="1"/>
  <c r="Y36" i="16"/>
  <c r="D14" i="16"/>
  <c r="Y44" i="16"/>
  <c r="AB14" i="16"/>
  <c r="BA9" i="16" l="1"/>
  <c r="BB10" i="16"/>
  <c r="Z36" i="16"/>
  <c r="Z44" i="16"/>
  <c r="AA36" i="16" l="1"/>
  <c r="AA44" i="16"/>
  <c r="AB36" i="16" l="1"/>
  <c r="AB44" i="16"/>
  <c r="D44" i="16"/>
  <c r="BB39" i="16" l="1"/>
  <c r="BB38" i="16"/>
  <c r="BA38" i="16"/>
  <c r="BA40" i="16"/>
  <c r="K36" i="22" l="1"/>
  <c r="I23" i="22" l="1"/>
  <c r="C33" i="22" l="1"/>
  <c r="C52" i="22" s="1"/>
  <c r="C56" i="22" s="1"/>
  <c r="H9" i="22" s="1"/>
  <c r="C59" i="22" l="1"/>
  <c r="I24" i="20" l="1"/>
  <c r="G38" i="22" l="1"/>
  <c r="I38" i="20"/>
  <c r="G38" i="21"/>
  <c r="I38" i="24" l="1"/>
  <c r="I24" i="24"/>
  <c r="I25" i="24"/>
  <c r="I38" i="22"/>
  <c r="I24" i="22"/>
  <c r="I25" i="22"/>
  <c r="I38" i="23"/>
  <c r="I24" i="23"/>
  <c r="I38" i="5"/>
  <c r="I24" i="5"/>
  <c r="AY39" i="16" l="1"/>
  <c r="AZ39" i="16"/>
  <c r="AY40" i="16"/>
  <c r="AZ40" i="16"/>
  <c r="AX40" i="16"/>
  <c r="AX39" i="16"/>
  <c r="AW40" i="16"/>
  <c r="BD39" i="16"/>
  <c r="BD40" i="16"/>
  <c r="AZ10" i="16" l="1"/>
  <c r="AY10" i="16"/>
  <c r="AX10" i="16"/>
  <c r="AW10" i="16"/>
  <c r="BD10" i="16"/>
  <c r="G32" i="21" l="1"/>
  <c r="C1" i="19" l="1"/>
  <c r="C1" i="21" s="1"/>
  <c r="AW69" i="16"/>
  <c r="BA72" i="16" s="1"/>
  <c r="C43" i="24"/>
  <c r="C56" i="24" s="1"/>
  <c r="H9" i="24" s="1"/>
  <c r="C27" i="24"/>
  <c r="C20" i="24"/>
  <c r="C17" i="24"/>
  <c r="C14" i="24"/>
  <c r="C11" i="24"/>
  <c r="C7" i="24"/>
  <c r="C27" i="22"/>
  <c r="C22" i="22"/>
  <c r="C20" i="22"/>
  <c r="C17" i="22"/>
  <c r="C14" i="22"/>
  <c r="C11" i="22"/>
  <c r="C52" i="23"/>
  <c r="C56" i="23" s="1"/>
  <c r="C27" i="23"/>
  <c r="C22" i="23"/>
  <c r="C20" i="23"/>
  <c r="C17" i="23"/>
  <c r="C14" i="23"/>
  <c r="C11" i="23"/>
  <c r="C7" i="23"/>
  <c r="C43" i="20"/>
  <c r="C56" i="20" s="1"/>
  <c r="C59" i="20" s="1"/>
  <c r="C27" i="20"/>
  <c r="C22" i="20"/>
  <c r="C20" i="20"/>
  <c r="C17" i="20"/>
  <c r="C14" i="20"/>
  <c r="C11" i="20"/>
  <c r="C7" i="20"/>
  <c r="C27" i="21"/>
  <c r="C22" i="21"/>
  <c r="C20" i="21"/>
  <c r="C17" i="21"/>
  <c r="C14" i="21"/>
  <c r="C11" i="21"/>
  <c r="C7" i="21"/>
  <c r="C14" i="19"/>
  <c r="C1485" i="24"/>
  <c r="M42" i="24"/>
  <c r="I44" i="24"/>
  <c r="M41" i="24"/>
  <c r="I43" i="24"/>
  <c r="K40" i="24"/>
  <c r="M40" i="24" s="1"/>
  <c r="I42" i="24"/>
  <c r="K39" i="24"/>
  <c r="I41" i="24"/>
  <c r="I40" i="24"/>
  <c r="I39" i="24"/>
  <c r="I37" i="24"/>
  <c r="G32" i="24"/>
  <c r="I31" i="24"/>
  <c r="I30" i="24"/>
  <c r="K28" i="24"/>
  <c r="K30" i="24" s="1"/>
  <c r="I29" i="24"/>
  <c r="M27" i="24"/>
  <c r="I28" i="24"/>
  <c r="M26" i="24"/>
  <c r="I27" i="24"/>
  <c r="M25" i="24"/>
  <c r="I26" i="24"/>
  <c r="M24" i="24"/>
  <c r="M23" i="24"/>
  <c r="I23" i="24"/>
  <c r="H11" i="24"/>
  <c r="L11" i="24" s="1"/>
  <c r="H10" i="24"/>
  <c r="K10" i="24" s="1"/>
  <c r="C1485" i="23"/>
  <c r="M42" i="23"/>
  <c r="I44" i="23"/>
  <c r="M41" i="23"/>
  <c r="I43" i="23"/>
  <c r="K40" i="23"/>
  <c r="M40" i="23" s="1"/>
  <c r="I42" i="23"/>
  <c r="K39" i="23"/>
  <c r="I41" i="23"/>
  <c r="K38" i="23"/>
  <c r="I40" i="23"/>
  <c r="I39" i="23"/>
  <c r="G32" i="23"/>
  <c r="I31" i="23"/>
  <c r="I30" i="23"/>
  <c r="K28" i="23"/>
  <c r="K30" i="23" s="1"/>
  <c r="I29" i="23"/>
  <c r="I28" i="23"/>
  <c r="I27" i="23"/>
  <c r="M25" i="23"/>
  <c r="I26" i="23"/>
  <c r="M24" i="23"/>
  <c r="I25" i="23"/>
  <c r="M23" i="23"/>
  <c r="I23" i="23"/>
  <c r="H11" i="23"/>
  <c r="L11" i="23" s="1"/>
  <c r="H10" i="23"/>
  <c r="K10" i="23" s="1"/>
  <c r="C1485" i="22"/>
  <c r="M42" i="22"/>
  <c r="G44" i="22"/>
  <c r="M41" i="22"/>
  <c r="G43" i="22"/>
  <c r="I43" i="22" s="1"/>
  <c r="K40" i="22"/>
  <c r="G42" i="22"/>
  <c r="I42" i="22" s="1"/>
  <c r="K39" i="22"/>
  <c r="G41" i="22"/>
  <c r="I41" i="22" s="1"/>
  <c r="K38" i="22"/>
  <c r="G40" i="22"/>
  <c r="I40" i="22" s="1"/>
  <c r="K37" i="22"/>
  <c r="G39" i="22"/>
  <c r="I39" i="22" s="1"/>
  <c r="G37" i="22"/>
  <c r="I37" i="22" s="1"/>
  <c r="G32" i="22"/>
  <c r="I31" i="22"/>
  <c r="I30" i="22"/>
  <c r="K28" i="22"/>
  <c r="K30" i="22" s="1"/>
  <c r="I29" i="22"/>
  <c r="M27" i="22"/>
  <c r="I28" i="22"/>
  <c r="M26" i="22"/>
  <c r="I27" i="22"/>
  <c r="M25" i="22"/>
  <c r="I26" i="22"/>
  <c r="M24" i="22"/>
  <c r="M23" i="22"/>
  <c r="H11" i="22"/>
  <c r="L11" i="22" s="1"/>
  <c r="H10" i="22"/>
  <c r="K10" i="22" s="1"/>
  <c r="C1485" i="21"/>
  <c r="M42" i="21"/>
  <c r="G44" i="21"/>
  <c r="M41" i="21"/>
  <c r="G43" i="21"/>
  <c r="M40" i="21"/>
  <c r="G42" i="21"/>
  <c r="K39" i="21"/>
  <c r="G41" i="21"/>
  <c r="G40" i="21"/>
  <c r="G39" i="21"/>
  <c r="G37" i="21"/>
  <c r="G34" i="21"/>
  <c r="K28" i="21"/>
  <c r="K30" i="21" s="1"/>
  <c r="H11" i="21"/>
  <c r="L11" i="21" s="1"/>
  <c r="H10" i="21"/>
  <c r="K10" i="21" s="1"/>
  <c r="C1485" i="20"/>
  <c r="M42" i="20"/>
  <c r="G44" i="20"/>
  <c r="M41" i="20"/>
  <c r="G43" i="20"/>
  <c r="I43" i="20" s="1"/>
  <c r="K40" i="20"/>
  <c r="M40" i="20" s="1"/>
  <c r="G42" i="20"/>
  <c r="I42" i="20" s="1"/>
  <c r="K39" i="20"/>
  <c r="G41" i="20"/>
  <c r="I41" i="20" s="1"/>
  <c r="K38" i="20"/>
  <c r="G40" i="20"/>
  <c r="I40" i="20" s="1"/>
  <c r="K37" i="20"/>
  <c r="G39" i="20"/>
  <c r="I39" i="20" s="1"/>
  <c r="K36" i="20"/>
  <c r="I37" i="20"/>
  <c r="G32" i="20"/>
  <c r="I31" i="20"/>
  <c r="I30" i="20"/>
  <c r="K28" i="20"/>
  <c r="K30" i="20" s="1"/>
  <c r="I29" i="20"/>
  <c r="M27" i="20"/>
  <c r="I28" i="20"/>
  <c r="M26" i="20"/>
  <c r="I27" i="20"/>
  <c r="M25" i="20"/>
  <c r="I26" i="20"/>
  <c r="M24" i="20"/>
  <c r="I25" i="20"/>
  <c r="M23" i="20"/>
  <c r="I23" i="20"/>
  <c r="H11" i="20"/>
  <c r="L11" i="20" s="1"/>
  <c r="H10" i="20"/>
  <c r="K10" i="20" s="1"/>
  <c r="C1485" i="19"/>
  <c r="G32" i="19"/>
  <c r="K28" i="19"/>
  <c r="C27" i="19"/>
  <c r="C22" i="19"/>
  <c r="C20" i="19"/>
  <c r="C17" i="19"/>
  <c r="L11" i="19"/>
  <c r="C11" i="19"/>
  <c r="C7" i="19"/>
  <c r="C30" i="24" l="1"/>
  <c r="C32" i="24" s="1"/>
  <c r="C34" i="24" s="1"/>
  <c r="H7" i="24" s="1"/>
  <c r="K30" i="19"/>
  <c r="AR56" i="16" s="1"/>
  <c r="AR54" i="16"/>
  <c r="C30" i="22"/>
  <c r="C32" i="22" s="1"/>
  <c r="C34" i="22" s="1"/>
  <c r="C30" i="23"/>
  <c r="C32" i="23" s="1"/>
  <c r="C34" i="23" s="1"/>
  <c r="H7" i="23" s="1"/>
  <c r="I7" i="23" s="1"/>
  <c r="I14" i="23" s="1"/>
  <c r="I52" i="23" s="1"/>
  <c r="BB73" i="16"/>
  <c r="BA71" i="16"/>
  <c r="BB70" i="16"/>
  <c r="H9" i="23"/>
  <c r="C30" i="21"/>
  <c r="C32" i="21" s="1"/>
  <c r="C34" i="21" s="1"/>
  <c r="H7" i="21" s="1"/>
  <c r="C30" i="19"/>
  <c r="C32" i="19" s="1"/>
  <c r="C34" i="19" s="1"/>
  <c r="H7" i="19" s="1"/>
  <c r="M40" i="22"/>
  <c r="G34" i="24"/>
  <c r="G34" i="22"/>
  <c r="G34" i="23"/>
  <c r="G34" i="20"/>
  <c r="G34" i="19"/>
  <c r="M37" i="24"/>
  <c r="M39" i="24"/>
  <c r="M38" i="24"/>
  <c r="M37" i="22"/>
  <c r="M38" i="22"/>
  <c r="M39" i="22"/>
  <c r="M38" i="23"/>
  <c r="M37" i="23"/>
  <c r="M39" i="23"/>
  <c r="M38" i="20"/>
  <c r="M37" i="20"/>
  <c r="M39" i="20"/>
  <c r="F1" i="19"/>
  <c r="C59" i="21"/>
  <c r="C1" i="20"/>
  <c r="F1" i="21"/>
  <c r="C59" i="24"/>
  <c r="M28" i="23"/>
  <c r="K53" i="23" s="1"/>
  <c r="M28" i="24"/>
  <c r="K53" i="24" s="1"/>
  <c r="M28" i="19"/>
  <c r="K43" i="19"/>
  <c r="K45" i="19" s="1"/>
  <c r="K43" i="20"/>
  <c r="K45" i="20" s="1"/>
  <c r="I32" i="21"/>
  <c r="I32" i="22"/>
  <c r="I33" i="22" s="1"/>
  <c r="I32" i="23"/>
  <c r="I33" i="23" s="1"/>
  <c r="K43" i="23"/>
  <c r="K47" i="23" s="1"/>
  <c r="K43" i="24"/>
  <c r="K47" i="24" s="1"/>
  <c r="I32" i="19"/>
  <c r="G45" i="21"/>
  <c r="G45" i="23"/>
  <c r="C30" i="20"/>
  <c r="I32" i="24"/>
  <c r="I33" i="24" s="1"/>
  <c r="M28" i="22"/>
  <c r="K53" i="22" s="1"/>
  <c r="K43" i="22"/>
  <c r="K47" i="22" s="1"/>
  <c r="G45" i="22"/>
  <c r="G47" i="22" s="1"/>
  <c r="I37" i="23"/>
  <c r="I45" i="23" s="1"/>
  <c r="M28" i="20"/>
  <c r="M29" i="20" s="1"/>
  <c r="I32" i="20"/>
  <c r="I53" i="20" s="1"/>
  <c r="G45" i="20"/>
  <c r="M28" i="21"/>
  <c r="K43" i="21"/>
  <c r="K47" i="21" s="1"/>
  <c r="I45" i="21"/>
  <c r="H53" i="21" s="1"/>
  <c r="I45" i="19"/>
  <c r="H53" i="19" s="1"/>
  <c r="I45" i="24"/>
  <c r="M36" i="24"/>
  <c r="G45" i="24"/>
  <c r="I44" i="22"/>
  <c r="I45" i="22" s="1"/>
  <c r="H53" i="22" s="1"/>
  <c r="M36" i="23"/>
  <c r="M36" i="22"/>
  <c r="I44" i="20"/>
  <c r="I45" i="20" s="1"/>
  <c r="M36" i="20"/>
  <c r="G45" i="19"/>
  <c r="AR58" i="16" l="1"/>
  <c r="C61" i="22"/>
  <c r="H7" i="22"/>
  <c r="G47" i="23"/>
  <c r="K5" i="23"/>
  <c r="K53" i="19"/>
  <c r="AT54" i="16"/>
  <c r="F1" i="20"/>
  <c r="C1" i="44"/>
  <c r="F1" i="44" s="1"/>
  <c r="K9" i="23"/>
  <c r="K12" i="23" s="1"/>
  <c r="H12" i="23"/>
  <c r="I7" i="22"/>
  <c r="C61" i="21"/>
  <c r="G47" i="20"/>
  <c r="K5" i="20"/>
  <c r="L5" i="20" s="1"/>
  <c r="C32" i="20"/>
  <c r="C34" i="20" s="1"/>
  <c r="M29" i="21"/>
  <c r="K53" i="21"/>
  <c r="G47" i="21"/>
  <c r="K5" i="21"/>
  <c r="K9" i="21" s="1"/>
  <c r="I53" i="21"/>
  <c r="I53" i="19"/>
  <c r="K5" i="19"/>
  <c r="K9" i="19" s="1"/>
  <c r="C61" i="19"/>
  <c r="C63" i="19" s="1"/>
  <c r="C61" i="24"/>
  <c r="M43" i="22"/>
  <c r="M44" i="22" s="1"/>
  <c r="M43" i="24"/>
  <c r="M44" i="24" s="1"/>
  <c r="M43" i="20"/>
  <c r="M44" i="20" s="1"/>
  <c r="M43" i="21"/>
  <c r="M43" i="23"/>
  <c r="M43" i="19"/>
  <c r="M44" i="19" s="1"/>
  <c r="C1" i="23"/>
  <c r="F1" i="23" s="1"/>
  <c r="C59" i="23"/>
  <c r="M29" i="22"/>
  <c r="I33" i="19"/>
  <c r="K53" i="20"/>
  <c r="I53" i="22"/>
  <c r="M29" i="19"/>
  <c r="AT55" i="16" s="1"/>
  <c r="M29" i="23"/>
  <c r="I33" i="21"/>
  <c r="I46" i="21"/>
  <c r="I33" i="20"/>
  <c r="L5" i="23"/>
  <c r="L9" i="23" s="1"/>
  <c r="L12" i="23" s="1"/>
  <c r="C63" i="22"/>
  <c r="I53" i="23"/>
  <c r="M29" i="24"/>
  <c r="I53" i="24"/>
  <c r="K5" i="22"/>
  <c r="K9" i="22" s="1"/>
  <c r="I46" i="24"/>
  <c r="H53" i="24"/>
  <c r="G47" i="24"/>
  <c r="K5" i="24"/>
  <c r="I46" i="22"/>
  <c r="J7" i="23"/>
  <c r="H53" i="23"/>
  <c r="I46" i="23"/>
  <c r="I46" i="20"/>
  <c r="H53" i="20"/>
  <c r="H9" i="20"/>
  <c r="G47" i="19"/>
  <c r="J7" i="19"/>
  <c r="I7" i="19"/>
  <c r="I14" i="19" s="1"/>
  <c r="I52" i="19" s="1"/>
  <c r="H12" i="19"/>
  <c r="I46" i="19"/>
  <c r="AT58" i="16" l="1"/>
  <c r="K9" i="20"/>
  <c r="K12" i="20" s="1"/>
  <c r="H52" i="20" s="1"/>
  <c r="L5" i="19"/>
  <c r="L9" i="19" s="1"/>
  <c r="L12" i="19" s="1"/>
  <c r="L5" i="24"/>
  <c r="L9" i="24" s="1"/>
  <c r="L12" i="24" s="1"/>
  <c r="K9" i="24"/>
  <c r="K12" i="24" s="1"/>
  <c r="H52" i="24" s="1"/>
  <c r="L5" i="22"/>
  <c r="L9" i="22" s="1"/>
  <c r="L12" i="22" s="1"/>
  <c r="L14" i="22" s="1"/>
  <c r="K12" i="22"/>
  <c r="J53" i="23"/>
  <c r="H7" i="20"/>
  <c r="J7" i="20" s="1"/>
  <c r="J14" i="20" s="1"/>
  <c r="K52" i="20" s="1"/>
  <c r="K55" i="20" s="1"/>
  <c r="C61" i="20"/>
  <c r="C63" i="20" s="1"/>
  <c r="L5" i="21"/>
  <c r="L9" i="21" s="1"/>
  <c r="L12" i="21" s="1"/>
  <c r="M44" i="21"/>
  <c r="J53" i="21"/>
  <c r="J53" i="19"/>
  <c r="L53" i="19" s="1"/>
  <c r="C63" i="24"/>
  <c r="J7" i="22"/>
  <c r="J14" i="22" s="1"/>
  <c r="I14" i="22"/>
  <c r="I52" i="22" s="1"/>
  <c r="I55" i="22" s="1"/>
  <c r="AU7" i="16" s="1"/>
  <c r="H12" i="22"/>
  <c r="H14" i="22" s="1"/>
  <c r="H15" i="22" s="1"/>
  <c r="C61" i="23"/>
  <c r="C63" i="23" s="1"/>
  <c r="J53" i="24"/>
  <c r="J53" i="22"/>
  <c r="M44" i="23"/>
  <c r="J53" i="20"/>
  <c r="I55" i="23"/>
  <c r="AS7" i="16" s="1"/>
  <c r="C1" i="22"/>
  <c r="C1" i="24" s="1"/>
  <c r="I55" i="19"/>
  <c r="AP7" i="16" s="1"/>
  <c r="K12" i="19"/>
  <c r="H52" i="19" s="1"/>
  <c r="H12" i="24"/>
  <c r="H14" i="23"/>
  <c r="J52" i="23"/>
  <c r="J15" i="23"/>
  <c r="J14" i="23"/>
  <c r="H12" i="20"/>
  <c r="L9" i="20"/>
  <c r="L12" i="20" s="1"/>
  <c r="K12" i="21"/>
  <c r="H12" i="21"/>
  <c r="H14" i="21" s="1"/>
  <c r="J15" i="19"/>
  <c r="J14" i="19"/>
  <c r="H14" i="19"/>
  <c r="H15" i="19" s="1"/>
  <c r="J61" i="24" l="1"/>
  <c r="J61" i="20"/>
  <c r="I7" i="20"/>
  <c r="I14" i="20" s="1"/>
  <c r="I52" i="20" s="1"/>
  <c r="I55" i="20" s="1"/>
  <c r="AR7" i="16" s="1"/>
  <c r="J61" i="21"/>
  <c r="L53" i="23"/>
  <c r="H52" i="22"/>
  <c r="H55" i="22" s="1"/>
  <c r="AU6" i="16" s="1"/>
  <c r="J61" i="22"/>
  <c r="C63" i="21"/>
  <c r="H15" i="21"/>
  <c r="I7" i="21"/>
  <c r="I14" i="21" s="1"/>
  <c r="I52" i="21" s="1"/>
  <c r="J7" i="21"/>
  <c r="J52" i="19"/>
  <c r="J55" i="19" s="1"/>
  <c r="L14" i="19"/>
  <c r="J15" i="22"/>
  <c r="J7" i="24"/>
  <c r="I7" i="24"/>
  <c r="I14" i="24" s="1"/>
  <c r="I52" i="24" s="1"/>
  <c r="I55" i="24" s="1"/>
  <c r="AV7" i="16" s="1"/>
  <c r="L53" i="24"/>
  <c r="L53" i="22"/>
  <c r="K14" i="22"/>
  <c r="L15" i="22" s="1"/>
  <c r="L53" i="20"/>
  <c r="L53" i="21"/>
  <c r="K52" i="23"/>
  <c r="F1" i="22"/>
  <c r="J52" i="22"/>
  <c r="J55" i="22" s="1"/>
  <c r="K52" i="19"/>
  <c r="K55" i="19" s="1"/>
  <c r="K14" i="19"/>
  <c r="H14" i="24"/>
  <c r="H15" i="24" s="1"/>
  <c r="K14" i="24"/>
  <c r="J52" i="24"/>
  <c r="J55" i="24" s="1"/>
  <c r="L14" i="24"/>
  <c r="K14" i="23"/>
  <c r="H52" i="23"/>
  <c r="H15" i="23"/>
  <c r="J55" i="23"/>
  <c r="L14" i="23"/>
  <c r="H14" i="20"/>
  <c r="H15" i="20" s="1"/>
  <c r="J52" i="21"/>
  <c r="J55" i="21" s="1"/>
  <c r="L14" i="21"/>
  <c r="J52" i="20"/>
  <c r="J55" i="20" s="1"/>
  <c r="L14" i="20"/>
  <c r="K14" i="20"/>
  <c r="K14" i="21"/>
  <c r="H52" i="21"/>
  <c r="H55" i="21" s="1"/>
  <c r="AQ6" i="16" s="1"/>
  <c r="J15" i="20" l="1"/>
  <c r="H55" i="23"/>
  <c r="AS6" i="16" s="1"/>
  <c r="L52" i="23"/>
  <c r="L54" i="23" s="1"/>
  <c r="J15" i="21"/>
  <c r="J14" i="21"/>
  <c r="I55" i="21"/>
  <c r="AQ7" i="16" s="1"/>
  <c r="J14" i="24"/>
  <c r="J15" i="24"/>
  <c r="I56" i="22"/>
  <c r="K55" i="23"/>
  <c r="H55" i="20"/>
  <c r="AR6" i="16" s="1"/>
  <c r="L52" i="20"/>
  <c r="L54" i="20" s="1"/>
  <c r="L52" i="19"/>
  <c r="L54" i="19" s="1"/>
  <c r="H55" i="24"/>
  <c r="AV6" i="16" s="1"/>
  <c r="H55" i="19"/>
  <c r="AP6" i="16" s="1"/>
  <c r="K52" i="22"/>
  <c r="K55" i="22" s="1"/>
  <c r="L15" i="19"/>
  <c r="K56" i="19"/>
  <c r="L15" i="24"/>
  <c r="L15" i="23"/>
  <c r="L15" i="20"/>
  <c r="K56" i="20"/>
  <c r="L15" i="21"/>
  <c r="I31" i="5"/>
  <c r="I30" i="5"/>
  <c r="I29" i="5"/>
  <c r="I28" i="5"/>
  <c r="I27" i="5"/>
  <c r="I26" i="5"/>
  <c r="I25" i="5"/>
  <c r="I23" i="5"/>
  <c r="BB8" i="16" l="1"/>
  <c r="BA8" i="16"/>
  <c r="I56" i="23"/>
  <c r="I56" i="20"/>
  <c r="G59" i="20" s="1"/>
  <c r="K56" i="23"/>
  <c r="K52" i="21"/>
  <c r="L55" i="22"/>
  <c r="K52" i="24"/>
  <c r="L52" i="22"/>
  <c r="L54" i="22" s="1"/>
  <c r="L55" i="23"/>
  <c r="L55" i="20"/>
  <c r="L56" i="20" s="1"/>
  <c r="L55" i="19"/>
  <c r="L56" i="19" s="1"/>
  <c r="I56" i="19"/>
  <c r="G59" i="19" s="1"/>
  <c r="K56" i="22"/>
  <c r="G59" i="22" s="1"/>
  <c r="I56" i="24"/>
  <c r="I56" i="21"/>
  <c r="G59" i="23" l="1"/>
  <c r="K55" i="21"/>
  <c r="L52" i="21"/>
  <c r="L54" i="21" s="1"/>
  <c r="L56" i="22"/>
  <c r="K55" i="24"/>
  <c r="L52" i="24"/>
  <c r="L54" i="24" s="1"/>
  <c r="L56" i="23"/>
  <c r="K56" i="21" l="1"/>
  <c r="G59" i="21" s="1"/>
  <c r="L55" i="21"/>
  <c r="L56" i="21" s="1"/>
  <c r="K56" i="24"/>
  <c r="G59" i="24" s="1"/>
  <c r="L55" i="24"/>
  <c r="L56" i="24" s="1"/>
  <c r="M42" i="5" l="1"/>
  <c r="M41" i="5"/>
  <c r="M27" i="5"/>
  <c r="M26" i="5"/>
  <c r="M25" i="5"/>
  <c r="M24" i="5"/>
  <c r="M23" i="5"/>
  <c r="BB74" i="16" l="1"/>
  <c r="C20" i="5" l="1"/>
  <c r="C17" i="5"/>
  <c r="C14" i="5"/>
  <c r="C11" i="5"/>
  <c r="C7" i="5"/>
  <c r="Q73" i="16" l="1"/>
  <c r="Q76" i="16" s="1"/>
  <c r="Q78" i="16" l="1"/>
  <c r="R73" i="16"/>
  <c r="D76" i="16"/>
  <c r="R76" i="16" l="1"/>
  <c r="R78" i="16" s="1"/>
  <c r="K28" i="5"/>
  <c r="K30" i="5" s="1"/>
  <c r="C43" i="5"/>
  <c r="C56" i="5" s="1"/>
  <c r="C27" i="5"/>
  <c r="C22" i="5"/>
  <c r="C30" i="5" s="1"/>
  <c r="S73" i="16" l="1"/>
  <c r="S76" i="16" s="1"/>
  <c r="T73" i="16" s="1"/>
  <c r="T76" i="16" s="1"/>
  <c r="C32" i="5"/>
  <c r="C34" i="5" s="1"/>
  <c r="H7" i="5" s="1"/>
  <c r="S78" i="16" l="1"/>
  <c r="J7" i="5"/>
  <c r="I7" i="5"/>
  <c r="I14" i="5" s="1"/>
  <c r="C59" i="5"/>
  <c r="C61" i="5" s="1"/>
  <c r="C63" i="5" s="1"/>
  <c r="H9" i="5"/>
  <c r="T78" i="16"/>
  <c r="U73" i="16"/>
  <c r="U76" i="16" s="1"/>
  <c r="U78" i="16" l="1"/>
  <c r="V73" i="16"/>
  <c r="V76" i="16" s="1"/>
  <c r="V78" i="16" l="1"/>
  <c r="W73" i="16"/>
  <c r="W76" i="16" s="1"/>
  <c r="W78" i="16" s="1"/>
  <c r="X73" i="16" l="1"/>
  <c r="X76" i="16" s="1"/>
  <c r="X78" i="16" l="1"/>
  <c r="Y73" i="16"/>
  <c r="Y76" i="16" s="1"/>
  <c r="AI73" i="16" s="1"/>
  <c r="AI76" i="16" s="1"/>
  <c r="AI78" i="16" l="1"/>
  <c r="AU73" i="16"/>
  <c r="AU76" i="16" s="1"/>
  <c r="AU78" i="16" s="1"/>
  <c r="Z73" i="16"/>
  <c r="Z76" i="16" s="1"/>
  <c r="AJ73" i="16" s="1"/>
  <c r="AJ76" i="16" s="1"/>
  <c r="Y78" i="16"/>
  <c r="AJ78" i="16" l="1"/>
  <c r="AV73" i="16"/>
  <c r="AV76" i="16" s="1"/>
  <c r="AV78" i="16" s="1"/>
  <c r="Z78" i="16"/>
  <c r="AA73" i="16"/>
  <c r="AA76" i="16" s="1"/>
  <c r="AC73" i="16" l="1"/>
  <c r="AC76" i="16" s="1"/>
  <c r="AK73" i="16"/>
  <c r="AK76" i="16" s="1"/>
  <c r="AK78" i="16" s="1"/>
  <c r="AB73" i="16"/>
  <c r="AB76" i="16" s="1"/>
  <c r="AA78" i="16"/>
  <c r="AM73" i="16" l="1"/>
  <c r="AM76" i="16" s="1"/>
  <c r="AM78" i="16" s="1"/>
  <c r="AN73" i="16"/>
  <c r="AN76" i="16" s="1"/>
  <c r="AN78" i="16" s="1"/>
  <c r="AL73" i="16"/>
  <c r="AL76" i="16" s="1"/>
  <c r="AL78" i="16" s="1"/>
  <c r="AE73" i="16"/>
  <c r="AE76" i="16" s="1"/>
  <c r="AC78" i="16"/>
  <c r="AG73" i="16"/>
  <c r="AG76" i="16" s="1"/>
  <c r="AH73" i="16"/>
  <c r="AH76" i="16" s="1"/>
  <c r="AB78" i="16"/>
  <c r="AD73" i="16"/>
  <c r="AD76" i="16" s="1"/>
  <c r="C1485" i="5"/>
  <c r="AH78" i="16" l="1"/>
  <c r="AT73" i="16"/>
  <c r="AT76" i="16" s="1"/>
  <c r="AT78" i="16" s="1"/>
  <c r="AG78" i="16"/>
  <c r="AS73" i="16"/>
  <c r="AS76" i="16" s="1"/>
  <c r="AS78" i="16" s="1"/>
  <c r="AO73" i="16"/>
  <c r="AO76" i="16" s="1"/>
  <c r="AO78" i="16" s="1"/>
  <c r="AP73" i="16"/>
  <c r="AP76" i="16" s="1"/>
  <c r="AP78" i="16" s="1"/>
  <c r="AE78" i="16"/>
  <c r="AQ73" i="16"/>
  <c r="AQ76" i="16" s="1"/>
  <c r="AQ78" i="16" s="1"/>
  <c r="AD78" i="16"/>
  <c r="AF73" i="16"/>
  <c r="AF76" i="16" s="1"/>
  <c r="AR73" i="16" s="1"/>
  <c r="AR76" i="16" s="1"/>
  <c r="AR78" i="16" s="1"/>
  <c r="AF78" i="16" l="1"/>
  <c r="F1" i="5" l="1"/>
  <c r="I44" i="5" l="1"/>
  <c r="I43" i="5" l="1"/>
  <c r="I42" i="5"/>
  <c r="I40" i="5"/>
  <c r="I41" i="5" l="1"/>
  <c r="I37" i="5" l="1"/>
  <c r="G34" i="5"/>
  <c r="I39" i="5"/>
  <c r="I45" i="5" l="1"/>
  <c r="H53" i="5" s="1"/>
  <c r="G45" i="5"/>
  <c r="I32" i="5"/>
  <c r="I53" i="5" s="1"/>
  <c r="I33" i="5" l="1"/>
  <c r="I46" i="5"/>
  <c r="G47" i="5"/>
  <c r="M39" i="5" l="1"/>
  <c r="M38" i="5"/>
  <c r="M40" i="5"/>
  <c r="M37" i="5" l="1"/>
  <c r="M28" i="5"/>
  <c r="M29" i="5" s="1"/>
  <c r="M36" i="5" l="1"/>
  <c r="M43" i="5" s="1"/>
  <c r="J53" i="5" s="1"/>
  <c r="K43" i="5"/>
  <c r="K5" i="5" s="1"/>
  <c r="K9" i="5" s="1"/>
  <c r="K53" i="5"/>
  <c r="J61" i="5" l="1"/>
  <c r="L53" i="5"/>
  <c r="L5" i="5"/>
  <c r="M44" i="5"/>
  <c r="K45" i="5"/>
  <c r="H11" i="5" l="1"/>
  <c r="L11" i="5" s="1"/>
  <c r="H10" i="5"/>
  <c r="K10" i="5" l="1"/>
  <c r="H12" i="5"/>
  <c r="H14" i="5" s="1"/>
  <c r="I52" i="5" l="1"/>
  <c r="I55" i="5" s="1"/>
  <c r="AO7" i="16" s="1"/>
  <c r="J14" i="5"/>
  <c r="K52" i="5" l="1"/>
  <c r="K55" i="5" s="1"/>
  <c r="J15" i="5"/>
  <c r="D7" i="16" l="1"/>
  <c r="C7" i="16"/>
  <c r="AA10" i="16"/>
  <c r="K12" i="5"/>
  <c r="H52" i="5" s="1"/>
  <c r="L9" i="5"/>
  <c r="L12" i="5" s="1"/>
  <c r="J52" i="5" s="1"/>
  <c r="C10" i="16" l="1"/>
  <c r="D10" i="16"/>
  <c r="L52" i="5"/>
  <c r="H55" i="5"/>
  <c r="AO6" i="16" s="1"/>
  <c r="L14" i="5"/>
  <c r="J55" i="5"/>
  <c r="H15" i="5"/>
  <c r="K14" i="5"/>
  <c r="L55" i="5" l="1"/>
  <c r="K56" i="5"/>
  <c r="L15" i="5"/>
  <c r="L54" i="5"/>
  <c r="I56" i="5" l="1"/>
  <c r="G59" i="5" s="1"/>
  <c r="L56" i="5"/>
  <c r="C9" i="16" l="1"/>
  <c r="D9" i="16"/>
  <c r="Q38" i="16" l="1"/>
  <c r="Q40" i="16" s="1"/>
  <c r="Q43" i="16" l="1"/>
  <c r="Q45" i="16" l="1"/>
  <c r="R38" i="16"/>
  <c r="R40" i="16" s="1"/>
  <c r="R43" i="16" l="1"/>
  <c r="S38" i="16" s="1"/>
  <c r="R45" i="16" l="1"/>
  <c r="S40" i="16"/>
  <c r="S43" i="16" l="1"/>
  <c r="S45" i="16" s="1"/>
  <c r="T38" i="16" l="1"/>
  <c r="T40" i="16" l="1"/>
  <c r="T43" i="16" l="1"/>
  <c r="T45" i="16" s="1"/>
  <c r="U38" i="16" l="1"/>
  <c r="U40" i="16" s="1"/>
  <c r="U43" i="16" l="1"/>
  <c r="V38" i="16" s="1"/>
  <c r="V40" i="16" s="1"/>
  <c r="U45" i="16" l="1"/>
  <c r="V43" i="16"/>
  <c r="V45" i="16" s="1"/>
  <c r="W38" i="16" l="1"/>
  <c r="W40" i="16" s="1"/>
  <c r="W43" i="16" l="1"/>
  <c r="W45" i="16" l="1"/>
  <c r="X38" i="16"/>
  <c r="X40" i="16" s="1"/>
  <c r="X43" i="16" l="1"/>
  <c r="Y38" i="16" s="1"/>
  <c r="Y40" i="16" s="1"/>
  <c r="X45" i="16" l="1"/>
  <c r="Y43" i="16" l="1"/>
  <c r="Z38" i="16" s="1"/>
  <c r="Y45" i="16" l="1"/>
  <c r="Z40" i="16"/>
  <c r="Z43" i="16" l="1"/>
  <c r="Z45" i="16" s="1"/>
  <c r="AA38" i="16" l="1"/>
  <c r="AA40" i="16" s="1"/>
  <c r="AA43" i="16" l="1"/>
  <c r="AA45" i="16" l="1"/>
  <c r="AB38" i="16"/>
  <c r="AB40" i="16" l="1"/>
  <c r="AB43" i="16" s="1"/>
  <c r="D40" i="16" l="1"/>
  <c r="D43" i="16" s="1"/>
  <c r="C40" i="16"/>
  <c r="C43" i="16" s="1"/>
  <c r="AB45" i="16" l="1"/>
  <c r="AC38" i="16"/>
  <c r="AC40" i="16" l="1"/>
  <c r="AC43" i="16" s="1"/>
  <c r="AC45" i="16" l="1"/>
  <c r="AD38" i="16"/>
  <c r="AD40" i="16"/>
  <c r="AD43" i="16" l="1"/>
  <c r="AE38" i="16" l="1"/>
  <c r="AD45" i="16"/>
  <c r="AE40" i="16" l="1"/>
  <c r="AE43" i="16" l="1"/>
  <c r="AF38" i="16" l="1"/>
  <c r="AF40" i="16" s="1"/>
  <c r="AE45" i="16"/>
  <c r="AF43" i="16" l="1"/>
  <c r="AG38" i="16" l="1"/>
  <c r="AG40" i="16" s="1"/>
  <c r="AG43" i="16" s="1"/>
  <c r="AF45" i="16"/>
  <c r="AG45" i="16" l="1"/>
  <c r="AH38" i="16"/>
  <c r="AH40" i="16" s="1"/>
  <c r="AH43" i="16" s="1"/>
  <c r="AI38" i="16" s="1"/>
  <c r="AI40" i="16" l="1"/>
  <c r="AI43" i="16" s="1"/>
  <c r="AH45" i="16"/>
  <c r="AI45" i="16" l="1"/>
  <c r="AJ38" i="16"/>
  <c r="AJ40" i="16" s="1"/>
  <c r="AJ43" i="16" l="1"/>
  <c r="AJ45" i="16" l="1"/>
  <c r="AK38" i="16"/>
  <c r="AK40" i="16" s="1"/>
  <c r="AK43" i="16" l="1"/>
  <c r="AK45" i="16" l="1"/>
  <c r="AL38" i="16"/>
  <c r="AL40" i="16" l="1"/>
  <c r="AL43" i="16" l="1"/>
  <c r="AM38" i="16" l="1"/>
  <c r="AM40" i="16" s="1"/>
  <c r="AL45" i="16"/>
  <c r="AM43" i="16" l="1"/>
  <c r="AN38" i="16" s="1"/>
  <c r="AN40" i="16" s="1"/>
  <c r="AN43" i="16" l="1"/>
  <c r="AM45" i="16"/>
  <c r="AN45" i="16" l="1"/>
  <c r="AO38" i="16"/>
  <c r="AO40" i="16" s="1"/>
  <c r="F1" i="24"/>
  <c r="AO43" i="16" l="1"/>
  <c r="AP38" i="16" s="1"/>
  <c r="AP40" i="16" s="1"/>
  <c r="AP43" i="16" s="1"/>
  <c r="Q5" i="16"/>
  <c r="AP45" i="16" l="1"/>
  <c r="AQ38" i="16"/>
  <c r="AQ40" i="16" s="1"/>
  <c r="AO45" i="16"/>
  <c r="Q8" i="16"/>
  <c r="Q13" i="16" s="1"/>
  <c r="Q15" i="16" l="1"/>
  <c r="R5" i="16"/>
  <c r="R8" i="16" s="1"/>
  <c r="AQ43" i="16" l="1"/>
  <c r="AR38" i="16" s="1"/>
  <c r="R13" i="16"/>
  <c r="S5" i="16" s="1"/>
  <c r="S8" i="16" s="1"/>
  <c r="AR40" i="16" l="1"/>
  <c r="AQ45" i="16"/>
  <c r="R15" i="16"/>
  <c r="AR43" i="16" l="1"/>
  <c r="S13" i="16"/>
  <c r="AS38" i="16" l="1"/>
  <c r="AT38" i="16"/>
  <c r="AS40" i="16"/>
  <c r="AS43" i="16"/>
  <c r="AR45" i="16"/>
  <c r="T5" i="16"/>
  <c r="T8" i="16" s="1"/>
  <c r="S15" i="16"/>
  <c r="AS45" i="16" l="1"/>
  <c r="T13" i="16"/>
  <c r="T15" i="16" s="1"/>
  <c r="AT40" i="16" l="1"/>
  <c r="AT43" i="16" s="1"/>
  <c r="AU38" i="16" s="1"/>
  <c r="U5" i="16"/>
  <c r="U8" i="16" s="1"/>
  <c r="AU40" i="16" l="1"/>
  <c r="AU43" i="16" s="1"/>
  <c r="AV38" i="16" s="1"/>
  <c r="AT45" i="16"/>
  <c r="U13" i="16"/>
  <c r="V5" i="16" s="1"/>
  <c r="V8" i="16" s="1"/>
  <c r="AA11" i="16" s="1"/>
  <c r="D11" i="16" s="1"/>
  <c r="AV40" i="16" l="1"/>
  <c r="AU45" i="16"/>
  <c r="U15" i="16"/>
  <c r="C11" i="16"/>
  <c r="AV43" i="16" l="1"/>
  <c r="AV45" i="16" s="1"/>
  <c r="BB35" i="16"/>
  <c r="BA36" i="16"/>
  <c r="BA37" i="16"/>
  <c r="BB37" i="16"/>
  <c r="BB41" i="16"/>
  <c r="V13" i="16"/>
  <c r="W5" i="16" l="1"/>
  <c r="V15" i="16"/>
  <c r="W8" i="16" l="1"/>
  <c r="W13" i="16" l="1"/>
  <c r="W15" i="16" s="1"/>
  <c r="X5" i="16" l="1"/>
  <c r="X8" i="16" s="1"/>
  <c r="X13" i="16" l="1"/>
  <c r="Y5" i="16" s="1"/>
  <c r="X15" i="16" l="1"/>
  <c r="Y8" i="16"/>
  <c r="Y13" i="16" l="1"/>
  <c r="Y15" i="16" s="1"/>
  <c r="Z5" i="16" l="1"/>
  <c r="Z8" i="16" s="1"/>
  <c r="Z13" i="16" l="1"/>
  <c r="AA5" i="16" s="1"/>
  <c r="AA8" i="16" s="1"/>
  <c r="Z15" i="16" l="1"/>
  <c r="AA13" i="16"/>
  <c r="AA15" i="16" l="1"/>
  <c r="AB5" i="16"/>
  <c r="AB8" i="16" l="1"/>
  <c r="D8" i="16" l="1"/>
  <c r="D13" i="16" s="1"/>
  <c r="C8" i="16"/>
  <c r="C13" i="16" s="1"/>
  <c r="AB13" i="16"/>
  <c r="AC5" i="16" s="1"/>
  <c r="AC13" i="16" s="1"/>
  <c r="AC15" i="16" l="1"/>
  <c r="AD5" i="16"/>
  <c r="AB15" i="16"/>
  <c r="AD13" i="16" l="1"/>
  <c r="AE5" i="16" l="1"/>
  <c r="AE13" i="16" s="1"/>
  <c r="AD15" i="16"/>
  <c r="AF5" i="16" l="1"/>
  <c r="AF13" i="16" s="1"/>
  <c r="AE15" i="16"/>
  <c r="AF15" i="16" l="1"/>
  <c r="AG5" i="16"/>
  <c r="AG13" i="16" l="1"/>
  <c r="AH5" i="16" l="1"/>
  <c r="AH13" i="16" s="1"/>
  <c r="AI5" i="16" s="1"/>
  <c r="AG15" i="16"/>
  <c r="AH15" i="16" l="1"/>
  <c r="AI13" i="16" l="1"/>
  <c r="AI15" i="16" l="1"/>
  <c r="AJ5" i="16"/>
  <c r="AJ13" i="16" l="1"/>
  <c r="AJ15" i="16" l="1"/>
  <c r="AK5" i="16"/>
  <c r="AK13" i="16" l="1"/>
  <c r="AL5" i="16" s="1"/>
  <c r="AK15" i="16" l="1"/>
  <c r="AL13" i="16"/>
  <c r="AM5" i="16" l="1"/>
  <c r="AL15" i="16"/>
  <c r="AM13" i="16" l="1"/>
  <c r="AN5" i="16" s="1"/>
  <c r="AM15" i="16" l="1"/>
  <c r="AN13" i="16" l="1"/>
  <c r="AN15" i="16" l="1"/>
  <c r="AO5" i="16"/>
  <c r="AO8" i="16" s="1"/>
  <c r="AO13" i="16" l="1"/>
  <c r="AP5" i="16" s="1"/>
  <c r="AP8" i="16" s="1"/>
  <c r="AP13" i="16" l="1"/>
  <c r="AP15" i="16" s="1"/>
  <c r="AO15" i="16"/>
  <c r="AQ5" i="16" l="1"/>
  <c r="AQ8" i="16" s="1"/>
  <c r="AQ13" i="16" l="1"/>
  <c r="AR5" i="16" s="1"/>
  <c r="AQ15" i="16" l="1"/>
  <c r="AR8" i="16"/>
  <c r="AR13" i="16" l="1"/>
  <c r="AT5" i="16" s="1"/>
  <c r="AS5" i="16" l="1"/>
  <c r="AS8" i="16" s="1"/>
  <c r="AT8" i="16"/>
  <c r="AR15" i="16"/>
  <c r="AS13" i="16" l="1"/>
  <c r="AS15" i="16" l="1"/>
  <c r="AT13" i="16" l="1"/>
  <c r="AU5" i="16" s="1"/>
  <c r="AU8" i="16" l="1"/>
  <c r="AU13" i="16"/>
  <c r="AV5" i="16" s="1"/>
  <c r="AT15" i="16"/>
  <c r="AU15" i="16" l="1"/>
  <c r="AV8" i="16" l="1"/>
  <c r="AV13" i="16" l="1"/>
  <c r="AV15" i="16" s="1"/>
  <c r="BA6" i="16"/>
  <c r="BB5" i="16"/>
  <c r="BB7" i="16"/>
  <c r="BA7" i="16"/>
  <c r="H61" i="24" l="1"/>
  <c r="BB11" i="16"/>
  <c r="I61" i="24" s="1"/>
  <c r="H61" i="22"/>
  <c r="H61" i="20"/>
  <c r="H61" i="21"/>
  <c r="H63" i="44"/>
  <c r="H61" i="23"/>
  <c r="H61" i="19"/>
  <c r="H61" i="5"/>
  <c r="I63" i="44" l="1"/>
  <c r="I64" i="44" s="1"/>
  <c r="I61" i="21"/>
  <c r="I62" i="21" s="1"/>
  <c r="I61" i="23"/>
  <c r="I62" i="23" s="1"/>
  <c r="I61" i="20"/>
  <c r="I62" i="20" s="1"/>
  <c r="I62" i="24"/>
  <c r="I61" i="19"/>
  <c r="I62" i="19" s="1"/>
  <c r="I61" i="5"/>
  <c r="I62" i="5" s="1"/>
  <c r="I61" i="22"/>
  <c r="I62" i="22" s="1"/>
</calcChain>
</file>

<file path=xl/comments1.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C30" authorId="1" shapeId="0">
      <text>
        <r>
          <rPr>
            <b/>
            <sz val="9"/>
            <color indexed="81"/>
            <rFont val="Tahoma"/>
            <family val="2"/>
          </rPr>
          <t>Berg, Jenny:</t>
        </r>
        <r>
          <rPr>
            <sz val="9"/>
            <color indexed="81"/>
            <rFont val="Tahoma"/>
            <family val="2"/>
          </rPr>
          <t xml:space="preserve">
adjust for penny rounding</t>
        </r>
      </text>
    </comment>
  </commentList>
</comments>
</file>

<file path=xl/comments2.xml><?xml version="1.0" encoding="utf-8"?>
<comments xmlns="http://schemas.openxmlformats.org/spreadsheetml/2006/main">
  <authors>
    <author>Berg, Jenny</author>
    <author>MGG9990</author>
  </authors>
  <commentList>
    <comment ref="A3" authorId="0" shapeId="0">
      <text>
        <r>
          <rPr>
            <b/>
            <sz val="9"/>
            <color indexed="81"/>
            <rFont val="Tahoma"/>
            <family val="2"/>
          </rPr>
          <t>Berg, Jenny:</t>
        </r>
        <r>
          <rPr>
            <sz val="9"/>
            <color indexed="81"/>
            <rFont val="Tahoma"/>
            <family val="2"/>
          </rPr>
          <t xml:space="preserve">
Transportation = amount of capacity in the pipeline.</t>
        </r>
      </text>
    </comment>
    <comment ref="I5" authorId="1" shapeId="0">
      <text>
        <r>
          <rPr>
            <sz val="8"/>
            <color indexed="81"/>
            <rFont val="Tahoma"/>
            <family val="2"/>
          </rPr>
          <t>Updated once per year; email (5 Day Peak Allocator) to be provided by rates with a memo on the allocation %. Usually changes effective Nov. 1.</t>
        </r>
      </text>
    </comment>
  </commentList>
</comments>
</file>

<file path=xl/comments3.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4.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5.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6.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7.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8.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9.xml><?xml version="1.0" encoding="utf-8"?>
<comments xmlns="http://schemas.openxmlformats.org/spreadsheetml/2006/main">
  <authors>
    <author>Berg, Jenny</author>
    <author>KM</author>
  </authors>
  <commentList>
    <comment ref="D3" authorId="0" shapeId="0">
      <text>
        <r>
          <rPr>
            <b/>
            <sz val="9"/>
            <color indexed="81"/>
            <rFont val="Tahoma"/>
            <family val="2"/>
          </rPr>
          <t>Berg, Jenny:</t>
        </r>
        <r>
          <rPr>
            <sz val="9"/>
            <color indexed="81"/>
            <rFont val="Tahoma"/>
            <family val="2"/>
          </rPr>
          <t xml:space="preserve">
Beginning 201701</t>
        </r>
      </text>
    </comment>
    <comment ref="AT3" authorId="1" shapeId="0">
      <text>
        <r>
          <rPr>
            <b/>
            <sz val="9"/>
            <color indexed="81"/>
            <rFont val="Tahoma"/>
            <family val="2"/>
          </rPr>
          <t>KM:</t>
        </r>
        <r>
          <rPr>
            <sz val="9"/>
            <color indexed="81"/>
            <rFont val="Tahoma"/>
            <family val="2"/>
          </rPr>
          <t xml:space="preserve">
201905 Entitlement Penalty input under AN on monthly tab, which resulted in incorrect allocation of that item to WA/ID. 
The Entitlement Penalty had specific dollars listed for both WA &amp; ID, therefore needed to be input into each state's section on monthly tab in order to get allocated to each state correctly.
"201905 Revised" is what should have been recorded if allocation had been done correctly.
True up entry for both WA &amp; ID will be recorded with JE in 201906</t>
        </r>
      </text>
    </comment>
    <comment ref="AC7" authorId="0" shapeId="0">
      <text>
        <r>
          <rPr>
            <b/>
            <sz val="9"/>
            <color indexed="81"/>
            <rFont val="Tahoma"/>
            <family val="2"/>
          </rPr>
          <t>Berg, Jenny:</t>
        </r>
        <r>
          <rPr>
            <sz val="9"/>
            <color indexed="81"/>
            <rFont val="Tahoma"/>
            <family val="2"/>
          </rPr>
          <t xml:space="preserve">
updated 4/25/18</t>
        </r>
      </text>
    </comment>
    <comment ref="O8" authorId="0" shapeId="0">
      <text>
        <r>
          <rPr>
            <b/>
            <sz val="9"/>
            <color indexed="81"/>
            <rFont val="Tahoma"/>
            <family val="2"/>
          </rPr>
          <t xml:space="preserve">MGG9990:
</t>
        </r>
        <r>
          <rPr>
            <sz val="9"/>
            <color indexed="81"/>
            <rFont val="Tahoma"/>
            <family val="2"/>
          </rPr>
          <t>Interest Calculation Includes Transfer in beginning balance</t>
        </r>
      </text>
    </comment>
    <comment ref="AA8" authorId="0" shapeId="0">
      <text>
        <r>
          <rPr>
            <b/>
            <sz val="9"/>
            <color indexed="81"/>
            <rFont val="Tahoma"/>
            <family val="2"/>
          </rPr>
          <t xml:space="preserve">MGG9990:
</t>
        </r>
        <r>
          <rPr>
            <sz val="9"/>
            <color indexed="81"/>
            <rFont val="Tahoma"/>
            <family val="2"/>
          </rPr>
          <t>Interest Calculation Includes Transfer in beginning balance</t>
        </r>
      </text>
    </comment>
    <comment ref="AM8" authorId="0" shapeId="0">
      <text>
        <r>
          <rPr>
            <b/>
            <sz val="9"/>
            <color indexed="81"/>
            <rFont val="Tahoma"/>
            <family val="2"/>
          </rPr>
          <t>Berg, Jenny:</t>
        </r>
        <r>
          <rPr>
            <sz val="9"/>
            <color indexed="81"/>
            <rFont val="Tahoma"/>
            <family val="2"/>
          </rPr>
          <t xml:space="preserve">
Interest calculation already includes credit transfer in beginning balance, so also pick up debit transfer amounts.  This will allow for no impact on interest calculation.  Will be included in amortization section.</t>
        </r>
      </text>
    </comment>
    <comment ref="O12" authorId="0" shapeId="0">
      <text>
        <r>
          <rPr>
            <b/>
            <sz val="9"/>
            <color indexed="81"/>
            <rFont val="Tahoma"/>
            <family val="2"/>
          </rPr>
          <t>Berg, Jenny:</t>
        </r>
        <r>
          <rPr>
            <sz val="9"/>
            <color indexed="81"/>
            <rFont val="Tahoma"/>
            <family val="2"/>
          </rPr>
          <t xml:space="preserve">
"plug" to get to Ryan's balance of $14,182,183.96</t>
        </r>
      </text>
    </comment>
    <comment ref="AA12" authorId="0" shapeId="0">
      <text>
        <r>
          <rPr>
            <b/>
            <sz val="9"/>
            <color indexed="81"/>
            <rFont val="Tahoma"/>
            <family val="2"/>
          </rPr>
          <t>Berg, Jenny:</t>
        </r>
        <r>
          <rPr>
            <sz val="9"/>
            <color indexed="81"/>
            <rFont val="Tahoma"/>
            <family val="2"/>
          </rPr>
          <t xml:space="preserve">
Dec/Jan Rate Schedule 146 difference per Rates
Added in order to tie to Annette's balance of $14,771,212.55</t>
        </r>
      </text>
    </comment>
    <comment ref="J14" authorId="0" shapeId="0">
      <text>
        <r>
          <rPr>
            <b/>
            <sz val="9"/>
            <color indexed="81"/>
            <rFont val="Tahoma"/>
            <family val="2"/>
          </rPr>
          <t>Berg, Jenny:</t>
        </r>
        <r>
          <rPr>
            <sz val="9"/>
            <color indexed="81"/>
            <rFont val="Tahoma"/>
            <family val="2"/>
          </rPr>
          <t xml:space="preserve">
Ryan's balance = 
$14,182,183.96</t>
        </r>
      </text>
    </comment>
    <comment ref="V14" authorId="0" shapeId="0">
      <text>
        <r>
          <rPr>
            <b/>
            <sz val="9"/>
            <color indexed="81"/>
            <rFont val="Tahoma"/>
            <family val="2"/>
          </rPr>
          <t>Berg, Jenny:</t>
        </r>
        <r>
          <rPr>
            <sz val="9"/>
            <color indexed="81"/>
            <rFont val="Tahoma"/>
            <family val="2"/>
          </rPr>
          <t xml:space="preserve">
Annette's balance = $14,771,212.55.
Difference = $35.15 and noted under Misc Adjustments in November.</t>
        </r>
      </text>
    </comment>
    <comment ref="O39" authorId="0" shapeId="0">
      <text>
        <r>
          <rPr>
            <b/>
            <sz val="9"/>
            <color indexed="81"/>
            <rFont val="Tahoma"/>
            <family val="2"/>
          </rPr>
          <t>Berg, Jenny:</t>
        </r>
        <r>
          <rPr>
            <sz val="9"/>
            <color indexed="81"/>
            <rFont val="Tahoma"/>
            <family val="2"/>
          </rPr>
          <t xml:space="preserve">
Amortization of Commodity &amp; Demand…increases in '16 b/c of change in rate from .02571 to .09174</t>
        </r>
      </text>
    </comment>
    <comment ref="P39" authorId="0" shapeId="0">
      <text>
        <r>
          <rPr>
            <b/>
            <sz val="9"/>
            <color indexed="81"/>
            <rFont val="Tahoma"/>
            <family val="2"/>
          </rPr>
          <t>Berg, Jenny:</t>
        </r>
        <r>
          <rPr>
            <sz val="9"/>
            <color indexed="81"/>
            <rFont val="Tahoma"/>
            <family val="2"/>
          </rPr>
          <t xml:space="preserve">
Amortization of Commodity &amp; Demand</t>
        </r>
      </text>
    </comment>
    <comment ref="AA39" authorId="0" shapeId="0">
      <text>
        <r>
          <rPr>
            <b/>
            <sz val="9"/>
            <color indexed="81"/>
            <rFont val="Tahoma"/>
            <family val="2"/>
          </rPr>
          <t>Berg, Jenny:</t>
        </r>
        <r>
          <rPr>
            <sz val="9"/>
            <color indexed="81"/>
            <rFont val="Tahoma"/>
            <family val="2"/>
          </rPr>
          <t xml:space="preserve">
Amortization of Commodity &amp; Demand…</t>
        </r>
      </text>
    </comment>
    <comment ref="AB39" authorId="0" shapeId="0">
      <text>
        <r>
          <rPr>
            <b/>
            <sz val="9"/>
            <color indexed="81"/>
            <rFont val="Tahoma"/>
            <family val="2"/>
          </rPr>
          <t>Berg, Jenny:</t>
        </r>
        <r>
          <rPr>
            <sz val="9"/>
            <color indexed="81"/>
            <rFont val="Tahoma"/>
            <family val="2"/>
          </rPr>
          <t xml:space="preserve">
Amortization of Commodity &amp; Demand</t>
        </r>
      </text>
    </comment>
    <comment ref="AC39" authorId="0" shapeId="0">
      <text>
        <r>
          <rPr>
            <b/>
            <sz val="9"/>
            <color indexed="81"/>
            <rFont val="Tahoma"/>
            <family val="2"/>
          </rPr>
          <t>Berg, Jenny:</t>
        </r>
        <r>
          <rPr>
            <sz val="9"/>
            <color indexed="81"/>
            <rFont val="Tahoma"/>
            <family val="2"/>
          </rPr>
          <t xml:space="preserve">
Amortization of Commodity &amp; Demand</t>
        </r>
      </text>
    </comment>
    <comment ref="AD39" authorId="0" shapeId="0">
      <text>
        <r>
          <rPr>
            <b/>
            <sz val="9"/>
            <color indexed="81"/>
            <rFont val="Tahoma"/>
            <family val="2"/>
          </rPr>
          <t>Berg, Jenny:</t>
        </r>
        <r>
          <rPr>
            <sz val="9"/>
            <color indexed="81"/>
            <rFont val="Tahoma"/>
            <family val="2"/>
          </rPr>
          <t xml:space="preserve">
Amortization of Commodity &amp; Demand</t>
        </r>
      </text>
    </comment>
    <comment ref="AE39" authorId="0" shapeId="0">
      <text>
        <r>
          <rPr>
            <b/>
            <sz val="9"/>
            <color indexed="81"/>
            <rFont val="Tahoma"/>
            <family val="2"/>
          </rPr>
          <t>Berg, Jenny:</t>
        </r>
        <r>
          <rPr>
            <sz val="9"/>
            <color indexed="81"/>
            <rFont val="Tahoma"/>
            <family val="2"/>
          </rPr>
          <t xml:space="preserve">
Amortization of Commodity &amp; Demand</t>
        </r>
      </text>
    </comment>
    <comment ref="AF39" authorId="0" shapeId="0">
      <text>
        <r>
          <rPr>
            <b/>
            <sz val="9"/>
            <color indexed="81"/>
            <rFont val="Tahoma"/>
            <family val="2"/>
          </rPr>
          <t>Berg, Jenny:</t>
        </r>
        <r>
          <rPr>
            <sz val="9"/>
            <color indexed="81"/>
            <rFont val="Tahoma"/>
            <family val="2"/>
          </rPr>
          <t xml:space="preserve">
Amortization of Commodity &amp; Demand</t>
        </r>
      </text>
    </comment>
    <comment ref="AG39" authorId="0" shapeId="0">
      <text>
        <r>
          <rPr>
            <b/>
            <sz val="9"/>
            <color indexed="81"/>
            <rFont val="Tahoma"/>
            <family val="2"/>
          </rPr>
          <t>Berg, Jenny:</t>
        </r>
        <r>
          <rPr>
            <sz val="9"/>
            <color indexed="81"/>
            <rFont val="Tahoma"/>
            <family val="2"/>
          </rPr>
          <t xml:space="preserve">
Amortization of Commodity &amp; Demand</t>
        </r>
      </text>
    </comment>
    <comment ref="AH39" authorId="0" shapeId="0">
      <text>
        <r>
          <rPr>
            <b/>
            <sz val="9"/>
            <color indexed="81"/>
            <rFont val="Tahoma"/>
            <family val="2"/>
          </rPr>
          <t>Berg, Jenny:</t>
        </r>
        <r>
          <rPr>
            <sz val="9"/>
            <color indexed="81"/>
            <rFont val="Tahoma"/>
            <family val="2"/>
          </rPr>
          <t xml:space="preserve">
Amortization of Commodity &amp; Demand</t>
        </r>
      </text>
    </comment>
    <comment ref="AI39" authorId="0" shapeId="0">
      <text>
        <r>
          <rPr>
            <b/>
            <sz val="9"/>
            <color indexed="81"/>
            <rFont val="Tahoma"/>
            <family val="2"/>
          </rPr>
          <t>Berg, Jenny:</t>
        </r>
        <r>
          <rPr>
            <sz val="9"/>
            <color indexed="81"/>
            <rFont val="Tahoma"/>
            <family val="2"/>
          </rPr>
          <t xml:space="preserve">
Amortization of Commodity &amp; Demand</t>
        </r>
      </text>
    </comment>
    <comment ref="AJ39" authorId="0" shapeId="0">
      <text>
        <r>
          <rPr>
            <b/>
            <sz val="9"/>
            <color indexed="81"/>
            <rFont val="Tahoma"/>
            <family val="2"/>
          </rPr>
          <t>Berg, Jenny:</t>
        </r>
        <r>
          <rPr>
            <sz val="9"/>
            <color indexed="81"/>
            <rFont val="Tahoma"/>
            <family val="2"/>
          </rPr>
          <t xml:space="preserve">
Amortization of Commodity &amp; Demand</t>
        </r>
      </text>
    </comment>
    <comment ref="AK39" authorId="0" shapeId="0">
      <text>
        <r>
          <rPr>
            <b/>
            <sz val="9"/>
            <color indexed="81"/>
            <rFont val="Tahoma"/>
            <family val="2"/>
          </rPr>
          <t>Berg, Jenny:</t>
        </r>
        <r>
          <rPr>
            <sz val="9"/>
            <color indexed="81"/>
            <rFont val="Tahoma"/>
            <family val="2"/>
          </rPr>
          <t xml:space="preserve">
Amortization of Commodity &amp; Demand</t>
        </r>
      </text>
    </comment>
    <comment ref="AL39" authorId="0" shapeId="0">
      <text>
        <r>
          <rPr>
            <b/>
            <sz val="9"/>
            <color indexed="81"/>
            <rFont val="Tahoma"/>
            <family val="2"/>
          </rPr>
          <t>Berg, Jenny:</t>
        </r>
        <r>
          <rPr>
            <sz val="9"/>
            <color indexed="81"/>
            <rFont val="Tahoma"/>
            <family val="2"/>
          </rPr>
          <t xml:space="preserve">
Amortization of Commodity &amp; Demand</t>
        </r>
      </text>
    </comment>
    <comment ref="AM39" authorId="0" shapeId="0">
      <text>
        <r>
          <rPr>
            <b/>
            <sz val="9"/>
            <color indexed="81"/>
            <rFont val="Tahoma"/>
            <family val="2"/>
          </rPr>
          <t>Berg, Jenny:</t>
        </r>
        <r>
          <rPr>
            <sz val="9"/>
            <color indexed="81"/>
            <rFont val="Tahoma"/>
            <family val="2"/>
          </rPr>
          <t xml:space="preserve">
Amortization of Commodity &amp; Demand</t>
        </r>
      </text>
    </comment>
    <comment ref="AN39" authorId="0" shapeId="0">
      <text>
        <r>
          <rPr>
            <b/>
            <sz val="9"/>
            <color indexed="81"/>
            <rFont val="Tahoma"/>
            <family val="2"/>
          </rPr>
          <t>Berg, Jenny:</t>
        </r>
        <r>
          <rPr>
            <sz val="9"/>
            <color indexed="81"/>
            <rFont val="Tahoma"/>
            <family val="2"/>
          </rPr>
          <t xml:space="preserve">
Amortization of Commodity &amp; Demand</t>
        </r>
      </text>
    </comment>
    <comment ref="AO39" authorId="0" shapeId="0">
      <text>
        <r>
          <rPr>
            <b/>
            <sz val="9"/>
            <color indexed="81"/>
            <rFont val="Tahoma"/>
            <family val="2"/>
          </rPr>
          <t>Berg, Jenny:</t>
        </r>
        <r>
          <rPr>
            <sz val="9"/>
            <color indexed="81"/>
            <rFont val="Tahoma"/>
            <family val="2"/>
          </rPr>
          <t xml:space="preserve">
Amortization of Commodity &amp; Demand</t>
        </r>
      </text>
    </comment>
    <comment ref="AP39" authorId="0" shapeId="0">
      <text>
        <r>
          <rPr>
            <b/>
            <sz val="9"/>
            <color indexed="81"/>
            <rFont val="Tahoma"/>
            <family val="2"/>
          </rPr>
          <t>Berg, Jenny:</t>
        </r>
        <r>
          <rPr>
            <sz val="9"/>
            <color indexed="81"/>
            <rFont val="Tahoma"/>
            <family val="2"/>
          </rPr>
          <t xml:space="preserve">
Amortization of Commodity &amp; Demand</t>
        </r>
      </text>
    </comment>
    <comment ref="AQ39" authorId="0" shapeId="0">
      <text>
        <r>
          <rPr>
            <b/>
            <sz val="9"/>
            <color indexed="81"/>
            <rFont val="Tahoma"/>
            <family val="2"/>
          </rPr>
          <t>Berg, Jenny:</t>
        </r>
        <r>
          <rPr>
            <sz val="9"/>
            <color indexed="81"/>
            <rFont val="Tahoma"/>
            <family val="2"/>
          </rPr>
          <t xml:space="preserve">
Amortization of Commodity &amp; Demand</t>
        </r>
      </text>
    </comment>
    <comment ref="AR39" authorId="0" shapeId="0">
      <text>
        <r>
          <rPr>
            <b/>
            <sz val="9"/>
            <color indexed="81"/>
            <rFont val="Tahoma"/>
            <family val="2"/>
          </rPr>
          <t>Berg, Jenny:</t>
        </r>
        <r>
          <rPr>
            <sz val="9"/>
            <color indexed="81"/>
            <rFont val="Tahoma"/>
            <family val="2"/>
          </rPr>
          <t xml:space="preserve">
Amortization of Commodity &amp; Demand</t>
        </r>
      </text>
    </comment>
    <comment ref="AS39" authorId="0" shapeId="0">
      <text>
        <r>
          <rPr>
            <b/>
            <sz val="9"/>
            <color indexed="81"/>
            <rFont val="Tahoma"/>
            <family val="2"/>
          </rPr>
          <t>Berg, Jenny:</t>
        </r>
        <r>
          <rPr>
            <sz val="9"/>
            <color indexed="81"/>
            <rFont val="Tahoma"/>
            <family val="2"/>
          </rPr>
          <t xml:space="preserve">
Amortization of Commodity &amp; Demand</t>
        </r>
      </text>
    </comment>
    <comment ref="AT39" authorId="0" shapeId="0">
      <text>
        <r>
          <rPr>
            <b/>
            <sz val="9"/>
            <color indexed="81"/>
            <rFont val="Tahoma"/>
            <family val="2"/>
          </rPr>
          <t>Berg, Jenny:</t>
        </r>
        <r>
          <rPr>
            <sz val="9"/>
            <color indexed="81"/>
            <rFont val="Tahoma"/>
            <family val="2"/>
          </rPr>
          <t xml:space="preserve">
Amortization of Commodity &amp; Demand</t>
        </r>
      </text>
    </comment>
    <comment ref="AU39" authorId="0" shapeId="0">
      <text>
        <r>
          <rPr>
            <b/>
            <sz val="9"/>
            <color indexed="81"/>
            <rFont val="Tahoma"/>
            <family val="2"/>
          </rPr>
          <t>Berg, Jenny:</t>
        </r>
        <r>
          <rPr>
            <sz val="9"/>
            <color indexed="81"/>
            <rFont val="Tahoma"/>
            <family val="2"/>
          </rPr>
          <t xml:space="preserve">
Amortization of Commodity &amp; Demand</t>
        </r>
      </text>
    </comment>
    <comment ref="AV39" authorId="0" shapeId="0">
      <text>
        <r>
          <rPr>
            <b/>
            <sz val="9"/>
            <color indexed="81"/>
            <rFont val="Tahoma"/>
            <family val="2"/>
          </rPr>
          <t>Berg, Jenny:</t>
        </r>
        <r>
          <rPr>
            <sz val="9"/>
            <color indexed="81"/>
            <rFont val="Tahoma"/>
            <family val="2"/>
          </rPr>
          <t xml:space="preserve">
Amortization of Commodity &amp; Demand</t>
        </r>
      </text>
    </comment>
    <comment ref="O40" authorId="0" shapeId="0">
      <text>
        <r>
          <rPr>
            <b/>
            <sz val="9"/>
            <color indexed="81"/>
            <rFont val="Tahoma"/>
            <family val="2"/>
          </rPr>
          <t>Berg, Jenny:</t>
        </r>
        <r>
          <rPr>
            <sz val="9"/>
            <color indexed="81"/>
            <rFont val="Tahoma"/>
            <family val="2"/>
          </rPr>
          <t xml:space="preserve">
interest calculation</t>
        </r>
      </text>
    </comment>
    <comment ref="P40" authorId="0" shapeId="0">
      <text>
        <r>
          <rPr>
            <b/>
            <sz val="9"/>
            <color indexed="81"/>
            <rFont val="Tahoma"/>
            <family val="2"/>
          </rPr>
          <t>Berg, Jenny:</t>
        </r>
        <r>
          <rPr>
            <sz val="9"/>
            <color indexed="81"/>
            <rFont val="Tahoma"/>
            <family val="2"/>
          </rPr>
          <t xml:space="preserve">
interest calculation</t>
        </r>
      </text>
    </comment>
    <comment ref="AA40" authorId="0" shapeId="0">
      <text>
        <r>
          <rPr>
            <b/>
            <sz val="9"/>
            <color indexed="81"/>
            <rFont val="Tahoma"/>
            <family val="2"/>
          </rPr>
          <t>Berg, Jenny:</t>
        </r>
        <r>
          <rPr>
            <sz val="9"/>
            <color indexed="81"/>
            <rFont val="Tahoma"/>
            <family val="2"/>
          </rPr>
          <t xml:space="preserve">
interest calculation</t>
        </r>
      </text>
    </comment>
    <comment ref="AB40" authorId="0" shapeId="0">
      <text>
        <r>
          <rPr>
            <b/>
            <sz val="9"/>
            <color indexed="81"/>
            <rFont val="Tahoma"/>
            <family val="2"/>
          </rPr>
          <t>Berg, Jenny:</t>
        </r>
        <r>
          <rPr>
            <sz val="9"/>
            <color indexed="81"/>
            <rFont val="Tahoma"/>
            <family val="2"/>
          </rPr>
          <t xml:space="preserve">
interest calculation</t>
        </r>
      </text>
    </comment>
    <comment ref="O41" authorId="0" shapeId="0">
      <text>
        <r>
          <rPr>
            <b/>
            <sz val="9"/>
            <color indexed="81"/>
            <rFont val="Tahoma"/>
            <family val="2"/>
          </rPr>
          <t>Berg, Jenny:</t>
        </r>
        <r>
          <rPr>
            <sz val="9"/>
            <color indexed="81"/>
            <rFont val="Tahoma"/>
            <family val="2"/>
          </rPr>
          <t xml:space="preserve">
Ryan's balance </t>
        </r>
      </text>
    </comment>
    <comment ref="AA41" authorId="0" shapeId="0">
      <text>
        <r>
          <rPr>
            <b/>
            <sz val="9"/>
            <color indexed="81"/>
            <rFont val="Tahoma"/>
            <family val="2"/>
          </rPr>
          <t>Berg, Jenny:</t>
        </r>
        <r>
          <rPr>
            <sz val="9"/>
            <color indexed="81"/>
            <rFont val="Tahoma"/>
            <family val="2"/>
          </rPr>
          <t xml:space="preserve">
Annette's balance </t>
        </r>
      </text>
    </comment>
    <comment ref="AM41" authorId="0" shapeId="0">
      <text>
        <r>
          <rPr>
            <b/>
            <sz val="9"/>
            <color indexed="81"/>
            <rFont val="Tahoma"/>
            <family val="2"/>
          </rPr>
          <t>Berg, Jenny:</t>
        </r>
        <r>
          <rPr>
            <sz val="9"/>
            <color indexed="81"/>
            <rFont val="Tahoma"/>
            <family val="2"/>
          </rPr>
          <t xml:space="preserve">
Balance transfer from 191010…matches Annette's balance.</t>
        </r>
      </text>
    </comment>
    <comment ref="O42" authorId="0" shapeId="0">
      <text>
        <r>
          <rPr>
            <b/>
            <sz val="9"/>
            <color indexed="81"/>
            <rFont val="Tahoma"/>
            <family val="2"/>
          </rPr>
          <t>Berg, Jenny:</t>
        </r>
        <r>
          <rPr>
            <sz val="9"/>
            <color indexed="81"/>
            <rFont val="Tahoma"/>
            <family val="2"/>
          </rPr>
          <t xml:space="preserve">
refund on "November 2016 Transfers" spreadsheet</t>
        </r>
      </text>
    </comment>
    <comment ref="AA42" authorId="0" shapeId="0">
      <text>
        <r>
          <rPr>
            <b/>
            <sz val="9"/>
            <color indexed="81"/>
            <rFont val="Tahoma"/>
            <family val="2"/>
          </rPr>
          <t>Berg, Jenny:</t>
        </r>
        <r>
          <rPr>
            <sz val="9"/>
            <color indexed="81"/>
            <rFont val="Tahoma"/>
            <family val="2"/>
          </rPr>
          <t xml:space="preserve">
refund on Temporary Refunds/Charges Rate Spreadsheet</t>
        </r>
      </text>
    </comment>
    <comment ref="AB42" authorId="0" shapeId="0">
      <text>
        <r>
          <rPr>
            <b/>
            <sz val="9"/>
            <color indexed="81"/>
            <rFont val="Tahoma"/>
            <family val="2"/>
          </rPr>
          <t>Berg, Jenny:</t>
        </r>
        <r>
          <rPr>
            <sz val="9"/>
            <color indexed="81"/>
            <rFont val="Tahoma"/>
            <family val="2"/>
          </rPr>
          <t xml:space="preserve">
moved from Nov column b/c actually booked in Dec and interest should reflect this.  The $459.10 is getting picked up in Jan'18.</t>
        </r>
      </text>
    </comment>
    <comment ref="AD42" authorId="0" shapeId="0">
      <text>
        <r>
          <rPr>
            <b/>
            <sz val="9"/>
            <color indexed="81"/>
            <rFont val="Tahoma"/>
            <family val="2"/>
          </rPr>
          <t>Berg, Jenny:</t>
        </r>
        <r>
          <rPr>
            <sz val="9"/>
            <color indexed="81"/>
            <rFont val="Tahoma"/>
            <family val="2"/>
          </rPr>
          <t xml:space="preserve">
to correct for $130,571.12 being too high - picked up wrong column on Annette's spreadsheet.</t>
        </r>
      </text>
    </comment>
    <comment ref="AM42" authorId="0" shapeId="0">
      <text>
        <r>
          <rPr>
            <b/>
            <sz val="9"/>
            <color indexed="81"/>
            <rFont val="Tahoma"/>
            <family val="2"/>
          </rPr>
          <t>Berg, Jenny:</t>
        </r>
        <r>
          <rPr>
            <sz val="9"/>
            <color indexed="81"/>
            <rFont val="Tahoma"/>
            <family val="2"/>
          </rPr>
          <t xml:space="preserve">
Large Customer Refund </t>
        </r>
      </text>
    </comment>
    <comment ref="O74" authorId="0" shapeId="0">
      <text>
        <r>
          <rPr>
            <b/>
            <sz val="9"/>
            <color indexed="81"/>
            <rFont val="Tahoma"/>
            <family val="2"/>
          </rPr>
          <t>Berg, Jenny:</t>
        </r>
        <r>
          <rPr>
            <sz val="9"/>
            <color indexed="81"/>
            <rFont val="Tahoma"/>
            <family val="2"/>
          </rPr>
          <t xml:space="preserve">
JP Amortization</t>
        </r>
      </text>
    </comment>
    <comment ref="P74" authorId="0" shapeId="0">
      <text>
        <r>
          <rPr>
            <b/>
            <sz val="9"/>
            <color indexed="81"/>
            <rFont val="Tahoma"/>
            <family val="2"/>
          </rPr>
          <t>Berg, Jenny:</t>
        </r>
        <r>
          <rPr>
            <sz val="9"/>
            <color indexed="81"/>
            <rFont val="Tahoma"/>
            <family val="2"/>
          </rPr>
          <t xml:space="preserve">
JP Amortization</t>
        </r>
      </text>
    </comment>
    <comment ref="AA74" authorId="0" shapeId="0">
      <text>
        <r>
          <rPr>
            <b/>
            <sz val="9"/>
            <color indexed="81"/>
            <rFont val="Tahoma"/>
            <family val="2"/>
          </rPr>
          <t>Berg, Jenny:</t>
        </r>
        <r>
          <rPr>
            <sz val="9"/>
            <color indexed="81"/>
            <rFont val="Tahoma"/>
            <family val="2"/>
          </rPr>
          <t xml:space="preserve">
Add October unbilled reversal…and then move remaining balance to 426500-ZZ-ZZ</t>
        </r>
      </text>
    </comment>
    <comment ref="Q75" authorId="0" shapeId="0">
      <text>
        <r>
          <rPr>
            <b/>
            <sz val="9"/>
            <color indexed="81"/>
            <rFont val="Tahoma"/>
            <family val="2"/>
          </rPr>
          <t>Berg, Jenny:</t>
        </r>
        <r>
          <rPr>
            <sz val="9"/>
            <color indexed="81"/>
            <rFont val="Tahoma"/>
            <family val="2"/>
          </rPr>
          <t xml:space="preserve">
Correction to backwards sign on $298 last month...</t>
        </r>
      </text>
    </comment>
    <comment ref="AB76" authorId="0" shapeId="0">
      <text>
        <r>
          <rPr>
            <b/>
            <sz val="9"/>
            <color indexed="81"/>
            <rFont val="Tahoma"/>
            <family val="2"/>
          </rPr>
          <t>Berg, Jenny:</t>
        </r>
        <r>
          <rPr>
            <sz val="9"/>
            <color indexed="81"/>
            <rFont val="Tahoma"/>
            <family val="2"/>
          </rPr>
          <t xml:space="preserve">
No more entry</t>
        </r>
      </text>
    </comment>
    <comment ref="AC76" authorId="0" shapeId="0">
      <text>
        <r>
          <rPr>
            <b/>
            <sz val="9"/>
            <color indexed="81"/>
            <rFont val="Tahoma"/>
            <family val="2"/>
          </rPr>
          <t>Berg, Jenny:</t>
        </r>
        <r>
          <rPr>
            <sz val="9"/>
            <color indexed="81"/>
            <rFont val="Tahoma"/>
            <family val="2"/>
          </rPr>
          <t xml:space="preserve">
No more entry</t>
        </r>
      </text>
    </comment>
    <comment ref="AD76" authorId="0" shapeId="0">
      <text>
        <r>
          <rPr>
            <b/>
            <sz val="9"/>
            <color indexed="81"/>
            <rFont val="Tahoma"/>
            <family val="2"/>
          </rPr>
          <t>Berg, Jenny:</t>
        </r>
        <r>
          <rPr>
            <sz val="9"/>
            <color indexed="81"/>
            <rFont val="Tahoma"/>
            <family val="2"/>
          </rPr>
          <t xml:space="preserve">
No more entry</t>
        </r>
      </text>
    </comment>
    <comment ref="AE76" authorId="0" shapeId="0">
      <text>
        <r>
          <rPr>
            <b/>
            <sz val="9"/>
            <color indexed="81"/>
            <rFont val="Tahoma"/>
            <family val="2"/>
          </rPr>
          <t>Berg, Jenny:</t>
        </r>
        <r>
          <rPr>
            <sz val="9"/>
            <color indexed="81"/>
            <rFont val="Tahoma"/>
            <family val="2"/>
          </rPr>
          <t xml:space="preserve">
No more entry</t>
        </r>
      </text>
    </comment>
    <comment ref="AF76" authorId="0" shapeId="0">
      <text>
        <r>
          <rPr>
            <b/>
            <sz val="9"/>
            <color indexed="81"/>
            <rFont val="Tahoma"/>
            <family val="2"/>
          </rPr>
          <t>Berg, Jenny:</t>
        </r>
        <r>
          <rPr>
            <sz val="9"/>
            <color indexed="81"/>
            <rFont val="Tahoma"/>
            <family val="2"/>
          </rPr>
          <t xml:space="preserve">
No more entry</t>
        </r>
      </text>
    </comment>
    <comment ref="AG76" authorId="0" shapeId="0">
      <text>
        <r>
          <rPr>
            <b/>
            <sz val="9"/>
            <color indexed="81"/>
            <rFont val="Tahoma"/>
            <family val="2"/>
          </rPr>
          <t>Berg, Jenny:</t>
        </r>
        <r>
          <rPr>
            <sz val="9"/>
            <color indexed="81"/>
            <rFont val="Tahoma"/>
            <family val="2"/>
          </rPr>
          <t xml:space="preserve">
No more entry</t>
        </r>
      </text>
    </comment>
    <comment ref="AH76" authorId="0" shapeId="0">
      <text>
        <r>
          <rPr>
            <b/>
            <sz val="9"/>
            <color indexed="81"/>
            <rFont val="Tahoma"/>
            <family val="2"/>
          </rPr>
          <t>Berg, Jenny:</t>
        </r>
        <r>
          <rPr>
            <sz val="9"/>
            <color indexed="81"/>
            <rFont val="Tahoma"/>
            <family val="2"/>
          </rPr>
          <t xml:space="preserve">
No more entry</t>
        </r>
      </text>
    </comment>
    <comment ref="AI76" authorId="0" shapeId="0">
      <text>
        <r>
          <rPr>
            <b/>
            <sz val="9"/>
            <color indexed="81"/>
            <rFont val="Tahoma"/>
            <family val="2"/>
          </rPr>
          <t>Berg, Jenny:</t>
        </r>
        <r>
          <rPr>
            <sz val="9"/>
            <color indexed="81"/>
            <rFont val="Tahoma"/>
            <family val="2"/>
          </rPr>
          <t xml:space="preserve">
No more entry</t>
        </r>
      </text>
    </comment>
    <comment ref="AJ76" authorId="0" shapeId="0">
      <text>
        <r>
          <rPr>
            <b/>
            <sz val="9"/>
            <color indexed="81"/>
            <rFont val="Tahoma"/>
            <family val="2"/>
          </rPr>
          <t>Berg, Jenny:</t>
        </r>
        <r>
          <rPr>
            <sz val="9"/>
            <color indexed="81"/>
            <rFont val="Tahoma"/>
            <family val="2"/>
          </rPr>
          <t xml:space="preserve">
No more entry</t>
        </r>
      </text>
    </comment>
    <comment ref="AK76" authorId="0" shapeId="0">
      <text>
        <r>
          <rPr>
            <b/>
            <sz val="9"/>
            <color indexed="81"/>
            <rFont val="Tahoma"/>
            <family val="2"/>
          </rPr>
          <t>Berg, Jenny:</t>
        </r>
        <r>
          <rPr>
            <sz val="9"/>
            <color indexed="81"/>
            <rFont val="Tahoma"/>
            <family val="2"/>
          </rPr>
          <t xml:space="preserve">
No more entry</t>
        </r>
      </text>
    </comment>
    <comment ref="AL76" authorId="0" shapeId="0">
      <text>
        <r>
          <rPr>
            <b/>
            <sz val="9"/>
            <color indexed="81"/>
            <rFont val="Tahoma"/>
            <family val="2"/>
          </rPr>
          <t>Berg, Jenny:</t>
        </r>
        <r>
          <rPr>
            <sz val="9"/>
            <color indexed="81"/>
            <rFont val="Tahoma"/>
            <family val="2"/>
          </rPr>
          <t xml:space="preserve">
No more entry</t>
        </r>
      </text>
    </comment>
    <comment ref="AM76" authorId="0" shapeId="0">
      <text>
        <r>
          <rPr>
            <b/>
            <sz val="9"/>
            <color indexed="81"/>
            <rFont val="Tahoma"/>
            <family val="2"/>
          </rPr>
          <t>Berg, Jenny:</t>
        </r>
        <r>
          <rPr>
            <sz val="9"/>
            <color indexed="81"/>
            <rFont val="Tahoma"/>
            <family val="2"/>
          </rPr>
          <t xml:space="preserve">
No more entry</t>
        </r>
      </text>
    </comment>
    <comment ref="AN76" authorId="0" shapeId="0">
      <text>
        <r>
          <rPr>
            <b/>
            <sz val="9"/>
            <color indexed="81"/>
            <rFont val="Tahoma"/>
            <family val="2"/>
          </rPr>
          <t>Berg, Jenny:</t>
        </r>
        <r>
          <rPr>
            <sz val="9"/>
            <color indexed="81"/>
            <rFont val="Tahoma"/>
            <family val="2"/>
          </rPr>
          <t xml:space="preserve">
No more entry</t>
        </r>
      </text>
    </comment>
    <comment ref="AO76" authorId="0" shapeId="0">
      <text>
        <r>
          <rPr>
            <b/>
            <sz val="9"/>
            <color indexed="81"/>
            <rFont val="Tahoma"/>
            <family val="2"/>
          </rPr>
          <t>Berg, Jenny:</t>
        </r>
        <r>
          <rPr>
            <sz val="9"/>
            <color indexed="81"/>
            <rFont val="Tahoma"/>
            <family val="2"/>
          </rPr>
          <t xml:space="preserve">
No more entry</t>
        </r>
      </text>
    </comment>
    <comment ref="AP76" authorId="0" shapeId="0">
      <text>
        <r>
          <rPr>
            <b/>
            <sz val="9"/>
            <color indexed="81"/>
            <rFont val="Tahoma"/>
            <family val="2"/>
          </rPr>
          <t>Berg, Jenny:</t>
        </r>
        <r>
          <rPr>
            <sz val="9"/>
            <color indexed="81"/>
            <rFont val="Tahoma"/>
            <family val="2"/>
          </rPr>
          <t xml:space="preserve">
No more entry</t>
        </r>
      </text>
    </comment>
    <comment ref="AQ76" authorId="0" shapeId="0">
      <text>
        <r>
          <rPr>
            <b/>
            <sz val="9"/>
            <color indexed="81"/>
            <rFont val="Tahoma"/>
            <family val="2"/>
          </rPr>
          <t>Berg, Jenny:</t>
        </r>
        <r>
          <rPr>
            <sz val="9"/>
            <color indexed="81"/>
            <rFont val="Tahoma"/>
            <family val="2"/>
          </rPr>
          <t xml:space="preserve">
No more entry</t>
        </r>
      </text>
    </comment>
    <comment ref="AR76" authorId="0" shapeId="0">
      <text>
        <r>
          <rPr>
            <b/>
            <sz val="9"/>
            <color indexed="81"/>
            <rFont val="Tahoma"/>
            <family val="2"/>
          </rPr>
          <t>Berg, Jenny:</t>
        </r>
        <r>
          <rPr>
            <sz val="9"/>
            <color indexed="81"/>
            <rFont val="Tahoma"/>
            <family val="2"/>
          </rPr>
          <t xml:space="preserve">
No more entry</t>
        </r>
      </text>
    </comment>
    <comment ref="AS76" authorId="0" shapeId="0">
      <text>
        <r>
          <rPr>
            <b/>
            <sz val="9"/>
            <color indexed="81"/>
            <rFont val="Tahoma"/>
            <family val="2"/>
          </rPr>
          <t>Berg, Jenny:</t>
        </r>
        <r>
          <rPr>
            <sz val="9"/>
            <color indexed="81"/>
            <rFont val="Tahoma"/>
            <family val="2"/>
          </rPr>
          <t xml:space="preserve">
No more entry</t>
        </r>
      </text>
    </comment>
    <comment ref="AT76" authorId="0" shapeId="0">
      <text>
        <r>
          <rPr>
            <b/>
            <sz val="9"/>
            <color indexed="81"/>
            <rFont val="Tahoma"/>
            <family val="2"/>
          </rPr>
          <t>Berg, Jenny:</t>
        </r>
        <r>
          <rPr>
            <sz val="9"/>
            <color indexed="81"/>
            <rFont val="Tahoma"/>
            <family val="2"/>
          </rPr>
          <t xml:space="preserve">
No more entry</t>
        </r>
      </text>
    </comment>
    <comment ref="AU76" authorId="0" shapeId="0">
      <text>
        <r>
          <rPr>
            <b/>
            <sz val="9"/>
            <color indexed="81"/>
            <rFont val="Tahoma"/>
            <family val="2"/>
          </rPr>
          <t>Berg, Jenny:</t>
        </r>
        <r>
          <rPr>
            <sz val="9"/>
            <color indexed="81"/>
            <rFont val="Tahoma"/>
            <family val="2"/>
          </rPr>
          <t xml:space="preserve">
No more entry</t>
        </r>
      </text>
    </comment>
    <comment ref="AV76" authorId="0" shapeId="0">
      <text>
        <r>
          <rPr>
            <b/>
            <sz val="9"/>
            <color indexed="81"/>
            <rFont val="Tahoma"/>
            <family val="2"/>
          </rPr>
          <t>Berg, Jenny:</t>
        </r>
        <r>
          <rPr>
            <sz val="9"/>
            <color indexed="81"/>
            <rFont val="Tahoma"/>
            <family val="2"/>
          </rPr>
          <t xml:space="preserve">
No more entry</t>
        </r>
      </text>
    </comment>
    <comment ref="Z77" authorId="0" shapeId="0">
      <text>
        <r>
          <rPr>
            <b/>
            <sz val="9"/>
            <color indexed="81"/>
            <rFont val="Tahoma"/>
            <family val="2"/>
          </rPr>
          <t>Berg, Jenny:</t>
        </r>
        <r>
          <rPr>
            <sz val="9"/>
            <color indexed="81"/>
            <rFont val="Tahoma"/>
            <family val="2"/>
          </rPr>
          <t xml:space="preserve">
In November write off to 426500-ZZ-ZZ… </t>
        </r>
      </text>
    </comment>
  </commentList>
</comments>
</file>

<file path=xl/sharedStrings.xml><?xml version="1.0" encoding="utf-8"?>
<sst xmlns="http://schemas.openxmlformats.org/spreadsheetml/2006/main" count="1944" uniqueCount="211">
  <si>
    <t>Commodity</t>
  </si>
  <si>
    <t>Demand</t>
  </si>
  <si>
    <t>Interest</t>
  </si>
  <si>
    <t>Deferral</t>
  </si>
  <si>
    <t>Tracker Transfer</t>
  </si>
  <si>
    <t>Misc</t>
  </si>
  <si>
    <t>Total</t>
  </si>
  <si>
    <t>Rates</t>
  </si>
  <si>
    <t>Amortization</t>
  </si>
  <si>
    <t>NWP Capacity Release</t>
  </si>
  <si>
    <t xml:space="preserve">NWP Variable </t>
  </si>
  <si>
    <t>System</t>
  </si>
  <si>
    <t>PGA</t>
  </si>
  <si>
    <t>Revenue</t>
  </si>
  <si>
    <t>Washington</t>
  </si>
  <si>
    <t>Rate</t>
  </si>
  <si>
    <t>Schedule 101</t>
  </si>
  <si>
    <t>Schedule 111</t>
  </si>
  <si>
    <t>Schedule 112</t>
  </si>
  <si>
    <t>Schedule 121</t>
  </si>
  <si>
    <t>Schedule 122</t>
  </si>
  <si>
    <t>Schedule 131</t>
  </si>
  <si>
    <t>Schedule 132</t>
  </si>
  <si>
    <t>Imbalance Cost Washington</t>
  </si>
  <si>
    <t>Imbalance Cost Idaho</t>
  </si>
  <si>
    <t>Ending Balance</t>
  </si>
  <si>
    <t>Idaho</t>
  </si>
  <si>
    <t xml:space="preserve">Washington/Idaho Gas Costs </t>
  </si>
  <si>
    <t>Allocated to</t>
  </si>
  <si>
    <t xml:space="preserve">Commodity </t>
  </si>
  <si>
    <t xml:space="preserve">Allocated to </t>
  </si>
  <si>
    <t>Cost</t>
  </si>
  <si>
    <t xml:space="preserve">Total </t>
  </si>
  <si>
    <t xml:space="preserve">Idaho </t>
  </si>
  <si>
    <t>Amount to be Deferred</t>
  </si>
  <si>
    <t>Expense Calculation</t>
  </si>
  <si>
    <t>Deferral Calculation</t>
  </si>
  <si>
    <t>Schedule 146</t>
  </si>
  <si>
    <t>Adjustments</t>
  </si>
  <si>
    <t xml:space="preserve">NWP Fixed </t>
  </si>
  <si>
    <t>GTN Fixed</t>
  </si>
  <si>
    <t xml:space="preserve">GTN Variable </t>
  </si>
  <si>
    <t>GTN Capacity Release</t>
  </si>
  <si>
    <t>ANG Total</t>
  </si>
  <si>
    <t>WEI (Duke) Total</t>
  </si>
  <si>
    <t>Commodity Purchases (Natural Gas)</t>
  </si>
  <si>
    <t xml:space="preserve">Total Net Gas Costs </t>
  </si>
  <si>
    <t>Counterparty Invoice Total</t>
  </si>
  <si>
    <t>Volumes</t>
  </si>
  <si>
    <t>check</t>
  </si>
  <si>
    <t>Totals from above</t>
  </si>
  <si>
    <t xml:space="preserve">Balance Sheet </t>
  </si>
  <si>
    <t>PGA Deferral Revenue from above</t>
  </si>
  <si>
    <r>
      <t>Demand (Transportation)</t>
    </r>
    <r>
      <rPr>
        <b/>
        <sz val="12"/>
        <color indexed="8"/>
        <rFont val="Arial"/>
        <family val="2"/>
      </rPr>
      <t xml:space="preserve"> Costs</t>
    </r>
  </si>
  <si>
    <r>
      <t>Total Demand</t>
    </r>
    <r>
      <rPr>
        <b/>
        <sz val="12"/>
        <color indexed="8"/>
        <rFont val="Arial"/>
        <family val="2"/>
      </rPr>
      <t xml:space="preserve"> Costs from Purchase Journals</t>
    </r>
  </si>
  <si>
    <t>WA/ID Buy/Sell Transportation Recovery</t>
  </si>
  <si>
    <t>less variable costs charged to Commodity</t>
  </si>
  <si>
    <t>Total Demand Costs to be Allocated</t>
  </si>
  <si>
    <t>804000 GD AN</t>
  </si>
  <si>
    <t xml:space="preserve">Total Demand Costs </t>
  </si>
  <si>
    <t>804001 GD AN</t>
  </si>
  <si>
    <t>plus variable costs from Demand</t>
  </si>
  <si>
    <t>Total Commodity Costs to be Allocated</t>
  </si>
  <si>
    <t>808100/808200 GD AN</t>
  </si>
  <si>
    <t>WA Imbalance</t>
  </si>
  <si>
    <t>ID Imbalance</t>
  </si>
  <si>
    <t>Total Commodity Costs from Purchase Journals</t>
  </si>
  <si>
    <t>WA/ID Off System Revenue</t>
  </si>
  <si>
    <t>Total Deferred Commodity Costs:</t>
  </si>
  <si>
    <t>DEMAND</t>
  </si>
  <si>
    <t xml:space="preserve">Total Demand </t>
  </si>
  <si>
    <t>COMMODITY</t>
  </si>
  <si>
    <t>Commodity Physical</t>
  </si>
  <si>
    <t>Broker Fees</t>
  </si>
  <si>
    <t>Financial Settlements</t>
  </si>
  <si>
    <t>804600 GD AN</t>
  </si>
  <si>
    <t>Total Commodity</t>
  </si>
  <si>
    <t>WASHINGTON</t>
  </si>
  <si>
    <t>IDAHO</t>
  </si>
  <si>
    <t>Total Deferral Expenses from above</t>
  </si>
  <si>
    <t>GST</t>
  </si>
  <si>
    <t>Total Commodity Costs before refund</t>
  </si>
  <si>
    <r>
      <t xml:space="preserve">Total Current Demand Costs </t>
    </r>
    <r>
      <rPr>
        <b/>
        <sz val="12"/>
        <rFont val="Arial"/>
        <family val="2"/>
      </rPr>
      <t>(excluding refund)</t>
    </r>
  </si>
  <si>
    <t>NWP Total (excluding Refund)</t>
  </si>
  <si>
    <t xml:space="preserve">  Current Month Estimate</t>
  </si>
  <si>
    <t>Cochrane Credit</t>
  </si>
  <si>
    <t>811000 GD AN</t>
  </si>
  <si>
    <t>Misc Adjustment</t>
  </si>
  <si>
    <t>Questar</t>
  </si>
  <si>
    <t>Thermal Transport</t>
  </si>
  <si>
    <t>804017 GD AN</t>
  </si>
  <si>
    <t>Foreign Exchange Hedge Activity</t>
  </si>
  <si>
    <t>804010 GD AN</t>
  </si>
  <si>
    <t>Large Customer Refund</t>
  </si>
  <si>
    <t>Check</t>
  </si>
  <si>
    <t>From DJ 430</t>
  </si>
  <si>
    <t>Def Rev Calc</t>
  </si>
  <si>
    <t>Spectra Westcoast Fixed</t>
  </si>
  <si>
    <t>Spectra Westcoast Variable</t>
  </si>
  <si>
    <t>Transcanada Foothills (BC System) Fixed</t>
  </si>
  <si>
    <t>Transcanada Foothills (BC System) Variable</t>
  </si>
  <si>
    <t>Intracompany Transportation Optimization</t>
  </si>
  <si>
    <t>FAFB Commodity for Anderson Elementary/Lignetics (semi-annual)</t>
  </si>
  <si>
    <t>WA/ID Gas Purchased from Interstate Asphalt (Annual)</t>
  </si>
  <si>
    <t>WA Total</t>
  </si>
  <si>
    <t>ID Total</t>
  </si>
  <si>
    <t>Debits</t>
  </si>
  <si>
    <t>Credits</t>
  </si>
  <si>
    <t>Storage (Injections)/Withdrawals</t>
  </si>
  <si>
    <t>Interco Purchase from Thermal</t>
  </si>
  <si>
    <t>804730 GD AN</t>
  </si>
  <si>
    <t xml:space="preserve">NOVA Fixed charges </t>
  </si>
  <si>
    <t>(overcollected)/undercollected</t>
  </si>
  <si>
    <t>(rebate)/surcharge</t>
  </si>
  <si>
    <t>NOVA (AB System) Fixed</t>
  </si>
  <si>
    <t>NOVA (AB System) Variable</t>
  </si>
  <si>
    <t>NOVA Total</t>
  </si>
  <si>
    <t xml:space="preserve">Third party capacity release </t>
  </si>
  <si>
    <t>Other capacity release credit</t>
  </si>
  <si>
    <t>Other Pipeline Fixed charges</t>
  </si>
  <si>
    <t>495028 GD AN</t>
  </si>
  <si>
    <t>Mizuho Broker Fees</t>
  </si>
  <si>
    <t>Variance</t>
  </si>
  <si>
    <t>YTD</t>
  </si>
  <si>
    <t>PGA YTD</t>
  </si>
  <si>
    <t>Beginning Balance</t>
  </si>
  <si>
    <t>Demand Deferral</t>
  </si>
  <si>
    <t>Month</t>
  </si>
  <si>
    <t>Interest Rate</t>
  </si>
  <si>
    <t>Interest (Rev/Expense)</t>
  </si>
  <si>
    <t>PGA Transfer</t>
  </si>
  <si>
    <t>GLW Check</t>
  </si>
  <si>
    <t>Cumulative
Balance</t>
  </si>
  <si>
    <t>Commodity Adjustment</t>
  </si>
  <si>
    <t>Demand Adjustment</t>
  </si>
  <si>
    <t>Interest Adjustment</t>
  </si>
  <si>
    <t>Blue Text = Drag Formula to next month and copy/paste value in prior month</t>
  </si>
  <si>
    <t>Washington Current Deferral</t>
  </si>
  <si>
    <t>Washington Amortization</t>
  </si>
  <si>
    <t>Calendar Sales Check</t>
  </si>
  <si>
    <t>*Misc Adjustments*</t>
  </si>
  <si>
    <t>GD</t>
  </si>
  <si>
    <t>WA</t>
  </si>
  <si>
    <t>GL</t>
  </si>
  <si>
    <t>WA Deferral Interest Income</t>
  </si>
  <si>
    <t>WA Deferral Interest Expense</t>
  </si>
  <si>
    <t>WA Deferral</t>
  </si>
  <si>
    <t>WA Deferral Expense</t>
  </si>
  <si>
    <t>WA Amortization Interest Income</t>
  </si>
  <si>
    <t>WA Amortization Interest Expense</t>
  </si>
  <si>
    <t>WA Amortization</t>
  </si>
  <si>
    <t>WA Amortization Expense</t>
  </si>
  <si>
    <t>WA Amortization JP</t>
  </si>
  <si>
    <t>WA Amortization Expense JP</t>
  </si>
  <si>
    <t>JET Entry</t>
  </si>
  <si>
    <t>Update JE date to pull current month values</t>
  </si>
  <si>
    <t>483000/483600/483730</t>
  </si>
  <si>
    <t>Deferral Check</t>
  </si>
  <si>
    <t>M Chemical Accrual</t>
  </si>
  <si>
    <t>Schedule 102</t>
  </si>
  <si>
    <t>Main Calc</t>
  </si>
  <si>
    <t>Wells Fargo Journal DJ 473</t>
  </si>
  <si>
    <t>Commodity Deferral</t>
  </si>
  <si>
    <t>Volume - Commodity &amp; Demand</t>
  </si>
  <si>
    <t>Volume - Demand only</t>
  </si>
  <si>
    <t>Deferred Exchange Revenue</t>
  </si>
  <si>
    <t>Other Capacity Release credit</t>
  </si>
  <si>
    <t>(   ) = Rebate</t>
  </si>
  <si>
    <t>Merchandise Processing Fee DJ 467</t>
  </si>
  <si>
    <t>804018 GD AN</t>
  </si>
  <si>
    <t>ZZ</t>
  </si>
  <si>
    <t>NO MORE ENTRY</t>
  </si>
  <si>
    <t>n/a</t>
  </si>
  <si>
    <t xml:space="preserve"> </t>
  </si>
  <si>
    <t>495000 GD WA/ID</t>
  </si>
  <si>
    <t>Misc (Entitlement Penalty)</t>
  </si>
  <si>
    <t>804000 GD WA</t>
  </si>
  <si>
    <t>804000 GD ID</t>
  </si>
  <si>
    <t>Entitlement Penalty</t>
  </si>
  <si>
    <t>495000 GD WA</t>
  </si>
  <si>
    <t>495000 GD ID</t>
  </si>
  <si>
    <t>201905 Revised</t>
  </si>
  <si>
    <t>Imbalance/Entitlement Cost Washington</t>
  </si>
  <si>
    <t>Imbalance/Entitlement Cost Idaho</t>
  </si>
  <si>
    <t>201905</t>
  </si>
  <si>
    <t>Revised</t>
  </si>
  <si>
    <t>Adjustment needed:</t>
  </si>
  <si>
    <t>Total adjustment</t>
  </si>
  <si>
    <t>Amort Interest</t>
  </si>
  <si>
    <t>Deferral Exp</t>
  </si>
  <si>
    <t>Amort</t>
  </si>
  <si>
    <t>Amort Exp</t>
  </si>
  <si>
    <t>Tax Reform Amort</t>
  </si>
  <si>
    <t>Tax Reform Tax Calc</t>
  </si>
  <si>
    <t>GD ID</t>
  </si>
  <si>
    <t>GD WA</t>
  </si>
  <si>
    <t>Questar Fixed</t>
  </si>
  <si>
    <r>
      <t>Total Current Demand Costs</t>
    </r>
    <r>
      <rPr>
        <sz val="9"/>
        <rFont val="Arial"/>
        <family val="2"/>
      </rPr>
      <t xml:space="preserve"> </t>
    </r>
    <r>
      <rPr>
        <b/>
        <sz val="9"/>
        <rFont val="Arial"/>
        <family val="2"/>
      </rPr>
      <t>(excluding refund)</t>
    </r>
  </si>
  <si>
    <t>495000 GD AN</t>
  </si>
  <si>
    <t>Misc - Entitlement Penalty</t>
  </si>
  <si>
    <t>TC Energy Foothills Fixed</t>
  </si>
  <si>
    <t>TC Energy Foothills Variable</t>
  </si>
  <si>
    <t>TC Energy GTN Fixed</t>
  </si>
  <si>
    <t xml:space="preserve">TC Energy GTN Variable </t>
  </si>
  <si>
    <t>TC Energy GTN Capacity Release</t>
  </si>
  <si>
    <t>TC Energy NOVA (AB System) Fixed</t>
  </si>
  <si>
    <t>TC Energy NOVA (AB System) Variable</t>
  </si>
  <si>
    <t>Foothills Total</t>
  </si>
  <si>
    <t>Spectra Total</t>
  </si>
  <si>
    <t>Questar Total</t>
  </si>
  <si>
    <t>Tie to Deferral 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</si>
</sst>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5" formatCode="0.000%"/>
    <numFmt numFmtId="166" formatCode="0.0000%"/>
    <numFmt numFmtId="168" formatCode="General_)"/>
    <numFmt numFmtId="169" formatCode="0_)"/>
    <numFmt numFmtId="170" formatCode="&quot;$&quot;#,##0.00000_);\(&quot;$&quot;#,##0.00000\)"/>
    <numFmt numFmtId="171" formatCode="#,##0.00000_);\(#,##0.00000\)"/>
    <numFmt numFmtId="174" formatCode="#,##0.0000_);\(#,##0.0000\)"/>
    <numFmt numFmtId="176" formatCode="#,##0.0000_);[Red]\(#,##0.0000\)"/>
    <numFmt numFmtId="177" formatCode="_(&quot;$&quot;* #,##0.00000_);_(&quot;$&quot;* \(#,##0.00000\);_(&quot;$&quot;* &quot;-&quot;??_);_(@_)"/>
    <numFmt numFmtId="178" formatCode="&quot;$&quot;#,##0.00000_);[Red]\(&quot;$&quot;#,##0.00000\)"/>
    <numFmt numFmtId="180" formatCode="&quot;$&quot;#,##0\ ;\(&quot;$&quot;#,##0\)"/>
  </numFmts>
  <fonts count="44">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ont>
    <font>
      <sz val="8"/>
      <color indexed="81"/>
      <name val="Tahoma"/>
      <family val="2"/>
    </font>
    <font>
      <sz val="12"/>
      <name val="Arial"/>
      <family val="2"/>
    </font>
    <font>
      <b/>
      <sz val="12"/>
      <name val="Arial"/>
      <family val="2"/>
    </font>
    <font>
      <sz val="12"/>
      <color indexed="10"/>
      <name val="Arial"/>
      <family val="2"/>
    </font>
    <font>
      <i/>
      <sz val="12"/>
      <name val="Arial"/>
      <family val="2"/>
    </font>
    <font>
      <b/>
      <sz val="12"/>
      <color indexed="12"/>
      <name val="Arial"/>
      <family val="2"/>
    </font>
    <font>
      <sz val="10"/>
      <name val="Arial"/>
      <family val="2"/>
    </font>
    <font>
      <sz val="12"/>
      <color indexed="12"/>
      <name val="Arial"/>
      <family val="2"/>
    </font>
    <font>
      <b/>
      <sz val="12"/>
      <color indexed="8"/>
      <name val="Arial"/>
      <family val="2"/>
    </font>
    <font>
      <sz val="12"/>
      <color indexed="9"/>
      <name val="Arial"/>
      <family val="2"/>
    </font>
    <font>
      <b/>
      <sz val="12"/>
      <color indexed="17"/>
      <name val="Arial"/>
      <family val="2"/>
    </font>
    <font>
      <sz val="12"/>
      <color indexed="10"/>
      <name val="Times New Roman"/>
      <family val="1"/>
    </font>
    <font>
      <sz val="12"/>
      <color theme="0"/>
      <name val="Arial"/>
      <family val="2"/>
    </font>
    <font>
      <b/>
      <sz val="12"/>
      <color rgb="FF0000FF"/>
      <name val="Arial"/>
      <family val="2"/>
    </font>
    <font>
      <sz val="11"/>
      <color theme="1"/>
      <name val="Calibri"/>
      <family val="2"/>
    </font>
    <font>
      <sz val="8"/>
      <name val="Arial"/>
      <family val="2"/>
    </font>
    <font>
      <sz val="10"/>
      <color theme="1"/>
      <name val="Arial"/>
      <family val="2"/>
    </font>
    <font>
      <sz val="10"/>
      <name val="Arial"/>
      <family val="2"/>
    </font>
    <font>
      <sz val="12"/>
      <name val="Times New Roman"/>
      <family val="1"/>
    </font>
    <font>
      <sz val="10"/>
      <name val="Arial"/>
      <family val="2"/>
    </font>
    <font>
      <sz val="12"/>
      <color rgb="FFFF0000"/>
      <name val="Arial"/>
      <family val="2"/>
    </font>
    <font>
      <b/>
      <sz val="11"/>
      <color theme="1"/>
      <name val="Calibri"/>
      <family val="2"/>
      <scheme val="minor"/>
    </font>
    <font>
      <sz val="9"/>
      <color indexed="81"/>
      <name val="Tahoma"/>
      <family val="2"/>
    </font>
    <font>
      <b/>
      <sz val="9"/>
      <color indexed="81"/>
      <name val="Tahoma"/>
      <family val="2"/>
    </font>
    <font>
      <b/>
      <sz val="12"/>
      <color theme="0"/>
      <name val="Arial"/>
      <family val="2"/>
    </font>
    <font>
      <sz val="9"/>
      <name val="Arial"/>
      <family val="2"/>
    </font>
    <font>
      <b/>
      <sz val="9"/>
      <name val="Arial"/>
      <family val="2"/>
    </font>
    <font>
      <i/>
      <sz val="12"/>
      <color rgb="FF0000FF"/>
      <name val="Arial"/>
      <family val="2"/>
    </font>
    <font>
      <sz val="12"/>
      <color rgb="FF0000FF"/>
      <name val="Arial"/>
      <family val="2"/>
    </font>
    <font>
      <b/>
      <i/>
      <sz val="12"/>
      <name val="Arial"/>
      <family val="2"/>
    </font>
    <font>
      <b/>
      <i/>
      <sz val="11"/>
      <color theme="1"/>
      <name val="Calibri"/>
      <family val="2"/>
      <scheme val="minor"/>
    </font>
    <font>
      <i/>
      <sz val="11"/>
      <color theme="1"/>
      <name val="Calibri"/>
      <family val="2"/>
      <scheme val="minor"/>
    </font>
    <font>
      <sz val="10"/>
      <name val="Calibri"/>
      <family val="2"/>
      <scheme val="minor"/>
    </font>
    <font>
      <b/>
      <sz val="10"/>
      <name val="Calibri"/>
      <family val="2"/>
      <scheme val="minor"/>
    </font>
  </fonts>
  <fills count="3">
    <fill>
      <patternFill patternType="none"/>
    </fill>
    <fill>
      <patternFill patternType="gray125"/>
    </fill>
    <fill>
      <patternFill patternType="solid">
        <fgColor indexed="4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5">
    <xf numFmtId="39" fontId="0" fillId="0" borderId="0"/>
    <xf numFmtId="40" fontId="9" fillId="0" borderId="0" applyFont="0" applyFill="0" applyBorder="0" applyAlignment="0" applyProtection="0"/>
    <xf numFmtId="8" fontId="9" fillId="0" borderId="0" applyFont="0" applyFill="0" applyBorder="0" applyAlignment="0" applyProtection="0"/>
    <xf numFmtId="0" fontId="21" fillId="2" borderId="0"/>
    <xf numFmtId="9" fontId="9" fillId="0" borderId="0" applyFont="0" applyFill="0" applyBorder="0" applyAlignment="0" applyProtection="0"/>
    <xf numFmtId="43" fontId="16" fillId="0" borderId="0" applyFont="0" applyFill="0" applyBorder="0" applyAlignment="0" applyProtection="0"/>
    <xf numFmtId="0" fontId="24" fillId="0" borderId="0"/>
    <xf numFmtId="44"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3" fontId="25" fillId="0" borderId="0" applyFont="0" applyFill="0" applyBorder="0" applyAlignment="0" applyProtection="0"/>
    <xf numFmtId="44" fontId="2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8" fillId="0" borderId="0" applyFont="0" applyFill="0" applyBorder="0" applyAlignment="0" applyProtection="0"/>
    <xf numFmtId="180" fontId="25" fillId="0" borderId="0" applyFont="0" applyFill="0" applyBorder="0" applyAlignment="0" applyProtection="0"/>
    <xf numFmtId="0" fontId="25" fillId="0" borderId="0" applyFont="0" applyFill="0" applyBorder="0" applyAlignment="0" applyProtection="0"/>
    <xf numFmtId="2" fontId="25" fillId="0" borderId="0" applyFont="0" applyFill="0" applyBorder="0" applyAlignment="0" applyProtection="0"/>
    <xf numFmtId="0" fontId="25" fillId="0" borderId="0"/>
    <xf numFmtId="0" fontId="26" fillId="0" borderId="0"/>
    <xf numFmtId="0" fontId="16" fillId="0" borderId="0"/>
    <xf numFmtId="0" fontId="16" fillId="0" borderId="0"/>
    <xf numFmtId="0" fontId="16" fillId="0" borderId="0"/>
    <xf numFmtId="0" fontId="8" fillId="0" borderId="0"/>
    <xf numFmtId="0" fontId="16" fillId="0" borderId="0"/>
    <xf numFmtId="9" fontId="16" fillId="0" borderId="0" applyFont="0" applyFill="0" applyBorder="0" applyAlignment="0" applyProtection="0"/>
    <xf numFmtId="10" fontId="25"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0" fontId="27" fillId="0" borderId="0"/>
    <xf numFmtId="0" fontId="28" fillId="0" borderId="0"/>
    <xf numFmtId="0" fontId="9" fillId="0" borderId="0"/>
    <xf numFmtId="43" fontId="16"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 fillId="0" borderId="0"/>
    <xf numFmtId="0" fontId="29" fillId="0" borderId="0"/>
    <xf numFmtId="43" fontId="26" fillId="0" borderId="0" applyFont="0" applyFill="0" applyBorder="0" applyAlignment="0" applyProtection="0"/>
    <xf numFmtId="44" fontId="2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26" fillId="0" borderId="0"/>
    <xf numFmtId="9" fontId="2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44" fontId="16" fillId="0" borderId="0" applyFont="0" applyFill="0" applyBorder="0" applyAlignment="0" applyProtection="0"/>
    <xf numFmtId="9" fontId="16" fillId="0" borderId="0" applyFont="0" applyFill="0" applyBorder="0" applyAlignment="0" applyProtection="0"/>
    <xf numFmtId="44" fontId="16" fillId="0" borderId="0" applyFont="0" applyFill="0" applyBorder="0" applyAlignment="0" applyProtection="0"/>
    <xf numFmtId="0" fontId="6" fillId="0" borderId="0"/>
    <xf numFmtId="43" fontId="6"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0" fontId="31" fillId="0" borderId="22" applyNumberFormat="0" applyFill="0" applyAlignment="0" applyProtection="0"/>
    <xf numFmtId="43"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6"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204">
    <xf numFmtId="39" fontId="0" fillId="0" borderId="0" xfId="0"/>
    <xf numFmtId="39" fontId="11" fillId="0" borderId="0" xfId="0" applyFont="1" applyFill="1" applyBorder="1"/>
    <xf numFmtId="7" fontId="11" fillId="0" borderId="0" xfId="0" applyNumberFormat="1" applyFont="1" applyFill="1" applyBorder="1"/>
    <xf numFmtId="39" fontId="12" fillId="0" borderId="0" xfId="0" applyFont="1" applyFill="1" applyBorder="1"/>
    <xf numFmtId="39" fontId="12" fillId="0" borderId="0" xfId="0" applyFont="1" applyFill="1" applyBorder="1" applyAlignment="1">
      <alignment horizontal="center"/>
    </xf>
    <xf numFmtId="39" fontId="12" fillId="0" borderId="2" xfId="0" applyFont="1" applyFill="1" applyBorder="1" applyAlignment="1">
      <alignment horizontal="center"/>
    </xf>
    <xf numFmtId="5" fontId="12" fillId="0" borderId="0" xfId="0" applyNumberFormat="1" applyFont="1" applyFill="1" applyAlignment="1">
      <alignment horizontal="center"/>
    </xf>
    <xf numFmtId="5" fontId="11" fillId="0" borderId="0" xfId="0" applyNumberFormat="1" applyFont="1" applyFill="1"/>
    <xf numFmtId="39" fontId="11" fillId="0" borderId="9" xfId="0" applyFont="1" applyFill="1" applyBorder="1"/>
    <xf numFmtId="39" fontId="12" fillId="0" borderId="0" xfId="0" applyFont="1" applyFill="1"/>
    <xf numFmtId="39" fontId="12" fillId="0" borderId="9" xfId="0" applyFont="1" applyFill="1" applyBorder="1"/>
    <xf numFmtId="39" fontId="11" fillId="0" borderId="0" xfId="0" applyFont="1" applyFill="1" applyBorder="1" applyAlignment="1">
      <alignment horizontal="right"/>
    </xf>
    <xf numFmtId="39" fontId="11" fillId="0" borderId="0" xfId="0" applyFont="1" applyFill="1" applyAlignment="1">
      <alignment horizontal="right"/>
    </xf>
    <xf numFmtId="8" fontId="12" fillId="0" borderId="0" xfId="2" applyFont="1" applyFill="1" applyBorder="1"/>
    <xf numFmtId="39" fontId="12" fillId="0" borderId="0" xfId="0" applyFont="1" applyFill="1" applyBorder="1" applyAlignment="1">
      <alignment horizontal="left"/>
    </xf>
    <xf numFmtId="39" fontId="15" fillId="0" borderId="0" xfId="0" applyFont="1" applyFill="1"/>
    <xf numFmtId="39" fontId="11" fillId="0" borderId="8" xfId="0" applyFont="1" applyFill="1" applyBorder="1"/>
    <xf numFmtId="44" fontId="11" fillId="0" borderId="0" xfId="0" applyNumberFormat="1" applyFont="1" applyFill="1" applyBorder="1"/>
    <xf numFmtId="37" fontId="11" fillId="0" borderId="0" xfId="0" applyNumberFormat="1" applyFont="1" applyFill="1" applyBorder="1" applyProtection="1"/>
    <xf numFmtId="44" fontId="12" fillId="0" borderId="0" xfId="2" applyNumberFormat="1" applyFont="1" applyFill="1" applyBorder="1" applyProtection="1"/>
    <xf numFmtId="44" fontId="20" fillId="0" borderId="0" xfId="0" applyNumberFormat="1" applyFont="1" applyFill="1" applyBorder="1"/>
    <xf numFmtId="8" fontId="11" fillId="0" borderId="0" xfId="2" applyFont="1" applyFill="1"/>
    <xf numFmtId="39" fontId="12" fillId="0" borderId="12" xfId="0" applyFont="1" applyFill="1" applyBorder="1" applyAlignment="1">
      <alignment horizontal="center"/>
    </xf>
    <xf numFmtId="39" fontId="12" fillId="0" borderId="3" xfId="0" applyFont="1" applyFill="1" applyBorder="1" applyAlignment="1">
      <alignment horizontal="center"/>
    </xf>
    <xf numFmtId="39" fontId="12" fillId="0" borderId="6" xfId="0" applyFont="1" applyFill="1" applyBorder="1" applyAlignment="1">
      <alignment horizontal="center"/>
    </xf>
    <xf numFmtId="39" fontId="12" fillId="0" borderId="1" xfId="0" applyFont="1" applyFill="1" applyBorder="1" applyAlignment="1">
      <alignment horizontal="center"/>
    </xf>
    <xf numFmtId="39" fontId="12" fillId="0" borderId="4" xfId="0" applyFont="1" applyFill="1" applyBorder="1" applyAlignment="1">
      <alignment horizontal="center"/>
    </xf>
    <xf numFmtId="39" fontId="12" fillId="0" borderId="5" xfId="0" applyFont="1" applyFill="1" applyBorder="1" applyAlignment="1">
      <alignment horizontal="center"/>
    </xf>
    <xf numFmtId="44" fontId="12" fillId="0" borderId="13" xfId="2" applyNumberFormat="1" applyFont="1" applyFill="1" applyBorder="1" applyProtection="1"/>
    <xf numFmtId="39" fontId="12" fillId="0" borderId="0" xfId="0" applyFont="1" applyFill="1" applyAlignment="1">
      <alignment horizontal="right"/>
    </xf>
    <xf numFmtId="39" fontId="11" fillId="0" borderId="5" xfId="0" applyFont="1" applyFill="1" applyBorder="1"/>
    <xf numFmtId="39" fontId="11" fillId="0" borderId="11" xfId="0" applyFont="1" applyFill="1" applyBorder="1"/>
    <xf numFmtId="39" fontId="11" fillId="0" borderId="1" xfId="0" applyFont="1" applyFill="1" applyBorder="1"/>
    <xf numFmtId="39" fontId="11" fillId="0" borderId="2" xfId="0" applyFont="1" applyFill="1" applyBorder="1"/>
    <xf numFmtId="39" fontId="11" fillId="0" borderId="7" xfId="0" applyFont="1" applyFill="1" applyBorder="1"/>
    <xf numFmtId="39" fontId="11" fillId="0" borderId="4" xfId="0" applyFont="1" applyFill="1" applyBorder="1"/>
    <xf numFmtId="44" fontId="12" fillId="0" borderId="17" xfId="0" applyNumberFormat="1" applyFont="1" applyFill="1" applyBorder="1"/>
    <xf numFmtId="169" fontId="12" fillId="0" borderId="12" xfId="0" applyNumberFormat="1" applyFont="1" applyFill="1" applyBorder="1" applyAlignment="1" applyProtection="1">
      <alignment horizontal="center"/>
    </xf>
    <xf numFmtId="169" fontId="12" fillId="0" borderId="13" xfId="0" applyNumberFormat="1" applyFont="1" applyFill="1" applyBorder="1" applyAlignment="1" applyProtection="1">
      <alignment horizontal="center"/>
    </xf>
    <xf numFmtId="39" fontId="12" fillId="0" borderId="13" xfId="0" applyFont="1" applyFill="1" applyBorder="1" applyAlignment="1">
      <alignment horizontal="center"/>
    </xf>
    <xf numFmtId="39" fontId="12" fillId="0" borderId="14" xfId="0" applyFont="1" applyFill="1" applyBorder="1" applyAlignment="1">
      <alignment horizontal="center"/>
    </xf>
    <xf numFmtId="168" fontId="11" fillId="0" borderId="0" xfId="0" applyNumberFormat="1" applyFont="1" applyFill="1" applyAlignment="1" applyProtection="1">
      <alignment horizontal="left"/>
    </xf>
    <xf numFmtId="44" fontId="11" fillId="0" borderId="0" xfId="0" applyNumberFormat="1" applyFont="1" applyFill="1" applyProtection="1">
      <protection locked="0"/>
    </xf>
    <xf numFmtId="44" fontId="11" fillId="0" borderId="0" xfId="0" applyNumberFormat="1" applyFont="1" applyFill="1"/>
    <xf numFmtId="39" fontId="11" fillId="0" borderId="0" xfId="0" applyFont="1" applyFill="1" applyAlignment="1">
      <alignment horizontal="left"/>
    </xf>
    <xf numFmtId="44" fontId="11" fillId="0" borderId="9" xfId="0" applyNumberFormat="1" applyFont="1" applyFill="1" applyBorder="1" applyProtection="1">
      <protection locked="0"/>
    </xf>
    <xf numFmtId="39" fontId="13" fillId="0" borderId="0" xfId="0" applyFont="1" applyFill="1"/>
    <xf numFmtId="39" fontId="13" fillId="0" borderId="0" xfId="0" applyFont="1" applyFill="1" applyAlignment="1">
      <alignment horizontal="right"/>
    </xf>
    <xf numFmtId="44" fontId="13" fillId="0" borderId="0" xfId="0" applyNumberFormat="1" applyFont="1" applyFill="1" applyAlignment="1" applyProtection="1">
      <alignment horizontal="center"/>
    </xf>
    <xf numFmtId="44" fontId="11" fillId="0" borderId="0" xfId="0" applyNumberFormat="1" applyFont="1" applyFill="1" applyProtection="1"/>
    <xf numFmtId="168" fontId="12" fillId="0" borderId="0" xfId="0" applyNumberFormat="1" applyFont="1" applyFill="1" applyAlignment="1" applyProtection="1">
      <alignment horizontal="left"/>
    </xf>
    <xf numFmtId="44" fontId="12" fillId="0" borderId="17" xfId="0" applyNumberFormat="1" applyFont="1" applyFill="1" applyBorder="1" applyProtection="1">
      <protection locked="0"/>
    </xf>
    <xf numFmtId="49" fontId="11" fillId="0" borderId="0" xfId="0" applyNumberFormat="1" applyFont="1" applyFill="1" applyProtection="1"/>
    <xf numFmtId="176" fontId="13" fillId="0" borderId="0" xfId="1" applyNumberFormat="1" applyFont="1" applyFill="1"/>
    <xf numFmtId="7" fontId="13" fillId="0" borderId="0" xfId="0" applyNumberFormat="1" applyFont="1" applyFill="1" applyAlignment="1" applyProtection="1">
      <alignment horizontal="center"/>
    </xf>
    <xf numFmtId="7" fontId="11" fillId="0" borderId="0" xfId="0" applyNumberFormat="1" applyFont="1" applyFill="1" applyProtection="1"/>
    <xf numFmtId="37" fontId="11" fillId="0" borderId="17" xfId="0" applyNumberFormat="1" applyFont="1" applyFill="1" applyBorder="1" applyProtection="1"/>
    <xf numFmtId="171" fontId="17" fillId="0" borderId="0" xfId="0" applyNumberFormat="1" applyFont="1" applyFill="1" applyBorder="1" applyAlignment="1" applyProtection="1">
      <alignment horizontal="center"/>
      <protection locked="0"/>
    </xf>
    <xf numFmtId="7" fontId="13" fillId="0" borderId="0" xfId="0" applyNumberFormat="1" applyFont="1" applyFill="1" applyBorder="1" applyAlignment="1" applyProtection="1">
      <alignment horizontal="center"/>
    </xf>
    <xf numFmtId="39" fontId="12" fillId="0" borderId="7" xfId="0" applyFont="1" applyFill="1" applyBorder="1"/>
    <xf numFmtId="39" fontId="12" fillId="0" borderId="8" xfId="0" applyFont="1" applyFill="1" applyBorder="1" applyAlignment="1">
      <alignment horizontal="center"/>
    </xf>
    <xf numFmtId="39" fontId="11" fillId="0" borderId="7" xfId="0" applyFont="1" applyFill="1" applyBorder="1" applyAlignment="1">
      <alignment horizontal="left"/>
    </xf>
    <xf numFmtId="171" fontId="11" fillId="0" borderId="0" xfId="0" applyNumberFormat="1" applyFont="1" applyFill="1" applyBorder="1" applyAlignment="1" applyProtection="1">
      <alignment horizontal="left"/>
      <protection locked="0"/>
    </xf>
    <xf numFmtId="39" fontId="11" fillId="0" borderId="4" xfId="0" applyFont="1" applyFill="1" applyBorder="1" applyAlignment="1">
      <alignment horizontal="left"/>
    </xf>
    <xf numFmtId="171" fontId="11" fillId="0" borderId="5" xfId="0" applyNumberFormat="1" applyFont="1" applyFill="1" applyBorder="1" applyAlignment="1" applyProtection="1">
      <alignment horizontal="left"/>
      <protection locked="0"/>
    </xf>
    <xf numFmtId="8" fontId="12" fillId="0" borderId="8" xfId="2" applyFont="1" applyFill="1" applyBorder="1"/>
    <xf numFmtId="8" fontId="11" fillId="0" borderId="0" xfId="2" applyFont="1" applyFill="1" applyBorder="1"/>
    <xf numFmtId="8" fontId="11" fillId="0" borderId="7" xfId="2" applyFont="1" applyFill="1" applyBorder="1"/>
    <xf numFmtId="165" fontId="11" fillId="0" borderId="0" xfId="4" applyNumberFormat="1" applyFont="1" applyFill="1" applyBorder="1"/>
    <xf numFmtId="39" fontId="12" fillId="0" borderId="4" xfId="0" applyFont="1" applyFill="1" applyBorder="1" applyAlignment="1">
      <alignment horizontal="left"/>
    </xf>
    <xf numFmtId="39" fontId="12" fillId="0" borderId="14" xfId="0" applyFont="1" applyFill="1" applyBorder="1"/>
    <xf numFmtId="44" fontId="11" fillId="0" borderId="8" xfId="2" applyNumberFormat="1" applyFont="1" applyFill="1" applyBorder="1"/>
    <xf numFmtId="44" fontId="12" fillId="0" borderId="16" xfId="2" applyNumberFormat="1" applyFont="1" applyFill="1" applyBorder="1"/>
    <xf numFmtId="8" fontId="11" fillId="0" borderId="8" xfId="2" applyFont="1" applyFill="1" applyBorder="1"/>
    <xf numFmtId="39" fontId="12" fillId="0" borderId="7" xfId="0" applyFont="1" applyFill="1" applyBorder="1" applyAlignment="1">
      <alignment horizontal="right"/>
    </xf>
    <xf numFmtId="39" fontId="11" fillId="0" borderId="7" xfId="0" applyFont="1" applyFill="1" applyBorder="1" applyAlignment="1">
      <alignment horizontal="right"/>
    </xf>
    <xf numFmtId="39" fontId="12" fillId="0" borderId="13" xfId="0" applyFont="1" applyFill="1" applyBorder="1"/>
    <xf numFmtId="39" fontId="11" fillId="0" borderId="3" xfId="0" applyFont="1" applyFill="1" applyBorder="1"/>
    <xf numFmtId="0" fontId="11" fillId="0" borderId="0" xfId="0" applyNumberFormat="1" applyFont="1" applyFill="1" applyBorder="1"/>
    <xf numFmtId="0" fontId="11" fillId="0" borderId="9" xfId="0" applyNumberFormat="1" applyFont="1" applyFill="1" applyBorder="1"/>
    <xf numFmtId="0" fontId="11" fillId="0" borderId="0" xfId="0" applyNumberFormat="1" applyFont="1" applyFill="1" applyBorder="1" applyAlignment="1">
      <alignment horizontal="left"/>
    </xf>
    <xf numFmtId="0" fontId="11" fillId="0" borderId="0" xfId="0" applyNumberFormat="1" applyFont="1" applyFill="1"/>
    <xf numFmtId="44" fontId="12" fillId="0" borderId="7" xfId="2" applyNumberFormat="1" applyFont="1" applyFill="1" applyBorder="1" applyProtection="1"/>
    <xf numFmtId="177" fontId="11" fillId="0" borderId="6" xfId="0" applyNumberFormat="1" applyFont="1" applyFill="1" applyBorder="1" applyAlignment="1">
      <alignment horizontal="right"/>
    </xf>
    <xf numFmtId="177" fontId="11" fillId="0" borderId="8" xfId="0" applyNumberFormat="1" applyFont="1" applyFill="1" applyBorder="1"/>
    <xf numFmtId="178" fontId="11" fillId="0" borderId="6" xfId="2" applyNumberFormat="1" applyFont="1" applyFill="1" applyBorder="1"/>
    <xf numFmtId="37" fontId="22" fillId="0" borderId="0" xfId="0" applyNumberFormat="1" applyFont="1" applyFill="1" applyBorder="1"/>
    <xf numFmtId="37" fontId="23" fillId="0" borderId="0" xfId="0" applyNumberFormat="1" applyFont="1" applyFill="1" applyBorder="1" applyProtection="1"/>
    <xf numFmtId="37" fontId="23" fillId="0" borderId="5" xfId="0" applyNumberFormat="1" applyFont="1" applyFill="1" applyBorder="1" applyProtection="1"/>
    <xf numFmtId="44" fontId="23" fillId="0" borderId="10" xfId="2" applyNumberFormat="1" applyFont="1" applyFill="1" applyBorder="1" applyProtection="1"/>
    <xf numFmtId="44" fontId="23" fillId="0" borderId="11" xfId="2" applyNumberFormat="1" applyFont="1" applyFill="1" applyBorder="1" applyProtection="1"/>
    <xf numFmtId="44" fontId="23" fillId="0" borderId="15" xfId="2" applyNumberFormat="1" applyFont="1" applyFill="1" applyBorder="1" applyProtection="1"/>
    <xf numFmtId="44" fontId="12" fillId="0" borderId="21" xfId="2" applyNumberFormat="1" applyFont="1" applyFill="1" applyBorder="1" applyProtection="1"/>
    <xf numFmtId="38" fontId="20" fillId="0" borderId="0" xfId="1" applyNumberFormat="1" applyFont="1" applyFill="1" applyBorder="1" applyProtection="1"/>
    <xf numFmtId="38" fontId="11" fillId="0" borderId="0" xfId="1" applyNumberFormat="1" applyFont="1" applyFill="1" applyBorder="1" applyProtection="1"/>
    <xf numFmtId="38" fontId="20" fillId="0" borderId="9" xfId="1" applyNumberFormat="1" applyFont="1" applyFill="1" applyBorder="1" applyProtection="1"/>
    <xf numFmtId="39" fontId="11" fillId="0" borderId="10" xfId="0" applyNumberFormat="1" applyFont="1" applyFill="1" applyBorder="1"/>
    <xf numFmtId="39" fontId="11" fillId="0" borderId="0" xfId="0" applyFont="1" applyFill="1"/>
    <xf numFmtId="171" fontId="23" fillId="0" borderId="0" xfId="0" applyNumberFormat="1" applyFont="1" applyFill="1" applyBorder="1" applyAlignment="1" applyProtection="1">
      <alignment horizontal="center"/>
      <protection locked="0"/>
    </xf>
    <xf numFmtId="166" fontId="12" fillId="0" borderId="0" xfId="4" applyNumberFormat="1" applyFont="1" applyFill="1" applyAlignment="1">
      <alignment horizontal="center"/>
    </xf>
    <xf numFmtId="39" fontId="11" fillId="0" borderId="18" xfId="0" applyNumberFormat="1" applyFont="1" applyFill="1" applyBorder="1"/>
    <xf numFmtId="40" fontId="11" fillId="0" borderId="8" xfId="1" applyFont="1" applyFill="1" applyBorder="1"/>
    <xf numFmtId="40" fontId="11" fillId="0" borderId="5" xfId="1" applyFont="1" applyFill="1" applyBorder="1"/>
    <xf numFmtId="0" fontId="11" fillId="0" borderId="8" xfId="2" applyNumberFormat="1" applyFont="1" applyFill="1" applyBorder="1"/>
    <xf numFmtId="40" fontId="11" fillId="0" borderId="2" xfId="1" applyFont="1" applyFill="1" applyBorder="1"/>
    <xf numFmtId="40" fontId="11" fillId="0" borderId="3" xfId="1" applyFont="1" applyFill="1" applyBorder="1"/>
    <xf numFmtId="40" fontId="11" fillId="0" borderId="0" xfId="1" applyFont="1" applyFill="1" applyBorder="1"/>
    <xf numFmtId="40" fontId="11" fillId="0" borderId="6" xfId="1" applyFont="1" applyFill="1" applyBorder="1"/>
    <xf numFmtId="0" fontId="23" fillId="0" borderId="0" xfId="0" applyNumberFormat="1" applyFont="1" applyFill="1" applyAlignment="1">
      <alignment horizontal="center"/>
    </xf>
    <xf numFmtId="0" fontId="12" fillId="0" borderId="0" xfId="0" applyNumberFormat="1" applyFont="1" applyFill="1" applyAlignment="1">
      <alignment horizontal="center"/>
    </xf>
    <xf numFmtId="39" fontId="34" fillId="0" borderId="0" xfId="0" applyFont="1" applyFill="1"/>
    <xf numFmtId="0" fontId="11" fillId="0" borderId="5" xfId="0" applyNumberFormat="1" applyFont="1" applyFill="1" applyBorder="1"/>
    <xf numFmtId="44" fontId="20" fillId="0" borderId="9" xfId="0" applyNumberFormat="1" applyFont="1" applyFill="1" applyBorder="1"/>
    <xf numFmtId="178" fontId="11" fillId="0" borderId="0" xfId="2" applyNumberFormat="1" applyFont="1" applyFill="1" applyBorder="1"/>
    <xf numFmtId="8" fontId="20" fillId="0" borderId="0" xfId="0" applyNumberFormat="1" applyFont="1" applyFill="1" applyBorder="1"/>
    <xf numFmtId="8" fontId="20" fillId="0" borderId="9" xfId="0" applyNumberFormat="1" applyFont="1" applyFill="1" applyBorder="1"/>
    <xf numFmtId="44" fontId="12" fillId="0" borderId="0" xfId="0" applyNumberFormat="1" applyFont="1" applyFill="1" applyBorder="1"/>
    <xf numFmtId="39" fontId="11" fillId="0" borderId="0" xfId="0" applyFont="1" applyFill="1" applyAlignment="1">
      <alignment horizontal="center"/>
    </xf>
    <xf numFmtId="7" fontId="23" fillId="0" borderId="0" xfId="0" applyNumberFormat="1" applyFont="1" applyFill="1" applyBorder="1"/>
    <xf numFmtId="10" fontId="11" fillId="0" borderId="0" xfId="4" applyNumberFormat="1" applyFont="1" applyFill="1"/>
    <xf numFmtId="39" fontId="38" fillId="0" borderId="0" xfId="0" applyFont="1" applyFill="1"/>
    <xf numFmtId="39" fontId="12" fillId="0" borderId="22" xfId="73" applyNumberFormat="1" applyFont="1" applyFill="1"/>
    <xf numFmtId="39" fontId="12" fillId="0" borderId="0" xfId="0" applyFont="1" applyFill="1" applyAlignment="1"/>
    <xf numFmtId="0" fontId="12" fillId="0" borderId="0" xfId="0" applyNumberFormat="1" applyFont="1" applyFill="1"/>
    <xf numFmtId="37" fontId="12" fillId="0" borderId="22" xfId="73" applyNumberFormat="1" applyFont="1" applyFill="1"/>
    <xf numFmtId="38" fontId="11" fillId="0" borderId="0" xfId="1" applyNumberFormat="1" applyFont="1" applyFill="1"/>
    <xf numFmtId="171" fontId="11" fillId="0" borderId="0" xfId="0" applyNumberFormat="1" applyFont="1" applyFill="1"/>
    <xf numFmtId="37" fontId="11" fillId="0" borderId="0" xfId="0" applyNumberFormat="1" applyFont="1" applyFill="1"/>
    <xf numFmtId="171" fontId="11" fillId="0" borderId="0" xfId="0" applyNumberFormat="1" applyFont="1" applyFill="1" applyAlignment="1">
      <alignment horizontal="right"/>
    </xf>
    <xf numFmtId="0" fontId="12" fillId="0" borderId="0" xfId="0" applyNumberFormat="1" applyFont="1" applyFill="1" applyAlignment="1">
      <alignment horizontal="right"/>
    </xf>
    <xf numFmtId="0" fontId="12" fillId="0" borderId="10" xfId="0" applyNumberFormat="1" applyFont="1" applyFill="1" applyBorder="1"/>
    <xf numFmtId="39" fontId="11" fillId="0" borderId="0" xfId="0" applyFont="1" applyFill="1" applyBorder="1" applyAlignment="1">
      <alignment horizontal="center"/>
    </xf>
    <xf numFmtId="39" fontId="11" fillId="0" borderId="0" xfId="0" applyFont="1" applyFill="1" applyBorder="1" applyAlignment="1">
      <alignment horizontal="center"/>
    </xf>
    <xf numFmtId="39" fontId="11" fillId="0" borderId="8" xfId="0" applyFont="1" applyFill="1" applyBorder="1" applyAlignment="1">
      <alignment horizontal="center"/>
    </xf>
    <xf numFmtId="39" fontId="12" fillId="0" borderId="10" xfId="0" applyFont="1" applyFill="1" applyBorder="1" applyAlignment="1">
      <alignment horizontal="center"/>
    </xf>
    <xf numFmtId="39" fontId="12" fillId="0" borderId="11" xfId="0" applyFont="1" applyFill="1" applyBorder="1" applyAlignment="1">
      <alignment horizontal="center"/>
    </xf>
    <xf numFmtId="39" fontId="12" fillId="0" borderId="15" xfId="0" applyFont="1" applyFill="1" applyBorder="1" applyAlignment="1">
      <alignment horizontal="center"/>
    </xf>
    <xf numFmtId="39" fontId="37" fillId="0" borderId="0" xfId="0" applyFont="1" applyFill="1"/>
    <xf numFmtId="39" fontId="12" fillId="0" borderId="0" xfId="0" applyFont="1" applyFill="1" applyAlignment="1">
      <alignment horizontal="center"/>
    </xf>
    <xf numFmtId="39" fontId="12" fillId="0" borderId="0" xfId="0" applyFont="1" applyFill="1" applyAlignment="1">
      <alignment horizontal="center" wrapText="1"/>
    </xf>
    <xf numFmtId="0" fontId="23" fillId="0" borderId="1" xfId="0" applyNumberFormat="1" applyFont="1" applyFill="1" applyBorder="1"/>
    <xf numFmtId="0" fontId="11" fillId="0" borderId="2" xfId="0" applyNumberFormat="1" applyFont="1" applyFill="1" applyBorder="1"/>
    <xf numFmtId="39" fontId="11" fillId="0" borderId="15" xfId="0" applyFont="1" applyFill="1" applyBorder="1"/>
    <xf numFmtId="39" fontId="38" fillId="0" borderId="4" xfId="0" applyFont="1" applyFill="1" applyBorder="1"/>
    <xf numFmtId="39" fontId="38" fillId="0" borderId="5" xfId="0" applyFont="1" applyFill="1" applyBorder="1"/>
    <xf numFmtId="39" fontId="38" fillId="0" borderId="6" xfId="0" applyFont="1" applyFill="1" applyBorder="1"/>
    <xf numFmtId="39" fontId="11" fillId="0" borderId="25" xfId="0" applyFont="1" applyFill="1" applyBorder="1"/>
    <xf numFmtId="39" fontId="11" fillId="0" borderId="26" xfId="0" applyFont="1" applyFill="1" applyBorder="1"/>
    <xf numFmtId="39" fontId="11" fillId="0" borderId="6" xfId="0" applyFont="1" applyFill="1" applyBorder="1"/>
    <xf numFmtId="39" fontId="11" fillId="0" borderId="27" xfId="0" applyFont="1" applyFill="1" applyBorder="1"/>
    <xf numFmtId="39" fontId="12" fillId="0" borderId="24" xfId="73" applyNumberFormat="1" applyFont="1" applyFill="1" applyBorder="1"/>
    <xf numFmtId="171" fontId="11" fillId="0" borderId="0" xfId="0" applyNumberFormat="1" applyFont="1" applyFill="1" applyAlignment="1">
      <alignment horizontal="center"/>
    </xf>
    <xf numFmtId="0" fontId="12" fillId="0" borderId="1" xfId="0" applyNumberFormat="1" applyFont="1" applyFill="1" applyBorder="1"/>
    <xf numFmtId="40" fontId="11" fillId="0" borderId="0" xfId="1" applyNumberFormat="1" applyFont="1" applyFill="1"/>
    <xf numFmtId="39" fontId="11" fillId="0" borderId="23" xfId="0" applyFont="1" applyFill="1" applyBorder="1"/>
    <xf numFmtId="40" fontId="11" fillId="0" borderId="0" xfId="0" applyNumberFormat="1" applyFont="1" applyFill="1"/>
    <xf numFmtId="0" fontId="11" fillId="0" borderId="11" xfId="0" applyNumberFormat="1" applyFont="1" applyFill="1" applyBorder="1"/>
    <xf numFmtId="0" fontId="39" fillId="0" borderId="11" xfId="0" applyNumberFormat="1" applyFont="1" applyFill="1" applyBorder="1"/>
    <xf numFmtId="39" fontId="11" fillId="0" borderId="10" xfId="0" applyFont="1" applyFill="1" applyBorder="1"/>
    <xf numFmtId="0" fontId="31" fillId="0" borderId="0" xfId="143" applyFont="1" applyFill="1"/>
    <xf numFmtId="0" fontId="1" fillId="0" borderId="0" xfId="143" applyFont="1" applyFill="1"/>
    <xf numFmtId="43" fontId="42" fillId="0" borderId="0" xfId="144" applyFont="1" applyFill="1"/>
    <xf numFmtId="0" fontId="41" fillId="0" borderId="0" xfId="143" applyFont="1" applyFill="1"/>
    <xf numFmtId="43" fontId="43" fillId="0" borderId="10" xfId="144" applyFont="1" applyFill="1" applyBorder="1" applyAlignment="1">
      <alignment horizontal="center"/>
    </xf>
    <xf numFmtId="43" fontId="43" fillId="0" borderId="11" xfId="144" applyFont="1" applyFill="1" applyBorder="1" applyAlignment="1">
      <alignment horizontal="center"/>
    </xf>
    <xf numFmtId="43" fontId="43" fillId="0" borderId="15" xfId="144" applyFont="1" applyFill="1" applyBorder="1" applyAlignment="1">
      <alignment horizontal="center"/>
    </xf>
    <xf numFmtId="43" fontId="31" fillId="0" borderId="0" xfId="144" quotePrefix="1" applyFont="1" applyFill="1" applyAlignment="1">
      <alignment horizontal="center"/>
    </xf>
    <xf numFmtId="43" fontId="31" fillId="0" borderId="0" xfId="144" applyFont="1" applyFill="1" applyAlignment="1">
      <alignment horizontal="center"/>
    </xf>
    <xf numFmtId="0" fontId="31" fillId="0" borderId="0" xfId="143" applyFont="1" applyFill="1" applyAlignment="1">
      <alignment horizontal="center"/>
    </xf>
    <xf numFmtId="0" fontId="40" fillId="0" borderId="0" xfId="143" applyFont="1" applyFill="1"/>
    <xf numFmtId="43" fontId="31" fillId="0" borderId="0" xfId="144" applyFont="1" applyFill="1"/>
    <xf numFmtId="43" fontId="1" fillId="0" borderId="0" xfId="143" applyNumberFormat="1" applyFont="1" applyFill="1"/>
    <xf numFmtId="43" fontId="41" fillId="0" borderId="0" xfId="143" applyNumberFormat="1" applyFont="1" applyFill="1"/>
    <xf numFmtId="43" fontId="40" fillId="0" borderId="0" xfId="143" applyNumberFormat="1" applyFont="1" applyFill="1"/>
    <xf numFmtId="17" fontId="12" fillId="0" borderId="10" xfId="0" applyNumberFormat="1" applyFont="1" applyFill="1" applyBorder="1"/>
    <xf numFmtId="17" fontId="12" fillId="0" borderId="15" xfId="0" applyNumberFormat="1" applyFont="1" applyFill="1" applyBorder="1"/>
    <xf numFmtId="17" fontId="12" fillId="0" borderId="0" xfId="0" applyNumberFormat="1" applyFont="1" applyFill="1"/>
    <xf numFmtId="10" fontId="12" fillId="0" borderId="0" xfId="4" applyNumberFormat="1" applyFont="1" applyFill="1" applyAlignment="1">
      <alignment horizontal="center"/>
    </xf>
    <xf numFmtId="44" fontId="12" fillId="0" borderId="18" xfId="0" applyNumberFormat="1" applyFont="1" applyFill="1" applyBorder="1"/>
    <xf numFmtId="7" fontId="11" fillId="0" borderId="0" xfId="0" applyNumberFormat="1" applyFont="1" applyFill="1"/>
    <xf numFmtId="39" fontId="11" fillId="0" borderId="0" xfId="0" applyNumberFormat="1" applyFont="1" applyFill="1"/>
    <xf numFmtId="7" fontId="14" fillId="0" borderId="0" xfId="0" applyNumberFormat="1" applyFont="1" applyFill="1"/>
    <xf numFmtId="39" fontId="11" fillId="0" borderId="0" xfId="0" applyNumberFormat="1" applyFont="1" applyFill="1" applyAlignment="1">
      <alignment horizontal="left" vertical="top"/>
    </xf>
    <xf numFmtId="39" fontId="11" fillId="0" borderId="0" xfId="0" applyNumberFormat="1" applyFont="1" applyFill="1" applyAlignment="1">
      <alignment horizontal="center" vertical="top"/>
    </xf>
    <xf numFmtId="39" fontId="11" fillId="0" borderId="20" xfId="0" applyFont="1" applyFill="1" applyBorder="1"/>
    <xf numFmtId="39" fontId="11" fillId="0" borderId="14" xfId="0" applyFont="1" applyFill="1" applyBorder="1"/>
    <xf numFmtId="39" fontId="12" fillId="0" borderId="0" xfId="0" applyNumberFormat="1" applyFont="1" applyFill="1" applyAlignment="1">
      <alignment horizontal="left" vertical="top"/>
    </xf>
    <xf numFmtId="39" fontId="22" fillId="0" borderId="0" xfId="0" applyFont="1" applyFill="1"/>
    <xf numFmtId="44" fontId="11" fillId="0" borderId="19" xfId="0" applyNumberFormat="1" applyFont="1" applyFill="1" applyBorder="1"/>
    <xf numFmtId="39" fontId="11" fillId="0" borderId="0" xfId="0" applyNumberFormat="1" applyFont="1" applyFill="1" applyProtection="1"/>
    <xf numFmtId="39" fontId="30" fillId="0" borderId="0" xfId="0" applyNumberFormat="1" applyFont="1" applyFill="1"/>
    <xf numFmtId="174" fontId="11" fillId="0" borderId="0" xfId="0" applyNumberFormat="1" applyFont="1" applyFill="1"/>
    <xf numFmtId="39" fontId="19" fillId="0" borderId="0" xfId="0" applyFont="1" applyFill="1"/>
    <xf numFmtId="2" fontId="11" fillId="0" borderId="0" xfId="0" applyNumberFormat="1" applyFont="1" applyFill="1"/>
    <xf numFmtId="39" fontId="30" fillId="0" borderId="0" xfId="0" applyNumberFormat="1" applyFont="1" applyFill="1" applyAlignment="1">
      <alignment horizontal="right"/>
    </xf>
    <xf numFmtId="165" fontId="17" fillId="0" borderId="0" xfId="0" applyNumberFormat="1" applyFont="1" applyFill="1" applyBorder="1" applyProtection="1"/>
    <xf numFmtId="7" fontId="11" fillId="0" borderId="0" xfId="1" applyNumberFormat="1" applyFont="1" applyFill="1"/>
    <xf numFmtId="39" fontId="11" fillId="0" borderId="0" xfId="0" applyNumberFormat="1" applyFont="1" applyFill="1" applyBorder="1"/>
    <xf numFmtId="165" fontId="13" fillId="0" borderId="0" xfId="0" applyNumberFormat="1" applyFont="1" applyFill="1" applyProtection="1">
      <protection locked="0"/>
    </xf>
    <xf numFmtId="165" fontId="17" fillId="0" borderId="0" xfId="0" applyNumberFormat="1" applyFont="1" applyFill="1" applyProtection="1">
      <protection locked="0"/>
    </xf>
    <xf numFmtId="165" fontId="11" fillId="0" borderId="0" xfId="0" applyNumberFormat="1" applyFont="1" applyFill="1" applyProtection="1"/>
    <xf numFmtId="165" fontId="11" fillId="0" borderId="0" xfId="0" applyNumberFormat="1" applyFont="1" applyFill="1" applyProtection="1">
      <protection locked="0"/>
    </xf>
    <xf numFmtId="170" fontId="11" fillId="0" borderId="0" xfId="0" applyNumberFormat="1" applyFont="1" applyFill="1" applyProtection="1"/>
    <xf numFmtId="5" fontId="11" fillId="0" borderId="0" xfId="0" applyNumberFormat="1" applyFont="1" applyFill="1" applyProtection="1"/>
  </cellXfs>
  <cellStyles count="145">
    <cellStyle name="Comma" xfId="1" builtinId="3"/>
    <cellStyle name="Comma 2" xfId="8"/>
    <cellStyle name="Comma 2 2" xfId="43"/>
    <cellStyle name="Comma 2 3" xfId="55"/>
    <cellStyle name="Comma 3" xfId="5"/>
    <cellStyle name="Comma 3 2" xfId="64"/>
    <cellStyle name="Comma 4" xfId="9"/>
    <cellStyle name="Comma 4 2" xfId="44"/>
    <cellStyle name="Comma 4 2 2" xfId="84"/>
    <cellStyle name="Comma 4 2 2 2" xfId="126"/>
    <cellStyle name="Comma 4 2 3" xfId="105"/>
    <cellStyle name="Comma 4 3" xfId="75"/>
    <cellStyle name="Comma 4 3 2" xfId="117"/>
    <cellStyle name="Comma 4 4" xfId="96"/>
    <cellStyle name="Comma 4 5" xfId="138"/>
    <cellStyle name="Comma 5" xfId="10"/>
    <cellStyle name="Comma 5 2" xfId="141"/>
    <cellStyle name="Comma 6" xfId="70"/>
    <cellStyle name="Comma 6 2" xfId="74"/>
    <cellStyle name="Comma 6 2 2" xfId="116"/>
    <cellStyle name="Comma 6 3" xfId="95"/>
    <cellStyle name="Comma 6 3 2" xfId="136"/>
    <cellStyle name="Comma 6 4" xfId="115"/>
    <cellStyle name="Comma 7" xfId="144"/>
    <cellStyle name="Comma0" xfId="11"/>
    <cellStyle name="Currency" xfId="2" builtinId="4"/>
    <cellStyle name="Currency 2" xfId="7"/>
    <cellStyle name="Currency 2 2" xfId="57"/>
    <cellStyle name="Currency 2 3" xfId="56"/>
    <cellStyle name="Currency 3" xfId="12"/>
    <cellStyle name="Currency 3 2" xfId="66"/>
    <cellStyle name="Currency 3 3" xfId="58"/>
    <cellStyle name="Currency 4" xfId="13"/>
    <cellStyle name="Currency 4 2" xfId="14"/>
    <cellStyle name="Currency 4 2 2" xfId="46"/>
    <cellStyle name="Currency 4 2 2 2" xfId="86"/>
    <cellStyle name="Currency 4 2 2 2 2" xfId="128"/>
    <cellStyle name="Currency 4 2 2 3" xfId="107"/>
    <cellStyle name="Currency 4 2 3" xfId="77"/>
    <cellStyle name="Currency 4 2 3 2" xfId="119"/>
    <cellStyle name="Currency 4 2 4" xfId="98"/>
    <cellStyle name="Currency 4 3" xfId="45"/>
    <cellStyle name="Currency 4 3 2" xfId="85"/>
    <cellStyle name="Currency 4 3 2 2" xfId="127"/>
    <cellStyle name="Currency 4 3 3" xfId="106"/>
    <cellStyle name="Currency 4 4" xfId="68"/>
    <cellStyle name="Currency 4 5" xfId="76"/>
    <cellStyle name="Currency 4 5 2" xfId="118"/>
    <cellStyle name="Currency 4 6" xfId="97"/>
    <cellStyle name="Currency 5" xfId="15"/>
    <cellStyle name="Currency 6" xfId="16"/>
    <cellStyle name="Currency 6 2" xfId="17"/>
    <cellStyle name="Currency 7" xfId="18"/>
    <cellStyle name="Currency 7 2" xfId="47"/>
    <cellStyle name="Currency 7 2 2" xfId="87"/>
    <cellStyle name="Currency 7 2 2 2" xfId="129"/>
    <cellStyle name="Currency 7 2 3" xfId="108"/>
    <cellStyle name="Currency 7 3" xfId="78"/>
    <cellStyle name="Currency 7 3 2" xfId="120"/>
    <cellStyle name="Currency 7 4" xfId="99"/>
    <cellStyle name="Currency 8" xfId="71"/>
    <cellStyle name="Currency0" xfId="19"/>
    <cellStyle name="Date" xfId="20"/>
    <cellStyle name="Fixed" xfId="21"/>
    <cellStyle name="Manual-Input" xfId="3"/>
    <cellStyle name="Normal" xfId="0" builtinId="0"/>
    <cellStyle name="Normal 10" xfId="42"/>
    <cellStyle name="Normal 11" xfId="54"/>
    <cellStyle name="Normal 11 2" xfId="93"/>
    <cellStyle name="Normal 12" xfId="69"/>
    <cellStyle name="Normal 12 2" xfId="94"/>
    <cellStyle name="Normal 12 2 2" xfId="135"/>
    <cellStyle name="Normal 12 3" xfId="114"/>
    <cellStyle name="Normal 13" xfId="143"/>
    <cellStyle name="Normal 2" xfId="6"/>
    <cellStyle name="Normal 2 2" xfId="41"/>
    <cellStyle name="Normal 2 3" xfId="59"/>
    <cellStyle name="Normal 3" xfId="22"/>
    <cellStyle name="Normal 3 2" xfId="65"/>
    <cellStyle name="Normal 4" xfId="23"/>
    <cellStyle name="Normal 4 2" xfId="63"/>
    <cellStyle name="Normal 5" xfId="24"/>
    <cellStyle name="Normal 5 2" xfId="137"/>
    <cellStyle name="Normal 6" xfId="25"/>
    <cellStyle name="Normal 6 2" xfId="26"/>
    <cellStyle name="Normal 6 3" xfId="140"/>
    <cellStyle name="Normal 7" xfId="27"/>
    <cellStyle name="Normal 7 2" xfId="48"/>
    <cellStyle name="Normal 7 2 2" xfId="88"/>
    <cellStyle name="Normal 7 2 2 2" xfId="130"/>
    <cellStyle name="Normal 7 2 3" xfId="109"/>
    <cellStyle name="Normal 7 3" xfId="79"/>
    <cellStyle name="Normal 7 3 2" xfId="121"/>
    <cellStyle name="Normal 7 4" xfId="100"/>
    <cellStyle name="Normal 8" xfId="28"/>
    <cellStyle name="Normal 9" xfId="40"/>
    <cellStyle name="Normal 9 2" xfId="53"/>
    <cellStyle name="Percent" xfId="4" builtinId="5"/>
    <cellStyle name="Percent 10" xfId="72"/>
    <cellStyle name="Percent 2" xfId="29"/>
    <cellStyle name="Percent 2 2" xfId="61"/>
    <cellStyle name="Percent 2 3" xfId="60"/>
    <cellStyle name="Percent 2 4" xfId="139"/>
    <cellStyle name="Percent 3" xfId="30"/>
    <cellStyle name="Percent 3 2" xfId="67"/>
    <cellStyle name="Percent 3 3" xfId="62"/>
    <cellStyle name="Percent 3 4" xfId="142"/>
    <cellStyle name="Percent 4" xfId="31"/>
    <cellStyle name="Percent 5" xfId="32"/>
    <cellStyle name="Percent 5 2" xfId="33"/>
    <cellStyle name="Percent 5 2 2" xfId="34"/>
    <cellStyle name="Percent 5 2 2 2" xfId="51"/>
    <cellStyle name="Percent 5 2 2 2 2" xfId="91"/>
    <cellStyle name="Percent 5 2 2 2 2 2" xfId="133"/>
    <cellStyle name="Percent 5 2 2 2 3" xfId="112"/>
    <cellStyle name="Percent 5 2 2 3" xfId="82"/>
    <cellStyle name="Percent 5 2 2 3 2" xfId="124"/>
    <cellStyle name="Percent 5 2 2 4" xfId="103"/>
    <cellStyle name="Percent 5 2 3" xfId="50"/>
    <cellStyle name="Percent 5 2 3 2" xfId="90"/>
    <cellStyle name="Percent 5 2 3 2 2" xfId="132"/>
    <cellStyle name="Percent 5 2 3 3" xfId="111"/>
    <cellStyle name="Percent 5 2 4" xfId="81"/>
    <cellStyle name="Percent 5 2 4 2" xfId="123"/>
    <cellStyle name="Percent 5 2 5" xfId="102"/>
    <cellStyle name="Percent 5 3" xfId="49"/>
    <cellStyle name="Percent 5 3 2" xfId="89"/>
    <cellStyle name="Percent 5 3 2 2" xfId="131"/>
    <cellStyle name="Percent 5 3 3" xfId="110"/>
    <cellStyle name="Percent 5 4" xfId="80"/>
    <cellStyle name="Percent 5 4 2" xfId="122"/>
    <cellStyle name="Percent 5 5" xfId="101"/>
    <cellStyle name="Percent 6" xfId="35"/>
    <cellStyle name="Percent 7" xfId="36"/>
    <cellStyle name="Percent 7 2" xfId="37"/>
    <cellStyle name="Percent 8" xfId="38"/>
    <cellStyle name="Percent 8 2" xfId="52"/>
    <cellStyle name="Percent 8 2 2" xfId="92"/>
    <cellStyle name="Percent 8 2 2 2" xfId="134"/>
    <cellStyle name="Percent 8 2 3" xfId="113"/>
    <cellStyle name="Percent 8 3" xfId="83"/>
    <cellStyle name="Percent 8 3 2" xfId="125"/>
    <cellStyle name="Percent 8 4" xfId="104"/>
    <cellStyle name="Percent 9" xfId="39"/>
    <cellStyle name="Total" xfId="73" builtinId="25"/>
  </cellStyles>
  <dxfs count="10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CC66"/>
      <color rgb="FF66FF33"/>
      <color rgb="FF0000FF"/>
      <color rgb="FF008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327660</xdr:colOff>
      <xdr:row>19</xdr:row>
      <xdr:rowOff>45720</xdr:rowOff>
    </xdr:from>
    <xdr:to>
      <xdr:col>14</xdr:col>
      <xdr:colOff>0</xdr:colOff>
      <xdr:row>28</xdr:row>
      <xdr:rowOff>83820</xdr:rowOff>
    </xdr:to>
    <xdr:sp macro="" textlink="">
      <xdr:nvSpPr>
        <xdr:cNvPr id="2" name="TextBox 1"/>
        <xdr:cNvSpPr txBox="1"/>
      </xdr:nvSpPr>
      <xdr:spPr>
        <a:xfrm>
          <a:off x="327660" y="3535680"/>
          <a:ext cx="10751820" cy="16840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KM:</a:t>
          </a:r>
        </a:p>
        <a:p>
          <a:r>
            <a:rPr lang="en-US" sz="1100"/>
            <a:t>201905 Entitlement Penalty input under AN on monthly tab, which resulted in incorrect allocation of that item to WA/ID. </a:t>
          </a:r>
        </a:p>
        <a:p>
          <a:endParaRPr lang="en-US" sz="1100"/>
        </a:p>
        <a:p>
          <a:r>
            <a:rPr lang="en-US" sz="1100"/>
            <a:t>The Entitlement Penalty had specific dollars listed for both WA &amp; ID, therefore needed to be input into each state's section on monthly tab in order to get allocated to each state correctly.</a:t>
          </a:r>
        </a:p>
        <a:p>
          <a:endParaRPr lang="en-US" sz="1100"/>
        </a:p>
        <a:p>
          <a:r>
            <a:rPr lang="en-US" sz="1100"/>
            <a:t>"201905 Revised" is what should have been recorded if allocation had been done correctly.</a:t>
          </a:r>
        </a:p>
        <a:p>
          <a:endParaRPr lang="en-US" sz="1100"/>
        </a:p>
        <a:p>
          <a:r>
            <a:rPr lang="en-US" sz="1100"/>
            <a:t>True</a:t>
          </a:r>
          <a:r>
            <a:rPr lang="en-US" sz="1100" baseline="0"/>
            <a:t> up entry for both WA &amp; ID will be recorded along with JE in 201906</a:t>
          </a:r>
          <a:endParaRPr lang="en-US" sz="1100"/>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tural%20Gas%20Accounting\Gas%20Cost%20Data%20Bases\History\OR%20Gas%20Costs%201999-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OLK2\Agency%20Capacity%20Releas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84\c01m84\Power%20Deferrals\Power%20Deferral%20Journals\REC%20Deferral\2016%20DJ475%20WA%20REC%20new%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egon Gas Costs - 1999"/>
      <sheetName val="Oregon Gas Costs - 2000"/>
      <sheetName val="Oregon Gas Costs - 2001"/>
      <sheetName val="Oregon Gas Costs - 2002"/>
      <sheetName val="Oregon Gas Costs - 2003"/>
      <sheetName val="Oregon Gas Costs - 2004 "/>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2001"/>
      <sheetName val="Jan 2001"/>
      <sheetName val="Dec 2000"/>
      <sheetName val="Nov 2000"/>
      <sheetName val="Oct 2000"/>
      <sheetName val="Sep 2000"/>
      <sheetName val="Sheet1"/>
      <sheetName val="Aug 2000"/>
      <sheetName val="Jul 2000"/>
      <sheetName val="Jun 2000"/>
      <sheetName val="May 2000"/>
      <sheetName val="April 2000"/>
      <sheetName val="Mar 2000"/>
      <sheetName val="Feb 2000"/>
      <sheetName val="Jan 2000"/>
      <sheetName val="Dec 99"/>
      <sheetName val="Nov 99"/>
      <sheetName val="Oct 99"/>
      <sheetName val="Sep 99"/>
      <sheetName val="Mar 2001 "/>
      <sheetName val="April 2001"/>
      <sheetName val="May 2001"/>
      <sheetName val="June 2001"/>
      <sheetName val="July 2001 "/>
      <sheetName val="Aug 01"/>
      <sheetName val="Sept 01"/>
      <sheetName val="Oct 01"/>
      <sheetName val="Nov 01"/>
      <sheetName val="Dec 01"/>
      <sheetName val="Jan 02"/>
      <sheetName val="Feb 2002"/>
      <sheetName val="Mar 02"/>
      <sheetName val="Apr 02"/>
      <sheetName val="May 02"/>
      <sheetName val="Jun 02"/>
      <sheetName val="Jul 02 "/>
      <sheetName val="Aug 02"/>
      <sheetName val="Sep 02"/>
      <sheetName val="Oct 02"/>
      <sheetName val="Nov 02"/>
      <sheetName val="Dec 02"/>
      <sheetName val="Jan 03"/>
      <sheetName val="Feb 03"/>
      <sheetName val="Mar 03"/>
      <sheetName val="Apr 03"/>
      <sheetName val="May 03"/>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86322 WA REC - Amortizing"/>
      <sheetName val="186323 WA REC - Current"/>
      <sheetName val="186324 WA REC - Current 2"/>
      <sheetName val="Company Band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6.2851562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4" t="s">
        <v>27</v>
      </c>
      <c r="B1" s="175"/>
      <c r="C1" s="108">
        <v>201901</v>
      </c>
      <c r="F1" s="109">
        <f>C1</f>
        <v>201901</v>
      </c>
      <c r="H1" s="37" t="s">
        <v>32</v>
      </c>
      <c r="I1" s="22" t="s">
        <v>1</v>
      </c>
      <c r="J1" s="22" t="s">
        <v>1</v>
      </c>
      <c r="K1" s="22" t="s">
        <v>29</v>
      </c>
      <c r="L1" s="22" t="s">
        <v>29</v>
      </c>
    </row>
    <row r="2" spans="1:12" ht="15.75">
      <c r="C2" s="6"/>
      <c r="H2" s="38" t="s">
        <v>11</v>
      </c>
      <c r="I2" s="39" t="s">
        <v>28</v>
      </c>
      <c r="J2" s="39" t="s">
        <v>28</v>
      </c>
      <c r="K2" s="39" t="s">
        <v>30</v>
      </c>
      <c r="L2" s="39" t="s">
        <v>30</v>
      </c>
    </row>
    <row r="3" spans="1:12" ht="16.5" thickBot="1">
      <c r="A3" s="10" t="s">
        <v>53</v>
      </c>
      <c r="C3" s="7"/>
      <c r="D3" s="176"/>
      <c r="F3" s="9" t="s">
        <v>35</v>
      </c>
      <c r="H3" s="40" t="s">
        <v>31</v>
      </c>
      <c r="I3" s="40" t="s">
        <v>14</v>
      </c>
      <c r="J3" s="40" t="s">
        <v>26</v>
      </c>
      <c r="K3" s="40" t="s">
        <v>14</v>
      </c>
      <c r="L3" s="40" t="s">
        <v>26</v>
      </c>
    </row>
    <row r="4" spans="1:12" ht="15.75">
      <c r="A4" s="97" t="s">
        <v>39</v>
      </c>
      <c r="C4" s="20">
        <v>3631690.92</v>
      </c>
      <c r="D4" s="6"/>
      <c r="H4" s="3"/>
    </row>
    <row r="5" spans="1:12" ht="14.25" customHeight="1">
      <c r="A5" s="97" t="s">
        <v>10</v>
      </c>
      <c r="C5" s="20">
        <v>34684.239999999998</v>
      </c>
      <c r="D5" s="6"/>
      <c r="H5" s="3"/>
      <c r="I5" s="177">
        <v>0.69099999999999995</v>
      </c>
      <c r="J5" s="177">
        <v>0.309</v>
      </c>
      <c r="K5" s="99">
        <f>ROUND(G45/(G45+K43),4)</f>
        <v>0.69320000000000004</v>
      </c>
      <c r="L5" s="99">
        <f>1-K5</f>
        <v>0.30679999999999996</v>
      </c>
    </row>
    <row r="6" spans="1:12" ht="16.5" thickBot="1">
      <c r="A6" s="8" t="s">
        <v>9</v>
      </c>
      <c r="C6" s="112">
        <f>-1484819.23-423508.04-121002.3-136127.59-78046.48-97479.45</f>
        <v>-2340983.0900000003</v>
      </c>
      <c r="D6" s="6"/>
    </row>
    <row r="7" spans="1:12" ht="16.5" thickBot="1">
      <c r="A7" s="12" t="s">
        <v>83</v>
      </c>
      <c r="C7" s="17">
        <f>SUM(C4:C6)</f>
        <v>1325392.0699999998</v>
      </c>
      <c r="D7" s="7"/>
      <c r="F7" s="41" t="s">
        <v>82</v>
      </c>
      <c r="G7" s="41"/>
      <c r="H7" s="178">
        <f>C34</f>
        <v>2307166.2499999995</v>
      </c>
      <c r="I7" s="42">
        <f>H7*I5</f>
        <v>1594251.8787499995</v>
      </c>
      <c r="J7" s="42">
        <f>H7*J5</f>
        <v>712914.37124999985</v>
      </c>
      <c r="K7" s="42"/>
      <c r="L7" s="42"/>
    </row>
    <row r="8" spans="1:12" ht="15.75">
      <c r="A8" s="97" t="s">
        <v>40</v>
      </c>
      <c r="C8" s="20">
        <v>227591.4</v>
      </c>
      <c r="D8" s="7"/>
      <c r="H8" s="43"/>
      <c r="I8" s="43"/>
      <c r="J8" s="43"/>
      <c r="K8" s="43"/>
      <c r="L8" s="43"/>
    </row>
    <row r="9" spans="1:12" ht="15.75">
      <c r="A9" s="97" t="s">
        <v>41</v>
      </c>
      <c r="C9" s="20">
        <v>8966.93</v>
      </c>
      <c r="D9" s="179"/>
      <c r="F9" s="41" t="s">
        <v>62</v>
      </c>
      <c r="H9" s="42">
        <f>C56</f>
        <v>8636184.7400000021</v>
      </c>
      <c r="I9" s="42"/>
      <c r="J9" s="42"/>
      <c r="K9" s="42">
        <f>H9*K5</f>
        <v>5986603.2617680021</v>
      </c>
      <c r="L9" s="42">
        <f>H9*L5</f>
        <v>2649581.4782320005</v>
      </c>
    </row>
    <row r="10" spans="1:12" ht="15.75">
      <c r="A10" s="8" t="s">
        <v>42</v>
      </c>
      <c r="C10" s="112">
        <v>-3078.51</v>
      </c>
      <c r="D10" s="179"/>
      <c r="F10" s="44" t="s">
        <v>23</v>
      </c>
      <c r="H10" s="42">
        <f>C57</f>
        <v>-86575.44</v>
      </c>
      <c r="I10" s="42"/>
      <c r="J10" s="42"/>
      <c r="K10" s="42">
        <f>H10</f>
        <v>-86575.44</v>
      </c>
      <c r="L10" s="42"/>
    </row>
    <row r="11" spans="1:12">
      <c r="A11" s="12" t="s">
        <v>84</v>
      </c>
      <c r="C11" s="17">
        <f>SUM(C8:C10)</f>
        <v>233479.81999999998</v>
      </c>
      <c r="D11" s="179"/>
      <c r="F11" s="44" t="s">
        <v>24</v>
      </c>
      <c r="H11" s="45">
        <f>C58</f>
        <v>-40815.86</v>
      </c>
      <c r="I11" s="42"/>
      <c r="J11" s="42"/>
      <c r="K11" s="45"/>
      <c r="L11" s="45">
        <f>H11</f>
        <v>-40815.86</v>
      </c>
    </row>
    <row r="12" spans="1:12" ht="15.75">
      <c r="A12" s="97" t="s">
        <v>99</v>
      </c>
      <c r="C12" s="20">
        <f>3862.2+233493.03</f>
        <v>237355.23</v>
      </c>
      <c r="D12" s="179"/>
      <c r="F12" s="44" t="s">
        <v>81</v>
      </c>
      <c r="H12" s="42">
        <f>H9+H10+H11</f>
        <v>8508793.4400000032</v>
      </c>
      <c r="I12" s="42"/>
      <c r="J12" s="42"/>
      <c r="K12" s="42">
        <f>SUM(K9:K11)</f>
        <v>5900027.8217680017</v>
      </c>
      <c r="L12" s="42">
        <f>SUM(L9:L11)</f>
        <v>2608765.6182320006</v>
      </c>
    </row>
    <row r="13" spans="1:12" ht="16.5" thickBot="1">
      <c r="A13" s="8" t="s">
        <v>100</v>
      </c>
      <c r="C13" s="112">
        <v>0</v>
      </c>
      <c r="D13" s="179"/>
      <c r="F13" s="46"/>
      <c r="G13" s="47"/>
      <c r="H13" s="48"/>
      <c r="I13" s="49"/>
      <c r="J13" s="48"/>
      <c r="K13" s="43"/>
      <c r="L13" s="48"/>
    </row>
    <row r="14" spans="1:12" ht="16.5" thickBot="1">
      <c r="A14" s="12" t="s">
        <v>43</v>
      </c>
      <c r="C14" s="17">
        <f>SUM(C12:C13)</f>
        <v>237355.23</v>
      </c>
      <c r="D14" s="2"/>
      <c r="F14" s="9" t="s">
        <v>32</v>
      </c>
      <c r="G14" s="50"/>
      <c r="H14" s="178">
        <f>H12+H7</f>
        <v>10815959.690000003</v>
      </c>
      <c r="I14" s="51">
        <f>SUM(I7:I13)</f>
        <v>1594251.8787499995</v>
      </c>
      <c r="J14" s="51">
        <f>SUM(J7:J13)</f>
        <v>712914.37124999985</v>
      </c>
      <c r="K14" s="51">
        <f>K12</f>
        <v>5900027.8217680017</v>
      </c>
      <c r="L14" s="51">
        <f>L12</f>
        <v>2608765.6182320006</v>
      </c>
    </row>
    <row r="15" spans="1:12" ht="15.75">
      <c r="A15" s="97" t="s">
        <v>114</v>
      </c>
      <c r="C15" s="20">
        <f>8072.81+438297.17</f>
        <v>446369.98</v>
      </c>
      <c r="D15" s="179"/>
      <c r="F15" s="46"/>
      <c r="G15" s="47" t="s">
        <v>49</v>
      </c>
      <c r="H15" s="48">
        <f>H14-C61</f>
        <v>0</v>
      </c>
      <c r="I15" s="52"/>
      <c r="J15" s="48">
        <f>J7+I7-H7</f>
        <v>0</v>
      </c>
      <c r="L15" s="48">
        <f>H12-K14-L14</f>
        <v>0</v>
      </c>
    </row>
    <row r="16" spans="1:12" ht="15.75">
      <c r="A16" s="8" t="s">
        <v>115</v>
      </c>
      <c r="C16" s="112">
        <v>0</v>
      </c>
      <c r="D16" s="179"/>
      <c r="F16" s="53"/>
      <c r="G16" s="47"/>
      <c r="H16" s="54"/>
      <c r="I16" s="55"/>
      <c r="J16" s="54"/>
      <c r="L16" s="54"/>
    </row>
    <row r="17" spans="1:13" ht="15.75" thickBot="1">
      <c r="A17" s="12" t="s">
        <v>116</v>
      </c>
      <c r="C17" s="17">
        <f>SUM(C15:C16)</f>
        <v>446369.98</v>
      </c>
      <c r="D17" s="2"/>
      <c r="F17" s="46"/>
      <c r="G17" s="47"/>
      <c r="H17" s="54"/>
      <c r="I17" s="55"/>
      <c r="J17" s="58"/>
      <c r="L17" s="54"/>
    </row>
    <row r="18" spans="1:13" ht="16.5" thickBot="1">
      <c r="A18" s="97" t="s">
        <v>97</v>
      </c>
      <c r="C18" s="20">
        <f>1843.02+101498.56+9781.2</f>
        <v>113122.78</v>
      </c>
      <c r="D18" s="179"/>
      <c r="F18" s="134" t="s">
        <v>77</v>
      </c>
      <c r="G18" s="135"/>
      <c r="H18" s="135"/>
      <c r="I18" s="136"/>
      <c r="J18" s="134" t="s">
        <v>78</v>
      </c>
      <c r="K18" s="135"/>
      <c r="L18" s="135"/>
      <c r="M18" s="136"/>
    </row>
    <row r="19" spans="1:13" ht="15.75">
      <c r="A19" s="8" t="s">
        <v>98</v>
      </c>
      <c r="C19" s="112">
        <v>-24175.23</v>
      </c>
      <c r="D19" s="179"/>
      <c r="F19" s="76" t="s">
        <v>51</v>
      </c>
      <c r="G19" s="39" t="s">
        <v>12</v>
      </c>
      <c r="H19" s="39" t="s">
        <v>12</v>
      </c>
      <c r="I19" s="39" t="s">
        <v>12</v>
      </c>
      <c r="J19" s="76" t="s">
        <v>51</v>
      </c>
      <c r="K19" s="39" t="s">
        <v>12</v>
      </c>
      <c r="L19" s="39" t="s">
        <v>12</v>
      </c>
      <c r="M19" s="60" t="s">
        <v>12</v>
      </c>
    </row>
    <row r="20" spans="1:13" ht="16.5" thickBot="1">
      <c r="A20" s="11" t="s">
        <v>44</v>
      </c>
      <c r="C20" s="17">
        <f>SUM(C18:C19)</f>
        <v>88947.55</v>
      </c>
      <c r="D20" s="179"/>
      <c r="F20" s="70" t="s">
        <v>96</v>
      </c>
      <c r="G20" s="40" t="s">
        <v>48</v>
      </c>
      <c r="H20" s="40" t="s">
        <v>15</v>
      </c>
      <c r="I20" s="40" t="s">
        <v>13</v>
      </c>
      <c r="J20" s="70" t="s">
        <v>96</v>
      </c>
      <c r="K20" s="40" t="s">
        <v>48</v>
      </c>
      <c r="L20" s="40" t="s">
        <v>15</v>
      </c>
      <c r="M20" s="40" t="s">
        <v>13</v>
      </c>
    </row>
    <row r="21" spans="1:13" ht="15.75">
      <c r="A21" s="8" t="s">
        <v>88</v>
      </c>
      <c r="C21" s="112">
        <f>3366.75</f>
        <v>3366.75</v>
      </c>
      <c r="D21" s="179"/>
      <c r="F21" s="59"/>
      <c r="G21" s="4"/>
      <c r="H21" s="4"/>
      <c r="I21" s="60"/>
      <c r="J21" s="25"/>
      <c r="K21" s="5"/>
      <c r="L21" s="5"/>
      <c r="M21" s="77"/>
    </row>
    <row r="22" spans="1:13" ht="18" customHeight="1">
      <c r="A22" s="11" t="s">
        <v>88</v>
      </c>
      <c r="C22" s="17">
        <f>SUM(C21)</f>
        <v>3366.75</v>
      </c>
      <c r="D22" s="179"/>
      <c r="F22" s="74" t="s">
        <v>69</v>
      </c>
      <c r="G22" s="1"/>
      <c r="H22" s="1"/>
      <c r="I22" s="16"/>
      <c r="J22" s="74" t="s">
        <v>69</v>
      </c>
      <c r="K22" s="1"/>
      <c r="L22" s="1"/>
      <c r="M22" s="16"/>
    </row>
    <row r="23" spans="1:13" ht="15.75">
      <c r="A23" s="78" t="s">
        <v>111</v>
      </c>
      <c r="C23" s="17">
        <v>0</v>
      </c>
      <c r="D23" s="179"/>
      <c r="F23" s="75" t="s">
        <v>16</v>
      </c>
      <c r="G23" s="93">
        <v>21076213</v>
      </c>
      <c r="H23" s="98">
        <v>0.10238999999999999</v>
      </c>
      <c r="I23" s="71">
        <f t="shared" ref="I23:I31" si="0">G23*H23</f>
        <v>2157993.4490700001</v>
      </c>
      <c r="J23" s="75" t="s">
        <v>16</v>
      </c>
      <c r="K23" s="93">
        <v>9766779</v>
      </c>
      <c r="L23" s="98">
        <v>9.5839999999999995E-2</v>
      </c>
      <c r="M23" s="71">
        <f>K23*L23</f>
        <v>936048.09935999999</v>
      </c>
    </row>
    <row r="24" spans="1:13" ht="15.75">
      <c r="A24" s="78" t="s">
        <v>117</v>
      </c>
      <c r="C24" s="20">
        <v>0</v>
      </c>
      <c r="D24" s="179"/>
      <c r="F24" s="75" t="s">
        <v>159</v>
      </c>
      <c r="G24" s="93">
        <v>21566</v>
      </c>
      <c r="H24" s="98">
        <v>0.10238999999999999</v>
      </c>
      <c r="I24" s="71">
        <f t="shared" si="0"/>
        <v>2208.1427399999998</v>
      </c>
      <c r="J24" s="75" t="s">
        <v>17</v>
      </c>
      <c r="K24" s="93">
        <v>3268684</v>
      </c>
      <c r="L24" s="98">
        <v>9.5839999999999995E-2</v>
      </c>
      <c r="M24" s="71">
        <f t="shared" ref="M24:M27" si="1">K24*L24</f>
        <v>313270.67455999996</v>
      </c>
    </row>
    <row r="25" spans="1:13" ht="15.75">
      <c r="A25" s="78" t="s">
        <v>119</v>
      </c>
      <c r="C25" s="114">
        <v>0</v>
      </c>
      <c r="D25" s="179"/>
      <c r="F25" s="75" t="s">
        <v>17</v>
      </c>
      <c r="G25" s="93">
        <v>4326716</v>
      </c>
      <c r="H25" s="98">
        <v>9.239E-2</v>
      </c>
      <c r="I25" s="71">
        <f t="shared" si="0"/>
        <v>399745.29123999999</v>
      </c>
      <c r="J25" s="75" t="s">
        <v>18</v>
      </c>
      <c r="K25" s="93">
        <v>1075</v>
      </c>
      <c r="L25" s="98">
        <v>9.5839999999999995E-2</v>
      </c>
      <c r="M25" s="71">
        <f t="shared" si="1"/>
        <v>103.02799999999999</v>
      </c>
    </row>
    <row r="26" spans="1:13" ht="15.75">
      <c r="A26" s="79" t="s">
        <v>166</v>
      </c>
      <c r="C26" s="115">
        <v>0</v>
      </c>
      <c r="D26" s="179"/>
      <c r="F26" s="75" t="s">
        <v>18</v>
      </c>
      <c r="G26" s="93">
        <v>16283</v>
      </c>
      <c r="H26" s="98">
        <v>9.239E-2</v>
      </c>
      <c r="I26" s="71">
        <f t="shared" si="0"/>
        <v>1504.3863699999999</v>
      </c>
      <c r="J26" s="75" t="s">
        <v>19</v>
      </c>
      <c r="K26" s="93">
        <v>0</v>
      </c>
      <c r="L26" s="98">
        <v>9.5839999999999995E-2</v>
      </c>
      <c r="M26" s="71">
        <f t="shared" si="1"/>
        <v>0</v>
      </c>
    </row>
    <row r="27" spans="1:13" ht="15.75">
      <c r="A27" s="11" t="s">
        <v>47</v>
      </c>
      <c r="C27" s="17">
        <f>SUM(C23:C26)</f>
        <v>0</v>
      </c>
      <c r="D27" s="179"/>
      <c r="F27" s="75" t="s">
        <v>19</v>
      </c>
      <c r="G27" s="93">
        <v>3809625</v>
      </c>
      <c r="H27" s="98">
        <v>9.2249999999999999E-2</v>
      </c>
      <c r="I27" s="71">
        <f t="shared" si="0"/>
        <v>351437.90625</v>
      </c>
      <c r="J27" s="75" t="s">
        <v>20</v>
      </c>
      <c r="K27" s="93">
        <v>0</v>
      </c>
      <c r="L27" s="98">
        <v>9.5839999999999995E-2</v>
      </c>
      <c r="M27" s="71">
        <f t="shared" si="1"/>
        <v>0</v>
      </c>
    </row>
    <row r="28" spans="1:13" ht="16.5" thickBot="1">
      <c r="A28" s="80" t="s">
        <v>89</v>
      </c>
      <c r="C28" s="20">
        <v>0</v>
      </c>
      <c r="D28" s="2"/>
      <c r="F28" s="75" t="s">
        <v>20</v>
      </c>
      <c r="G28" s="93">
        <v>57768</v>
      </c>
      <c r="H28" s="98">
        <v>9.2249999999999999E-2</v>
      </c>
      <c r="I28" s="71">
        <f t="shared" si="0"/>
        <v>5329.098</v>
      </c>
      <c r="J28" s="74" t="s">
        <v>70</v>
      </c>
      <c r="K28" s="56">
        <f>SUM(K23:K27)</f>
        <v>13036538</v>
      </c>
      <c r="L28" s="57"/>
      <c r="M28" s="72">
        <f>SUM(M23:M27)</f>
        <v>1249421.80192</v>
      </c>
    </row>
    <row r="29" spans="1:13" ht="17.25" thickTop="1" thickBot="1">
      <c r="A29" s="80" t="s">
        <v>101</v>
      </c>
      <c r="C29" s="20">
        <v>0</v>
      </c>
      <c r="D29" s="179"/>
      <c r="F29" s="75" t="s">
        <v>21</v>
      </c>
      <c r="G29" s="93">
        <v>0</v>
      </c>
      <c r="H29" s="98">
        <v>5.9499999999999997E-2</v>
      </c>
      <c r="I29" s="71">
        <f t="shared" si="0"/>
        <v>0</v>
      </c>
      <c r="J29" s="74"/>
      <c r="K29" s="87">
        <v>13036538</v>
      </c>
      <c r="L29" s="62" t="s">
        <v>49</v>
      </c>
      <c r="M29" s="103">
        <f>M28/K28</f>
        <v>9.5839999999999995E-2</v>
      </c>
    </row>
    <row r="30" spans="1:13" ht="16.5" thickBot="1">
      <c r="A30" s="9" t="s">
        <v>54</v>
      </c>
      <c r="C30" s="178">
        <f>C7+C11+C14+C17+C20+C22+C27+C28+C29</f>
        <v>2334911.3999999994</v>
      </c>
      <c r="D30" s="2"/>
      <c r="F30" s="75" t="s">
        <v>22</v>
      </c>
      <c r="G30" s="93">
        <v>141224</v>
      </c>
      <c r="H30" s="98">
        <v>5.9499999999999997E-2</v>
      </c>
      <c r="I30" s="71">
        <f t="shared" si="0"/>
        <v>8402.8279999999995</v>
      </c>
      <c r="J30" s="75"/>
      <c r="K30" s="86">
        <f>K28-K29</f>
        <v>0</v>
      </c>
      <c r="L30" s="57"/>
      <c r="M30" s="73"/>
    </row>
    <row r="31" spans="1:13" ht="15.75">
      <c r="A31" s="97" t="s">
        <v>55</v>
      </c>
      <c r="C31" s="20">
        <v>-8269.2099999999991</v>
      </c>
      <c r="D31" s="180"/>
      <c r="F31" s="75" t="s">
        <v>37</v>
      </c>
      <c r="G31" s="93">
        <v>3921073</v>
      </c>
      <c r="H31" s="98">
        <v>5.4000000000000001E-4</v>
      </c>
      <c r="I31" s="71">
        <f t="shared" si="0"/>
        <v>2117.3794200000002</v>
      </c>
      <c r="J31" s="34"/>
      <c r="K31" s="1"/>
      <c r="L31" s="57"/>
      <c r="M31" s="73"/>
    </row>
    <row r="32" spans="1:13" ht="16.5" thickBot="1">
      <c r="A32" s="9" t="s">
        <v>59</v>
      </c>
      <c r="B32" s="9" t="s">
        <v>60</v>
      </c>
      <c r="C32" s="116">
        <f>C30+C31</f>
        <v>2326642.1899999995</v>
      </c>
      <c r="D32" s="181"/>
      <c r="F32" s="74" t="s">
        <v>70</v>
      </c>
      <c r="G32" s="56">
        <f>SUM(G23:G31)</f>
        <v>33370468</v>
      </c>
      <c r="H32" s="1"/>
      <c r="I32" s="72">
        <f>SUM(I23:I31)</f>
        <v>2928738.4810900008</v>
      </c>
      <c r="J32" s="67"/>
      <c r="K32" s="68"/>
      <c r="L32" s="1"/>
      <c r="M32" s="65"/>
    </row>
    <row r="33" spans="1:17" ht="17.25" thickTop="1" thickBot="1">
      <c r="A33" s="97" t="s">
        <v>56</v>
      </c>
      <c r="C33" s="116">
        <f>-C5-C9-C13-C16-C19</f>
        <v>-19475.939999999999</v>
      </c>
      <c r="D33" s="179"/>
      <c r="F33" s="61"/>
      <c r="G33" s="87">
        <v>33370468</v>
      </c>
      <c r="H33" s="62" t="s">
        <v>49</v>
      </c>
      <c r="I33" s="84">
        <f>I32/G32</f>
        <v>8.7764381401243777E-2</v>
      </c>
      <c r="J33" s="67"/>
      <c r="K33" s="68"/>
      <c r="L33" s="1"/>
      <c r="M33" s="16"/>
    </row>
    <row r="34" spans="1:17" ht="16.5" thickBot="1">
      <c r="A34" s="9" t="s">
        <v>57</v>
      </c>
      <c r="C34" s="178">
        <f>SUM(C32:C33)</f>
        <v>2307166.2499999995</v>
      </c>
      <c r="D34" s="179"/>
      <c r="F34" s="34"/>
      <c r="G34" s="86">
        <f>G32-G33</f>
        <v>0</v>
      </c>
      <c r="H34" s="1"/>
      <c r="I34" s="16"/>
      <c r="J34" s="67"/>
      <c r="K34" s="66"/>
      <c r="L34" s="1"/>
      <c r="M34" s="16"/>
    </row>
    <row r="35" spans="1:17" ht="18" customHeight="1">
      <c r="A35" s="9"/>
      <c r="C35" s="116"/>
      <c r="D35" s="179"/>
      <c r="F35" s="59"/>
      <c r="G35" s="4"/>
      <c r="H35" s="4"/>
      <c r="I35" s="60"/>
      <c r="J35" s="74" t="s">
        <v>71</v>
      </c>
      <c r="K35" s="132"/>
      <c r="L35" s="132"/>
      <c r="M35" s="133"/>
    </row>
    <row r="36" spans="1:17" ht="15.75">
      <c r="A36" s="3" t="s">
        <v>45</v>
      </c>
      <c r="B36" s="9"/>
      <c r="C36" s="17"/>
      <c r="D36" s="179"/>
      <c r="F36" s="74" t="s">
        <v>71</v>
      </c>
      <c r="G36" s="1"/>
      <c r="H36" s="1"/>
      <c r="I36" s="16"/>
      <c r="J36" s="75" t="s">
        <v>16</v>
      </c>
      <c r="K36" s="94">
        <f>K23</f>
        <v>9766779</v>
      </c>
      <c r="L36" s="98">
        <v>0.16886000000000001</v>
      </c>
      <c r="M36" s="71">
        <f t="shared" ref="M36:M42" si="2">K36*L36</f>
        <v>1649218.3019400002</v>
      </c>
      <c r="P36" s="125"/>
      <c r="Q36" s="125"/>
    </row>
    <row r="37" spans="1:17" ht="15.75">
      <c r="A37" s="1" t="s">
        <v>72</v>
      </c>
      <c r="B37" s="131" t="s">
        <v>58</v>
      </c>
      <c r="C37" s="20">
        <v>9867885.5199999996</v>
      </c>
      <c r="D37" s="179"/>
      <c r="F37" s="75" t="s">
        <v>16</v>
      </c>
      <c r="G37" s="94">
        <f t="shared" ref="G37:G44" si="3">G23</f>
        <v>21076213</v>
      </c>
      <c r="H37" s="98">
        <v>0.17066999999999999</v>
      </c>
      <c r="I37" s="71">
        <f t="shared" ref="I37:I44" si="4">G37*H37</f>
        <v>3597077.2727099997</v>
      </c>
      <c r="J37" s="75" t="s">
        <v>17</v>
      </c>
      <c r="K37" s="94">
        <f>K24</f>
        <v>3268684</v>
      </c>
      <c r="L37" s="98">
        <v>0.16886000000000001</v>
      </c>
      <c r="M37" s="71">
        <f t="shared" si="2"/>
        <v>551949.98024000006</v>
      </c>
      <c r="P37" s="125"/>
      <c r="Q37" s="125"/>
    </row>
    <row r="38" spans="1:17" ht="15.75">
      <c r="A38" s="81" t="s">
        <v>5</v>
      </c>
      <c r="B38" s="131" t="s">
        <v>58</v>
      </c>
      <c r="C38" s="20">
        <v>0</v>
      </c>
      <c r="D38" s="179"/>
      <c r="F38" s="75" t="s">
        <v>159</v>
      </c>
      <c r="G38" s="94">
        <f t="shared" si="3"/>
        <v>21566</v>
      </c>
      <c r="H38" s="98">
        <v>0.17066999999999999</v>
      </c>
      <c r="I38" s="71">
        <f t="shared" si="4"/>
        <v>3680.6692199999998</v>
      </c>
      <c r="J38" s="75" t="s">
        <v>18</v>
      </c>
      <c r="K38" s="94">
        <f>K25</f>
        <v>1075</v>
      </c>
      <c r="L38" s="98">
        <v>0.16886000000000001</v>
      </c>
      <c r="M38" s="71">
        <f t="shared" si="2"/>
        <v>181.52450000000002</v>
      </c>
      <c r="P38" s="125"/>
      <c r="Q38" s="125"/>
    </row>
    <row r="39" spans="1:17" ht="15.75">
      <c r="A39" s="1" t="s">
        <v>85</v>
      </c>
      <c r="B39" s="131" t="s">
        <v>86</v>
      </c>
      <c r="C39" s="20">
        <v>-51881.98</v>
      </c>
      <c r="D39" s="179"/>
      <c r="F39" s="75" t="s">
        <v>17</v>
      </c>
      <c r="G39" s="94">
        <f t="shared" si="3"/>
        <v>4326716</v>
      </c>
      <c r="H39" s="98">
        <v>0.17066999999999999</v>
      </c>
      <c r="I39" s="71">
        <f t="shared" si="4"/>
        <v>738440.61971999996</v>
      </c>
      <c r="J39" s="75" t="s">
        <v>19</v>
      </c>
      <c r="K39" s="94">
        <f>K26</f>
        <v>0</v>
      </c>
      <c r="L39" s="98">
        <v>0.16886000000000001</v>
      </c>
      <c r="M39" s="71">
        <f t="shared" si="2"/>
        <v>0</v>
      </c>
      <c r="P39" s="125"/>
      <c r="Q39" s="125"/>
    </row>
    <row r="40" spans="1:17" ht="15.75">
      <c r="A40" s="1" t="s">
        <v>74</v>
      </c>
      <c r="B40" s="131" t="s">
        <v>75</v>
      </c>
      <c r="C40" s="20">
        <v>2316715.67</v>
      </c>
      <c r="D40" s="179"/>
      <c r="F40" s="75" t="s">
        <v>18</v>
      </c>
      <c r="G40" s="94">
        <f t="shared" si="3"/>
        <v>16283</v>
      </c>
      <c r="H40" s="98">
        <v>0.17066999999999999</v>
      </c>
      <c r="I40" s="71">
        <f t="shared" si="4"/>
        <v>2779.0196099999998</v>
      </c>
      <c r="J40" s="75" t="s">
        <v>20</v>
      </c>
      <c r="K40" s="94">
        <f>K27</f>
        <v>0</v>
      </c>
      <c r="L40" s="98">
        <v>0.16886000000000001</v>
      </c>
      <c r="M40" s="71">
        <f t="shared" si="2"/>
        <v>0</v>
      </c>
      <c r="P40" s="125"/>
      <c r="Q40" s="125"/>
    </row>
    <row r="41" spans="1:17" ht="15.75">
      <c r="A41" s="1" t="s">
        <v>91</v>
      </c>
      <c r="B41" s="117" t="s">
        <v>92</v>
      </c>
      <c r="C41" s="20">
        <v>-64524.52</v>
      </c>
      <c r="D41" s="179"/>
      <c r="F41" s="75" t="s">
        <v>19</v>
      </c>
      <c r="G41" s="94">
        <f t="shared" si="3"/>
        <v>3809625</v>
      </c>
      <c r="H41" s="98">
        <v>0.17066999999999999</v>
      </c>
      <c r="I41" s="71">
        <f t="shared" si="4"/>
        <v>650188.69874999998</v>
      </c>
      <c r="J41" s="75" t="s">
        <v>21</v>
      </c>
      <c r="K41" s="94">
        <v>0</v>
      </c>
      <c r="L41" s="98">
        <v>0.16886000000000001</v>
      </c>
      <c r="M41" s="71">
        <f t="shared" si="2"/>
        <v>0</v>
      </c>
      <c r="P41" s="125"/>
      <c r="Q41" s="125"/>
    </row>
    <row r="42" spans="1:17" ht="16.5" thickBot="1">
      <c r="A42" s="1" t="s">
        <v>109</v>
      </c>
      <c r="B42" s="131" t="s">
        <v>110</v>
      </c>
      <c r="C42" s="20">
        <v>634409.76</v>
      </c>
      <c r="D42" s="2"/>
      <c r="F42" s="75" t="s">
        <v>20</v>
      </c>
      <c r="G42" s="94">
        <f t="shared" si="3"/>
        <v>57768</v>
      </c>
      <c r="H42" s="98">
        <v>0.17066999999999999</v>
      </c>
      <c r="I42" s="71">
        <f t="shared" si="4"/>
        <v>9859.2645599999996</v>
      </c>
      <c r="J42" s="75" t="s">
        <v>22</v>
      </c>
      <c r="K42" s="94">
        <v>0</v>
      </c>
      <c r="L42" s="98">
        <v>0.16886000000000001</v>
      </c>
      <c r="M42" s="71">
        <f t="shared" si="2"/>
        <v>0</v>
      </c>
      <c r="P42" s="125"/>
      <c r="Q42" s="125"/>
    </row>
    <row r="43" spans="1:17" ht="16.5" thickBot="1">
      <c r="A43" s="14" t="s">
        <v>66</v>
      </c>
      <c r="B43" s="4"/>
      <c r="C43" s="178">
        <f>SUM(C37:C42)</f>
        <v>12702604.449999999</v>
      </c>
      <c r="D43" s="179"/>
      <c r="F43" s="75" t="s">
        <v>21</v>
      </c>
      <c r="G43" s="94">
        <f t="shared" si="3"/>
        <v>0</v>
      </c>
      <c r="H43" s="98">
        <v>0.17066999999999999</v>
      </c>
      <c r="I43" s="71">
        <f t="shared" si="4"/>
        <v>0</v>
      </c>
      <c r="J43" s="74" t="s">
        <v>76</v>
      </c>
      <c r="K43" s="56">
        <f>SUM(K36:K42)</f>
        <v>13036538</v>
      </c>
      <c r="L43" s="57"/>
      <c r="M43" s="72">
        <f>SUM(M36:M42)</f>
        <v>2201349.8066799999</v>
      </c>
    </row>
    <row r="44" spans="1:17" ht="16.5" thickBot="1">
      <c r="A44" s="182" t="s">
        <v>108</v>
      </c>
      <c r="B44" s="183" t="s">
        <v>63</v>
      </c>
      <c r="C44" s="20">
        <f>-377535.13+4466016.75+41712.54</f>
        <v>4130194.16</v>
      </c>
      <c r="D44" s="2"/>
      <c r="F44" s="75" t="s">
        <v>22</v>
      </c>
      <c r="G44" s="94">
        <f t="shared" si="3"/>
        <v>141224</v>
      </c>
      <c r="H44" s="98">
        <v>0.17066999999999999</v>
      </c>
      <c r="I44" s="71">
        <f t="shared" si="4"/>
        <v>24102.700079999999</v>
      </c>
      <c r="J44" s="69"/>
      <c r="K44" s="88">
        <v>13036538</v>
      </c>
      <c r="L44" s="64" t="s">
        <v>49</v>
      </c>
      <c r="M44" s="85">
        <f>M43/K43</f>
        <v>0.16885999999999998</v>
      </c>
    </row>
    <row r="45" spans="1:17" ht="16.5" thickBot="1">
      <c r="A45" s="81" t="s">
        <v>102</v>
      </c>
      <c r="B45" s="117" t="s">
        <v>58</v>
      </c>
      <c r="C45" s="20">
        <v>0</v>
      </c>
      <c r="D45" s="180"/>
      <c r="F45" s="74" t="s">
        <v>76</v>
      </c>
      <c r="G45" s="56">
        <f>SUM(G37:G44)</f>
        <v>29449395</v>
      </c>
      <c r="H45" s="57"/>
      <c r="I45" s="72">
        <f>SUM(I37:I44)</f>
        <v>5026128.2446499998</v>
      </c>
      <c r="J45" s="21"/>
      <c r="K45" s="86">
        <f>K43-K44</f>
        <v>0</v>
      </c>
      <c r="M45" s="21"/>
    </row>
    <row r="46" spans="1:17" ht="19.5" customHeight="1" thickTop="1" thickBot="1">
      <c r="A46" s="81" t="s">
        <v>103</v>
      </c>
      <c r="B46" s="117" t="s">
        <v>58</v>
      </c>
      <c r="C46" s="20">
        <v>0</v>
      </c>
      <c r="D46" s="181"/>
      <c r="F46" s="63"/>
      <c r="G46" s="88">
        <v>29449395</v>
      </c>
      <c r="H46" s="64" t="s">
        <v>49</v>
      </c>
      <c r="I46" s="83">
        <f>I45/G45</f>
        <v>0.17066999999999999</v>
      </c>
      <c r="J46" s="21"/>
      <c r="K46" s="86"/>
      <c r="M46" s="21"/>
    </row>
    <row r="47" spans="1:17" ht="15.75">
      <c r="A47" s="97" t="s">
        <v>80</v>
      </c>
      <c r="B47" s="117" t="s">
        <v>58</v>
      </c>
      <c r="C47" s="20">
        <v>0</v>
      </c>
      <c r="D47" s="179"/>
      <c r="G47" s="86">
        <f>G45-G46</f>
        <v>0</v>
      </c>
      <c r="J47" s="21"/>
      <c r="K47" s="86"/>
      <c r="M47" s="21"/>
    </row>
    <row r="48" spans="1:17" ht="16.5" thickBot="1">
      <c r="A48" s="81" t="s">
        <v>158</v>
      </c>
      <c r="B48" s="117" t="s">
        <v>58</v>
      </c>
      <c r="C48" s="20">
        <v>7000</v>
      </c>
      <c r="D48" s="179"/>
      <c r="J48" s="21"/>
      <c r="K48" s="18"/>
      <c r="M48" s="13"/>
    </row>
    <row r="49" spans="1:21" ht="15.75">
      <c r="A49" s="1" t="s">
        <v>73</v>
      </c>
      <c r="B49" s="131" t="s">
        <v>90</v>
      </c>
      <c r="C49" s="20">
        <v>13860.96</v>
      </c>
      <c r="D49" s="179"/>
      <c r="G49" s="18"/>
      <c r="H49" s="25" t="s">
        <v>14</v>
      </c>
      <c r="I49" s="5" t="s">
        <v>14</v>
      </c>
      <c r="J49" s="5" t="s">
        <v>26</v>
      </c>
      <c r="K49" s="23" t="s">
        <v>33</v>
      </c>
      <c r="L49" s="21"/>
    </row>
    <row r="50" spans="1:21" ht="16.5" thickBot="1">
      <c r="A50" s="1" t="s">
        <v>121</v>
      </c>
      <c r="B50" s="131" t="s">
        <v>90</v>
      </c>
      <c r="C50" s="20">
        <v>5929.39</v>
      </c>
      <c r="D50" s="2"/>
      <c r="F50" s="9" t="s">
        <v>36</v>
      </c>
      <c r="H50" s="26" t="s">
        <v>0</v>
      </c>
      <c r="I50" s="27" t="s">
        <v>1</v>
      </c>
      <c r="J50" s="27" t="s">
        <v>0</v>
      </c>
      <c r="K50" s="24" t="s">
        <v>1</v>
      </c>
    </row>
    <row r="51" spans="1:21" ht="15.75">
      <c r="A51" s="1" t="s">
        <v>161</v>
      </c>
      <c r="B51" s="131" t="s">
        <v>90</v>
      </c>
      <c r="C51" s="20">
        <v>4613.72</v>
      </c>
      <c r="D51" s="179"/>
      <c r="H51" s="32"/>
      <c r="I51" s="33"/>
      <c r="J51" s="33"/>
      <c r="K51" s="33"/>
      <c r="L51" s="22" t="s">
        <v>50</v>
      </c>
    </row>
    <row r="52" spans="1:21" ht="15.75">
      <c r="A52" s="44" t="s">
        <v>61</v>
      </c>
      <c r="B52" s="117"/>
      <c r="C52" s="17">
        <f>-C33</f>
        <v>19475.939999999999</v>
      </c>
      <c r="D52" s="176"/>
      <c r="F52" s="97" t="s">
        <v>79</v>
      </c>
      <c r="H52" s="82">
        <f>K12</f>
        <v>5900027.8217680017</v>
      </c>
      <c r="I52" s="19">
        <f>I14</f>
        <v>1594251.8787499995</v>
      </c>
      <c r="J52" s="19">
        <f>L12</f>
        <v>2608765.6182320006</v>
      </c>
      <c r="K52" s="19">
        <f>J14</f>
        <v>712914.37124999985</v>
      </c>
      <c r="L52" s="28">
        <f>SUM(H52:K52)</f>
        <v>10815959.690000001</v>
      </c>
    </row>
    <row r="53" spans="1:21" ht="16.5" thickBot="1">
      <c r="A53" s="97" t="s">
        <v>168</v>
      </c>
      <c r="B53" s="131" t="s">
        <v>169</v>
      </c>
      <c r="C53" s="20">
        <v>8632.7999999999993</v>
      </c>
      <c r="D53" s="179"/>
      <c r="F53" s="97" t="s">
        <v>52</v>
      </c>
      <c r="H53" s="82">
        <f>-I45</f>
        <v>-5026128.2446499998</v>
      </c>
      <c r="I53" s="19">
        <f>-I32</f>
        <v>-2928738.4810900008</v>
      </c>
      <c r="J53" s="19">
        <f>-M43</f>
        <v>-2201349.8066799999</v>
      </c>
      <c r="K53" s="19">
        <f>-M28</f>
        <v>-1249421.80192</v>
      </c>
      <c r="L53" s="92">
        <f>SUM(H53:K53)</f>
        <v>-11405638.334340001</v>
      </c>
    </row>
    <row r="54" spans="1:21" ht="16.5" thickBot="1">
      <c r="A54" s="97" t="s">
        <v>67</v>
      </c>
      <c r="B54" s="117" t="s">
        <v>156</v>
      </c>
      <c r="C54" s="20">
        <f>2950523.33-6931061.8-3900588.21</f>
        <v>-7881126.6799999997</v>
      </c>
      <c r="D54" s="179"/>
      <c r="F54" s="97" t="s">
        <v>38</v>
      </c>
      <c r="H54" s="89">
        <v>0</v>
      </c>
      <c r="I54" s="90">
        <v>0</v>
      </c>
      <c r="J54" s="90">
        <v>0</v>
      </c>
      <c r="K54" s="91">
        <v>0</v>
      </c>
      <c r="L54" s="184">
        <f>SUM(L52:L53)</f>
        <v>-589678.64433999918</v>
      </c>
    </row>
    <row r="55" spans="1:21" ht="16.5" thickBot="1">
      <c r="A55" s="97" t="s">
        <v>165</v>
      </c>
      <c r="B55" s="117" t="s">
        <v>120</v>
      </c>
      <c r="C55" s="20">
        <v>-375000</v>
      </c>
      <c r="D55" s="179"/>
      <c r="F55" s="97" t="s">
        <v>34</v>
      </c>
      <c r="H55" s="178">
        <f>H52+H53+H54</f>
        <v>873899.57711800188</v>
      </c>
      <c r="I55" s="178">
        <f>I52+I53+I54</f>
        <v>-1334486.6023400014</v>
      </c>
      <c r="J55" s="178">
        <f>J52+J53+J54</f>
        <v>407415.8115520007</v>
      </c>
      <c r="K55" s="178">
        <f>K52+K53+K54</f>
        <v>-536507.43067000015</v>
      </c>
      <c r="L55" s="185">
        <f>SUM(H55:K55)</f>
        <v>-589678.64433999895</v>
      </c>
    </row>
    <row r="56" spans="1:21" ht="16.5" thickBot="1">
      <c r="A56" s="186" t="s">
        <v>62</v>
      </c>
      <c r="B56" s="183"/>
      <c r="C56" s="36">
        <f>SUM(C43:C55)</f>
        <v>8636184.7400000021</v>
      </c>
      <c r="D56" s="179"/>
      <c r="F56" s="187" t="s">
        <v>112</v>
      </c>
      <c r="H56" s="97" t="s">
        <v>104</v>
      </c>
      <c r="I56" s="1">
        <f>SUM(H55:I55)</f>
        <v>-460587.0252219995</v>
      </c>
      <c r="J56" s="12" t="s">
        <v>105</v>
      </c>
      <c r="K56" s="97">
        <f>SUM(J55:K55)</f>
        <v>-129091.61911799945</v>
      </c>
      <c r="L56" s="188">
        <f>ROUND(L54-L55,3)</f>
        <v>0</v>
      </c>
      <c r="T56" s="189"/>
    </row>
    <row r="57" spans="1:21" ht="16.5" thickTop="1">
      <c r="A57" s="97" t="s">
        <v>64</v>
      </c>
      <c r="B57" s="117" t="s">
        <v>58</v>
      </c>
      <c r="C57" s="20">
        <v>-86575.44</v>
      </c>
      <c r="D57" s="179"/>
      <c r="F57" s="190" t="s">
        <v>112</v>
      </c>
      <c r="H57" s="191"/>
    </row>
    <row r="58" spans="1:21" ht="16.5" thickBot="1">
      <c r="A58" s="97" t="s">
        <v>65</v>
      </c>
      <c r="B58" s="117" t="s">
        <v>58</v>
      </c>
      <c r="C58" s="20">
        <v>-40815.86</v>
      </c>
      <c r="D58" s="179"/>
      <c r="F58" s="190" t="s">
        <v>113</v>
      </c>
      <c r="H58" s="180"/>
      <c r="I58" s="192"/>
      <c r="J58" s="192"/>
      <c r="K58" s="193"/>
      <c r="L58" s="192"/>
    </row>
    <row r="59" spans="1:21" ht="16.5" thickBot="1">
      <c r="A59" s="9" t="s">
        <v>68</v>
      </c>
      <c r="B59" s="9"/>
      <c r="C59" s="36">
        <f>SUM(C56:C58)</f>
        <v>8508793.4400000032</v>
      </c>
      <c r="D59" s="179"/>
      <c r="F59" s="194" t="s">
        <v>157</v>
      </c>
      <c r="G59" s="110" t="str">
        <f>IF(OR(AND(I56&gt;0,K56&gt;0),AND(I56&lt;0,K56&lt;0)),"OK","ERROR")</f>
        <v>OK</v>
      </c>
      <c r="H59" s="32" t="s">
        <v>154</v>
      </c>
      <c r="I59" s="77"/>
    </row>
    <row r="60" spans="1:21" ht="17.25" thickTop="1" thickBot="1">
      <c r="A60" s="9"/>
      <c r="C60" s="116"/>
      <c r="D60" s="179"/>
      <c r="H60" s="35" t="s">
        <v>106</v>
      </c>
      <c r="I60" s="148" t="s">
        <v>107</v>
      </c>
      <c r="J60" s="1"/>
    </row>
    <row r="61" spans="1:21" ht="16.5" thickBot="1">
      <c r="A61" s="29"/>
      <c r="B61" s="29" t="s">
        <v>46</v>
      </c>
      <c r="C61" s="178">
        <f>C59+C34</f>
        <v>10815959.690000003</v>
      </c>
      <c r="D61" s="2"/>
      <c r="H61" s="96" t="e">
        <f>SUM('WA - Def-Amtz (current)'!BA5:BA41)+SUM(#REF!)+SUM(#REF!)+0.01</f>
        <v>#REF!</v>
      </c>
      <c r="I61" s="100" t="e">
        <f>SUM('WA - Def-Amtz (current)'!BB5:BB40)+SUM(#REF!)+SUM(#REF!)+0.01</f>
        <v>#REF!</v>
      </c>
      <c r="J61" s="97">
        <f>H53+I53+J53+K53</f>
        <v>-11405638.334340001</v>
      </c>
    </row>
    <row r="62" spans="1:21" ht="15.75">
      <c r="A62" s="9"/>
      <c r="B62" s="29" t="s">
        <v>95</v>
      </c>
      <c r="C62" s="118">
        <v>10815959.689999999</v>
      </c>
      <c r="G62" s="1"/>
      <c r="I62" s="17" t="e">
        <f>H61-I61</f>
        <v>#REF!</v>
      </c>
      <c r="N62" s="1"/>
      <c r="O62" s="1"/>
      <c r="P62" s="195"/>
    </row>
    <row r="63" spans="1:21" ht="15.75">
      <c r="A63" s="29"/>
      <c r="B63" s="29" t="s">
        <v>94</v>
      </c>
      <c r="C63" s="17">
        <f>ROUND(C61-C62,2)</f>
        <v>0</v>
      </c>
      <c r="D63" s="179"/>
      <c r="S63" s="117"/>
    </row>
    <row r="64" spans="1:21" ht="15.75">
      <c r="A64" s="15"/>
      <c r="C64" s="196"/>
      <c r="D64" s="197"/>
      <c r="N64" s="44"/>
      <c r="U64" s="9"/>
    </row>
    <row r="65" spans="1:21" ht="15.75">
      <c r="A65" s="15"/>
      <c r="C65" s="2"/>
      <c r="D65" s="179"/>
      <c r="N65" s="44"/>
      <c r="S65" s="198"/>
    </row>
    <row r="66" spans="1:21" ht="15.75">
      <c r="A66" s="9"/>
      <c r="C66" s="2"/>
      <c r="D66" s="179"/>
      <c r="H66" s="191"/>
      <c r="N66" s="44"/>
      <c r="S66" s="199"/>
    </row>
    <row r="67" spans="1:21">
      <c r="C67" s="17"/>
      <c r="D67" s="179"/>
      <c r="N67" s="44"/>
      <c r="S67" s="200"/>
    </row>
    <row r="68" spans="1:21">
      <c r="D68" s="179"/>
      <c r="N68" s="44"/>
      <c r="S68" s="199"/>
    </row>
    <row r="69" spans="1:21">
      <c r="D69" s="2"/>
      <c r="N69" s="44"/>
    </row>
    <row r="70" spans="1:21">
      <c r="D70" s="179"/>
      <c r="N70" s="44"/>
      <c r="S70" s="201"/>
    </row>
    <row r="71" spans="1:21">
      <c r="D71" s="179"/>
    </row>
    <row r="72" spans="1:21">
      <c r="D72" s="179"/>
    </row>
    <row r="73" spans="1:21">
      <c r="D73" s="66"/>
      <c r="S73" s="202"/>
    </row>
    <row r="74" spans="1:21">
      <c r="R74" s="117"/>
      <c r="S74" s="117"/>
      <c r="T74" s="117"/>
    </row>
    <row r="76" spans="1:21">
      <c r="U76" s="203"/>
    </row>
    <row r="1477" spans="3:3">
      <c r="C1477" s="97">
        <v>-2130</v>
      </c>
    </row>
    <row r="1485" spans="3:3">
      <c r="C1485" s="97">
        <f>7004298-2130</f>
        <v>7002168</v>
      </c>
    </row>
  </sheetData>
  <mergeCells count="3">
    <mergeCell ref="K35:M35"/>
    <mergeCell ref="J18:M18"/>
    <mergeCell ref="F18:I18"/>
  </mergeCells>
  <phoneticPr fontId="0" type="noConversion"/>
  <conditionalFormatting sqref="C63 L56 I62">
    <cfRule type="cellIs" dxfId="105" priority="27" stopIfTrue="1" operator="equal">
      <formula>0</formula>
    </cfRule>
    <cfRule type="cellIs" dxfId="104" priority="28" stopIfTrue="1" operator="notEqual">
      <formula>0</formula>
    </cfRule>
  </conditionalFormatting>
  <conditionalFormatting sqref="G34 G47 K30 K45:K47">
    <cfRule type="cellIs" dxfId="103" priority="20" operator="notEqual">
      <formula>0</formula>
    </cfRule>
  </conditionalFormatting>
  <conditionalFormatting sqref="C63">
    <cfRule type="cellIs" dxfId="102" priority="14" stopIfTrue="1" operator="equal">
      <formula>0</formula>
    </cfRule>
    <cfRule type="cellIs" dxfId="101" priority="15" stopIfTrue="1" operator="notEqual">
      <formula>0</formula>
    </cfRule>
  </conditionalFormatting>
  <conditionalFormatting sqref="K30">
    <cfRule type="cellIs" dxfId="100" priority="13" operator="notEqual">
      <formula>0</formula>
    </cfRule>
  </conditionalFormatting>
  <conditionalFormatting sqref="G59">
    <cfRule type="cellIs" dxfId="99" priority="2" operator="equal">
      <formula>"ERROR"</formula>
    </cfRule>
  </conditionalFormatting>
  <conditionalFormatting sqref="G59">
    <cfRule type="cellIs" dxfId="98"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Normal="100" workbookViewId="0"/>
  </sheetViews>
  <sheetFormatPr defaultColWidth="8.85546875" defaultRowHeight="15"/>
  <cols>
    <col min="1" max="1" width="17.85546875" style="159" bestFit="1" customWidth="1"/>
    <col min="2" max="3" width="8.85546875" style="160"/>
    <col min="4" max="4" width="12.85546875" style="161" bestFit="1" customWidth="1"/>
    <col min="5" max="5" width="13.28515625" style="161" bestFit="1" customWidth="1"/>
    <col min="6" max="6" width="18.42578125" style="160" bestFit="1" customWidth="1"/>
    <col min="7" max="7" width="8.85546875" style="160"/>
    <col min="8" max="8" width="13.28515625" style="160" bestFit="1" customWidth="1"/>
    <col min="9" max="9" width="11.28515625" style="160" bestFit="1" customWidth="1"/>
    <col min="10" max="10" width="11.28515625" style="160" customWidth="1"/>
    <col min="11" max="11" width="12.85546875" style="161" bestFit="1" customWidth="1"/>
    <col min="12" max="12" width="12.5703125" style="161" bestFit="1" customWidth="1"/>
    <col min="13" max="13" width="18.42578125" style="160" bestFit="1" customWidth="1"/>
    <col min="14" max="14" width="8.85546875" style="160"/>
    <col min="15" max="15" width="16.28515625" style="162" bestFit="1" customWidth="1"/>
    <col min="16" max="16384" width="8.85546875" style="160"/>
  </cols>
  <sheetData>
    <row r="1" spans="1:15" ht="15.75" thickBot="1"/>
    <row r="2" spans="1:15" ht="15.75" thickBot="1">
      <c r="A2" s="163" t="s">
        <v>78</v>
      </c>
      <c r="B2" s="164"/>
      <c r="C2" s="164"/>
      <c r="D2" s="164"/>
      <c r="E2" s="164"/>
      <c r="F2" s="165"/>
      <c r="H2" s="163" t="s">
        <v>77</v>
      </c>
      <c r="I2" s="164"/>
      <c r="J2" s="164"/>
      <c r="K2" s="164"/>
      <c r="L2" s="164"/>
      <c r="M2" s="165"/>
    </row>
    <row r="3" spans="1:15" s="159" customFormat="1">
      <c r="D3" s="166" t="s">
        <v>184</v>
      </c>
      <c r="E3" s="167" t="s">
        <v>185</v>
      </c>
      <c r="F3" s="168" t="s">
        <v>186</v>
      </c>
      <c r="K3" s="166" t="s">
        <v>184</v>
      </c>
      <c r="L3" s="167" t="s">
        <v>185</v>
      </c>
      <c r="M3" s="168" t="s">
        <v>186</v>
      </c>
      <c r="O3" s="169" t="s">
        <v>187</v>
      </c>
    </row>
    <row r="4" spans="1:15" s="159" customFormat="1">
      <c r="D4" s="170"/>
      <c r="E4" s="170"/>
      <c r="K4" s="170"/>
      <c r="L4" s="170"/>
      <c r="O4" s="169"/>
    </row>
    <row r="5" spans="1:15">
      <c r="A5" s="159" t="s">
        <v>188</v>
      </c>
      <c r="B5" s="159">
        <v>419600</v>
      </c>
      <c r="C5" s="159" t="s">
        <v>194</v>
      </c>
      <c r="D5" s="161">
        <v>-1079.47</v>
      </c>
      <c r="E5" s="161">
        <v>-570.65</v>
      </c>
      <c r="F5" s="171">
        <f>E5-D5</f>
        <v>508.82000000000005</v>
      </c>
      <c r="H5" s="159" t="s">
        <v>188</v>
      </c>
      <c r="I5" s="159">
        <v>419600</v>
      </c>
      <c r="J5" s="159" t="s">
        <v>195</v>
      </c>
      <c r="K5" s="161">
        <v>-19065.48</v>
      </c>
      <c r="L5" s="161">
        <v>-20452.009999999998</v>
      </c>
      <c r="M5" s="171">
        <f>L5-K5</f>
        <v>-1386.5299999999988</v>
      </c>
      <c r="O5" s="172">
        <f>M5+F5</f>
        <v>-877.70999999999879</v>
      </c>
    </row>
    <row r="6" spans="1:15">
      <c r="A6" s="159" t="s">
        <v>3</v>
      </c>
      <c r="B6" s="159">
        <v>191010</v>
      </c>
      <c r="C6" s="159" t="s">
        <v>194</v>
      </c>
      <c r="D6" s="161">
        <v>-405656.11</v>
      </c>
      <c r="E6" s="161">
        <v>-1016747.11</v>
      </c>
      <c r="F6" s="171">
        <f>E6-D6</f>
        <v>-611091</v>
      </c>
      <c r="H6" s="159" t="s">
        <v>3</v>
      </c>
      <c r="I6" s="159">
        <v>191010</v>
      </c>
      <c r="J6" s="159" t="s">
        <v>195</v>
      </c>
      <c r="K6" s="161">
        <v>-725960.52</v>
      </c>
      <c r="L6" s="161">
        <v>-113991.81</v>
      </c>
      <c r="M6" s="171">
        <f>L6-K6</f>
        <v>611968.71</v>
      </c>
      <c r="O6" s="172">
        <f>M6+F6</f>
        <v>877.70999999996275</v>
      </c>
    </row>
    <row r="7" spans="1:15">
      <c r="A7" s="159" t="s">
        <v>189</v>
      </c>
      <c r="B7" s="159">
        <v>805120</v>
      </c>
      <c r="C7" s="159" t="s">
        <v>194</v>
      </c>
      <c r="D7" s="161">
        <v>406735.58</v>
      </c>
      <c r="E7" s="161">
        <v>1017317.76</v>
      </c>
      <c r="F7" s="171">
        <f>E7-D7</f>
        <v>610582.17999999993</v>
      </c>
      <c r="H7" s="159" t="s">
        <v>189</v>
      </c>
      <c r="I7" s="159">
        <v>805120</v>
      </c>
      <c r="J7" s="159" t="s">
        <v>195</v>
      </c>
      <c r="K7" s="161">
        <v>745026</v>
      </c>
      <c r="L7" s="161">
        <v>134443.82</v>
      </c>
      <c r="M7" s="171">
        <f>L7-K7</f>
        <v>-610582.17999999993</v>
      </c>
      <c r="O7" s="173">
        <f>M7+F7</f>
        <v>0</v>
      </c>
    </row>
    <row r="8" spans="1:15">
      <c r="B8" s="159"/>
      <c r="C8" s="159"/>
      <c r="H8" s="159"/>
      <c r="I8" s="159"/>
      <c r="J8" s="159"/>
    </row>
    <row r="9" spans="1:15">
      <c r="A9" s="159" t="s">
        <v>188</v>
      </c>
      <c r="B9" s="159">
        <v>431600</v>
      </c>
      <c r="C9" s="159" t="s">
        <v>194</v>
      </c>
      <c r="D9" s="161">
        <v>1481.32</v>
      </c>
      <c r="E9" s="161">
        <v>1481.32</v>
      </c>
      <c r="F9" s="171">
        <f>E9-D9</f>
        <v>0</v>
      </c>
      <c r="H9" s="159" t="s">
        <v>188</v>
      </c>
      <c r="I9" s="159">
        <v>431600</v>
      </c>
      <c r="J9" s="159" t="s">
        <v>195</v>
      </c>
      <c r="K9" s="161">
        <v>972.72</v>
      </c>
      <c r="L9" s="161">
        <v>972.72</v>
      </c>
      <c r="M9" s="171">
        <f>L9-K9</f>
        <v>0</v>
      </c>
    </row>
    <row r="10" spans="1:15">
      <c r="A10" s="159" t="s">
        <v>190</v>
      </c>
      <c r="B10" s="159">
        <v>191000</v>
      </c>
      <c r="C10" s="159" t="s">
        <v>194</v>
      </c>
      <c r="D10" s="161">
        <v>297863.43</v>
      </c>
      <c r="E10" s="161">
        <v>297863.43</v>
      </c>
      <c r="F10" s="171">
        <f>E10-D10</f>
        <v>0</v>
      </c>
      <c r="H10" s="159" t="s">
        <v>190</v>
      </c>
      <c r="I10" s="159">
        <v>191000</v>
      </c>
      <c r="J10" s="159" t="s">
        <v>195</v>
      </c>
      <c r="K10" s="161">
        <v>582046.26</v>
      </c>
      <c r="L10" s="161">
        <v>582046.26</v>
      </c>
      <c r="M10" s="171">
        <f>L10-K10</f>
        <v>0</v>
      </c>
    </row>
    <row r="11" spans="1:15">
      <c r="A11" s="159" t="s">
        <v>191</v>
      </c>
      <c r="B11" s="159">
        <v>805110</v>
      </c>
      <c r="C11" s="159" t="s">
        <v>194</v>
      </c>
      <c r="D11" s="161">
        <v>-299344.75</v>
      </c>
      <c r="E11" s="161">
        <v>-299344.75</v>
      </c>
      <c r="F11" s="171">
        <f>E11-D11</f>
        <v>0</v>
      </c>
      <c r="H11" s="159" t="s">
        <v>191</v>
      </c>
      <c r="I11" s="159">
        <v>805110</v>
      </c>
      <c r="J11" s="159" t="s">
        <v>195</v>
      </c>
      <c r="K11" s="161">
        <v>-583018.97</v>
      </c>
      <c r="L11" s="161">
        <v>-583018.97</v>
      </c>
      <c r="M11" s="171">
        <f>L11-K11</f>
        <v>0</v>
      </c>
    </row>
    <row r="12" spans="1:15">
      <c r="B12" s="159"/>
      <c r="C12" s="159"/>
      <c r="H12" s="159"/>
    </row>
    <row r="13" spans="1:15">
      <c r="A13" s="159" t="s">
        <v>192</v>
      </c>
      <c r="B13" s="159">
        <v>410100</v>
      </c>
      <c r="C13" s="159" t="s">
        <v>194</v>
      </c>
      <c r="D13" s="161">
        <v>18285.810000000001</v>
      </c>
      <c r="E13" s="161">
        <v>18285.810000000001</v>
      </c>
      <c r="F13" s="171">
        <f>E13-D13</f>
        <v>0</v>
      </c>
      <c r="H13" s="159"/>
      <c r="M13" s="171"/>
    </row>
    <row r="14" spans="1:15">
      <c r="A14" s="159" t="s">
        <v>192</v>
      </c>
      <c r="B14" s="159">
        <v>805110</v>
      </c>
      <c r="C14" s="159" t="s">
        <v>194</v>
      </c>
      <c r="D14" s="161">
        <v>-18285.810000000001</v>
      </c>
      <c r="E14" s="161">
        <v>-18285.810000000001</v>
      </c>
      <c r="F14" s="171">
        <f>E14-D14</f>
        <v>0</v>
      </c>
      <c r="H14" s="159"/>
      <c r="M14" s="171"/>
    </row>
    <row r="15" spans="1:15">
      <c r="B15" s="159"/>
      <c r="C15" s="159"/>
      <c r="H15" s="159"/>
    </row>
    <row r="16" spans="1:15">
      <c r="A16" s="159" t="s">
        <v>193</v>
      </c>
      <c r="B16" s="159">
        <v>190930</v>
      </c>
      <c r="C16" s="159" t="s">
        <v>194</v>
      </c>
      <c r="D16" s="161">
        <v>4214.88</v>
      </c>
      <c r="E16" s="161">
        <v>4214.88</v>
      </c>
      <c r="F16" s="171">
        <f>E16-D16</f>
        <v>0</v>
      </c>
      <c r="H16" s="159"/>
      <c r="M16" s="171"/>
    </row>
    <row r="17" spans="1:15">
      <c r="A17" s="159" t="s">
        <v>193</v>
      </c>
      <c r="B17" s="159">
        <v>410100</v>
      </c>
      <c r="C17" s="159" t="s">
        <v>194</v>
      </c>
      <c r="D17" s="161">
        <v>-4214.88</v>
      </c>
      <c r="E17" s="161">
        <v>-4214.88</v>
      </c>
      <c r="F17" s="171">
        <f>E17-D17</f>
        <v>0</v>
      </c>
      <c r="H17" s="159"/>
      <c r="M17" s="171"/>
    </row>
    <row r="18" spans="1:15" s="161" customFormat="1">
      <c r="A18" s="170"/>
      <c r="D18" s="161">
        <f>SUM(D5:D17)</f>
        <v>5.8207660913467407E-11</v>
      </c>
      <c r="E18" s="161">
        <f>SUM(E5:E17)</f>
        <v>0</v>
      </c>
      <c r="F18" s="161">
        <f>SUM(F5:F17)</f>
        <v>-1.1641532182693481E-10</v>
      </c>
      <c r="K18" s="161">
        <f>SUM(K5:K17)</f>
        <v>1.0000000009313226E-2</v>
      </c>
      <c r="L18" s="161">
        <f>SUM(L5:L17)</f>
        <v>1.0000000009313226E-2</v>
      </c>
      <c r="M18" s="161">
        <f>SUM(M5:M17)</f>
        <v>0</v>
      </c>
      <c r="O18" s="161">
        <f>SUM(O5:O17)</f>
        <v>-3.6038727557752281E-11</v>
      </c>
    </row>
  </sheetData>
  <mergeCells count="2">
    <mergeCell ref="A2:F2"/>
    <mergeCell ref="H2:M2"/>
  </mergeCells>
  <pageMargins left="0.7" right="0.7" top="0.75" bottom="0.75" header="0.3" footer="0.3"/>
  <pageSetup scale="64" orientation="landscape" r:id="rId1"/>
  <headerFooter>
    <oddFooter>&amp;C&amp;Z&amp;F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7">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4" width="16" style="97"/>
    <col min="15" max="16" width="16.28515625" style="97" bestFit="1" customWidth="1"/>
    <col min="17" max="16384" width="16" style="97"/>
  </cols>
  <sheetData>
    <row r="1" spans="1:12" ht="16.5" thickBot="1">
      <c r="A1" s="174" t="s">
        <v>27</v>
      </c>
      <c r="B1" s="175"/>
      <c r="C1" s="109">
        <f>Jan!C1+1</f>
        <v>201902</v>
      </c>
      <c r="F1" s="109">
        <f>C1</f>
        <v>201902</v>
      </c>
      <c r="H1" s="37" t="s">
        <v>32</v>
      </c>
      <c r="I1" s="22" t="s">
        <v>1</v>
      </c>
      <c r="J1" s="22" t="s">
        <v>1</v>
      </c>
      <c r="K1" s="22" t="s">
        <v>29</v>
      </c>
      <c r="L1" s="22" t="s">
        <v>29</v>
      </c>
    </row>
    <row r="2" spans="1:12" ht="15.75">
      <c r="C2" s="6"/>
      <c r="H2" s="38" t="s">
        <v>11</v>
      </c>
      <c r="I2" s="39" t="s">
        <v>28</v>
      </c>
      <c r="J2" s="39" t="s">
        <v>28</v>
      </c>
      <c r="K2" s="39" t="s">
        <v>30</v>
      </c>
      <c r="L2" s="39" t="s">
        <v>30</v>
      </c>
    </row>
    <row r="3" spans="1:12" ht="16.5" thickBot="1">
      <c r="A3" s="10" t="s">
        <v>53</v>
      </c>
      <c r="C3" s="7"/>
      <c r="D3" s="176"/>
      <c r="F3" s="9" t="s">
        <v>35</v>
      </c>
      <c r="H3" s="40" t="s">
        <v>31</v>
      </c>
      <c r="I3" s="40" t="s">
        <v>14</v>
      </c>
      <c r="J3" s="40" t="s">
        <v>26</v>
      </c>
      <c r="K3" s="40" t="s">
        <v>14</v>
      </c>
      <c r="L3" s="40" t="s">
        <v>26</v>
      </c>
    </row>
    <row r="4" spans="1:12" ht="15.75">
      <c r="A4" s="97" t="s">
        <v>39</v>
      </c>
      <c r="C4" s="20">
        <f>3280236.97</f>
        <v>3280236.97</v>
      </c>
      <c r="D4" s="6"/>
      <c r="H4" s="3"/>
    </row>
    <row r="5" spans="1:12" ht="14.25" customHeight="1">
      <c r="A5" s="97" t="s">
        <v>10</v>
      </c>
      <c r="C5" s="20">
        <f>37087.31</f>
        <v>37087.31</v>
      </c>
      <c r="D5" s="6"/>
      <c r="H5" s="3"/>
      <c r="I5" s="177">
        <v>0.69099999999999995</v>
      </c>
      <c r="J5" s="177">
        <v>0.309</v>
      </c>
      <c r="K5" s="99">
        <f>ROUND(G45/(G45+K43),4)</f>
        <v>0.67859999999999998</v>
      </c>
      <c r="L5" s="99">
        <f>1-K5</f>
        <v>0.32140000000000002</v>
      </c>
    </row>
    <row r="6" spans="1:12" ht="16.5" thickBot="1">
      <c r="A6" s="8" t="s">
        <v>9</v>
      </c>
      <c r="C6" s="112">
        <f>-1341127.05-382523.4-109292.4-122953.95-70493.6-88045.96</f>
        <v>-2114436.3600000003</v>
      </c>
      <c r="D6" s="6"/>
    </row>
    <row r="7" spans="1:12" ht="16.5" thickBot="1">
      <c r="A7" s="12" t="s">
        <v>83</v>
      </c>
      <c r="C7" s="17">
        <f>SUM(C4:C6)</f>
        <v>1202887.92</v>
      </c>
      <c r="D7" s="7"/>
      <c r="F7" s="41" t="s">
        <v>82</v>
      </c>
      <c r="G7" s="41"/>
      <c r="H7" s="178">
        <f>C34</f>
        <v>2136544.0099999998</v>
      </c>
      <c r="I7" s="42">
        <f>H7*I5</f>
        <v>1476351.9109099996</v>
      </c>
      <c r="J7" s="42">
        <f>H7*J5</f>
        <v>660192.09908999992</v>
      </c>
      <c r="K7" s="42"/>
      <c r="L7" s="42"/>
    </row>
    <row r="8" spans="1:12" ht="15.75">
      <c r="A8" s="97" t="s">
        <v>40</v>
      </c>
      <c r="C8" s="20">
        <f>205566.42</f>
        <v>205566.42</v>
      </c>
      <c r="D8" s="7"/>
      <c r="H8" s="43"/>
      <c r="I8" s="43"/>
      <c r="J8" s="43"/>
      <c r="K8" s="43"/>
      <c r="L8" s="43"/>
    </row>
    <row r="9" spans="1:12" ht="15.75">
      <c r="A9" s="97" t="s">
        <v>41</v>
      </c>
      <c r="C9" s="20">
        <f>8324.93-4780.02-2.16</f>
        <v>3542.75</v>
      </c>
      <c r="D9" s="179"/>
      <c r="F9" s="41" t="s">
        <v>62</v>
      </c>
      <c r="H9" s="42">
        <f>C56</f>
        <v>19373177.640000004</v>
      </c>
      <c r="I9" s="42"/>
      <c r="J9" s="42"/>
      <c r="K9" s="42">
        <f>H9*K5</f>
        <v>13146638.346504003</v>
      </c>
      <c r="L9" s="42">
        <f>H9*L5</f>
        <v>6226539.2934960015</v>
      </c>
    </row>
    <row r="10" spans="1:12" ht="15.75">
      <c r="A10" s="8" t="s">
        <v>42</v>
      </c>
      <c r="C10" s="112">
        <f>-2780.59</f>
        <v>-2780.59</v>
      </c>
      <c r="D10" s="179"/>
      <c r="F10" s="44" t="s">
        <v>23</v>
      </c>
      <c r="H10" s="42">
        <f>C57</f>
        <v>-83432.100000000006</v>
      </c>
      <c r="I10" s="42"/>
      <c r="J10" s="42"/>
      <c r="K10" s="42">
        <f>H10</f>
        <v>-83432.100000000006</v>
      </c>
      <c r="L10" s="42"/>
    </row>
    <row r="11" spans="1:12">
      <c r="A11" s="12" t="s">
        <v>84</v>
      </c>
      <c r="C11" s="17">
        <f>SUM(C8:C10)</f>
        <v>206328.58000000002</v>
      </c>
      <c r="D11" s="179"/>
      <c r="F11" s="44" t="s">
        <v>24</v>
      </c>
      <c r="H11" s="45">
        <f>C58</f>
        <v>-39315.85</v>
      </c>
      <c r="I11" s="42"/>
      <c r="J11" s="42"/>
      <c r="K11" s="45"/>
      <c r="L11" s="45">
        <f>H11</f>
        <v>-39315.85</v>
      </c>
    </row>
    <row r="12" spans="1:12" ht="15.75">
      <c r="A12" s="97" t="s">
        <v>99</v>
      </c>
      <c r="C12" s="20">
        <f>236130.84+1769.44</f>
        <v>237900.28</v>
      </c>
      <c r="D12" s="179"/>
      <c r="F12" s="44" t="s">
        <v>81</v>
      </c>
      <c r="H12" s="42">
        <f>H9+H10+H11</f>
        <v>19250429.690000001</v>
      </c>
      <c r="I12" s="42"/>
      <c r="J12" s="42"/>
      <c r="K12" s="42">
        <f>SUM(K9:K11)</f>
        <v>13063206.246504003</v>
      </c>
      <c r="L12" s="42">
        <f>SUM(L9:L11)</f>
        <v>6187223.4434960019</v>
      </c>
    </row>
    <row r="13" spans="1:12" ht="16.5" thickBot="1">
      <c r="A13" s="8" t="s">
        <v>100</v>
      </c>
      <c r="C13" s="112">
        <v>0</v>
      </c>
      <c r="D13" s="179"/>
      <c r="F13" s="46"/>
      <c r="G13" s="47"/>
      <c r="H13" s="48"/>
      <c r="I13" s="49"/>
      <c r="J13" s="48"/>
      <c r="K13" s="43"/>
      <c r="L13" s="48"/>
    </row>
    <row r="14" spans="1:12" ht="16.5" thickBot="1">
      <c r="A14" s="12" t="s">
        <v>43</v>
      </c>
      <c r="C14" s="17">
        <f>SUM(C12:C13)</f>
        <v>237900.28</v>
      </c>
      <c r="D14" s="2"/>
      <c r="F14" s="9" t="s">
        <v>32</v>
      </c>
      <c r="G14" s="50"/>
      <c r="H14" s="178">
        <f>H12+H7</f>
        <v>21386973.700000003</v>
      </c>
      <c r="I14" s="51">
        <f>SUM(I7:I13)</f>
        <v>1476351.9109099996</v>
      </c>
      <c r="J14" s="51">
        <f>SUM(J7:J13)</f>
        <v>660192.09908999992</v>
      </c>
      <c r="K14" s="51">
        <f>K12</f>
        <v>13063206.246504003</v>
      </c>
      <c r="L14" s="51">
        <f>L12</f>
        <v>6187223.4434960019</v>
      </c>
    </row>
    <row r="15" spans="1:12" ht="15.75">
      <c r="A15" s="97" t="s">
        <v>114</v>
      </c>
      <c r="C15" s="20">
        <f>442919.38+3323.95-329.31</f>
        <v>445914.02</v>
      </c>
      <c r="D15" s="179"/>
      <c r="F15" s="46"/>
      <c r="G15" s="47" t="s">
        <v>49</v>
      </c>
      <c r="H15" s="48">
        <f>H14-C61</f>
        <v>0</v>
      </c>
      <c r="I15" s="52"/>
      <c r="J15" s="48">
        <f>J7+I7-H7</f>
        <v>0</v>
      </c>
      <c r="L15" s="48">
        <f>H12-K14-L14</f>
        <v>0</v>
      </c>
    </row>
    <row r="16" spans="1:12" ht="15.75">
      <c r="A16" s="8" t="s">
        <v>115</v>
      </c>
      <c r="C16" s="112">
        <v>0</v>
      </c>
      <c r="D16" s="179"/>
      <c r="F16" s="53"/>
      <c r="G16" s="47"/>
      <c r="H16" s="54"/>
      <c r="I16" s="55"/>
      <c r="J16" s="54"/>
      <c r="L16" s="54"/>
    </row>
    <row r="17" spans="1:13" ht="15.75" thickBot="1">
      <c r="A17" s="12" t="s">
        <v>116</v>
      </c>
      <c r="C17" s="17">
        <f>SUM(C15:C16)</f>
        <v>445914.02</v>
      </c>
      <c r="D17" s="2"/>
      <c r="F17" s="46"/>
      <c r="G17" s="47"/>
      <c r="H17" s="54"/>
      <c r="I17" s="55"/>
      <c r="J17" s="58"/>
      <c r="L17" s="54"/>
    </row>
    <row r="18" spans="1:13" ht="16.5" thickBot="1">
      <c r="A18" s="97" t="s">
        <v>97</v>
      </c>
      <c r="C18" s="20">
        <f>851.75-20136.06+9891.7+102645.2</f>
        <v>93252.59</v>
      </c>
      <c r="D18" s="179"/>
      <c r="F18" s="134" t="s">
        <v>77</v>
      </c>
      <c r="G18" s="135"/>
      <c r="H18" s="135"/>
      <c r="I18" s="136"/>
      <c r="J18" s="134" t="s">
        <v>78</v>
      </c>
      <c r="K18" s="135"/>
      <c r="L18" s="135"/>
      <c r="M18" s="136"/>
    </row>
    <row r="19" spans="1:13" ht="15.75">
      <c r="A19" s="8" t="s">
        <v>98</v>
      </c>
      <c r="C19" s="112">
        <v>1009.96</v>
      </c>
      <c r="D19" s="179"/>
      <c r="F19" s="76" t="s">
        <v>51</v>
      </c>
      <c r="G19" s="39" t="s">
        <v>12</v>
      </c>
      <c r="H19" s="39" t="s">
        <v>12</v>
      </c>
      <c r="I19" s="39" t="s">
        <v>12</v>
      </c>
      <c r="J19" s="76" t="s">
        <v>51</v>
      </c>
      <c r="K19" s="39" t="s">
        <v>12</v>
      </c>
      <c r="L19" s="39" t="s">
        <v>12</v>
      </c>
      <c r="M19" s="60" t="s">
        <v>12</v>
      </c>
    </row>
    <row r="20" spans="1:13" ht="16.5" thickBot="1">
      <c r="A20" s="11" t="s">
        <v>44</v>
      </c>
      <c r="C20" s="17">
        <f>SUM(C18:C19)</f>
        <v>94262.55</v>
      </c>
      <c r="D20" s="179"/>
      <c r="F20" s="70" t="s">
        <v>96</v>
      </c>
      <c r="G20" s="40" t="s">
        <v>48</v>
      </c>
      <c r="H20" s="40" t="s">
        <v>15</v>
      </c>
      <c r="I20" s="40" t="s">
        <v>13</v>
      </c>
      <c r="J20" s="70" t="s">
        <v>96</v>
      </c>
      <c r="K20" s="40" t="s">
        <v>48</v>
      </c>
      <c r="L20" s="40" t="s">
        <v>15</v>
      </c>
      <c r="M20" s="40" t="s">
        <v>13</v>
      </c>
    </row>
    <row r="21" spans="1:13" ht="15.75">
      <c r="A21" s="8" t="s">
        <v>88</v>
      </c>
      <c r="C21" s="112">
        <v>-564.72</v>
      </c>
      <c r="D21" s="179"/>
      <c r="F21" s="59"/>
      <c r="G21" s="4"/>
      <c r="H21" s="4"/>
      <c r="I21" s="60"/>
      <c r="J21" s="25"/>
      <c r="K21" s="5"/>
      <c r="L21" s="5"/>
      <c r="M21" s="77"/>
    </row>
    <row r="22" spans="1:13" ht="18" customHeight="1">
      <c r="A22" s="11" t="s">
        <v>88</v>
      </c>
      <c r="C22" s="17">
        <f>SUM(C21)</f>
        <v>-564.72</v>
      </c>
      <c r="D22" s="179"/>
      <c r="F22" s="74" t="s">
        <v>69</v>
      </c>
      <c r="G22" s="1"/>
      <c r="H22" s="1"/>
      <c r="I22" s="16"/>
      <c r="J22" s="74" t="s">
        <v>69</v>
      </c>
      <c r="K22" s="1"/>
      <c r="L22" s="1"/>
      <c r="M22" s="16"/>
    </row>
    <row r="23" spans="1:13" ht="15.75">
      <c r="A23" s="78" t="s">
        <v>111</v>
      </c>
      <c r="C23" s="17">
        <v>0</v>
      </c>
      <c r="D23" s="179"/>
      <c r="F23" s="75" t="s">
        <v>16</v>
      </c>
      <c r="G23" s="93">
        <v>23394682</v>
      </c>
      <c r="H23" s="98">
        <v>0.10238999999999999</v>
      </c>
      <c r="I23" s="71">
        <f t="shared" ref="I23:I31" si="0">G23*H23</f>
        <v>2395381.4899800001</v>
      </c>
      <c r="J23" s="75" t="s">
        <v>16</v>
      </c>
      <c r="K23" s="93">
        <v>11758433</v>
      </c>
      <c r="L23" s="98">
        <v>9.5839999999999995E-2</v>
      </c>
      <c r="M23" s="71">
        <f>K23*L23</f>
        <v>1126928.21872</v>
      </c>
    </row>
    <row r="24" spans="1:13" ht="15.75">
      <c r="A24" s="78" t="s">
        <v>117</v>
      </c>
      <c r="C24" s="20">
        <v>0</v>
      </c>
      <c r="D24" s="179"/>
      <c r="F24" s="75" t="s">
        <v>159</v>
      </c>
      <c r="G24" s="93">
        <v>23936</v>
      </c>
      <c r="H24" s="98">
        <v>0.10238999999999999</v>
      </c>
      <c r="I24" s="71">
        <f t="shared" si="0"/>
        <v>2450.8070399999997</v>
      </c>
      <c r="J24" s="75" t="s">
        <v>17</v>
      </c>
      <c r="K24" s="93">
        <v>3777850</v>
      </c>
      <c r="L24" s="98">
        <v>9.5839999999999995E-2</v>
      </c>
      <c r="M24" s="71">
        <f t="shared" ref="M24:M27" si="1">K24*L24</f>
        <v>362069.14399999997</v>
      </c>
    </row>
    <row r="25" spans="1:13" ht="15.75">
      <c r="A25" s="78" t="s">
        <v>119</v>
      </c>
      <c r="C25" s="114">
        <v>0</v>
      </c>
      <c r="D25" s="179"/>
      <c r="F25" s="75" t="s">
        <v>17</v>
      </c>
      <c r="G25" s="93">
        <v>8977809</v>
      </c>
      <c r="H25" s="98">
        <v>9.239E-2</v>
      </c>
      <c r="I25" s="71">
        <f t="shared" si="0"/>
        <v>829459.77350999997</v>
      </c>
      <c r="J25" s="75" t="s">
        <v>18</v>
      </c>
      <c r="K25" s="93">
        <v>974</v>
      </c>
      <c r="L25" s="98">
        <v>9.5839999999999995E-2</v>
      </c>
      <c r="M25" s="71">
        <f t="shared" si="1"/>
        <v>93.348159999999993</v>
      </c>
    </row>
    <row r="26" spans="1:13" ht="15.75">
      <c r="A26" s="79" t="s">
        <v>118</v>
      </c>
      <c r="C26" s="115">
        <v>0</v>
      </c>
      <c r="D26" s="179"/>
      <c r="F26" s="75" t="s">
        <v>18</v>
      </c>
      <c r="G26" s="93">
        <v>26218</v>
      </c>
      <c r="H26" s="98">
        <v>9.239E-2</v>
      </c>
      <c r="I26" s="71">
        <f t="shared" si="0"/>
        <v>2422.2810199999999</v>
      </c>
      <c r="J26" s="75" t="s">
        <v>19</v>
      </c>
      <c r="K26" s="93">
        <v>0</v>
      </c>
      <c r="L26" s="98">
        <v>9.5839999999999995E-2</v>
      </c>
      <c r="M26" s="71">
        <f t="shared" si="1"/>
        <v>0</v>
      </c>
    </row>
    <row r="27" spans="1:13" ht="15.75">
      <c r="A27" s="11" t="s">
        <v>47</v>
      </c>
      <c r="C27" s="17">
        <f>SUM(C23:C26)</f>
        <v>0</v>
      </c>
      <c r="D27" s="179"/>
      <c r="F27" s="75" t="s">
        <v>19</v>
      </c>
      <c r="G27" s="93">
        <v>177522</v>
      </c>
      <c r="H27" s="98">
        <v>9.2249999999999999E-2</v>
      </c>
      <c r="I27" s="71">
        <f t="shared" si="0"/>
        <v>16376.404500000001</v>
      </c>
      <c r="J27" s="75" t="s">
        <v>20</v>
      </c>
      <c r="K27" s="93">
        <v>0</v>
      </c>
      <c r="L27" s="98">
        <v>9.5839999999999995E-2</v>
      </c>
      <c r="M27" s="71">
        <f t="shared" si="1"/>
        <v>0</v>
      </c>
    </row>
    <row r="28" spans="1:13" ht="16.5" thickBot="1">
      <c r="A28" s="80" t="s">
        <v>89</v>
      </c>
      <c r="C28" s="20">
        <v>0</v>
      </c>
      <c r="D28" s="2"/>
      <c r="F28" s="75" t="s">
        <v>20</v>
      </c>
      <c r="G28" s="93">
        <v>56745</v>
      </c>
      <c r="H28" s="98">
        <v>9.2249999999999999E-2</v>
      </c>
      <c r="I28" s="71">
        <f t="shared" si="0"/>
        <v>5234.7262499999997</v>
      </c>
      <c r="J28" s="74" t="s">
        <v>70</v>
      </c>
      <c r="K28" s="56">
        <f>SUM(K23:K27)</f>
        <v>15537257</v>
      </c>
      <c r="L28" s="57"/>
      <c r="M28" s="72">
        <f>SUM(M23:M27)</f>
        <v>1489090.7108800001</v>
      </c>
    </row>
    <row r="29" spans="1:13" ht="17.25" thickTop="1" thickBot="1">
      <c r="A29" s="80" t="s">
        <v>101</v>
      </c>
      <c r="C29" s="20">
        <v>0</v>
      </c>
      <c r="D29" s="179"/>
      <c r="F29" s="75" t="s">
        <v>21</v>
      </c>
      <c r="G29" s="93">
        <v>0</v>
      </c>
      <c r="H29" s="98">
        <v>5.9499999999999997E-2</v>
      </c>
      <c r="I29" s="71">
        <f t="shared" si="0"/>
        <v>0</v>
      </c>
      <c r="J29" s="74"/>
      <c r="K29" s="87">
        <v>15537257</v>
      </c>
      <c r="L29" s="62" t="s">
        <v>49</v>
      </c>
      <c r="M29" s="103">
        <f>M28/K28</f>
        <v>9.5840000000000009E-2</v>
      </c>
    </row>
    <row r="30" spans="1:13" ht="16.5" thickBot="1">
      <c r="A30" s="9" t="s">
        <v>54</v>
      </c>
      <c r="C30" s="178">
        <f>C7+C11+C14+C17+C20+C22+C27+C28+C29</f>
        <v>2186728.63</v>
      </c>
      <c r="D30" s="2"/>
      <c r="F30" s="75" t="s">
        <v>22</v>
      </c>
      <c r="G30" s="93">
        <v>142096</v>
      </c>
      <c r="H30" s="98">
        <v>5.9499999999999997E-2</v>
      </c>
      <c r="I30" s="71">
        <f t="shared" si="0"/>
        <v>8454.7119999999995</v>
      </c>
      <c r="J30" s="75"/>
      <c r="K30" s="86">
        <f>K28-K29</f>
        <v>0</v>
      </c>
      <c r="L30" s="57"/>
      <c r="M30" s="73"/>
    </row>
    <row r="31" spans="1:13" ht="15.75">
      <c r="A31" s="97" t="s">
        <v>55</v>
      </c>
      <c r="C31" s="20">
        <f>-8544.6</f>
        <v>-8544.6</v>
      </c>
      <c r="D31" s="180"/>
      <c r="F31" s="75" t="s">
        <v>37</v>
      </c>
      <c r="G31" s="93">
        <v>3900873</v>
      </c>
      <c r="H31" s="98">
        <v>5.4000000000000001E-4</v>
      </c>
      <c r="I31" s="71">
        <f t="shared" si="0"/>
        <v>2106.4714199999999</v>
      </c>
      <c r="J31" s="34"/>
      <c r="K31" s="1"/>
      <c r="L31" s="57"/>
      <c r="M31" s="73"/>
    </row>
    <row r="32" spans="1:13" ht="16.5" thickBot="1">
      <c r="A32" s="9" t="s">
        <v>59</v>
      </c>
      <c r="B32" s="9" t="s">
        <v>60</v>
      </c>
      <c r="C32" s="116">
        <f>C30+C31</f>
        <v>2178184.0299999998</v>
      </c>
      <c r="D32" s="181"/>
      <c r="F32" s="74" t="s">
        <v>70</v>
      </c>
      <c r="G32" s="56">
        <f>SUM(G23:G31)</f>
        <v>36699881</v>
      </c>
      <c r="H32" s="1"/>
      <c r="I32" s="72">
        <f>SUM(I23:I31)</f>
        <v>3261886.6657199999</v>
      </c>
      <c r="J32" s="67"/>
      <c r="K32" s="68"/>
      <c r="L32" s="1"/>
      <c r="M32" s="65"/>
    </row>
    <row r="33" spans="1:17" ht="17.25" thickTop="1" thickBot="1">
      <c r="A33" s="97" t="s">
        <v>56</v>
      </c>
      <c r="C33" s="116">
        <f>-C5-C9-C13-C16-C19</f>
        <v>-41640.019999999997</v>
      </c>
      <c r="D33" s="179"/>
      <c r="F33" s="61"/>
      <c r="G33" s="87">
        <v>36699881</v>
      </c>
      <c r="H33" s="62" t="s">
        <v>49</v>
      </c>
      <c r="I33" s="84">
        <f>I32/G32</f>
        <v>8.8880033854060722E-2</v>
      </c>
      <c r="J33" s="67"/>
      <c r="K33" s="68"/>
      <c r="L33" s="1"/>
      <c r="M33" s="16"/>
    </row>
    <row r="34" spans="1:17" ht="16.5" thickBot="1">
      <c r="A34" s="9" t="s">
        <v>57</v>
      </c>
      <c r="C34" s="178">
        <f>SUM(C32:C33)</f>
        <v>2136544.0099999998</v>
      </c>
      <c r="D34" s="179"/>
      <c r="F34" s="34"/>
      <c r="G34" s="86">
        <f>G32-G33</f>
        <v>0</v>
      </c>
      <c r="H34" s="1"/>
      <c r="I34" s="16"/>
      <c r="J34" s="67"/>
      <c r="K34" s="66"/>
      <c r="L34" s="1"/>
      <c r="M34" s="16"/>
    </row>
    <row r="35" spans="1:17" ht="18" customHeight="1">
      <c r="A35" s="9"/>
      <c r="C35" s="116"/>
      <c r="D35" s="179"/>
      <c r="F35" s="59"/>
      <c r="G35" s="4"/>
      <c r="H35" s="4"/>
      <c r="I35" s="60"/>
      <c r="J35" s="74" t="s">
        <v>71</v>
      </c>
      <c r="K35" s="132"/>
      <c r="L35" s="132"/>
      <c r="M35" s="133"/>
    </row>
    <row r="36" spans="1:17" ht="15.75">
      <c r="A36" s="3" t="s">
        <v>45</v>
      </c>
      <c r="B36" s="9"/>
      <c r="C36" s="17"/>
      <c r="D36" s="179"/>
      <c r="F36" s="74" t="s">
        <v>71</v>
      </c>
      <c r="G36" s="1"/>
      <c r="H36" s="1"/>
      <c r="I36" s="16"/>
      <c r="J36" s="75" t="s">
        <v>16</v>
      </c>
      <c r="K36" s="94">
        <f>K23</f>
        <v>11758433</v>
      </c>
      <c r="L36" s="98">
        <v>0.16886000000000001</v>
      </c>
      <c r="M36" s="71">
        <f t="shared" ref="M36:M42" si="2">K36*L36</f>
        <v>1985528.9963800001</v>
      </c>
      <c r="P36" s="125"/>
      <c r="Q36" s="125"/>
    </row>
    <row r="37" spans="1:17" ht="15.75">
      <c r="A37" s="1" t="s">
        <v>72</v>
      </c>
      <c r="B37" s="131" t="s">
        <v>58</v>
      </c>
      <c r="C37" s="20">
        <v>28728074.620000001</v>
      </c>
      <c r="D37" s="179"/>
      <c r="F37" s="75" t="s">
        <v>16</v>
      </c>
      <c r="G37" s="94">
        <f t="shared" ref="G37:G44" si="3">G23</f>
        <v>23394682</v>
      </c>
      <c r="H37" s="98">
        <v>0.17066999999999999</v>
      </c>
      <c r="I37" s="71">
        <f t="shared" ref="I37:I44" si="4">G37*H37</f>
        <v>3992770.3769399999</v>
      </c>
      <c r="J37" s="75" t="s">
        <v>17</v>
      </c>
      <c r="K37" s="94">
        <f>K24</f>
        <v>3777850</v>
      </c>
      <c r="L37" s="98">
        <v>0.16886000000000001</v>
      </c>
      <c r="M37" s="71">
        <f t="shared" si="2"/>
        <v>637927.75100000005</v>
      </c>
      <c r="P37" s="125"/>
      <c r="Q37" s="125"/>
    </row>
    <row r="38" spans="1:17" ht="15.75">
      <c r="A38" s="81" t="s">
        <v>5</v>
      </c>
      <c r="B38" s="131" t="s">
        <v>58</v>
      </c>
      <c r="C38" s="20">
        <v>0</v>
      </c>
      <c r="D38" s="179"/>
      <c r="F38" s="75" t="s">
        <v>159</v>
      </c>
      <c r="G38" s="94">
        <f t="shared" si="3"/>
        <v>23936</v>
      </c>
      <c r="H38" s="98">
        <v>0.17066999999999999</v>
      </c>
      <c r="I38" s="71">
        <f t="shared" si="4"/>
        <v>4085.1571199999998</v>
      </c>
      <c r="J38" s="75" t="s">
        <v>18</v>
      </c>
      <c r="K38" s="94">
        <f>K25</f>
        <v>974</v>
      </c>
      <c r="L38" s="98">
        <v>0.16886000000000001</v>
      </c>
      <c r="M38" s="71">
        <f t="shared" si="2"/>
        <v>164.46964</v>
      </c>
      <c r="P38" s="125"/>
      <c r="Q38" s="125"/>
    </row>
    <row r="39" spans="1:17" ht="15.75">
      <c r="A39" s="1" t="s">
        <v>85</v>
      </c>
      <c r="B39" s="131" t="s">
        <v>86</v>
      </c>
      <c r="C39" s="20">
        <v>-45562.48</v>
      </c>
      <c r="D39" s="179"/>
      <c r="F39" s="75" t="s">
        <v>17</v>
      </c>
      <c r="G39" s="94">
        <f t="shared" si="3"/>
        <v>8977809</v>
      </c>
      <c r="H39" s="98">
        <v>0.17066999999999999</v>
      </c>
      <c r="I39" s="71">
        <f t="shared" si="4"/>
        <v>1532242.66203</v>
      </c>
      <c r="J39" s="75" t="s">
        <v>19</v>
      </c>
      <c r="K39" s="94">
        <f>K26</f>
        <v>0</v>
      </c>
      <c r="L39" s="98">
        <v>0.16886000000000001</v>
      </c>
      <c r="M39" s="71">
        <f t="shared" si="2"/>
        <v>0</v>
      </c>
      <c r="P39" s="125"/>
      <c r="Q39" s="125"/>
    </row>
    <row r="40" spans="1:17" ht="15.75">
      <c r="A40" s="1" t="s">
        <v>74</v>
      </c>
      <c r="B40" s="131" t="s">
        <v>75</v>
      </c>
      <c r="C40" s="20">
        <v>1407712.05</v>
      </c>
      <c r="D40" s="179"/>
      <c r="F40" s="75" t="s">
        <v>18</v>
      </c>
      <c r="G40" s="94">
        <f t="shared" si="3"/>
        <v>26218</v>
      </c>
      <c r="H40" s="98">
        <v>0.17066999999999999</v>
      </c>
      <c r="I40" s="71">
        <f t="shared" si="4"/>
        <v>4474.6260599999996</v>
      </c>
      <c r="J40" s="75" t="s">
        <v>20</v>
      </c>
      <c r="K40" s="94">
        <f>K27</f>
        <v>0</v>
      </c>
      <c r="L40" s="98">
        <v>0.16886000000000001</v>
      </c>
      <c r="M40" s="71">
        <f t="shared" si="2"/>
        <v>0</v>
      </c>
      <c r="P40" s="125"/>
      <c r="Q40" s="125"/>
    </row>
    <row r="41" spans="1:17" ht="15.75">
      <c r="A41" s="1" t="s">
        <v>91</v>
      </c>
      <c r="B41" s="117" t="s">
        <v>92</v>
      </c>
      <c r="C41" s="20">
        <v>24888.82</v>
      </c>
      <c r="D41" s="179"/>
      <c r="F41" s="75" t="s">
        <v>19</v>
      </c>
      <c r="G41" s="94">
        <f t="shared" si="3"/>
        <v>177522</v>
      </c>
      <c r="H41" s="98">
        <v>0.17066999999999999</v>
      </c>
      <c r="I41" s="71">
        <f t="shared" si="4"/>
        <v>30297.67974</v>
      </c>
      <c r="J41" s="75" t="s">
        <v>21</v>
      </c>
      <c r="K41" s="94">
        <v>0</v>
      </c>
      <c r="L41" s="98">
        <v>0.16886000000000001</v>
      </c>
      <c r="M41" s="71">
        <f t="shared" si="2"/>
        <v>0</v>
      </c>
      <c r="P41" s="125"/>
      <c r="Q41" s="125"/>
    </row>
    <row r="42" spans="1:17" ht="16.5" thickBot="1">
      <c r="A42" s="1" t="s">
        <v>109</v>
      </c>
      <c r="B42" s="131" t="s">
        <v>110</v>
      </c>
      <c r="C42" s="20">
        <v>5568119.2000000002</v>
      </c>
      <c r="D42" s="2"/>
      <c r="F42" s="75" t="s">
        <v>20</v>
      </c>
      <c r="G42" s="94">
        <f t="shared" si="3"/>
        <v>56745</v>
      </c>
      <c r="H42" s="98">
        <v>0.17066999999999999</v>
      </c>
      <c r="I42" s="71">
        <f t="shared" si="4"/>
        <v>9684.6691499999997</v>
      </c>
      <c r="J42" s="75" t="s">
        <v>22</v>
      </c>
      <c r="K42" s="94">
        <v>0</v>
      </c>
      <c r="L42" s="98">
        <v>0.16886000000000001</v>
      </c>
      <c r="M42" s="71">
        <f t="shared" si="2"/>
        <v>0</v>
      </c>
      <c r="P42" s="125"/>
      <c r="Q42" s="125"/>
    </row>
    <row r="43" spans="1:17" ht="16.5" thickBot="1">
      <c r="A43" s="14" t="s">
        <v>66</v>
      </c>
      <c r="B43" s="4"/>
      <c r="C43" s="178">
        <f>SUM(C37:C42)</f>
        <v>35683232.210000001</v>
      </c>
      <c r="D43" s="179"/>
      <c r="F43" s="75" t="s">
        <v>21</v>
      </c>
      <c r="G43" s="94">
        <f t="shared" si="3"/>
        <v>0</v>
      </c>
      <c r="H43" s="98">
        <v>0.17066999999999999</v>
      </c>
      <c r="I43" s="71">
        <f t="shared" si="4"/>
        <v>0</v>
      </c>
      <c r="J43" s="74" t="s">
        <v>76</v>
      </c>
      <c r="K43" s="56">
        <f>SUM(K36:K42)</f>
        <v>15537257</v>
      </c>
      <c r="L43" s="57"/>
      <c r="M43" s="72">
        <f>SUM(M36:M42)</f>
        <v>2623621.2170199999</v>
      </c>
    </row>
    <row r="44" spans="1:17" ht="16.5" thickBot="1">
      <c r="A44" s="182" t="s">
        <v>108</v>
      </c>
      <c r="B44" s="183" t="s">
        <v>63</v>
      </c>
      <c r="C44" s="20">
        <f>-1554969.8+4124875.89-1241257.22+225.53</f>
        <v>1328874.3999999999</v>
      </c>
      <c r="D44" s="2"/>
      <c r="F44" s="75" t="s">
        <v>22</v>
      </c>
      <c r="G44" s="94">
        <f t="shared" si="3"/>
        <v>142096</v>
      </c>
      <c r="H44" s="98">
        <v>0.17066999999999999</v>
      </c>
      <c r="I44" s="71">
        <f t="shared" si="4"/>
        <v>24251.524319999997</v>
      </c>
      <c r="J44" s="69"/>
      <c r="K44" s="88">
        <v>15537257</v>
      </c>
      <c r="L44" s="64" t="s">
        <v>49</v>
      </c>
      <c r="M44" s="85">
        <f>M43/K43</f>
        <v>0.16885999999999998</v>
      </c>
    </row>
    <row r="45" spans="1:17" ht="16.5" thickBot="1">
      <c r="A45" s="81" t="s">
        <v>102</v>
      </c>
      <c r="B45" s="117" t="s">
        <v>58</v>
      </c>
      <c r="C45" s="20">
        <v>0</v>
      </c>
      <c r="D45" s="180"/>
      <c r="F45" s="74" t="s">
        <v>76</v>
      </c>
      <c r="G45" s="56">
        <f>SUM(G37:G44)</f>
        <v>32799008</v>
      </c>
      <c r="H45" s="57"/>
      <c r="I45" s="72">
        <f>SUM(I37:I44)</f>
        <v>5597806.6953599993</v>
      </c>
      <c r="J45" s="14"/>
      <c r="K45" s="86">
        <f>K43-K44</f>
        <v>0</v>
      </c>
      <c r="L45" s="62"/>
      <c r="M45" s="113"/>
    </row>
    <row r="46" spans="1:17" ht="19.5" customHeight="1" thickTop="1" thickBot="1">
      <c r="A46" s="81" t="s">
        <v>103</v>
      </c>
      <c r="B46" s="117" t="s">
        <v>58</v>
      </c>
      <c r="C46" s="20">
        <v>0</v>
      </c>
      <c r="D46" s="181"/>
      <c r="F46" s="63"/>
      <c r="G46" s="88">
        <v>32799008</v>
      </c>
      <c r="H46" s="64" t="s">
        <v>49</v>
      </c>
      <c r="I46" s="83">
        <f>I45/G45</f>
        <v>0.17066999999999999</v>
      </c>
      <c r="J46" s="14"/>
      <c r="K46" s="87"/>
      <c r="L46" s="62"/>
      <c r="M46" s="113"/>
    </row>
    <row r="47" spans="1:17" ht="15.75">
      <c r="A47" s="97" t="s">
        <v>80</v>
      </c>
      <c r="B47" s="117" t="s">
        <v>58</v>
      </c>
      <c r="C47" s="20">
        <v>0</v>
      </c>
      <c r="D47" s="179"/>
      <c r="G47" s="86">
        <f>G45-G46</f>
        <v>0</v>
      </c>
      <c r="J47" s="21"/>
      <c r="K47" s="86"/>
      <c r="M47" s="21"/>
    </row>
    <row r="48" spans="1:17" ht="16.5" thickBot="1">
      <c r="A48" s="81" t="s">
        <v>158</v>
      </c>
      <c r="B48" s="117" t="s">
        <v>58</v>
      </c>
      <c r="C48" s="20">
        <v>7000</v>
      </c>
      <c r="D48" s="179"/>
      <c r="J48" s="21"/>
      <c r="K48" s="18"/>
      <c r="M48" s="13"/>
    </row>
    <row r="49" spans="1:21" ht="15.75">
      <c r="A49" s="1" t="s">
        <v>73</v>
      </c>
      <c r="B49" s="131" t="s">
        <v>90</v>
      </c>
      <c r="C49" s="20">
        <v>20442.52</v>
      </c>
      <c r="D49" s="179"/>
      <c r="G49" s="18"/>
      <c r="H49" s="25" t="s">
        <v>14</v>
      </c>
      <c r="I49" s="5" t="s">
        <v>14</v>
      </c>
      <c r="J49" s="5" t="s">
        <v>26</v>
      </c>
      <c r="K49" s="23" t="s">
        <v>33</v>
      </c>
      <c r="L49" s="21"/>
    </row>
    <row r="50" spans="1:21" ht="16.5" thickBot="1">
      <c r="A50" s="1" t="s">
        <v>121</v>
      </c>
      <c r="B50" s="131" t="s">
        <v>90</v>
      </c>
      <c r="C50" s="20">
        <v>2963</v>
      </c>
      <c r="D50" s="2"/>
      <c r="F50" s="9" t="s">
        <v>36</v>
      </c>
      <c r="H50" s="26" t="s">
        <v>0</v>
      </c>
      <c r="I50" s="27" t="s">
        <v>1</v>
      </c>
      <c r="J50" s="27" t="s">
        <v>0</v>
      </c>
      <c r="K50" s="24" t="s">
        <v>1</v>
      </c>
    </row>
    <row r="51" spans="1:21" ht="15.75">
      <c r="A51" s="1" t="s">
        <v>161</v>
      </c>
      <c r="B51" s="131" t="s">
        <v>90</v>
      </c>
      <c r="C51" s="20">
        <v>3092.24</v>
      </c>
      <c r="D51" s="179"/>
      <c r="H51" s="32"/>
      <c r="I51" s="33"/>
      <c r="J51" s="33"/>
      <c r="K51" s="33"/>
      <c r="L51" s="22" t="s">
        <v>50</v>
      </c>
    </row>
    <row r="52" spans="1:21" ht="15.75">
      <c r="A52" s="44" t="s">
        <v>61</v>
      </c>
      <c r="B52" s="117"/>
      <c r="C52" s="17">
        <f>-C33</f>
        <v>41640.019999999997</v>
      </c>
      <c r="D52" s="176"/>
      <c r="F52" s="97" t="s">
        <v>79</v>
      </c>
      <c r="H52" s="82">
        <f>K12</f>
        <v>13063206.246504003</v>
      </c>
      <c r="I52" s="19">
        <f>I14</f>
        <v>1476351.9109099996</v>
      </c>
      <c r="J52" s="19">
        <f>L12</f>
        <v>6187223.4434960019</v>
      </c>
      <c r="K52" s="19">
        <f>J14</f>
        <v>660192.09908999992</v>
      </c>
      <c r="L52" s="28">
        <f>SUM(H52:K52)</f>
        <v>21386973.700000003</v>
      </c>
    </row>
    <row r="53" spans="1:21" ht="16.5" thickBot="1">
      <c r="A53" s="97" t="s">
        <v>168</v>
      </c>
      <c r="B53" s="131" t="s">
        <v>169</v>
      </c>
      <c r="C53" s="20">
        <v>6398.44</v>
      </c>
      <c r="D53" s="179"/>
      <c r="F53" s="97" t="s">
        <v>52</v>
      </c>
      <c r="H53" s="82">
        <f>-I45</f>
        <v>-5597806.6953599993</v>
      </c>
      <c r="I53" s="19">
        <f>-I32</f>
        <v>-3261886.6657199999</v>
      </c>
      <c r="J53" s="19">
        <f>-M43</f>
        <v>-2623621.2170199999</v>
      </c>
      <c r="K53" s="19">
        <f>-M28</f>
        <v>-1489090.7108800001</v>
      </c>
      <c r="L53" s="92">
        <f>SUM(H53:K53)</f>
        <v>-12972405.288979998</v>
      </c>
    </row>
    <row r="54" spans="1:21" ht="16.5" thickBot="1">
      <c r="A54" s="97" t="s">
        <v>67</v>
      </c>
      <c r="B54" s="117" t="s">
        <v>156</v>
      </c>
      <c r="C54" s="20">
        <f>528004.32-11236884.23-6636585.28</f>
        <v>-17345465.190000001</v>
      </c>
      <c r="D54" s="179"/>
      <c r="F54" s="97" t="s">
        <v>38</v>
      </c>
      <c r="H54" s="89">
        <v>0</v>
      </c>
      <c r="I54" s="90">
        <v>0</v>
      </c>
      <c r="J54" s="90">
        <v>0</v>
      </c>
      <c r="K54" s="91">
        <v>0</v>
      </c>
      <c r="L54" s="184">
        <f>SUM(L52:L53)</f>
        <v>8414568.4110200051</v>
      </c>
    </row>
    <row r="55" spans="1:21" ht="16.5" thickBot="1">
      <c r="A55" s="97" t="s">
        <v>165</v>
      </c>
      <c r="B55" s="117" t="s">
        <v>120</v>
      </c>
      <c r="C55" s="20">
        <v>-375000</v>
      </c>
      <c r="D55" s="179"/>
      <c r="F55" s="97" t="s">
        <v>34</v>
      </c>
      <c r="H55" s="178">
        <f>IFERROR(H52+H53+H54,0)</f>
        <v>7465399.5511440039</v>
      </c>
      <c r="I55" s="178">
        <f>I52+I53+I54</f>
        <v>-1785534.7548100003</v>
      </c>
      <c r="J55" s="178">
        <f>IFERROR(J52+J53+J54,0)</f>
        <v>3563602.226476002</v>
      </c>
      <c r="K55" s="178">
        <f>K52+K53+K54</f>
        <v>-828898.61179000023</v>
      </c>
      <c r="L55" s="185">
        <f>SUM(H55:K55)</f>
        <v>8414568.411020007</v>
      </c>
    </row>
    <row r="56" spans="1:21" ht="16.5" thickBot="1">
      <c r="A56" s="186" t="s">
        <v>62</v>
      </c>
      <c r="B56" s="183"/>
      <c r="C56" s="36">
        <f>SUM(C43:C55)</f>
        <v>19373177.640000004</v>
      </c>
      <c r="D56" s="179"/>
      <c r="F56" s="187" t="s">
        <v>112</v>
      </c>
      <c r="H56" s="97" t="s">
        <v>104</v>
      </c>
      <c r="I56" s="1">
        <f>SUM(H55:I55)</f>
        <v>5679864.796334004</v>
      </c>
      <c r="J56" s="12" t="s">
        <v>105</v>
      </c>
      <c r="K56" s="97">
        <f>SUM(J55:K55)</f>
        <v>2734703.614686002</v>
      </c>
      <c r="L56" s="188">
        <f>ROUND(L54-L55,3)</f>
        <v>0</v>
      </c>
      <c r="T56" s="189"/>
    </row>
    <row r="57" spans="1:21" ht="16.5" thickTop="1">
      <c r="A57" s="97" t="s">
        <v>64</v>
      </c>
      <c r="B57" s="117" t="s">
        <v>58</v>
      </c>
      <c r="C57" s="20">
        <v>-83432.100000000006</v>
      </c>
      <c r="D57" s="179"/>
      <c r="F57" s="190" t="s">
        <v>112</v>
      </c>
      <c r="H57" s="191"/>
    </row>
    <row r="58" spans="1:21" ht="16.5" thickBot="1">
      <c r="A58" s="97" t="s">
        <v>65</v>
      </c>
      <c r="B58" s="117" t="s">
        <v>58</v>
      </c>
      <c r="C58" s="20">
        <v>-39315.85</v>
      </c>
      <c r="D58" s="179"/>
      <c r="F58" s="190" t="s">
        <v>113</v>
      </c>
      <c r="H58" s="180"/>
      <c r="I58" s="192"/>
      <c r="J58" s="192"/>
      <c r="K58" s="193"/>
      <c r="L58" s="192"/>
    </row>
    <row r="59" spans="1:21" ht="16.5" thickBot="1">
      <c r="A59" s="9" t="s">
        <v>68</v>
      </c>
      <c r="B59" s="9"/>
      <c r="C59" s="36">
        <f>SUM(C56:C58)</f>
        <v>19250429.690000001</v>
      </c>
      <c r="D59" s="179"/>
      <c r="F59" s="194" t="s">
        <v>157</v>
      </c>
      <c r="G59" s="110" t="str">
        <f>IF(OR(AND(I56&gt;0,K56&gt;0),AND(I56&lt;0,K56&lt;0)),"OK","ERROR")</f>
        <v>OK</v>
      </c>
      <c r="H59" s="32" t="s">
        <v>154</v>
      </c>
      <c r="I59" s="77"/>
    </row>
    <row r="60" spans="1:21" ht="17.25" thickTop="1" thickBot="1">
      <c r="A60" s="9"/>
      <c r="C60" s="116"/>
      <c r="D60" s="179"/>
      <c r="H60" s="35" t="s">
        <v>106</v>
      </c>
      <c r="I60" s="148" t="s">
        <v>107</v>
      </c>
      <c r="J60" s="1"/>
    </row>
    <row r="61" spans="1:21" ht="16.5" thickBot="1">
      <c r="A61" s="29"/>
      <c r="B61" s="29" t="s">
        <v>46</v>
      </c>
      <c r="C61" s="178">
        <f>C59+C34</f>
        <v>21386973.700000003</v>
      </c>
      <c r="D61" s="2"/>
      <c r="H61" s="96" t="e">
        <f>SUM('WA - Def-Amtz (current)'!BA5:BA40)+SUM(#REF!)</f>
        <v>#REF!</v>
      </c>
      <c r="I61" s="100" t="e">
        <f>SUM('WA - Def-Amtz (current)'!BB5:BB41)+SUM(#REF!)</f>
        <v>#REF!</v>
      </c>
    </row>
    <row r="62" spans="1:21" ht="15.75">
      <c r="A62" s="9"/>
      <c r="B62" s="29" t="s">
        <v>95</v>
      </c>
      <c r="C62" s="118">
        <v>21386973.699999999</v>
      </c>
      <c r="G62" s="1"/>
      <c r="I62" s="17" t="e">
        <f>H61-I61</f>
        <v>#REF!</v>
      </c>
      <c r="N62" s="1"/>
      <c r="O62" s="1"/>
      <c r="P62" s="195"/>
    </row>
    <row r="63" spans="1:21" ht="15.75">
      <c r="A63" s="29"/>
      <c r="B63" s="29" t="s">
        <v>94</v>
      </c>
      <c r="C63" s="17">
        <f>ROUND(C61-C62,2)</f>
        <v>0</v>
      </c>
      <c r="D63" s="179"/>
      <c r="S63" s="117"/>
    </row>
    <row r="64" spans="1:21" ht="15.75">
      <c r="A64" s="15"/>
      <c r="C64" s="196"/>
      <c r="D64" s="197"/>
      <c r="N64" s="44"/>
      <c r="U64" s="9"/>
    </row>
    <row r="65" spans="1:21" ht="15.75">
      <c r="A65" s="15"/>
      <c r="C65" s="2"/>
      <c r="D65" s="179"/>
      <c r="N65" s="44"/>
      <c r="S65" s="198"/>
    </row>
    <row r="66" spans="1:21" ht="15.75">
      <c r="A66" s="9"/>
      <c r="C66" s="2"/>
      <c r="D66" s="179"/>
      <c r="H66" s="191"/>
      <c r="N66" s="44"/>
      <c r="S66" s="199"/>
    </row>
    <row r="67" spans="1:21">
      <c r="C67" s="17"/>
      <c r="D67" s="179"/>
      <c r="N67" s="44"/>
      <c r="S67" s="200"/>
    </row>
    <row r="68" spans="1:21">
      <c r="D68" s="179"/>
      <c r="N68" s="44"/>
      <c r="S68" s="199"/>
    </row>
    <row r="69" spans="1:21">
      <c r="D69" s="2"/>
      <c r="N69" s="44"/>
    </row>
    <row r="70" spans="1:21">
      <c r="D70" s="179"/>
      <c r="N70" s="44"/>
      <c r="S70" s="201"/>
    </row>
    <row r="71" spans="1:21">
      <c r="D71" s="179"/>
    </row>
    <row r="72" spans="1:21">
      <c r="D72" s="179"/>
    </row>
    <row r="73" spans="1:21">
      <c r="D73" s="66"/>
      <c r="S73" s="202"/>
    </row>
    <row r="74" spans="1:21">
      <c r="R74" s="117"/>
      <c r="S74" s="117"/>
      <c r="T74" s="117"/>
    </row>
    <row r="76" spans="1:21">
      <c r="U76" s="203"/>
    </row>
    <row r="1477" spans="3:3">
      <c r="C1477" s="97">
        <v>-2130</v>
      </c>
    </row>
    <row r="1485" spans="3:3">
      <c r="C1485" s="97">
        <f>7004298-2130</f>
        <v>7002168</v>
      </c>
    </row>
  </sheetData>
  <mergeCells count="3">
    <mergeCell ref="F18:I18"/>
    <mergeCell ref="J18:M18"/>
    <mergeCell ref="K35:M35"/>
  </mergeCells>
  <conditionalFormatting sqref="C63 L56 I62">
    <cfRule type="cellIs" dxfId="97" priority="9" stopIfTrue="1" operator="equal">
      <formula>0</formula>
    </cfRule>
    <cfRule type="cellIs" dxfId="96" priority="10" stopIfTrue="1" operator="notEqual">
      <formula>0</formula>
    </cfRule>
  </conditionalFormatting>
  <conditionalFormatting sqref="G34 G47 K30 K47">
    <cfRule type="cellIs" dxfId="95" priority="8" operator="notEqual">
      <formula>0</formula>
    </cfRule>
  </conditionalFormatting>
  <conditionalFormatting sqref="C63">
    <cfRule type="cellIs" dxfId="94" priority="6" stopIfTrue="1" operator="equal">
      <formula>0</formula>
    </cfRule>
    <cfRule type="cellIs" dxfId="93" priority="7" stopIfTrue="1" operator="notEqual">
      <formula>0</formula>
    </cfRule>
  </conditionalFormatting>
  <conditionalFormatting sqref="K30">
    <cfRule type="cellIs" dxfId="92" priority="5" operator="notEqual">
      <formula>0</formula>
    </cfRule>
  </conditionalFormatting>
  <conditionalFormatting sqref="G59">
    <cfRule type="cellIs" dxfId="91" priority="4" operator="equal">
      <formula>"""ERROR"""</formula>
    </cfRule>
  </conditionalFormatting>
  <conditionalFormatting sqref="G59">
    <cfRule type="cellIs" dxfId="90" priority="3" operator="equal">
      <formula>"ERROR"</formula>
    </cfRule>
  </conditionalFormatting>
  <conditionalFormatting sqref="G59">
    <cfRule type="cellIs" dxfId="89" priority="2" operator="equal">
      <formula>"ERROR"</formula>
    </cfRule>
  </conditionalFormatting>
  <conditionalFormatting sqref="K45">
    <cfRule type="cellIs" dxfId="88"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8">
    <tabColor rgb="FF00CC66"/>
    <pageSetUpPr fitToPage="1"/>
  </sheetPr>
  <dimension ref="A1:U1485"/>
  <sheetViews>
    <sheetView showGridLines="0" zoomScale="80" zoomScaleNormal="80" workbookViewId="0">
      <selection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4" t="s">
        <v>27</v>
      </c>
      <c r="B1" s="175"/>
      <c r="C1" s="109">
        <f>Feb!C1+1</f>
        <v>201903</v>
      </c>
      <c r="F1" s="109">
        <f>C1</f>
        <v>201903</v>
      </c>
      <c r="H1" s="37" t="s">
        <v>32</v>
      </c>
      <c r="I1" s="22" t="s">
        <v>1</v>
      </c>
      <c r="J1" s="22" t="s">
        <v>1</v>
      </c>
      <c r="K1" s="22" t="s">
        <v>29</v>
      </c>
      <c r="L1" s="22" t="s">
        <v>29</v>
      </c>
    </row>
    <row r="2" spans="1:12" ht="15.75">
      <c r="C2" s="6"/>
      <c r="H2" s="38" t="s">
        <v>11</v>
      </c>
      <c r="I2" s="39" t="s">
        <v>28</v>
      </c>
      <c r="J2" s="39" t="s">
        <v>28</v>
      </c>
      <c r="K2" s="39" t="s">
        <v>30</v>
      </c>
      <c r="L2" s="39" t="s">
        <v>30</v>
      </c>
    </row>
    <row r="3" spans="1:12" ht="16.5" thickBot="1">
      <c r="A3" s="10" t="s">
        <v>53</v>
      </c>
      <c r="C3" s="7"/>
      <c r="D3" s="176"/>
      <c r="F3" s="9" t="s">
        <v>35</v>
      </c>
      <c r="H3" s="40" t="s">
        <v>31</v>
      </c>
      <c r="I3" s="40" t="s">
        <v>14</v>
      </c>
      <c r="J3" s="40" t="s">
        <v>26</v>
      </c>
      <c r="K3" s="40" t="s">
        <v>14</v>
      </c>
      <c r="L3" s="40" t="s">
        <v>26</v>
      </c>
    </row>
    <row r="4" spans="1:12" ht="15.75">
      <c r="A4" s="97" t="s">
        <v>39</v>
      </c>
      <c r="C4" s="20">
        <v>3631690.92</v>
      </c>
      <c r="D4" s="6"/>
      <c r="H4" s="3"/>
    </row>
    <row r="5" spans="1:12" ht="14.25" customHeight="1">
      <c r="A5" s="97" t="s">
        <v>10</v>
      </c>
      <c r="C5" s="20">
        <f>26750.12</f>
        <v>26750.12</v>
      </c>
      <c r="D5" s="6"/>
      <c r="H5" s="3"/>
      <c r="I5" s="177">
        <v>0.69099999999999995</v>
      </c>
      <c r="J5" s="177">
        <v>0.309</v>
      </c>
      <c r="K5" s="99">
        <f>ROUND(G45/(G45+K43),4)</f>
        <v>0.70130000000000003</v>
      </c>
      <c r="L5" s="99">
        <f>1-K5</f>
        <v>0.29869999999999997</v>
      </c>
    </row>
    <row r="6" spans="1:12" ht="16.5" thickBot="1">
      <c r="A6" s="8" t="s">
        <v>9</v>
      </c>
      <c r="C6" s="112">
        <f>-1484819.23-423508.04-121002.3-136127.59-78046.48-97479.45</f>
        <v>-2340983.0900000003</v>
      </c>
      <c r="D6" s="6"/>
    </row>
    <row r="7" spans="1:12" ht="16.5" thickBot="1">
      <c r="A7" s="12" t="s">
        <v>83</v>
      </c>
      <c r="C7" s="17">
        <f>SUM(C4:C6)</f>
        <v>1317457.9499999997</v>
      </c>
      <c r="D7" s="7"/>
      <c r="F7" s="41" t="s">
        <v>82</v>
      </c>
      <c r="G7" s="41"/>
      <c r="H7" s="178">
        <f>C34</f>
        <v>2265832.3899999992</v>
      </c>
      <c r="I7" s="42">
        <f>H7*I5</f>
        <v>1565690.1814899994</v>
      </c>
      <c r="J7" s="42">
        <f>H7*J5</f>
        <v>700142.20850999979</v>
      </c>
      <c r="K7" s="42"/>
      <c r="L7" s="42"/>
    </row>
    <row r="8" spans="1:12" ht="15.75">
      <c r="A8" s="97" t="s">
        <v>40</v>
      </c>
      <c r="C8" s="20">
        <v>227591.4</v>
      </c>
      <c r="D8" s="7"/>
      <c r="H8" s="43"/>
      <c r="I8" s="43"/>
      <c r="J8" s="43"/>
      <c r="K8" s="43"/>
      <c r="L8" s="43"/>
    </row>
    <row r="9" spans="1:12" ht="15.75">
      <c r="A9" s="97" t="s">
        <v>41</v>
      </c>
      <c r="C9" s="20">
        <f>8869.27+3000-1.57</f>
        <v>11867.7</v>
      </c>
      <c r="D9" s="179"/>
      <c r="F9" s="41" t="s">
        <v>62</v>
      </c>
      <c r="H9" s="42">
        <f>C56</f>
        <v>23616525.829999994</v>
      </c>
      <c r="I9" s="42"/>
      <c r="J9" s="42"/>
      <c r="K9" s="42">
        <f>H9*K5</f>
        <v>16562269.564578997</v>
      </c>
      <c r="L9" s="42">
        <f>H9*L5</f>
        <v>7054256.2654209975</v>
      </c>
    </row>
    <row r="10" spans="1:12" ht="15.75">
      <c r="A10" s="8" t="s">
        <v>42</v>
      </c>
      <c r="C10" s="112">
        <v>-3078.51</v>
      </c>
      <c r="D10" s="179"/>
      <c r="F10" s="44" t="s">
        <v>23</v>
      </c>
      <c r="H10" s="42">
        <f>C57</f>
        <v>-371444.74</v>
      </c>
      <c r="I10" s="42"/>
      <c r="J10" s="42"/>
      <c r="K10" s="42">
        <f>H10</f>
        <v>-371444.74</v>
      </c>
      <c r="L10" s="42"/>
    </row>
    <row r="11" spans="1:12">
      <c r="A11" s="12" t="s">
        <v>84</v>
      </c>
      <c r="C11" s="17">
        <f>SUM(C8:C10)</f>
        <v>236380.59</v>
      </c>
      <c r="D11" s="179"/>
      <c r="F11" s="44" t="s">
        <v>24</v>
      </c>
      <c r="H11" s="45">
        <f>C58</f>
        <v>-161904.72</v>
      </c>
      <c r="I11" s="42"/>
      <c r="J11" s="42"/>
      <c r="K11" s="45"/>
      <c r="L11" s="45">
        <f>H11</f>
        <v>-161904.72</v>
      </c>
    </row>
    <row r="12" spans="1:12" ht="15.75">
      <c r="A12" s="97" t="s">
        <v>99</v>
      </c>
      <c r="C12" s="20">
        <f>232468.93-4455.74</f>
        <v>228013.19</v>
      </c>
      <c r="D12" s="179"/>
      <c r="F12" s="44" t="s">
        <v>81</v>
      </c>
      <c r="H12" s="42">
        <f>H9+H10+H11</f>
        <v>23083176.369999997</v>
      </c>
      <c r="I12" s="42"/>
      <c r="J12" s="42"/>
      <c r="K12" s="42">
        <f>SUM(K9:K11)</f>
        <v>16190824.824578997</v>
      </c>
      <c r="L12" s="42">
        <f>SUM(L9:L11)</f>
        <v>6892351.5454209978</v>
      </c>
    </row>
    <row r="13" spans="1:12" ht="16.5" thickBot="1">
      <c r="A13" s="8" t="s">
        <v>100</v>
      </c>
      <c r="C13" s="112">
        <v>0</v>
      </c>
      <c r="D13" s="179"/>
      <c r="F13" s="46"/>
      <c r="G13" s="47"/>
      <c r="H13" s="48"/>
      <c r="I13" s="49"/>
      <c r="J13" s="48"/>
      <c r="K13" s="43"/>
      <c r="L13" s="48"/>
    </row>
    <row r="14" spans="1:12" ht="16.5" thickBot="1">
      <c r="A14" s="12" t="s">
        <v>43</v>
      </c>
      <c r="C14" s="17">
        <f>SUM(C12:C13)</f>
        <v>228013.19</v>
      </c>
      <c r="D14" s="2"/>
      <c r="F14" s="9" t="s">
        <v>32</v>
      </c>
      <c r="G14" s="50"/>
      <c r="H14" s="178">
        <f>H12+H7</f>
        <v>25349008.759999998</v>
      </c>
      <c r="I14" s="51">
        <f>SUM(I7:I13)</f>
        <v>1565690.1814899994</v>
      </c>
      <c r="J14" s="51">
        <f>SUM(J7:J13)</f>
        <v>700142.20850999979</v>
      </c>
      <c r="K14" s="51">
        <f>K12</f>
        <v>16190824.824578997</v>
      </c>
      <c r="L14" s="51">
        <f>L12</f>
        <v>6892351.5454209978</v>
      </c>
    </row>
    <row r="15" spans="1:12" ht="15.75">
      <c r="A15" s="97" t="s">
        <v>114</v>
      </c>
      <c r="C15" s="20">
        <f>436050.61-8357.78</f>
        <v>427692.82999999996</v>
      </c>
      <c r="D15" s="179"/>
      <c r="F15" s="46"/>
      <c r="G15" s="47" t="s">
        <v>49</v>
      </c>
      <c r="H15" s="48">
        <f>H14-C61</f>
        <v>0</v>
      </c>
      <c r="I15" s="52"/>
      <c r="J15" s="48">
        <f>J7+I7-H7</f>
        <v>0</v>
      </c>
      <c r="L15" s="48">
        <f>H12-K14-L14</f>
        <v>0</v>
      </c>
    </row>
    <row r="16" spans="1:12" ht="15.75">
      <c r="A16" s="8" t="s">
        <v>115</v>
      </c>
      <c r="C16" s="112">
        <v>0</v>
      </c>
      <c r="D16" s="179"/>
      <c r="F16" s="53"/>
      <c r="G16" s="47"/>
      <c r="H16" s="54"/>
      <c r="I16" s="55"/>
      <c r="J16" s="54"/>
      <c r="L16" s="54"/>
    </row>
    <row r="17" spans="1:13" ht="15.75" thickBot="1">
      <c r="A17" s="12" t="s">
        <v>116</v>
      </c>
      <c r="C17" s="17">
        <f>SUM(C15:C16)</f>
        <v>427692.82999999996</v>
      </c>
      <c r="D17" s="2"/>
      <c r="F17" s="46"/>
      <c r="G17" s="47"/>
      <c r="H17" s="54"/>
      <c r="I17" s="55"/>
      <c r="J17" s="58"/>
      <c r="L17" s="54"/>
    </row>
    <row r="18" spans="1:13" ht="16.5" thickBot="1">
      <c r="A18" s="97" t="s">
        <v>97</v>
      </c>
      <c r="C18" s="20">
        <f>101053.39-10037.72-2176.64+9738.3</f>
        <v>98577.33</v>
      </c>
      <c r="D18" s="179"/>
      <c r="F18" s="134" t="s">
        <v>77</v>
      </c>
      <c r="G18" s="135"/>
      <c r="H18" s="135"/>
      <c r="I18" s="136"/>
      <c r="J18" s="134" t="s">
        <v>78</v>
      </c>
      <c r="K18" s="135"/>
      <c r="L18" s="135"/>
      <c r="M18" s="136"/>
    </row>
    <row r="19" spans="1:13" ht="15.75">
      <c r="A19" s="8" t="s">
        <v>98</v>
      </c>
      <c r="C19" s="112">
        <f>978.92</f>
        <v>978.92</v>
      </c>
      <c r="D19" s="179"/>
      <c r="F19" s="76" t="s">
        <v>51</v>
      </c>
      <c r="G19" s="39" t="s">
        <v>12</v>
      </c>
      <c r="H19" s="39" t="s">
        <v>12</v>
      </c>
      <c r="I19" s="39" t="s">
        <v>12</v>
      </c>
      <c r="J19" s="76" t="s">
        <v>51</v>
      </c>
      <c r="K19" s="39" t="s">
        <v>12</v>
      </c>
      <c r="L19" s="39" t="s">
        <v>12</v>
      </c>
      <c r="M19" s="60" t="s">
        <v>12</v>
      </c>
    </row>
    <row r="20" spans="1:13" ht="16.5" thickBot="1">
      <c r="A20" s="11" t="s">
        <v>44</v>
      </c>
      <c r="C20" s="17">
        <f>SUM(C18:C19)</f>
        <v>99556.25</v>
      </c>
      <c r="D20" s="179"/>
      <c r="F20" s="70" t="s">
        <v>96</v>
      </c>
      <c r="G20" s="40" t="s">
        <v>48</v>
      </c>
      <c r="H20" s="40" t="s">
        <v>15</v>
      </c>
      <c r="I20" s="40" t="s">
        <v>13</v>
      </c>
      <c r="J20" s="70" t="s">
        <v>96</v>
      </c>
      <c r="K20" s="40" t="s">
        <v>48</v>
      </c>
      <c r="L20" s="40" t="s">
        <v>15</v>
      </c>
      <c r="M20" s="40" t="s">
        <v>13</v>
      </c>
    </row>
    <row r="21" spans="1:13" ht="15.75">
      <c r="A21" s="8" t="s">
        <v>88</v>
      </c>
      <c r="C21" s="112">
        <f>4046.25</f>
        <v>4046.25</v>
      </c>
      <c r="D21" s="179"/>
      <c r="F21" s="59"/>
      <c r="G21" s="4"/>
      <c r="H21" s="4"/>
      <c r="I21" s="60"/>
      <c r="J21" s="25"/>
      <c r="K21" s="5"/>
      <c r="L21" s="5"/>
      <c r="M21" s="77"/>
    </row>
    <row r="22" spans="1:13" ht="18" customHeight="1">
      <c r="A22" s="11" t="s">
        <v>88</v>
      </c>
      <c r="C22" s="17">
        <f>SUM(C21)</f>
        <v>4046.25</v>
      </c>
      <c r="D22" s="179"/>
      <c r="F22" s="74" t="s">
        <v>69</v>
      </c>
      <c r="G22" s="1"/>
      <c r="H22" s="1"/>
      <c r="I22" s="16"/>
      <c r="J22" s="74" t="s">
        <v>69</v>
      </c>
      <c r="K22" s="1"/>
      <c r="L22" s="1"/>
      <c r="M22" s="16"/>
    </row>
    <row r="23" spans="1:13" ht="15.75">
      <c r="A23" s="78" t="s">
        <v>111</v>
      </c>
      <c r="C23" s="17">
        <v>0</v>
      </c>
      <c r="D23" s="179"/>
      <c r="F23" s="75" t="s">
        <v>16</v>
      </c>
      <c r="G23" s="93">
        <v>18476572</v>
      </c>
      <c r="H23" s="98">
        <v>0.10238999999999999</v>
      </c>
      <c r="I23" s="71">
        <v>1689163</v>
      </c>
      <c r="J23" s="75" t="s">
        <v>16</v>
      </c>
      <c r="K23" s="93">
        <v>8099837</v>
      </c>
      <c r="L23" s="98">
        <v>9.5839999999999995E-2</v>
      </c>
      <c r="M23" s="71">
        <v>779254</v>
      </c>
    </row>
    <row r="24" spans="1:13" ht="15.75">
      <c r="A24" s="78" t="s">
        <v>117</v>
      </c>
      <c r="C24" s="20">
        <v>0</v>
      </c>
      <c r="D24" s="179"/>
      <c r="F24" s="75" t="s">
        <v>159</v>
      </c>
      <c r="G24" s="93">
        <v>18913</v>
      </c>
      <c r="H24" s="98">
        <v>0.10238999999999999</v>
      </c>
      <c r="I24" s="71">
        <v>2041</v>
      </c>
      <c r="J24" s="75" t="s">
        <v>17</v>
      </c>
      <c r="K24" s="93">
        <v>2821506</v>
      </c>
      <c r="L24" s="98">
        <v>9.5839999999999995E-2</v>
      </c>
      <c r="M24" s="71">
        <v>281330</v>
      </c>
    </row>
    <row r="25" spans="1:13" ht="15.75">
      <c r="A25" s="78" t="s">
        <v>119</v>
      </c>
      <c r="C25" s="114">
        <v>0</v>
      </c>
      <c r="D25" s="179"/>
      <c r="F25" s="75" t="s">
        <v>17</v>
      </c>
      <c r="G25" s="93">
        <v>6826624</v>
      </c>
      <c r="H25" s="98">
        <v>9.239E-2</v>
      </c>
      <c r="I25" s="71">
        <v>554510</v>
      </c>
      <c r="J25" s="75" t="s">
        <v>18</v>
      </c>
      <c r="K25" s="93">
        <v>1385</v>
      </c>
      <c r="L25" s="98">
        <v>9.5839999999999995E-2</v>
      </c>
      <c r="M25" s="71">
        <v>384</v>
      </c>
    </row>
    <row r="26" spans="1:13" ht="15.75">
      <c r="A26" s="79" t="s">
        <v>118</v>
      </c>
      <c r="C26" s="115">
        <v>0</v>
      </c>
      <c r="D26" s="179"/>
      <c r="F26" s="75" t="s">
        <v>18</v>
      </c>
      <c r="G26" s="93">
        <v>9819</v>
      </c>
      <c r="H26" s="98">
        <v>9.239E-2</v>
      </c>
      <c r="I26" s="71">
        <v>775</v>
      </c>
      <c r="J26" s="75" t="s">
        <v>19</v>
      </c>
      <c r="K26" s="93"/>
      <c r="L26" s="98">
        <v>9.5839999999999995E-2</v>
      </c>
      <c r="M26" s="71">
        <v>0</v>
      </c>
    </row>
    <row r="27" spans="1:13" ht="15.75">
      <c r="A27" s="11" t="s">
        <v>47</v>
      </c>
      <c r="C27" s="17">
        <f>SUM(C23:C26)</f>
        <v>0</v>
      </c>
      <c r="D27" s="179"/>
      <c r="F27" s="75" t="s">
        <v>19</v>
      </c>
      <c r="G27" s="93">
        <v>115935</v>
      </c>
      <c r="H27" s="98">
        <v>9.2249999999999999E-2</v>
      </c>
      <c r="I27" s="71">
        <v>35924</v>
      </c>
      <c r="J27" s="75" t="s">
        <v>20</v>
      </c>
      <c r="K27" s="93"/>
      <c r="L27" s="98">
        <v>9.5839999999999995E-2</v>
      </c>
      <c r="M27" s="71">
        <v>0</v>
      </c>
    </row>
    <row r="28" spans="1:13" ht="16.5" thickBot="1">
      <c r="A28" s="80" t="s">
        <v>89</v>
      </c>
      <c r="C28" s="20">
        <v>0</v>
      </c>
      <c r="D28" s="2"/>
      <c r="F28" s="75" t="s">
        <v>20</v>
      </c>
      <c r="G28" s="93">
        <v>58316</v>
      </c>
      <c r="H28" s="98">
        <v>9.2249999999999999E-2</v>
      </c>
      <c r="I28" s="71">
        <v>5193</v>
      </c>
      <c r="J28" s="74" t="s">
        <v>70</v>
      </c>
      <c r="K28" s="56">
        <f>SUM(K23:K27)</f>
        <v>10922728</v>
      </c>
      <c r="L28" s="57"/>
      <c r="M28" s="72">
        <f>SUM(M23:M27)</f>
        <v>1060968</v>
      </c>
    </row>
    <row r="29" spans="1:13" ht="17.25" thickTop="1" thickBot="1">
      <c r="A29" s="80" t="s">
        <v>101</v>
      </c>
      <c r="C29" s="20">
        <v>0</v>
      </c>
      <c r="D29" s="179"/>
      <c r="F29" s="75" t="s">
        <v>21</v>
      </c>
      <c r="G29" s="93">
        <v>0</v>
      </c>
      <c r="H29" s="98">
        <v>5.9499999999999997E-2</v>
      </c>
      <c r="I29" s="71">
        <v>0</v>
      </c>
      <c r="J29" s="74"/>
      <c r="K29" s="87">
        <v>10922728</v>
      </c>
      <c r="L29" s="62" t="s">
        <v>49</v>
      </c>
      <c r="M29" s="103">
        <f>M28/K28</f>
        <v>9.7133976054333673E-2</v>
      </c>
    </row>
    <row r="30" spans="1:13" ht="16.5" thickBot="1">
      <c r="A30" s="9" t="s">
        <v>54</v>
      </c>
      <c r="C30" s="178">
        <f>C7+C11+C14+C17+C20+C22+C27+C28+C29</f>
        <v>2313147.0599999996</v>
      </c>
      <c r="D30" s="2"/>
      <c r="F30" s="75" t="s">
        <v>22</v>
      </c>
      <c r="G30" s="93">
        <v>133435</v>
      </c>
      <c r="H30" s="98">
        <v>5.9499999999999997E-2</v>
      </c>
      <c r="I30" s="71">
        <v>7050</v>
      </c>
      <c r="J30" s="75"/>
      <c r="K30" s="86">
        <f>K28-K29</f>
        <v>0</v>
      </c>
      <c r="L30" s="57"/>
      <c r="M30" s="73"/>
    </row>
    <row r="31" spans="1:13" ht="15.75">
      <c r="A31" s="97" t="s">
        <v>55</v>
      </c>
      <c r="C31" s="20">
        <v>-7717.93</v>
      </c>
      <c r="D31" s="180"/>
      <c r="F31" s="75" t="s">
        <v>37</v>
      </c>
      <c r="G31" s="93">
        <v>3846520</v>
      </c>
      <c r="H31" s="98">
        <v>5.4000000000000001E-4</v>
      </c>
      <c r="I31" s="71">
        <v>1785</v>
      </c>
      <c r="J31" s="34"/>
      <c r="K31" s="1"/>
      <c r="L31" s="57"/>
      <c r="M31" s="73"/>
    </row>
    <row r="32" spans="1:13" ht="16.5" thickBot="1">
      <c r="A32" s="9" t="s">
        <v>59</v>
      </c>
      <c r="B32" s="9" t="s">
        <v>60</v>
      </c>
      <c r="C32" s="116">
        <f>C30+C31</f>
        <v>2305429.1299999994</v>
      </c>
      <c r="D32" s="181"/>
      <c r="F32" s="74" t="s">
        <v>70</v>
      </c>
      <c r="G32" s="56">
        <f>SUM(G23:G31)</f>
        <v>29486134</v>
      </c>
      <c r="H32" s="1"/>
      <c r="I32" s="72">
        <f>SUM(I23:I31)</f>
        <v>2296441</v>
      </c>
      <c r="J32" s="67"/>
      <c r="K32" s="68"/>
      <c r="L32" s="1"/>
      <c r="M32" s="65"/>
    </row>
    <row r="33" spans="1:17" ht="17.25" thickTop="1" thickBot="1">
      <c r="A33" s="97" t="s">
        <v>56</v>
      </c>
      <c r="C33" s="116">
        <f>-C5-C9-C13-C16-C19</f>
        <v>-39596.74</v>
      </c>
      <c r="D33" s="179"/>
      <c r="F33" s="61"/>
      <c r="G33" s="87">
        <v>29486134</v>
      </c>
      <c r="H33" s="62" t="s">
        <v>49</v>
      </c>
      <c r="I33" s="84">
        <f>I32/G32</f>
        <v>7.7882064837662343E-2</v>
      </c>
      <c r="J33" s="67"/>
      <c r="K33" s="68"/>
      <c r="L33" s="1"/>
      <c r="M33" s="16"/>
    </row>
    <row r="34" spans="1:17" ht="16.5" thickBot="1">
      <c r="A34" s="9" t="s">
        <v>57</v>
      </c>
      <c r="C34" s="178">
        <f>SUM(C32:C33)</f>
        <v>2265832.3899999992</v>
      </c>
      <c r="D34" s="179"/>
      <c r="F34" s="34"/>
      <c r="G34" s="86">
        <f>G32-G33</f>
        <v>0</v>
      </c>
      <c r="H34" s="1"/>
      <c r="I34" s="16"/>
      <c r="J34" s="67"/>
      <c r="K34" s="66"/>
      <c r="L34" s="1"/>
      <c r="M34" s="16"/>
    </row>
    <row r="35" spans="1:17" ht="18" customHeight="1">
      <c r="A35" s="9"/>
      <c r="C35" s="116"/>
      <c r="D35" s="179"/>
      <c r="F35" s="59"/>
      <c r="G35" s="4"/>
      <c r="H35" s="4"/>
      <c r="I35" s="60"/>
      <c r="J35" s="74" t="s">
        <v>71</v>
      </c>
      <c r="K35" s="132"/>
      <c r="L35" s="132"/>
      <c r="M35" s="133"/>
    </row>
    <row r="36" spans="1:17" ht="15.75">
      <c r="A36" s="3" t="s">
        <v>45</v>
      </c>
      <c r="B36" s="9"/>
      <c r="C36" s="17"/>
      <c r="D36" s="179"/>
      <c r="F36" s="74" t="s">
        <v>71</v>
      </c>
      <c r="G36" s="1"/>
      <c r="H36" s="1"/>
      <c r="I36" s="16"/>
      <c r="J36" s="75" t="s">
        <v>16</v>
      </c>
      <c r="K36" s="94">
        <f>K23</f>
        <v>8099837</v>
      </c>
      <c r="L36" s="98">
        <v>0.16886000000000001</v>
      </c>
      <c r="M36" s="71">
        <v>1205053</v>
      </c>
      <c r="P36" s="125"/>
      <c r="Q36" s="125"/>
    </row>
    <row r="37" spans="1:17" ht="15.75">
      <c r="A37" s="1" t="s">
        <v>72</v>
      </c>
      <c r="B37" s="131" t="s">
        <v>58</v>
      </c>
      <c r="C37" s="20">
        <v>29900191.030000001</v>
      </c>
      <c r="D37" s="179"/>
      <c r="F37" s="75" t="s">
        <v>16</v>
      </c>
      <c r="G37" s="94">
        <f>G23</f>
        <v>18476572</v>
      </c>
      <c r="H37" s="98">
        <v>0.17066999999999999</v>
      </c>
      <c r="I37" s="71">
        <v>2583934</v>
      </c>
      <c r="J37" s="75" t="s">
        <v>17</v>
      </c>
      <c r="K37" s="94">
        <f>K24</f>
        <v>2821506</v>
      </c>
      <c r="L37" s="98">
        <v>0.16886000000000001</v>
      </c>
      <c r="M37" s="71">
        <v>435058</v>
      </c>
      <c r="P37" s="125"/>
      <c r="Q37" s="125"/>
    </row>
    <row r="38" spans="1:17" ht="15.75">
      <c r="A38" s="81" t="s">
        <v>5</v>
      </c>
      <c r="B38" s="131" t="s">
        <v>58</v>
      </c>
      <c r="C38" s="20">
        <v>0</v>
      </c>
      <c r="D38" s="179"/>
      <c r="F38" s="75" t="s">
        <v>159</v>
      </c>
      <c r="G38" s="94">
        <f>G24</f>
        <v>18913</v>
      </c>
      <c r="H38" s="98">
        <v>0.17066999999999999</v>
      </c>
      <c r="I38" s="71">
        <v>3121</v>
      </c>
      <c r="J38" s="75" t="s">
        <v>18</v>
      </c>
      <c r="K38" s="94">
        <f>K25</f>
        <v>1385</v>
      </c>
      <c r="L38" s="98">
        <v>0.16886000000000001</v>
      </c>
      <c r="M38" s="71">
        <v>593</v>
      </c>
      <c r="P38" s="125"/>
      <c r="Q38" s="125"/>
    </row>
    <row r="39" spans="1:17" ht="15.75">
      <c r="A39" s="1" t="s">
        <v>85</v>
      </c>
      <c r="B39" s="131" t="s">
        <v>86</v>
      </c>
      <c r="C39" s="20">
        <v>-40268.019999999997</v>
      </c>
      <c r="D39" s="179"/>
      <c r="F39" s="75" t="s">
        <v>17</v>
      </c>
      <c r="G39" s="94">
        <f t="shared" ref="G39:G44" si="0">G25</f>
        <v>6826624</v>
      </c>
      <c r="H39" s="98">
        <v>0.17066999999999999</v>
      </c>
      <c r="I39" s="71">
        <v>923773</v>
      </c>
      <c r="J39" s="75" t="s">
        <v>19</v>
      </c>
      <c r="K39" s="94">
        <f>K26</f>
        <v>0</v>
      </c>
      <c r="L39" s="98">
        <v>0.16886000000000001</v>
      </c>
      <c r="M39" s="71">
        <v>0</v>
      </c>
      <c r="P39" s="125"/>
      <c r="Q39" s="125"/>
    </row>
    <row r="40" spans="1:17" ht="15.75">
      <c r="A40" s="1" t="s">
        <v>74</v>
      </c>
      <c r="B40" s="131" t="s">
        <v>75</v>
      </c>
      <c r="C40" s="20">
        <v>12348.87</v>
      </c>
      <c r="D40" s="179"/>
      <c r="F40" s="75" t="s">
        <v>18</v>
      </c>
      <c r="G40" s="94">
        <f t="shared" si="0"/>
        <v>9819</v>
      </c>
      <c r="H40" s="98">
        <v>0.17066999999999999</v>
      </c>
      <c r="I40" s="71">
        <v>1293</v>
      </c>
      <c r="J40" s="75" t="s">
        <v>20</v>
      </c>
      <c r="K40" s="94">
        <f>K27</f>
        <v>0</v>
      </c>
      <c r="L40" s="98">
        <v>0.16886000000000001</v>
      </c>
      <c r="M40" s="71">
        <f t="shared" ref="M40:M42" si="1">K40*L40</f>
        <v>0</v>
      </c>
      <c r="P40" s="125"/>
      <c r="Q40" s="125"/>
    </row>
    <row r="41" spans="1:17" ht="15.75">
      <c r="A41" s="1" t="s">
        <v>91</v>
      </c>
      <c r="B41" s="117" t="s">
        <v>92</v>
      </c>
      <c r="C41" s="20">
        <v>9724.4699999999993</v>
      </c>
      <c r="D41" s="179"/>
      <c r="F41" s="75" t="s">
        <v>19</v>
      </c>
      <c r="G41" s="94">
        <f t="shared" si="0"/>
        <v>115935</v>
      </c>
      <c r="H41" s="98">
        <v>0.17066999999999999</v>
      </c>
      <c r="I41" s="71">
        <v>56592</v>
      </c>
      <c r="J41" s="75" t="s">
        <v>21</v>
      </c>
      <c r="K41" s="93">
        <v>0</v>
      </c>
      <c r="L41" s="98">
        <v>0.16886000000000001</v>
      </c>
      <c r="M41" s="71">
        <f t="shared" si="1"/>
        <v>0</v>
      </c>
      <c r="P41" s="125"/>
      <c r="Q41" s="125"/>
    </row>
    <row r="42" spans="1:17" ht="16.5" thickBot="1">
      <c r="A42" s="1" t="s">
        <v>109</v>
      </c>
      <c r="B42" s="131" t="s">
        <v>110</v>
      </c>
      <c r="C42" s="20">
        <v>3059365.26</v>
      </c>
      <c r="D42" s="2"/>
      <c r="F42" s="75" t="s">
        <v>20</v>
      </c>
      <c r="G42" s="94">
        <f t="shared" si="0"/>
        <v>58316</v>
      </c>
      <c r="H42" s="98">
        <v>0.17066999999999999</v>
      </c>
      <c r="I42" s="71">
        <v>8652</v>
      </c>
      <c r="J42" s="75" t="s">
        <v>22</v>
      </c>
      <c r="K42" s="95">
        <v>0</v>
      </c>
      <c r="L42" s="98">
        <v>0.16886000000000001</v>
      </c>
      <c r="M42" s="71">
        <f t="shared" si="1"/>
        <v>0</v>
      </c>
      <c r="P42" s="125"/>
      <c r="Q42" s="125"/>
    </row>
    <row r="43" spans="1:17" ht="16.5" thickBot="1">
      <c r="A43" s="14" t="s">
        <v>66</v>
      </c>
      <c r="B43" s="4"/>
      <c r="C43" s="178">
        <f>SUM(C37:C42)</f>
        <v>32941361.609999999</v>
      </c>
      <c r="D43" s="179"/>
      <c r="F43" s="75" t="s">
        <v>21</v>
      </c>
      <c r="G43" s="94">
        <f t="shared" si="0"/>
        <v>0</v>
      </c>
      <c r="H43" s="98">
        <v>0.17066999999999999</v>
      </c>
      <c r="I43" s="71">
        <v>0</v>
      </c>
      <c r="J43" s="74" t="s">
        <v>76</v>
      </c>
      <c r="K43" s="56">
        <f>SUM(K36:K42)</f>
        <v>10922728</v>
      </c>
      <c r="L43" s="57"/>
      <c r="M43" s="72">
        <f>SUM(M36:M42)</f>
        <v>1640704</v>
      </c>
    </row>
    <row r="44" spans="1:17" ht="16.5" thickBot="1">
      <c r="A44" s="182" t="s">
        <v>108</v>
      </c>
      <c r="B44" s="183" t="s">
        <v>63</v>
      </c>
      <c r="C44" s="20">
        <f>14441.46-2262515.36</f>
        <v>-2248073.9</v>
      </c>
      <c r="D44" s="2"/>
      <c r="F44" s="75" t="s">
        <v>22</v>
      </c>
      <c r="G44" s="94">
        <f t="shared" si="0"/>
        <v>133435</v>
      </c>
      <c r="H44" s="98">
        <v>0.17066999999999999</v>
      </c>
      <c r="I44" s="71">
        <v>18549</v>
      </c>
      <c r="J44" s="69"/>
      <c r="K44" s="88">
        <v>10922728</v>
      </c>
      <c r="L44" s="64" t="s">
        <v>49</v>
      </c>
      <c r="M44" s="85">
        <f>M43/K43</f>
        <v>0.15021009403511651</v>
      </c>
    </row>
    <row r="45" spans="1:17" ht="16.5" thickBot="1">
      <c r="A45" s="81" t="s">
        <v>102</v>
      </c>
      <c r="B45" s="117" t="s">
        <v>58</v>
      </c>
      <c r="C45" s="20">
        <v>0</v>
      </c>
      <c r="D45" s="180"/>
      <c r="F45" s="74" t="s">
        <v>76</v>
      </c>
      <c r="G45" s="56">
        <f>SUM(G37:G44)</f>
        <v>25639614</v>
      </c>
      <c r="H45" s="57"/>
      <c r="I45" s="72">
        <f>SUM(I37:I44)</f>
        <v>3595914</v>
      </c>
      <c r="J45" s="14"/>
      <c r="K45" s="87"/>
      <c r="L45" s="62"/>
      <c r="M45" s="113"/>
    </row>
    <row r="46" spans="1:17" ht="19.5" customHeight="1" thickTop="1" thickBot="1">
      <c r="A46" s="81" t="s">
        <v>103</v>
      </c>
      <c r="B46" s="117" t="s">
        <v>58</v>
      </c>
      <c r="C46" s="20">
        <v>0</v>
      </c>
      <c r="D46" s="181"/>
      <c r="F46" s="63"/>
      <c r="G46" s="88">
        <v>25639614</v>
      </c>
      <c r="H46" s="64" t="s">
        <v>49</v>
      </c>
      <c r="I46" s="83">
        <f>I45/G45</f>
        <v>0.14024836723360967</v>
      </c>
      <c r="J46" s="14"/>
      <c r="K46" s="87"/>
      <c r="L46" s="62"/>
      <c r="M46" s="113"/>
    </row>
    <row r="47" spans="1:17" ht="19.5" customHeight="1">
      <c r="A47" s="97" t="s">
        <v>80</v>
      </c>
      <c r="B47" s="117" t="s">
        <v>58</v>
      </c>
      <c r="C47" s="20">
        <v>8738.2000000000007</v>
      </c>
      <c r="D47" s="179"/>
      <c r="G47" s="86">
        <f>G45-G46</f>
        <v>0</v>
      </c>
      <c r="J47" s="21"/>
      <c r="K47" s="86">
        <f>K43-K44</f>
        <v>0</v>
      </c>
      <c r="M47" s="21"/>
    </row>
    <row r="48" spans="1:17" ht="16.5" thickBot="1">
      <c r="A48" s="81" t="s">
        <v>158</v>
      </c>
      <c r="B48" s="117" t="s">
        <v>58</v>
      </c>
      <c r="C48" s="20">
        <v>7000</v>
      </c>
      <c r="D48" s="179"/>
      <c r="J48" s="21"/>
      <c r="K48" s="18"/>
      <c r="M48" s="13"/>
    </row>
    <row r="49" spans="1:21" ht="15.75">
      <c r="A49" s="1" t="s">
        <v>73</v>
      </c>
      <c r="B49" s="131" t="s">
        <v>90</v>
      </c>
      <c r="C49" s="20">
        <v>46773.98</v>
      </c>
      <c r="D49" s="179"/>
      <c r="G49" s="18"/>
      <c r="H49" s="25" t="s">
        <v>14</v>
      </c>
      <c r="I49" s="5" t="s">
        <v>14</v>
      </c>
      <c r="J49" s="5" t="s">
        <v>26</v>
      </c>
      <c r="K49" s="23" t="s">
        <v>33</v>
      </c>
      <c r="L49" s="21"/>
    </row>
    <row r="50" spans="1:21" ht="16.5" thickBot="1">
      <c r="A50" s="1" t="s">
        <v>121</v>
      </c>
      <c r="B50" s="131" t="s">
        <v>90</v>
      </c>
      <c r="C50" s="20">
        <v>3061.99</v>
      </c>
      <c r="D50" s="2"/>
      <c r="F50" s="9" t="s">
        <v>36</v>
      </c>
      <c r="H50" s="26" t="s">
        <v>0</v>
      </c>
      <c r="I50" s="27" t="s">
        <v>1</v>
      </c>
      <c r="J50" s="27" t="s">
        <v>0</v>
      </c>
      <c r="K50" s="24" t="s">
        <v>1</v>
      </c>
    </row>
    <row r="51" spans="1:21" ht="15.75">
      <c r="A51" s="1" t="s">
        <v>161</v>
      </c>
      <c r="B51" s="131" t="s">
        <v>90</v>
      </c>
      <c r="C51" s="20">
        <v>3411.7</v>
      </c>
      <c r="D51" s="179"/>
      <c r="H51" s="32"/>
      <c r="I51" s="33"/>
      <c r="J51" s="33"/>
      <c r="K51" s="33"/>
      <c r="L51" s="22" t="s">
        <v>50</v>
      </c>
    </row>
    <row r="52" spans="1:21" ht="15.75">
      <c r="A52" s="44" t="s">
        <v>61</v>
      </c>
      <c r="B52" s="117"/>
      <c r="C52" s="17">
        <f>-C33</f>
        <v>39596.74</v>
      </c>
      <c r="D52" s="176"/>
      <c r="F52" s="97" t="s">
        <v>79</v>
      </c>
      <c r="H52" s="82">
        <f>K12</f>
        <v>16190824.824578997</v>
      </c>
      <c r="I52" s="19">
        <f>I14</f>
        <v>1565690.1814899994</v>
      </c>
      <c r="J52" s="19">
        <f>L12</f>
        <v>6892351.5454209978</v>
      </c>
      <c r="K52" s="19">
        <f>J14</f>
        <v>700142.20850999979</v>
      </c>
      <c r="L52" s="28">
        <f>SUM(H52:K52)</f>
        <v>25349008.759999994</v>
      </c>
    </row>
    <row r="53" spans="1:21" ht="16.5" thickBot="1">
      <c r="A53" s="97" t="s">
        <v>168</v>
      </c>
      <c r="B53" s="131" t="s">
        <v>169</v>
      </c>
      <c r="C53" s="20">
        <v>8677.4</v>
      </c>
      <c r="D53" s="179"/>
      <c r="F53" s="97" t="s">
        <v>52</v>
      </c>
      <c r="H53" s="82">
        <f>-I45</f>
        <v>-3595914</v>
      </c>
      <c r="I53" s="19">
        <f>-I32</f>
        <v>-2296441</v>
      </c>
      <c r="J53" s="19">
        <f>-M43</f>
        <v>-1640704</v>
      </c>
      <c r="K53" s="19">
        <f>-M28</f>
        <v>-1060968</v>
      </c>
      <c r="L53" s="92">
        <f>SUM(H53:K53)</f>
        <v>-8594027</v>
      </c>
    </row>
    <row r="54" spans="1:21" ht="16.5" thickBot="1">
      <c r="A54" s="97" t="s">
        <v>67</v>
      </c>
      <c r="B54" s="117" t="s">
        <v>156</v>
      </c>
      <c r="C54" s="20">
        <f>7050255.97-8142068.33-5727209.53</f>
        <v>-6819021.8900000006</v>
      </c>
      <c r="D54" s="179"/>
      <c r="F54" s="97" t="s">
        <v>38</v>
      </c>
      <c r="H54" s="89">
        <v>0</v>
      </c>
      <c r="I54" s="90">
        <v>0</v>
      </c>
      <c r="J54" s="90">
        <v>0</v>
      </c>
      <c r="K54" s="91">
        <v>0</v>
      </c>
      <c r="L54" s="184">
        <f>SUM(L52:L53)</f>
        <v>16754981.759999994</v>
      </c>
    </row>
    <row r="55" spans="1:21" ht="16.5" thickBot="1">
      <c r="A55" s="97" t="s">
        <v>165</v>
      </c>
      <c r="B55" s="117" t="s">
        <v>120</v>
      </c>
      <c r="C55" s="20">
        <v>-375000</v>
      </c>
      <c r="D55" s="179"/>
      <c r="F55" s="97" t="s">
        <v>34</v>
      </c>
      <c r="H55" s="178">
        <f>IFERROR(H52+H53+H54,0)</f>
        <v>12594910.824578997</v>
      </c>
      <c r="I55" s="178">
        <f>I52+I53+I54</f>
        <v>-730750.81851000059</v>
      </c>
      <c r="J55" s="178">
        <f>IFERROR(J52+J53+J54,0)</f>
        <v>5251647.5454209978</v>
      </c>
      <c r="K55" s="178">
        <f>K52+K53+K54</f>
        <v>-360825.79149000021</v>
      </c>
      <c r="L55" s="185">
        <f>SUM(H55:K55)</f>
        <v>16754981.759999994</v>
      </c>
    </row>
    <row r="56" spans="1:21" ht="16.5" thickBot="1">
      <c r="A56" s="186" t="s">
        <v>62</v>
      </c>
      <c r="B56" s="183"/>
      <c r="C56" s="36">
        <f>SUM(C43:C55)</f>
        <v>23616525.829999994</v>
      </c>
      <c r="D56" s="179"/>
      <c r="F56" s="187" t="s">
        <v>112</v>
      </c>
      <c r="H56" s="97" t="s">
        <v>104</v>
      </c>
      <c r="I56" s="1">
        <f>SUM(H55:I55)</f>
        <v>11864160.006068997</v>
      </c>
      <c r="J56" s="12" t="s">
        <v>105</v>
      </c>
      <c r="K56" s="97">
        <f>SUM(J55:K55)</f>
        <v>4890821.7539309971</v>
      </c>
      <c r="L56" s="188">
        <f>ROUND(L54-L55,3)</f>
        <v>0</v>
      </c>
      <c r="T56" s="189"/>
    </row>
    <row r="57" spans="1:21" ht="16.5" thickTop="1">
      <c r="A57" s="97" t="s">
        <v>64</v>
      </c>
      <c r="B57" s="117" t="s">
        <v>58</v>
      </c>
      <c r="C57" s="20">
        <v>-371444.74</v>
      </c>
      <c r="D57" s="179"/>
      <c r="F57" s="190" t="s">
        <v>112</v>
      </c>
      <c r="H57" s="191"/>
    </row>
    <row r="58" spans="1:21" ht="16.5" thickBot="1">
      <c r="A58" s="97" t="s">
        <v>65</v>
      </c>
      <c r="B58" s="117" t="s">
        <v>58</v>
      </c>
      <c r="C58" s="20">
        <v>-161904.72</v>
      </c>
      <c r="D58" s="179"/>
      <c r="F58" s="190" t="s">
        <v>113</v>
      </c>
      <c r="H58" s="180"/>
      <c r="I58" s="192"/>
      <c r="J58" s="192"/>
      <c r="K58" s="193"/>
      <c r="L58" s="192"/>
    </row>
    <row r="59" spans="1:21" ht="16.5" thickBot="1">
      <c r="A59" s="9" t="s">
        <v>68</v>
      </c>
      <c r="B59" s="9"/>
      <c r="C59" s="36">
        <f>SUM(C56:C58)</f>
        <v>23083176.369999997</v>
      </c>
      <c r="D59" s="179"/>
      <c r="F59" s="194" t="s">
        <v>157</v>
      </c>
      <c r="G59" s="110" t="str">
        <f>IF(OR(AND(I56&gt;0,K56&gt;0),AND(I56&lt;0,K56&lt;0)),"OK","ERROR")</f>
        <v>OK</v>
      </c>
      <c r="H59" s="32" t="s">
        <v>154</v>
      </c>
      <c r="I59" s="77"/>
    </row>
    <row r="60" spans="1:21" ht="17.25" thickTop="1" thickBot="1">
      <c r="A60" s="9"/>
      <c r="C60" s="116"/>
      <c r="D60" s="179"/>
      <c r="H60" s="35" t="s">
        <v>106</v>
      </c>
      <c r="I60" s="148" t="s">
        <v>107</v>
      </c>
      <c r="J60" s="1"/>
    </row>
    <row r="61" spans="1:21" ht="16.5" thickBot="1">
      <c r="A61" s="29"/>
      <c r="B61" s="29" t="s">
        <v>46</v>
      </c>
      <c r="C61" s="178">
        <f>C59+C34</f>
        <v>25349008.759999998</v>
      </c>
      <c r="D61" s="2"/>
      <c r="H61" s="96" t="e">
        <f>SUM('WA - Def-Amtz (current)'!BA5:BA40)+SUM(#REF!)</f>
        <v>#REF!</v>
      </c>
      <c r="I61" s="100" t="e">
        <f>SUM('WA - Def-Amtz (current)'!BB5:BB41)+SUM(#REF!)</f>
        <v>#REF!</v>
      </c>
      <c r="J61" s="97">
        <f>H53+I53+J53+K53</f>
        <v>-8594027</v>
      </c>
    </row>
    <row r="62" spans="1:21" ht="15.75">
      <c r="A62" s="9"/>
      <c r="B62" s="29" t="s">
        <v>95</v>
      </c>
      <c r="C62" s="118">
        <v>25349008.760000002</v>
      </c>
      <c r="G62" s="1"/>
      <c r="I62" s="17" t="e">
        <f>H61-I61</f>
        <v>#REF!</v>
      </c>
      <c r="N62" s="1"/>
      <c r="O62" s="1"/>
      <c r="P62" s="195"/>
    </row>
    <row r="63" spans="1:21" ht="15.75">
      <c r="A63" s="29"/>
      <c r="B63" s="29" t="s">
        <v>94</v>
      </c>
      <c r="C63" s="17">
        <f>ROUND(C61-C62,2)</f>
        <v>0</v>
      </c>
      <c r="D63" s="179"/>
      <c r="S63" s="117"/>
    </row>
    <row r="64" spans="1:21" ht="15.75">
      <c r="A64" s="15"/>
      <c r="C64" s="196"/>
      <c r="D64" s="197"/>
      <c r="N64" s="44"/>
      <c r="U64" s="9"/>
    </row>
    <row r="65" spans="1:21" ht="15.75">
      <c r="A65" s="15"/>
      <c r="C65" s="2"/>
      <c r="D65" s="179"/>
      <c r="N65" s="44"/>
      <c r="S65" s="198"/>
    </row>
    <row r="66" spans="1:21" ht="15.75">
      <c r="A66" s="9"/>
      <c r="C66" s="2"/>
      <c r="D66" s="179"/>
      <c r="H66" s="191"/>
      <c r="N66" s="44"/>
      <c r="S66" s="199"/>
    </row>
    <row r="67" spans="1:21">
      <c r="C67" s="17"/>
      <c r="D67" s="179"/>
      <c r="N67" s="44"/>
      <c r="S67" s="200"/>
    </row>
    <row r="68" spans="1:21">
      <c r="D68" s="179"/>
      <c r="N68" s="44"/>
      <c r="S68" s="199"/>
    </row>
    <row r="69" spans="1:21">
      <c r="D69" s="2"/>
      <c r="N69" s="44"/>
    </row>
    <row r="70" spans="1:21">
      <c r="D70" s="179"/>
      <c r="N70" s="44"/>
      <c r="S70" s="201"/>
    </row>
    <row r="71" spans="1:21">
      <c r="D71" s="179"/>
    </row>
    <row r="72" spans="1:21">
      <c r="D72" s="179"/>
    </row>
    <row r="73" spans="1:21">
      <c r="D73" s="66"/>
      <c r="S73" s="202"/>
    </row>
    <row r="74" spans="1:21">
      <c r="R74" s="117"/>
      <c r="S74" s="117"/>
      <c r="T74" s="117"/>
    </row>
    <row r="76" spans="1:21">
      <c r="U76" s="203"/>
    </row>
    <row r="1477" spans="3:3">
      <c r="C1477" s="97">
        <v>-2130</v>
      </c>
    </row>
    <row r="1485" spans="3:3">
      <c r="C1485" s="97">
        <f>7004298-2130</f>
        <v>7002168</v>
      </c>
    </row>
  </sheetData>
  <mergeCells count="3">
    <mergeCell ref="F18:I18"/>
    <mergeCell ref="J18:M18"/>
    <mergeCell ref="K35:M35"/>
  </mergeCells>
  <conditionalFormatting sqref="C63 L56 I62">
    <cfRule type="cellIs" dxfId="87" priority="8" stopIfTrue="1" operator="equal">
      <formula>0</formula>
    </cfRule>
    <cfRule type="cellIs" dxfId="86" priority="9" stopIfTrue="1" operator="notEqual">
      <formula>0</formula>
    </cfRule>
  </conditionalFormatting>
  <conditionalFormatting sqref="G34 G47 K30 K47">
    <cfRule type="cellIs" dxfId="85" priority="7" operator="notEqual">
      <formula>0</formula>
    </cfRule>
  </conditionalFormatting>
  <conditionalFormatting sqref="C63">
    <cfRule type="cellIs" dxfId="84" priority="5" stopIfTrue="1" operator="equal">
      <formula>0</formula>
    </cfRule>
    <cfRule type="cellIs" dxfId="83" priority="6" stopIfTrue="1" operator="notEqual">
      <formula>0</formula>
    </cfRule>
  </conditionalFormatting>
  <conditionalFormatting sqref="K30">
    <cfRule type="cellIs" dxfId="82" priority="4" operator="notEqual">
      <formula>0</formula>
    </cfRule>
  </conditionalFormatting>
  <conditionalFormatting sqref="G59">
    <cfRule type="cellIs" dxfId="81" priority="3" operator="equal">
      <formula>"""ERROR"""</formula>
    </cfRule>
  </conditionalFormatting>
  <conditionalFormatting sqref="G59">
    <cfRule type="cellIs" dxfId="80" priority="2" operator="equal">
      <formula>"ERROR"</formula>
    </cfRule>
  </conditionalFormatting>
  <conditionalFormatting sqref="G59">
    <cfRule type="cellIs" dxfId="79"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9">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4" t="s">
        <v>27</v>
      </c>
      <c r="B1" s="175"/>
      <c r="C1" s="109">
        <f>Mar!C1+1</f>
        <v>201904</v>
      </c>
      <c r="F1" s="109">
        <f>C1</f>
        <v>201904</v>
      </c>
      <c r="H1" s="37" t="s">
        <v>32</v>
      </c>
      <c r="I1" s="22" t="s">
        <v>1</v>
      </c>
      <c r="J1" s="22" t="s">
        <v>1</v>
      </c>
      <c r="K1" s="22" t="s">
        <v>29</v>
      </c>
      <c r="L1" s="22" t="s">
        <v>29</v>
      </c>
    </row>
    <row r="2" spans="1:12" ht="15.75">
      <c r="C2" s="6"/>
      <c r="H2" s="38" t="s">
        <v>11</v>
      </c>
      <c r="I2" s="39" t="s">
        <v>28</v>
      </c>
      <c r="J2" s="39" t="s">
        <v>28</v>
      </c>
      <c r="K2" s="39" t="s">
        <v>30</v>
      </c>
      <c r="L2" s="39" t="s">
        <v>30</v>
      </c>
    </row>
    <row r="3" spans="1:12" ht="16.5" thickBot="1">
      <c r="A3" s="10" t="s">
        <v>53</v>
      </c>
      <c r="C3" s="7"/>
      <c r="D3" s="176"/>
      <c r="F3" s="9" t="s">
        <v>35</v>
      </c>
      <c r="H3" s="40" t="s">
        <v>31</v>
      </c>
      <c r="I3" s="40" t="s">
        <v>14</v>
      </c>
      <c r="J3" s="40" t="s">
        <v>26</v>
      </c>
      <c r="K3" s="40" t="s">
        <v>14</v>
      </c>
      <c r="L3" s="40" t="s">
        <v>26</v>
      </c>
    </row>
    <row r="4" spans="1:12" ht="15.75">
      <c r="A4" s="97" t="s">
        <v>39</v>
      </c>
      <c r="C4" s="20">
        <v>3514539.59</v>
      </c>
      <c r="D4" s="6"/>
      <c r="H4" s="3"/>
    </row>
    <row r="5" spans="1:12" ht="14.25" customHeight="1">
      <c r="A5" s="97" t="s">
        <v>10</v>
      </c>
      <c r="C5" s="20">
        <f>23381.19-341.29</f>
        <v>23039.899999999998</v>
      </c>
      <c r="D5" s="6"/>
      <c r="H5" s="3"/>
      <c r="I5" s="177">
        <v>0.69099999999999995</v>
      </c>
      <c r="J5" s="177">
        <v>0.309</v>
      </c>
      <c r="K5" s="99">
        <f>ROUND(G45/(G45+K43),4)</f>
        <v>0.67949999999999999</v>
      </c>
      <c r="L5" s="99">
        <f>1-K5</f>
        <v>0.32050000000000001</v>
      </c>
    </row>
    <row r="6" spans="1:12" ht="16.5" thickBot="1">
      <c r="A6" s="8" t="s">
        <v>9</v>
      </c>
      <c r="C6" s="112">
        <f>-1436921.83-409846.5-117099-131736.38-75528.86-94334.95</f>
        <v>-2265467.52</v>
      </c>
      <c r="D6" s="6"/>
    </row>
    <row r="7" spans="1:12" ht="16.5" thickBot="1">
      <c r="A7" s="12" t="s">
        <v>83</v>
      </c>
      <c r="C7" s="17">
        <f>SUM(C4:C6)</f>
        <v>1272111.9699999997</v>
      </c>
      <c r="D7" s="7"/>
      <c r="F7" s="41" t="s">
        <v>82</v>
      </c>
      <c r="G7" s="41"/>
      <c r="H7" s="178">
        <f>C34</f>
        <v>2195688.8299999996</v>
      </c>
      <c r="I7" s="42">
        <f>H7*I5</f>
        <v>1517220.9815299995</v>
      </c>
      <c r="J7" s="42">
        <f>H7*J5</f>
        <v>678467.84846999985</v>
      </c>
      <c r="K7" s="42"/>
      <c r="L7" s="42"/>
    </row>
    <row r="8" spans="1:12" ht="15.75">
      <c r="A8" s="97" t="s">
        <v>40</v>
      </c>
      <c r="C8" s="20">
        <v>166900.87</v>
      </c>
      <c r="D8" s="7"/>
      <c r="H8" s="43"/>
      <c r="I8" s="43"/>
      <c r="J8" s="43"/>
      <c r="K8" s="43"/>
      <c r="L8" s="43"/>
    </row>
    <row r="9" spans="1:12" ht="15.75">
      <c r="A9" s="97" t="s">
        <v>41</v>
      </c>
      <c r="C9" s="20">
        <f>11845.1-553.48</f>
        <v>11291.62</v>
      </c>
      <c r="D9" s="179"/>
      <c r="F9" s="41" t="s">
        <v>62</v>
      </c>
      <c r="H9" s="42">
        <f>C56</f>
        <v>2588108.9000000013</v>
      </c>
      <c r="I9" s="42"/>
      <c r="J9" s="42"/>
      <c r="K9" s="42">
        <f>H9*K5</f>
        <v>1758619.9975500009</v>
      </c>
      <c r="L9" s="42">
        <f>H9*L5</f>
        <v>829488.9024500004</v>
      </c>
    </row>
    <row r="10" spans="1:12" ht="15.75">
      <c r="A10" s="8" t="s">
        <v>42</v>
      </c>
      <c r="C10" s="112">
        <v>-2979.2</v>
      </c>
      <c r="D10" s="179"/>
      <c r="F10" s="44" t="s">
        <v>23</v>
      </c>
      <c r="H10" s="42">
        <f>C57</f>
        <v>530086.78</v>
      </c>
      <c r="I10" s="42"/>
      <c r="J10" s="42"/>
      <c r="K10" s="42">
        <f>H10</f>
        <v>530086.78</v>
      </c>
      <c r="L10" s="42"/>
    </row>
    <row r="11" spans="1:12">
      <c r="A11" s="12" t="s">
        <v>84</v>
      </c>
      <c r="C11" s="17">
        <f>SUM(C8:C10)</f>
        <v>175213.28999999998</v>
      </c>
      <c r="D11" s="179"/>
      <c r="F11" s="44" t="s">
        <v>24</v>
      </c>
      <c r="H11" s="45">
        <f>C58</f>
        <v>235666.35</v>
      </c>
      <c r="I11" s="42"/>
      <c r="J11" s="42"/>
      <c r="K11" s="45"/>
      <c r="L11" s="45">
        <f>H11</f>
        <v>235666.35</v>
      </c>
    </row>
    <row r="12" spans="1:12" ht="15.75">
      <c r="A12" s="97" t="s">
        <v>99</v>
      </c>
      <c r="C12" s="20">
        <f>231817.24+122.26</f>
        <v>231939.5</v>
      </c>
      <c r="D12" s="179"/>
      <c r="F12" s="44" t="s">
        <v>81</v>
      </c>
      <c r="H12" s="42">
        <f>H9+H10+H11</f>
        <v>3353862.0300000017</v>
      </c>
      <c r="I12" s="42"/>
      <c r="J12" s="42"/>
      <c r="K12" s="42">
        <f>SUM(K9:K11)</f>
        <v>2288706.7775500007</v>
      </c>
      <c r="L12" s="42">
        <f>SUM(L9:L11)</f>
        <v>1065155.2524500005</v>
      </c>
    </row>
    <row r="13" spans="1:12" ht="16.5" thickBot="1">
      <c r="A13" s="8" t="s">
        <v>100</v>
      </c>
      <c r="C13" s="112">
        <v>0</v>
      </c>
      <c r="D13" s="179"/>
      <c r="F13" s="46"/>
      <c r="G13" s="47"/>
      <c r="H13" s="48"/>
      <c r="I13" s="49"/>
      <c r="J13" s="48"/>
      <c r="K13" s="43"/>
      <c r="L13" s="48"/>
    </row>
    <row r="14" spans="1:12" ht="16.5" thickBot="1">
      <c r="A14" s="12" t="s">
        <v>43</v>
      </c>
      <c r="C14" s="17">
        <f>SUM(C12:C13)</f>
        <v>231939.5</v>
      </c>
      <c r="D14" s="2"/>
      <c r="F14" s="9" t="s">
        <v>32</v>
      </c>
      <c r="G14" s="50"/>
      <c r="H14" s="178">
        <f>H12+H7</f>
        <v>5549550.8600000013</v>
      </c>
      <c r="I14" s="51">
        <f>SUM(I7:I13)</f>
        <v>1517220.9815299995</v>
      </c>
      <c r="J14" s="51">
        <f>SUM(J7:J13)</f>
        <v>678467.84846999985</v>
      </c>
      <c r="K14" s="51">
        <f>K12</f>
        <v>2288706.7775500007</v>
      </c>
      <c r="L14" s="51">
        <f>L12</f>
        <v>1065155.2524500005</v>
      </c>
    </row>
    <row r="15" spans="1:12" ht="15.75">
      <c r="A15" s="97" t="s">
        <v>114</v>
      </c>
      <c r="C15" s="20">
        <f>434828.2+229.93</f>
        <v>435058.13</v>
      </c>
      <c r="D15" s="179"/>
      <c r="F15" s="46"/>
      <c r="G15" s="47" t="s">
        <v>49</v>
      </c>
      <c r="H15" s="48">
        <f>H14-C61</f>
        <v>0</v>
      </c>
      <c r="I15" s="52"/>
      <c r="J15" s="48">
        <f>J7+I7-H7</f>
        <v>0</v>
      </c>
      <c r="L15" s="48">
        <f>H12-K14-L14</f>
        <v>0</v>
      </c>
    </row>
    <row r="16" spans="1:12" ht="15.75">
      <c r="A16" s="8" t="s">
        <v>115</v>
      </c>
      <c r="C16" s="112">
        <v>0</v>
      </c>
      <c r="D16" s="179"/>
      <c r="F16" s="53"/>
      <c r="G16" s="47"/>
      <c r="H16" s="54"/>
      <c r="I16" s="55"/>
      <c r="J16" s="54"/>
      <c r="L16" s="54"/>
    </row>
    <row r="17" spans="1:13" ht="15.75" thickBot="1">
      <c r="A17" s="12" t="s">
        <v>116</v>
      </c>
      <c r="C17" s="17">
        <f>SUM(C15:C16)</f>
        <v>435058.13</v>
      </c>
      <c r="D17" s="2"/>
      <c r="F17" s="46"/>
      <c r="G17" s="47"/>
      <c r="H17" s="54"/>
      <c r="I17" s="55"/>
      <c r="J17" s="58"/>
      <c r="L17" s="54"/>
    </row>
    <row r="18" spans="1:13" ht="16.5" thickBot="1">
      <c r="A18" s="97" t="s">
        <v>97</v>
      </c>
      <c r="C18" s="20">
        <f>100770.1+9711+55.76</f>
        <v>110536.86</v>
      </c>
      <c r="D18" s="179"/>
      <c r="F18" s="134" t="s">
        <v>77</v>
      </c>
      <c r="G18" s="135"/>
      <c r="H18" s="135"/>
      <c r="I18" s="136"/>
      <c r="J18" s="134" t="s">
        <v>78</v>
      </c>
      <c r="K18" s="135"/>
      <c r="L18" s="135"/>
      <c r="M18" s="136"/>
    </row>
    <row r="19" spans="1:13" ht="15.75">
      <c r="A19" s="8" t="s">
        <v>98</v>
      </c>
      <c r="C19" s="112">
        <v>-18808.349999999999</v>
      </c>
      <c r="D19" s="179"/>
      <c r="F19" s="76" t="s">
        <v>51</v>
      </c>
      <c r="G19" s="39" t="s">
        <v>12</v>
      </c>
      <c r="H19" s="39" t="s">
        <v>12</v>
      </c>
      <c r="I19" s="39" t="s">
        <v>12</v>
      </c>
      <c r="J19" s="76" t="s">
        <v>51</v>
      </c>
      <c r="K19" s="39" t="s">
        <v>12</v>
      </c>
      <c r="L19" s="39" t="s">
        <v>12</v>
      </c>
      <c r="M19" s="60" t="s">
        <v>12</v>
      </c>
    </row>
    <row r="20" spans="1:13" ht="16.5" thickBot="1">
      <c r="A20" s="11" t="s">
        <v>44</v>
      </c>
      <c r="C20" s="17">
        <f>SUM(C18:C19)</f>
        <v>91728.510000000009</v>
      </c>
      <c r="D20" s="179"/>
      <c r="F20" s="70" t="s">
        <v>96</v>
      </c>
      <c r="G20" s="40" t="s">
        <v>48</v>
      </c>
      <c r="H20" s="40" t="s">
        <v>15</v>
      </c>
      <c r="I20" s="40" t="s">
        <v>13</v>
      </c>
      <c r="J20" s="70" t="s">
        <v>96</v>
      </c>
      <c r="K20" s="40" t="s">
        <v>48</v>
      </c>
      <c r="L20" s="40" t="s">
        <v>15</v>
      </c>
      <c r="M20" s="40" t="s">
        <v>13</v>
      </c>
    </row>
    <row r="21" spans="1:13" ht="15.75">
      <c r="A21" s="8" t="s">
        <v>88</v>
      </c>
      <c r="C21" s="112">
        <v>13702.72</v>
      </c>
      <c r="D21" s="179"/>
      <c r="F21" s="59"/>
      <c r="G21" s="4"/>
      <c r="H21" s="4"/>
      <c r="I21" s="60"/>
      <c r="J21" s="25"/>
      <c r="K21" s="5"/>
      <c r="L21" s="5"/>
      <c r="M21" s="77"/>
    </row>
    <row r="22" spans="1:13" ht="18" customHeight="1">
      <c r="A22" s="11" t="s">
        <v>88</v>
      </c>
      <c r="C22" s="17">
        <f>SUM(C21)</f>
        <v>13702.72</v>
      </c>
      <c r="D22" s="179"/>
      <c r="F22" s="74" t="s">
        <v>69</v>
      </c>
      <c r="G22" s="1"/>
      <c r="H22" s="1"/>
      <c r="I22" s="16"/>
      <c r="J22" s="74" t="s">
        <v>69</v>
      </c>
      <c r="K22" s="1"/>
      <c r="L22" s="1"/>
      <c r="M22" s="16"/>
    </row>
    <row r="23" spans="1:13" ht="15.75">
      <c r="A23" s="78" t="s">
        <v>111</v>
      </c>
      <c r="C23" s="17">
        <v>0</v>
      </c>
      <c r="D23" s="179"/>
      <c r="F23" s="75" t="s">
        <v>16</v>
      </c>
      <c r="G23" s="93">
        <v>8678511</v>
      </c>
      <c r="H23" s="98">
        <v>0.10238999999999999</v>
      </c>
      <c r="I23" s="71">
        <f t="shared" ref="I23:I31" si="0">G23*H23</f>
        <v>888592.74128999992</v>
      </c>
      <c r="J23" s="75" t="s">
        <v>16</v>
      </c>
      <c r="K23" s="93">
        <v>4435648</v>
      </c>
      <c r="L23" s="98">
        <v>9.5839999999999995E-2</v>
      </c>
      <c r="M23" s="71">
        <f>K23*L23</f>
        <v>425112.50431999995</v>
      </c>
    </row>
    <row r="24" spans="1:13" ht="15.75">
      <c r="A24" s="78" t="s">
        <v>117</v>
      </c>
      <c r="C24" s="20">
        <v>0</v>
      </c>
      <c r="D24" s="179"/>
      <c r="F24" s="75" t="s">
        <v>159</v>
      </c>
      <c r="G24" s="93">
        <v>9640</v>
      </c>
      <c r="H24" s="98">
        <v>0.10238999999999999</v>
      </c>
      <c r="I24" s="71">
        <f t="shared" si="0"/>
        <v>987.03959999999995</v>
      </c>
      <c r="J24" s="75" t="s">
        <v>17</v>
      </c>
      <c r="K24" s="93">
        <v>1909235</v>
      </c>
      <c r="L24" s="98">
        <v>9.5839999999999995E-2</v>
      </c>
      <c r="M24" s="71">
        <f t="shared" ref="M24:M27" si="1">K24*L24</f>
        <v>182981.08239999998</v>
      </c>
    </row>
    <row r="25" spans="1:13" ht="15.75">
      <c r="A25" s="78" t="s">
        <v>119</v>
      </c>
      <c r="C25" s="114">
        <v>0</v>
      </c>
      <c r="D25" s="179"/>
      <c r="F25" s="75" t="s">
        <v>17</v>
      </c>
      <c r="G25" s="93">
        <v>4528915</v>
      </c>
      <c r="H25" s="98">
        <v>9.239E-2</v>
      </c>
      <c r="I25" s="71">
        <f t="shared" si="0"/>
        <v>418426.45685000002</v>
      </c>
      <c r="J25" s="75" t="s">
        <v>18</v>
      </c>
      <c r="K25" s="93">
        <v>13368</v>
      </c>
      <c r="L25" s="98">
        <v>9.5839999999999995E-2</v>
      </c>
      <c r="M25" s="71">
        <f t="shared" si="1"/>
        <v>1281.18912</v>
      </c>
    </row>
    <row r="26" spans="1:13" ht="15.75">
      <c r="A26" s="79" t="s">
        <v>118</v>
      </c>
      <c r="C26" s="115">
        <v>0</v>
      </c>
      <c r="D26" s="179"/>
      <c r="F26" s="75" t="s">
        <v>18</v>
      </c>
      <c r="G26" s="93">
        <v>11138</v>
      </c>
      <c r="H26" s="98">
        <v>9.239E-2</v>
      </c>
      <c r="I26" s="71">
        <f t="shared" si="0"/>
        <v>1029.03982</v>
      </c>
      <c r="J26" s="75" t="s">
        <v>19</v>
      </c>
      <c r="K26" s="93">
        <v>0</v>
      </c>
      <c r="L26" s="98">
        <v>9.5839999999999995E-2</v>
      </c>
      <c r="M26" s="71">
        <f t="shared" si="1"/>
        <v>0</v>
      </c>
    </row>
    <row r="27" spans="1:13" ht="15.75">
      <c r="A27" s="11" t="s">
        <v>47</v>
      </c>
      <c r="C27" s="17">
        <f>SUM(C23:C26)</f>
        <v>0</v>
      </c>
      <c r="D27" s="179"/>
      <c r="F27" s="75" t="s">
        <v>19</v>
      </c>
      <c r="G27" s="93">
        <v>108923</v>
      </c>
      <c r="H27" s="98">
        <v>9.2249999999999999E-2</v>
      </c>
      <c r="I27" s="71">
        <f t="shared" si="0"/>
        <v>10048.14675</v>
      </c>
      <c r="J27" s="75" t="s">
        <v>20</v>
      </c>
      <c r="K27" s="93">
        <v>0</v>
      </c>
      <c r="L27" s="98">
        <v>9.5839999999999995E-2</v>
      </c>
      <c r="M27" s="71">
        <f t="shared" si="1"/>
        <v>0</v>
      </c>
    </row>
    <row r="28" spans="1:13" ht="16.5" thickBot="1">
      <c r="A28" s="80" t="s">
        <v>89</v>
      </c>
      <c r="C28" s="20">
        <v>0</v>
      </c>
      <c r="D28" s="2"/>
      <c r="F28" s="75" t="s">
        <v>20</v>
      </c>
      <c r="G28" s="93">
        <v>42472</v>
      </c>
      <c r="H28" s="98">
        <v>9.2249999999999999E-2</v>
      </c>
      <c r="I28" s="71">
        <f t="shared" si="0"/>
        <v>3918.0419999999999</v>
      </c>
      <c r="J28" s="74" t="s">
        <v>70</v>
      </c>
      <c r="K28" s="56">
        <f>SUM(K23:K27)</f>
        <v>6358251</v>
      </c>
      <c r="L28" s="57"/>
      <c r="M28" s="72">
        <f>SUM(M23:M27)</f>
        <v>609374.7758399999</v>
      </c>
    </row>
    <row r="29" spans="1:13" ht="17.25" thickTop="1" thickBot="1">
      <c r="A29" s="80" t="s">
        <v>101</v>
      </c>
      <c r="C29" s="20">
        <v>0</v>
      </c>
      <c r="D29" s="179"/>
      <c r="F29" s="75" t="s">
        <v>21</v>
      </c>
      <c r="G29" s="93">
        <v>0</v>
      </c>
      <c r="H29" s="98">
        <v>5.9499999999999997E-2</v>
      </c>
      <c r="I29" s="71">
        <f t="shared" si="0"/>
        <v>0</v>
      </c>
      <c r="J29" s="74"/>
      <c r="K29" s="87">
        <v>6358251</v>
      </c>
      <c r="L29" s="62" t="s">
        <v>49</v>
      </c>
      <c r="M29" s="103">
        <f>M28/K28</f>
        <v>9.5839999999999981E-2</v>
      </c>
    </row>
    <row r="30" spans="1:13" ht="16.5" thickBot="1">
      <c r="A30" s="9" t="s">
        <v>54</v>
      </c>
      <c r="C30" s="178">
        <f>C7+C11+C14+C17+C20+C22+C27+C28+C29</f>
        <v>2219754.1199999996</v>
      </c>
      <c r="D30" s="2"/>
      <c r="F30" s="75" t="s">
        <v>22</v>
      </c>
      <c r="G30" s="93">
        <v>97799</v>
      </c>
      <c r="H30" s="98">
        <v>5.9499999999999997E-2</v>
      </c>
      <c r="I30" s="71">
        <f t="shared" si="0"/>
        <v>5819.0405000000001</v>
      </c>
      <c r="J30" s="75"/>
      <c r="K30" s="86">
        <f>K28-K29</f>
        <v>0</v>
      </c>
      <c r="L30" s="57"/>
      <c r="M30" s="73"/>
    </row>
    <row r="31" spans="1:13" ht="15.75">
      <c r="A31" s="97" t="s">
        <v>55</v>
      </c>
      <c r="C31" s="20">
        <v>-8542.1200000000008</v>
      </c>
      <c r="D31" s="180"/>
      <c r="F31" s="75" t="s">
        <v>37</v>
      </c>
      <c r="G31" s="93">
        <v>3113093</v>
      </c>
      <c r="H31" s="98">
        <v>5.4000000000000001E-4</v>
      </c>
      <c r="I31" s="71">
        <f t="shared" si="0"/>
        <v>1681.0702200000001</v>
      </c>
      <c r="J31" s="34"/>
      <c r="K31" s="1"/>
      <c r="L31" s="57"/>
      <c r="M31" s="73"/>
    </row>
    <row r="32" spans="1:13" ht="16.5" thickBot="1">
      <c r="A32" s="9" t="s">
        <v>59</v>
      </c>
      <c r="B32" s="9" t="s">
        <v>60</v>
      </c>
      <c r="C32" s="116">
        <f>C30+C31</f>
        <v>2211211.9999999995</v>
      </c>
      <c r="D32" s="181"/>
      <c r="F32" s="74" t="s">
        <v>70</v>
      </c>
      <c r="G32" s="56">
        <f>SUM(G23:G31)</f>
        <v>16590491</v>
      </c>
      <c r="H32" s="1"/>
      <c r="I32" s="72">
        <f>SUM(I23:I31)</f>
        <v>1330501.57703</v>
      </c>
      <c r="J32" s="67"/>
      <c r="K32" s="68"/>
      <c r="L32" s="1"/>
      <c r="M32" s="65"/>
    </row>
    <row r="33" spans="1:17" ht="17.25" thickTop="1" thickBot="1">
      <c r="A33" s="97" t="s">
        <v>56</v>
      </c>
      <c r="C33" s="116">
        <f>-C5-C9-C13-C16-C19</f>
        <v>-15523.169999999998</v>
      </c>
      <c r="D33" s="179"/>
      <c r="F33" s="61"/>
      <c r="G33" s="87">
        <f>13477398+3113093</f>
        <v>16590491</v>
      </c>
      <c r="H33" s="62" t="s">
        <v>49</v>
      </c>
      <c r="I33" s="84">
        <f>I32/G32</f>
        <v>8.0196636557049464E-2</v>
      </c>
      <c r="J33" s="67"/>
      <c r="K33" s="68"/>
      <c r="L33" s="1"/>
      <c r="M33" s="16"/>
    </row>
    <row r="34" spans="1:17" ht="16.5" thickBot="1">
      <c r="A34" s="9" t="s">
        <v>57</v>
      </c>
      <c r="C34" s="178">
        <f>SUM(C32:C33)</f>
        <v>2195688.8299999996</v>
      </c>
      <c r="D34" s="179"/>
      <c r="F34" s="34"/>
      <c r="G34" s="86">
        <f>G32-G33</f>
        <v>0</v>
      </c>
      <c r="H34" s="1"/>
      <c r="I34" s="16"/>
      <c r="J34" s="67"/>
      <c r="K34" s="66"/>
      <c r="L34" s="1"/>
      <c r="M34" s="16"/>
    </row>
    <row r="35" spans="1:17" ht="18" customHeight="1">
      <c r="A35" s="9"/>
      <c r="C35" s="116"/>
      <c r="D35" s="179"/>
      <c r="F35" s="59"/>
      <c r="G35" s="4"/>
      <c r="H35" s="4"/>
      <c r="I35" s="60"/>
      <c r="J35" s="74" t="s">
        <v>71</v>
      </c>
      <c r="K35" s="132"/>
      <c r="L35" s="132"/>
      <c r="M35" s="133"/>
    </row>
    <row r="36" spans="1:17" ht="15.75">
      <c r="A36" s="3" t="s">
        <v>45</v>
      </c>
      <c r="B36" s="9"/>
      <c r="C36" s="17"/>
      <c r="D36" s="179"/>
      <c r="F36" s="74" t="s">
        <v>71</v>
      </c>
      <c r="G36" s="1"/>
      <c r="H36" s="1"/>
      <c r="I36" s="16"/>
      <c r="J36" s="75" t="s">
        <v>16</v>
      </c>
      <c r="K36" s="94">
        <f>K23</f>
        <v>4435648</v>
      </c>
      <c r="L36" s="98">
        <v>0.16886000000000001</v>
      </c>
      <c r="M36" s="71">
        <f t="shared" ref="M36:M42" si="2">K36*L36</f>
        <v>749003.5212800001</v>
      </c>
      <c r="P36" s="125"/>
      <c r="Q36" s="125"/>
    </row>
    <row r="37" spans="1:17" ht="15.75">
      <c r="A37" s="1" t="s">
        <v>72</v>
      </c>
      <c r="B37" s="131" t="s">
        <v>58</v>
      </c>
      <c r="C37" s="20">
        <v>6051139.6600000001</v>
      </c>
      <c r="D37" s="179"/>
      <c r="F37" s="75" t="s">
        <v>16</v>
      </c>
      <c r="G37" s="94">
        <f>G23</f>
        <v>8678511</v>
      </c>
      <c r="H37" s="98">
        <v>0.17066999999999999</v>
      </c>
      <c r="I37" s="71">
        <f t="shared" ref="I37:I44" si="3">G37*H37</f>
        <v>1481161.4723699999</v>
      </c>
      <c r="J37" s="75" t="s">
        <v>17</v>
      </c>
      <c r="K37" s="94">
        <f>K24</f>
        <v>1909235</v>
      </c>
      <c r="L37" s="98">
        <v>0.16886000000000001</v>
      </c>
      <c r="M37" s="71">
        <f t="shared" si="2"/>
        <v>322393.42210000003</v>
      </c>
      <c r="P37" s="125"/>
      <c r="Q37" s="125"/>
    </row>
    <row r="38" spans="1:17" ht="15.75">
      <c r="A38" s="81" t="s">
        <v>5</v>
      </c>
      <c r="B38" s="131" t="s">
        <v>58</v>
      </c>
      <c r="C38" s="20"/>
      <c r="D38" s="179"/>
      <c r="F38" s="75" t="s">
        <v>159</v>
      </c>
      <c r="G38" s="94">
        <f>G24</f>
        <v>9640</v>
      </c>
      <c r="H38" s="98">
        <v>0.17066999999999999</v>
      </c>
      <c r="I38" s="71">
        <f t="shared" si="3"/>
        <v>1645.2587999999998</v>
      </c>
      <c r="J38" s="75" t="s">
        <v>18</v>
      </c>
      <c r="K38" s="94">
        <f>K25</f>
        <v>13368</v>
      </c>
      <c r="L38" s="98">
        <v>0.16886000000000001</v>
      </c>
      <c r="M38" s="71">
        <f t="shared" si="2"/>
        <v>2257.3204800000003</v>
      </c>
      <c r="P38" s="125"/>
      <c r="Q38" s="125"/>
    </row>
    <row r="39" spans="1:17" ht="15.75">
      <c r="A39" s="1" t="s">
        <v>85</v>
      </c>
      <c r="B39" s="131" t="s">
        <v>86</v>
      </c>
      <c r="C39" s="20">
        <v>-50848.81</v>
      </c>
      <c r="D39" s="179"/>
      <c r="F39" s="75" t="s">
        <v>17</v>
      </c>
      <c r="G39" s="94">
        <f t="shared" ref="G39:G44" si="4">G25</f>
        <v>4528915</v>
      </c>
      <c r="H39" s="98">
        <v>0.17066999999999999</v>
      </c>
      <c r="I39" s="71">
        <f t="shared" si="3"/>
        <v>772949.92304999998</v>
      </c>
      <c r="J39" s="75" t="s">
        <v>19</v>
      </c>
      <c r="K39" s="94">
        <f>K26</f>
        <v>0</v>
      </c>
      <c r="L39" s="98">
        <v>0.16886000000000001</v>
      </c>
      <c r="M39" s="71">
        <f t="shared" si="2"/>
        <v>0</v>
      </c>
      <c r="P39" s="125"/>
      <c r="Q39" s="125"/>
    </row>
    <row r="40" spans="1:17" ht="15.75">
      <c r="A40" s="1" t="s">
        <v>74</v>
      </c>
      <c r="B40" s="131" t="s">
        <v>75</v>
      </c>
      <c r="C40" s="20">
        <v>-142303.66</v>
      </c>
      <c r="D40" s="179"/>
      <c r="F40" s="75" t="s">
        <v>18</v>
      </c>
      <c r="G40" s="94">
        <f t="shared" si="4"/>
        <v>11138</v>
      </c>
      <c r="H40" s="98">
        <v>0.17066999999999999</v>
      </c>
      <c r="I40" s="71">
        <f t="shared" si="3"/>
        <v>1900.9224599999998</v>
      </c>
      <c r="J40" s="75" t="s">
        <v>20</v>
      </c>
      <c r="K40" s="94">
        <f>K27</f>
        <v>0</v>
      </c>
      <c r="L40" s="98">
        <v>0.16886000000000001</v>
      </c>
      <c r="M40" s="71">
        <f t="shared" si="2"/>
        <v>0</v>
      </c>
      <c r="P40" s="125"/>
      <c r="Q40" s="125"/>
    </row>
    <row r="41" spans="1:17" ht="15.75">
      <c r="A41" s="1" t="s">
        <v>91</v>
      </c>
      <c r="B41" s="117" t="s">
        <v>92</v>
      </c>
      <c r="C41" s="20">
        <v>5433.61</v>
      </c>
      <c r="D41" s="179"/>
      <c r="F41" s="75" t="s">
        <v>19</v>
      </c>
      <c r="G41" s="94">
        <f t="shared" si="4"/>
        <v>108923</v>
      </c>
      <c r="H41" s="98">
        <v>0.17066999999999999</v>
      </c>
      <c r="I41" s="71">
        <f t="shared" si="3"/>
        <v>18589.88841</v>
      </c>
      <c r="J41" s="75" t="s">
        <v>21</v>
      </c>
      <c r="K41" s="93">
        <v>0</v>
      </c>
      <c r="L41" s="98">
        <v>0.16886000000000001</v>
      </c>
      <c r="M41" s="71">
        <f t="shared" si="2"/>
        <v>0</v>
      </c>
      <c r="P41" s="125"/>
      <c r="Q41" s="125"/>
    </row>
    <row r="42" spans="1:17" ht="16.5" thickBot="1">
      <c r="A42" s="1" t="s">
        <v>109</v>
      </c>
      <c r="B42" s="131" t="s">
        <v>110</v>
      </c>
      <c r="C42" s="20">
        <v>439403.91</v>
      </c>
      <c r="D42" s="2"/>
      <c r="F42" s="75" t="s">
        <v>20</v>
      </c>
      <c r="G42" s="94">
        <f t="shared" si="4"/>
        <v>42472</v>
      </c>
      <c r="H42" s="98">
        <v>0.17066999999999999</v>
      </c>
      <c r="I42" s="71">
        <f t="shared" si="3"/>
        <v>7248.6962399999993</v>
      </c>
      <c r="J42" s="75" t="s">
        <v>22</v>
      </c>
      <c r="K42" s="95">
        <v>0</v>
      </c>
      <c r="L42" s="98">
        <v>0.16886000000000001</v>
      </c>
      <c r="M42" s="71">
        <f t="shared" si="2"/>
        <v>0</v>
      </c>
      <c r="P42" s="125"/>
      <c r="Q42" s="125"/>
    </row>
    <row r="43" spans="1:17" ht="16.5" thickBot="1">
      <c r="A43" s="14" t="s">
        <v>66</v>
      </c>
      <c r="B43" s="4"/>
      <c r="C43" s="178">
        <f>SUM(C37:C42)</f>
        <v>6302824.7100000009</v>
      </c>
      <c r="D43" s="179"/>
      <c r="F43" s="75" t="s">
        <v>21</v>
      </c>
      <c r="G43" s="94">
        <f t="shared" si="4"/>
        <v>0</v>
      </c>
      <c r="H43" s="98">
        <v>0.17066999999999999</v>
      </c>
      <c r="I43" s="71">
        <f t="shared" si="3"/>
        <v>0</v>
      </c>
      <c r="J43" s="74" t="s">
        <v>76</v>
      </c>
      <c r="K43" s="56">
        <f>SUM(K36:K42)</f>
        <v>6358251</v>
      </c>
      <c r="L43" s="57"/>
      <c r="M43" s="72">
        <f>SUM(M36:M42)</f>
        <v>1073654.2638600001</v>
      </c>
    </row>
    <row r="44" spans="1:17" ht="16.5" thickBot="1">
      <c r="A44" s="182" t="s">
        <v>108</v>
      </c>
      <c r="B44" s="183" t="s">
        <v>63</v>
      </c>
      <c r="C44" s="20">
        <v>458408.6</v>
      </c>
      <c r="D44" s="2"/>
      <c r="F44" s="75" t="s">
        <v>22</v>
      </c>
      <c r="G44" s="94">
        <f t="shared" si="4"/>
        <v>97799</v>
      </c>
      <c r="H44" s="98">
        <v>0.17066999999999999</v>
      </c>
      <c r="I44" s="71">
        <f t="shared" si="3"/>
        <v>16691.355329999999</v>
      </c>
      <c r="J44" s="69"/>
      <c r="K44" s="88">
        <v>6358251</v>
      </c>
      <c r="L44" s="64" t="s">
        <v>49</v>
      </c>
      <c r="M44" s="85">
        <f>M43/K43</f>
        <v>0.16886000000000001</v>
      </c>
    </row>
    <row r="45" spans="1:17" ht="16.5" thickBot="1">
      <c r="A45" s="81" t="s">
        <v>102</v>
      </c>
      <c r="B45" s="117" t="s">
        <v>58</v>
      </c>
      <c r="C45" s="20">
        <v>0</v>
      </c>
      <c r="D45" s="180"/>
      <c r="F45" s="74" t="s">
        <v>76</v>
      </c>
      <c r="G45" s="56">
        <f>SUM(G37:G44)</f>
        <v>13477398</v>
      </c>
      <c r="H45" s="57"/>
      <c r="I45" s="72">
        <f>SUM(I37:I44)</f>
        <v>2300187.5166600002</v>
      </c>
      <c r="J45" s="14"/>
      <c r="K45" s="86">
        <f>K43-K44</f>
        <v>0</v>
      </c>
      <c r="L45" s="62"/>
      <c r="M45" s="113"/>
    </row>
    <row r="46" spans="1:17" ht="19.5" customHeight="1" thickTop="1" thickBot="1">
      <c r="A46" s="81" t="s">
        <v>103</v>
      </c>
      <c r="B46" s="117" t="s">
        <v>58</v>
      </c>
      <c r="C46" s="20">
        <v>0</v>
      </c>
      <c r="D46" s="181"/>
      <c r="F46" s="63"/>
      <c r="G46" s="88">
        <v>13477398</v>
      </c>
      <c r="H46" s="64" t="s">
        <v>49</v>
      </c>
      <c r="I46" s="83">
        <f>I45/G45</f>
        <v>0.17067000000000002</v>
      </c>
      <c r="J46" s="14"/>
      <c r="K46" s="87"/>
      <c r="L46" s="62"/>
      <c r="M46" s="113"/>
    </row>
    <row r="47" spans="1:17" ht="19.5" customHeight="1">
      <c r="A47" s="97" t="s">
        <v>80</v>
      </c>
      <c r="B47" s="117" t="s">
        <v>58</v>
      </c>
      <c r="C47" s="20"/>
      <c r="D47" s="179"/>
      <c r="G47" s="86">
        <f>G45-G46</f>
        <v>0</v>
      </c>
      <c r="J47" s="21"/>
      <c r="K47" s="86"/>
      <c r="M47" s="21"/>
    </row>
    <row r="48" spans="1:17" ht="16.5" thickBot="1">
      <c r="A48" s="81" t="s">
        <v>158</v>
      </c>
      <c r="B48" s="117" t="s">
        <v>58</v>
      </c>
      <c r="C48" s="20">
        <v>7000</v>
      </c>
      <c r="D48" s="179"/>
      <c r="J48" s="21"/>
      <c r="K48" s="18"/>
      <c r="M48" s="13"/>
    </row>
    <row r="49" spans="1:21" ht="15.75">
      <c r="A49" s="1" t="s">
        <v>73</v>
      </c>
      <c r="B49" s="131" t="s">
        <v>90</v>
      </c>
      <c r="C49" s="20">
        <v>36415.74</v>
      </c>
      <c r="D49" s="179"/>
      <c r="G49" s="18"/>
      <c r="H49" s="25" t="s">
        <v>14</v>
      </c>
      <c r="I49" s="5" t="s">
        <v>14</v>
      </c>
      <c r="J49" s="5" t="s">
        <v>26</v>
      </c>
      <c r="K49" s="23" t="s">
        <v>33</v>
      </c>
      <c r="L49" s="21"/>
    </row>
    <row r="50" spans="1:21" ht="16.5" thickBot="1">
      <c r="A50" s="1" t="s">
        <v>121</v>
      </c>
      <c r="B50" s="131" t="s">
        <v>90</v>
      </c>
      <c r="C50" s="20">
        <v>1983.96</v>
      </c>
      <c r="D50" s="2"/>
      <c r="F50" s="9" t="s">
        <v>36</v>
      </c>
      <c r="H50" s="26" t="s">
        <v>0</v>
      </c>
      <c r="I50" s="27" t="s">
        <v>1</v>
      </c>
      <c r="J50" s="27" t="s">
        <v>0</v>
      </c>
      <c r="K50" s="24" t="s">
        <v>1</v>
      </c>
    </row>
    <row r="51" spans="1:21" ht="15.75">
      <c r="A51" s="1" t="s">
        <v>161</v>
      </c>
      <c r="B51" s="131" t="s">
        <v>90</v>
      </c>
      <c r="C51" s="20">
        <v>1671.65</v>
      </c>
      <c r="D51" s="179"/>
      <c r="H51" s="32"/>
      <c r="I51" s="33"/>
      <c r="J51" s="33"/>
      <c r="K51" s="33"/>
      <c r="L51" s="22" t="s">
        <v>50</v>
      </c>
    </row>
    <row r="52" spans="1:21" ht="15.75">
      <c r="A52" s="44" t="s">
        <v>61</v>
      </c>
      <c r="B52" s="117"/>
      <c r="C52" s="17">
        <f>-C33</f>
        <v>15523.169999999998</v>
      </c>
      <c r="D52" s="176"/>
      <c r="F52" s="97" t="s">
        <v>79</v>
      </c>
      <c r="H52" s="82">
        <f>K12</f>
        <v>2288706.7775500007</v>
      </c>
      <c r="I52" s="19">
        <f>I14</f>
        <v>1517220.9815299995</v>
      </c>
      <c r="J52" s="19">
        <f>L12</f>
        <v>1065155.2524500005</v>
      </c>
      <c r="K52" s="19">
        <f>J14</f>
        <v>678467.84846999985</v>
      </c>
      <c r="L52" s="28">
        <f>SUM(H52:K52)</f>
        <v>5549550.8600000003</v>
      </c>
    </row>
    <row r="53" spans="1:21" ht="16.5" thickBot="1">
      <c r="A53" s="97" t="s">
        <v>168</v>
      </c>
      <c r="B53" s="131" t="s">
        <v>169</v>
      </c>
      <c r="C53" s="20">
        <v>10762.11</v>
      </c>
      <c r="D53" s="179"/>
      <c r="F53" s="97" t="s">
        <v>52</v>
      </c>
      <c r="H53" s="82">
        <f>-I45</f>
        <v>-2300187.5166600002</v>
      </c>
      <c r="I53" s="19">
        <f>-I32</f>
        <v>-1330501.57703</v>
      </c>
      <c r="J53" s="19">
        <f>-M43</f>
        <v>-1073654.2638600001</v>
      </c>
      <c r="K53" s="19">
        <f>-M28</f>
        <v>-609374.7758399999</v>
      </c>
      <c r="L53" s="92">
        <f>SUM(H53:K53)</f>
        <v>-5313718.133390001</v>
      </c>
    </row>
    <row r="54" spans="1:21" ht="16.5" thickBot="1">
      <c r="A54" s="97" t="s">
        <v>67</v>
      </c>
      <c r="B54" s="117" t="s">
        <v>156</v>
      </c>
      <c r="C54" s="20">
        <v>-3871481.04</v>
      </c>
      <c r="D54" s="179"/>
      <c r="F54" s="97" t="s">
        <v>38</v>
      </c>
      <c r="H54" s="89">
        <v>0</v>
      </c>
      <c r="I54" s="90">
        <v>0</v>
      </c>
      <c r="J54" s="90">
        <v>0</v>
      </c>
      <c r="K54" s="91">
        <v>0</v>
      </c>
      <c r="L54" s="184">
        <f>SUM(L52:L53)</f>
        <v>235832.72660999931</v>
      </c>
    </row>
    <row r="55" spans="1:21" ht="16.5" thickBot="1">
      <c r="A55" s="97" t="s">
        <v>165</v>
      </c>
      <c r="B55" s="117" t="s">
        <v>120</v>
      </c>
      <c r="C55" s="20">
        <v>-375000</v>
      </c>
      <c r="D55" s="179"/>
      <c r="F55" s="97" t="s">
        <v>34</v>
      </c>
      <c r="H55" s="178">
        <f>IFERROR(H52+H53+H54,0)</f>
        <v>-11480.7391099995</v>
      </c>
      <c r="I55" s="178">
        <f>I52+I53+I54</f>
        <v>186719.40449999948</v>
      </c>
      <c r="J55" s="178">
        <f>IFERROR(J52+J53+J54,0)</f>
        <v>-8499.0114099995699</v>
      </c>
      <c r="K55" s="178">
        <f>K52+K53+K54</f>
        <v>69093.072629999951</v>
      </c>
      <c r="L55" s="185">
        <f>SUM(H55:K55)</f>
        <v>235832.72661000036</v>
      </c>
    </row>
    <row r="56" spans="1:21" ht="16.5" thickBot="1">
      <c r="A56" s="186" t="s">
        <v>62</v>
      </c>
      <c r="B56" s="183"/>
      <c r="C56" s="36">
        <f>SUM(C43:C55)</f>
        <v>2588108.9000000013</v>
      </c>
      <c r="D56" s="179"/>
      <c r="F56" s="187" t="s">
        <v>112</v>
      </c>
      <c r="H56" s="97" t="s">
        <v>104</v>
      </c>
      <c r="I56" s="1">
        <f>SUM(H55:I55)</f>
        <v>175238.66538999998</v>
      </c>
      <c r="J56" s="12" t="s">
        <v>105</v>
      </c>
      <c r="K56" s="97">
        <f>SUM(J55:K55)</f>
        <v>60594.061220000382</v>
      </c>
      <c r="L56" s="188">
        <f>ROUND(L54-L55,3)</f>
        <v>0</v>
      </c>
      <c r="T56" s="189"/>
    </row>
    <row r="57" spans="1:21" ht="16.5" thickTop="1">
      <c r="A57" s="97" t="s">
        <v>64</v>
      </c>
      <c r="B57" s="117" t="s">
        <v>58</v>
      </c>
      <c r="C57" s="20">
        <v>530086.78</v>
      </c>
      <c r="D57" s="179"/>
      <c r="F57" s="190" t="s">
        <v>112</v>
      </c>
      <c r="H57" s="191"/>
    </row>
    <row r="58" spans="1:21" ht="16.5" thickBot="1">
      <c r="A58" s="97" t="s">
        <v>65</v>
      </c>
      <c r="B58" s="117" t="s">
        <v>58</v>
      </c>
      <c r="C58" s="20">
        <v>235666.35</v>
      </c>
      <c r="D58" s="179"/>
      <c r="F58" s="190" t="s">
        <v>113</v>
      </c>
      <c r="H58" s="180"/>
      <c r="I58" s="192"/>
      <c r="J58" s="192"/>
      <c r="K58" s="193"/>
      <c r="L58" s="192"/>
    </row>
    <row r="59" spans="1:21" ht="16.5" thickBot="1">
      <c r="A59" s="9" t="s">
        <v>68</v>
      </c>
      <c r="B59" s="9"/>
      <c r="C59" s="36">
        <f>SUM(C56:C58)</f>
        <v>3353862.0300000017</v>
      </c>
      <c r="D59" s="179"/>
      <c r="F59" s="194" t="s">
        <v>157</v>
      </c>
      <c r="G59" s="110" t="str">
        <f>IF(OR(AND(I56&gt;0,K56&gt;0),AND(I56&lt;0,K56&lt;0)),"OK","ERROR")</f>
        <v>OK</v>
      </c>
      <c r="H59" s="32" t="s">
        <v>154</v>
      </c>
      <c r="I59" s="77"/>
    </row>
    <row r="60" spans="1:21" ht="17.25" thickTop="1" thickBot="1">
      <c r="A60" s="9"/>
      <c r="C60" s="116"/>
      <c r="D60" s="179"/>
      <c r="H60" s="35" t="s">
        <v>106</v>
      </c>
      <c r="I60" s="148" t="s">
        <v>107</v>
      </c>
      <c r="J60" s="1"/>
    </row>
    <row r="61" spans="1:21" ht="16.5" thickBot="1">
      <c r="A61" s="29"/>
      <c r="B61" s="29" t="s">
        <v>46</v>
      </c>
      <c r="C61" s="178">
        <f>C59+C34</f>
        <v>5549550.8600000013</v>
      </c>
      <c r="D61" s="2"/>
      <c r="H61" s="96" t="e">
        <f>SUM('WA - Def-Amtz (current)'!BA5:BA40)+SUM(#REF!)</f>
        <v>#REF!</v>
      </c>
      <c r="I61" s="100" t="e">
        <f>SUM('WA - Def-Amtz (current)'!BB5:BB41)+SUM(#REF!)</f>
        <v>#REF!</v>
      </c>
      <c r="J61" s="97">
        <f>H53+I53+J53+K53</f>
        <v>-5313718.133390001</v>
      </c>
    </row>
    <row r="62" spans="1:21" ht="15.75">
      <c r="A62" s="9"/>
      <c r="B62" s="29" t="s">
        <v>95</v>
      </c>
      <c r="C62" s="118">
        <v>5549550.8600000003</v>
      </c>
      <c r="G62" s="1"/>
      <c r="I62" s="17" t="e">
        <f>H61-I61</f>
        <v>#REF!</v>
      </c>
      <c r="N62" s="1"/>
      <c r="O62" s="1"/>
      <c r="P62" s="195"/>
    </row>
    <row r="63" spans="1:21" ht="15.75">
      <c r="A63" s="29"/>
      <c r="B63" s="29" t="s">
        <v>94</v>
      </c>
      <c r="C63" s="17">
        <f>ROUND(C61-C62,2)</f>
        <v>0</v>
      </c>
      <c r="D63" s="179"/>
      <c r="S63" s="117"/>
    </row>
    <row r="64" spans="1:21" ht="15.75">
      <c r="A64" s="15"/>
      <c r="C64" s="196"/>
      <c r="D64" s="197"/>
      <c r="N64" s="44"/>
      <c r="U64" s="9"/>
    </row>
    <row r="65" spans="1:21" ht="15.75">
      <c r="A65" s="15"/>
      <c r="C65" s="2"/>
      <c r="D65" s="179"/>
      <c r="N65" s="44"/>
      <c r="S65" s="198"/>
    </row>
    <row r="66" spans="1:21" ht="15.75">
      <c r="A66" s="9"/>
      <c r="C66" s="2"/>
      <c r="D66" s="179"/>
      <c r="H66" s="97" t="s">
        <v>173</v>
      </c>
      <c r="N66" s="44"/>
      <c r="S66" s="199"/>
    </row>
    <row r="67" spans="1:21">
      <c r="C67" s="17"/>
      <c r="D67" s="179"/>
      <c r="N67" s="44"/>
      <c r="S67" s="200"/>
    </row>
    <row r="68" spans="1:21">
      <c r="D68" s="179"/>
      <c r="N68" s="44"/>
      <c r="S68" s="199"/>
    </row>
    <row r="69" spans="1:21">
      <c r="D69" s="2"/>
      <c r="N69" s="44"/>
    </row>
    <row r="70" spans="1:21">
      <c r="D70" s="179"/>
      <c r="N70" s="44"/>
      <c r="S70" s="201"/>
    </row>
    <row r="71" spans="1:21">
      <c r="D71" s="179"/>
    </row>
    <row r="72" spans="1:21">
      <c r="D72" s="179"/>
    </row>
    <row r="73" spans="1:21">
      <c r="D73" s="66"/>
      <c r="S73" s="202"/>
    </row>
    <row r="74" spans="1:21">
      <c r="R74" s="117"/>
      <c r="S74" s="117"/>
      <c r="T74" s="117"/>
    </row>
    <row r="76" spans="1:21">
      <c r="U76" s="203"/>
    </row>
    <row r="1477" spans="3:3">
      <c r="C1477" s="97">
        <v>-2130</v>
      </c>
    </row>
    <row r="1485" spans="3:3">
      <c r="C1485" s="97">
        <f>7004298-2130</f>
        <v>7002168</v>
      </c>
    </row>
  </sheetData>
  <mergeCells count="3">
    <mergeCell ref="F18:I18"/>
    <mergeCell ref="J18:M18"/>
    <mergeCell ref="K35:M35"/>
  </mergeCells>
  <conditionalFormatting sqref="C63 L56 I62">
    <cfRule type="cellIs" dxfId="78" priority="9" stopIfTrue="1" operator="equal">
      <formula>0</formula>
    </cfRule>
    <cfRule type="cellIs" dxfId="77" priority="10" stopIfTrue="1" operator="notEqual">
      <formula>0</formula>
    </cfRule>
  </conditionalFormatting>
  <conditionalFormatting sqref="G34 G47 K30 K47">
    <cfRule type="cellIs" dxfId="76" priority="8" operator="notEqual">
      <formula>0</formula>
    </cfRule>
  </conditionalFormatting>
  <conditionalFormatting sqref="C63">
    <cfRule type="cellIs" dxfId="75" priority="6" stopIfTrue="1" operator="equal">
      <formula>0</formula>
    </cfRule>
    <cfRule type="cellIs" dxfId="74" priority="7" stopIfTrue="1" operator="notEqual">
      <formula>0</formula>
    </cfRule>
  </conditionalFormatting>
  <conditionalFormatting sqref="K30">
    <cfRule type="cellIs" dxfId="73" priority="5" operator="notEqual">
      <formula>0</formula>
    </cfRule>
  </conditionalFormatting>
  <conditionalFormatting sqref="G59">
    <cfRule type="cellIs" dxfId="72" priority="4" operator="equal">
      <formula>"""ERROR"""</formula>
    </cfRule>
  </conditionalFormatting>
  <conditionalFormatting sqref="G59">
    <cfRule type="cellIs" dxfId="71" priority="3" operator="equal">
      <formula>"ERROR"</formula>
    </cfRule>
  </conditionalFormatting>
  <conditionalFormatting sqref="G59">
    <cfRule type="cellIs" dxfId="70" priority="2" operator="equal">
      <formula>"ERROR"</formula>
    </cfRule>
  </conditionalFormatting>
  <conditionalFormatting sqref="K45">
    <cfRule type="cellIs" dxfId="69"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0">
    <tabColor rgb="FF00CC66"/>
    <pageSetUpPr fitToPage="1"/>
  </sheetPr>
  <dimension ref="A1:U1485"/>
  <sheetViews>
    <sheetView showGridLines="0" topLeftCell="A19" zoomScale="70" zoomScaleNormal="70" workbookViewId="0">
      <selection activeCell="A19"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4" t="s">
        <v>27</v>
      </c>
      <c r="B1" s="175"/>
      <c r="C1" s="109">
        <f>Apr!C1+1</f>
        <v>201905</v>
      </c>
      <c r="F1" s="109">
        <f>C1</f>
        <v>201905</v>
      </c>
      <c r="H1" s="37" t="s">
        <v>32</v>
      </c>
      <c r="I1" s="22" t="s">
        <v>1</v>
      </c>
      <c r="J1" s="22" t="s">
        <v>1</v>
      </c>
      <c r="K1" s="22" t="s">
        <v>29</v>
      </c>
      <c r="L1" s="22" t="s">
        <v>29</v>
      </c>
    </row>
    <row r="2" spans="1:12" ht="15.75">
      <c r="C2" s="6"/>
      <c r="H2" s="38" t="s">
        <v>11</v>
      </c>
      <c r="I2" s="39" t="s">
        <v>28</v>
      </c>
      <c r="J2" s="39" t="s">
        <v>28</v>
      </c>
      <c r="K2" s="39" t="s">
        <v>30</v>
      </c>
      <c r="L2" s="39" t="s">
        <v>30</v>
      </c>
    </row>
    <row r="3" spans="1:12" ht="16.5" thickBot="1">
      <c r="A3" s="10" t="s">
        <v>53</v>
      </c>
      <c r="C3" s="7"/>
      <c r="D3" s="176"/>
      <c r="F3" s="9" t="s">
        <v>35</v>
      </c>
      <c r="H3" s="40" t="s">
        <v>31</v>
      </c>
      <c r="I3" s="40" t="s">
        <v>14</v>
      </c>
      <c r="J3" s="40" t="s">
        <v>26</v>
      </c>
      <c r="K3" s="40" t="s">
        <v>14</v>
      </c>
      <c r="L3" s="40" t="s">
        <v>26</v>
      </c>
    </row>
    <row r="4" spans="1:12" ht="15.75">
      <c r="A4" s="97" t="s">
        <v>39</v>
      </c>
      <c r="C4" s="20">
        <f>-7356.7+3631690.92</f>
        <v>3624334.2199999997</v>
      </c>
      <c r="D4" s="6"/>
      <c r="H4" s="3"/>
    </row>
    <row r="5" spans="1:12" ht="14.25" customHeight="1">
      <c r="A5" s="97" t="s">
        <v>10</v>
      </c>
      <c r="C5" s="20">
        <v>34635.089999999997</v>
      </c>
      <c r="D5" s="6"/>
      <c r="H5" s="3"/>
      <c r="I5" s="177">
        <v>0.69059999999999999</v>
      </c>
      <c r="J5" s="177">
        <v>0.30940000000000001</v>
      </c>
      <c r="K5" s="99">
        <f>ROUND(G45/(G45+K43),4)</f>
        <v>0.67210000000000003</v>
      </c>
      <c r="L5" s="99">
        <f>1-K5</f>
        <v>0.32789999999999997</v>
      </c>
    </row>
    <row r="6" spans="1:12" ht="16.5" thickBot="1">
      <c r="A6" s="8" t="s">
        <v>9</v>
      </c>
      <c r="C6" s="20">
        <f>-78046.48-97479.45-1484819.23-423508.04-121002.3-136127.59</f>
        <v>-2340983.09</v>
      </c>
      <c r="D6" s="6"/>
    </row>
    <row r="7" spans="1:12" ht="16.5" thickBot="1">
      <c r="A7" s="12" t="s">
        <v>83</v>
      </c>
      <c r="C7" s="17">
        <f>SUM(C4:C6)</f>
        <v>1317986.2199999997</v>
      </c>
      <c r="D7" s="7"/>
      <c r="F7" s="41" t="s">
        <v>82</v>
      </c>
      <c r="G7" s="41"/>
      <c r="H7" s="178">
        <f>C34</f>
        <v>2172451.96</v>
      </c>
      <c r="I7" s="42">
        <f>H7*I5</f>
        <v>1500295.3235760001</v>
      </c>
      <c r="J7" s="42">
        <f>H7*J5</f>
        <v>672156.63642400003</v>
      </c>
      <c r="K7" s="42"/>
      <c r="L7" s="42"/>
    </row>
    <row r="8" spans="1:12" ht="15.75">
      <c r="A8" s="97" t="s">
        <v>40</v>
      </c>
      <c r="C8" s="20">
        <v>172464.26</v>
      </c>
      <c r="D8" s="7"/>
      <c r="H8" s="43"/>
      <c r="I8" s="43"/>
      <c r="J8" s="43"/>
      <c r="K8" s="43"/>
      <c r="L8" s="43"/>
    </row>
    <row r="9" spans="1:12" ht="15.75">
      <c r="A9" s="97" t="s">
        <v>41</v>
      </c>
      <c r="C9" s="20">
        <f>5018.28-677.03</f>
        <v>4341.25</v>
      </c>
      <c r="D9" s="179"/>
      <c r="F9" s="41" t="s">
        <v>62</v>
      </c>
      <c r="H9" s="42">
        <f>C56</f>
        <v>-484273.08000000054</v>
      </c>
      <c r="I9" s="42"/>
      <c r="J9" s="42"/>
      <c r="K9" s="42">
        <f>H9*K5</f>
        <v>-325479.93706800038</v>
      </c>
      <c r="L9" s="42">
        <f>H9*L5</f>
        <v>-158793.14293200016</v>
      </c>
    </row>
    <row r="10" spans="1:12" ht="15.75">
      <c r="A10" s="8" t="s">
        <v>42</v>
      </c>
      <c r="C10" s="112">
        <v>-3078.51</v>
      </c>
      <c r="D10" s="179"/>
      <c r="F10" s="44" t="s">
        <v>23</v>
      </c>
      <c r="H10" s="42">
        <f>C57</f>
        <v>-55419.17</v>
      </c>
      <c r="I10" s="42"/>
      <c r="J10" s="42"/>
      <c r="K10" s="42">
        <f>H10</f>
        <v>-55419.17</v>
      </c>
      <c r="L10" s="42"/>
    </row>
    <row r="11" spans="1:12">
      <c r="A11" s="12" t="s">
        <v>84</v>
      </c>
      <c r="C11" s="17">
        <f>SUM(C8:C10)</f>
        <v>173727</v>
      </c>
      <c r="D11" s="179"/>
      <c r="F11" s="44" t="s">
        <v>24</v>
      </c>
      <c r="H11" s="45">
        <f>C58</f>
        <v>-25517.63</v>
      </c>
      <c r="I11" s="42"/>
      <c r="J11" s="42"/>
      <c r="K11" s="45"/>
      <c r="L11" s="45">
        <f>H11</f>
        <v>-25517.63</v>
      </c>
    </row>
    <row r="12" spans="1:12" ht="15.75">
      <c r="A12" s="97" t="s">
        <v>99</v>
      </c>
      <c r="C12" s="20">
        <f>-1373.23+229644.91</f>
        <v>228271.68</v>
      </c>
      <c r="D12" s="179"/>
      <c r="F12" s="44" t="s">
        <v>81</v>
      </c>
      <c r="H12" s="42">
        <f>H9+H10+H11</f>
        <v>-565209.88000000059</v>
      </c>
      <c r="I12" s="42"/>
      <c r="J12" s="42"/>
      <c r="K12" s="42">
        <f>SUM(K9:K11)</f>
        <v>-380899.10706800036</v>
      </c>
      <c r="L12" s="42">
        <f>SUM(L9:L11)</f>
        <v>-184310.77293200017</v>
      </c>
    </row>
    <row r="13" spans="1:12" ht="16.5" thickBot="1">
      <c r="A13" s="8" t="s">
        <v>100</v>
      </c>
      <c r="C13" s="112">
        <v>0</v>
      </c>
      <c r="D13" s="179"/>
      <c r="F13" s="46"/>
      <c r="G13" s="47"/>
      <c r="H13" s="48"/>
      <c r="I13" s="49"/>
      <c r="J13" s="48"/>
      <c r="K13" s="43"/>
      <c r="L13" s="48"/>
    </row>
    <row r="14" spans="1:12" ht="16.5" thickBot="1">
      <c r="A14" s="12" t="s">
        <v>43</v>
      </c>
      <c r="C14" s="17">
        <f>SUM(C12:C13)</f>
        <v>228271.68</v>
      </c>
      <c r="D14" s="2"/>
      <c r="F14" s="9" t="s">
        <v>32</v>
      </c>
      <c r="G14" s="50"/>
      <c r="H14" s="178">
        <f>H12+H7</f>
        <v>1607242.0799999994</v>
      </c>
      <c r="I14" s="51">
        <f>SUM(I7:I13)</f>
        <v>1500295.3235760001</v>
      </c>
      <c r="J14" s="51">
        <f>SUM(J7:J13)</f>
        <v>672156.63642400003</v>
      </c>
      <c r="K14" s="51">
        <f>K12</f>
        <v>-380899.10706800036</v>
      </c>
      <c r="L14" s="51">
        <f>L12</f>
        <v>-184310.77293200017</v>
      </c>
    </row>
    <row r="15" spans="1:12" ht="15.75">
      <c r="A15" s="97" t="s">
        <v>114</v>
      </c>
      <c r="C15" s="20"/>
      <c r="D15" s="179"/>
      <c r="F15" s="46"/>
      <c r="G15" s="47" t="s">
        <v>49</v>
      </c>
      <c r="H15" s="48">
        <f>H14-C61</f>
        <v>0</v>
      </c>
      <c r="I15" s="52"/>
      <c r="J15" s="48">
        <f>J7+I7-H7</f>
        <v>0</v>
      </c>
      <c r="L15" s="48">
        <f>H12-K14-L14</f>
        <v>0</v>
      </c>
    </row>
    <row r="16" spans="1:12" ht="15.75">
      <c r="A16" s="8" t="s">
        <v>115</v>
      </c>
      <c r="C16" s="112">
        <v>0</v>
      </c>
      <c r="D16" s="179"/>
      <c r="F16" s="53"/>
      <c r="G16" s="47"/>
      <c r="H16" s="54"/>
      <c r="I16" s="55"/>
      <c r="J16" s="54"/>
      <c r="L16" s="54"/>
    </row>
    <row r="17" spans="1:13" ht="15.75" thickBot="1">
      <c r="A17" s="12" t="s">
        <v>116</v>
      </c>
      <c r="C17" s="17">
        <f>SUM(C15:C16)</f>
        <v>0</v>
      </c>
      <c r="D17" s="2"/>
      <c r="F17" s="46"/>
      <c r="G17" s="47"/>
      <c r="H17" s="54"/>
      <c r="I17" s="55"/>
      <c r="J17" s="58"/>
      <c r="L17" s="54"/>
    </row>
    <row r="18" spans="1:13" ht="16.5" thickBot="1">
      <c r="A18" s="97" t="s">
        <v>97</v>
      </c>
      <c r="C18" s="20">
        <f>9620+99825.8-18156.8-411.92-10950.36</f>
        <v>79926.720000000001</v>
      </c>
      <c r="D18" s="179"/>
      <c r="F18" s="134" t="s">
        <v>77</v>
      </c>
      <c r="G18" s="135"/>
      <c r="H18" s="135"/>
      <c r="I18" s="136"/>
      <c r="J18" s="134" t="s">
        <v>78</v>
      </c>
      <c r="K18" s="135"/>
      <c r="L18" s="135"/>
      <c r="M18" s="136"/>
    </row>
    <row r="19" spans="1:13" ht="15.75">
      <c r="A19" s="8" t="s">
        <v>98</v>
      </c>
      <c r="C19" s="112">
        <v>18808.349999999999</v>
      </c>
      <c r="D19" s="179"/>
      <c r="F19" s="76" t="s">
        <v>51</v>
      </c>
      <c r="G19" s="39" t="s">
        <v>12</v>
      </c>
      <c r="H19" s="39" t="s">
        <v>12</v>
      </c>
      <c r="I19" s="39" t="s">
        <v>12</v>
      </c>
      <c r="J19" s="76" t="s">
        <v>51</v>
      </c>
      <c r="K19" s="39" t="s">
        <v>12</v>
      </c>
      <c r="L19" s="39" t="s">
        <v>12</v>
      </c>
      <c r="M19" s="60" t="s">
        <v>12</v>
      </c>
    </row>
    <row r="20" spans="1:13" ht="16.5" thickBot="1">
      <c r="A20" s="11" t="s">
        <v>44</v>
      </c>
      <c r="C20" s="17">
        <f>SUM(C18:C19)</f>
        <v>98735.07</v>
      </c>
      <c r="D20" s="179"/>
      <c r="F20" s="70" t="s">
        <v>96</v>
      </c>
      <c r="G20" s="40" t="s">
        <v>48</v>
      </c>
      <c r="H20" s="40" t="s">
        <v>15</v>
      </c>
      <c r="I20" s="40" t="s">
        <v>13</v>
      </c>
      <c r="J20" s="70" t="s">
        <v>96</v>
      </c>
      <c r="K20" s="40" t="s">
        <v>48</v>
      </c>
      <c r="L20" s="40" t="s">
        <v>15</v>
      </c>
      <c r="M20" s="40" t="s">
        <v>13</v>
      </c>
    </row>
    <row r="21" spans="1:13" ht="15.75">
      <c r="A21" s="8" t="s">
        <v>88</v>
      </c>
      <c r="C21" s="112">
        <v>4414.5600000000004</v>
      </c>
      <c r="D21" s="179"/>
      <c r="F21" s="59"/>
      <c r="G21" s="4"/>
      <c r="H21" s="4"/>
      <c r="I21" s="60"/>
      <c r="J21" s="25"/>
      <c r="K21" s="5"/>
      <c r="L21" s="5"/>
      <c r="M21" s="77"/>
    </row>
    <row r="22" spans="1:13" ht="18" customHeight="1">
      <c r="A22" s="11" t="s">
        <v>88</v>
      </c>
      <c r="C22" s="17">
        <f>SUM(C21)</f>
        <v>4414.5600000000004</v>
      </c>
      <c r="D22" s="179"/>
      <c r="F22" s="74" t="s">
        <v>69</v>
      </c>
      <c r="G22" s="1"/>
      <c r="H22" s="1"/>
      <c r="I22" s="16"/>
      <c r="J22" s="74" t="s">
        <v>69</v>
      </c>
      <c r="K22" s="1"/>
      <c r="L22" s="1"/>
      <c r="M22" s="16"/>
    </row>
    <row r="23" spans="1:13" ht="15.75">
      <c r="A23" s="78" t="s">
        <v>111</v>
      </c>
      <c r="C23" s="17">
        <f>-2575.46+417942.98</f>
        <v>415367.51999999996</v>
      </c>
      <c r="D23" s="179"/>
      <c r="F23" s="75" t="s">
        <v>16</v>
      </c>
      <c r="G23" s="93">
        <v>4312435</v>
      </c>
      <c r="H23" s="98">
        <v>0.10238999999999999</v>
      </c>
      <c r="I23" s="71">
        <f t="shared" ref="I23:I31" si="0">G23*H23</f>
        <v>441550.21964999998</v>
      </c>
      <c r="J23" s="75" t="s">
        <v>16</v>
      </c>
      <c r="K23" s="93">
        <v>2161977</v>
      </c>
      <c r="L23" s="98">
        <v>9.5839999999999995E-2</v>
      </c>
      <c r="M23" s="71">
        <f>K23*L23</f>
        <v>207203.87568</v>
      </c>
    </row>
    <row r="24" spans="1:13" ht="15.75">
      <c r="A24" s="78" t="s">
        <v>117</v>
      </c>
      <c r="C24" s="20">
        <v>0</v>
      </c>
      <c r="D24" s="179"/>
      <c r="F24" s="75" t="s">
        <v>159</v>
      </c>
      <c r="G24" s="93">
        <v>4874</v>
      </c>
      <c r="H24" s="98">
        <v>0.10238999999999999</v>
      </c>
      <c r="I24" s="71">
        <f t="shared" si="0"/>
        <v>499.04885999999999</v>
      </c>
      <c r="J24" s="75" t="s">
        <v>17</v>
      </c>
      <c r="K24" s="93">
        <v>1184622</v>
      </c>
      <c r="L24" s="98">
        <v>9.5839999999999995E-2</v>
      </c>
      <c r="M24" s="71">
        <f t="shared" ref="M24:M25" si="1">K24*L24</f>
        <v>113534.17247999999</v>
      </c>
    </row>
    <row r="25" spans="1:13" ht="15.75">
      <c r="A25" s="78" t="s">
        <v>119</v>
      </c>
      <c r="C25" s="114">
        <v>0</v>
      </c>
      <c r="D25" s="179"/>
      <c r="F25" s="75" t="s">
        <v>17</v>
      </c>
      <c r="G25" s="93">
        <v>2394969</v>
      </c>
      <c r="H25" s="98">
        <v>9.239E-2</v>
      </c>
      <c r="I25" s="71">
        <f t="shared" si="0"/>
        <v>221271.18591</v>
      </c>
      <c r="J25" s="75" t="s">
        <v>18</v>
      </c>
      <c r="K25" s="93">
        <v>33006</v>
      </c>
      <c r="L25" s="98">
        <v>9.5839999999999995E-2</v>
      </c>
      <c r="M25" s="71">
        <f t="shared" si="1"/>
        <v>3163.29504</v>
      </c>
    </row>
    <row r="26" spans="1:13" ht="15.75">
      <c r="A26" s="79" t="s">
        <v>118</v>
      </c>
      <c r="C26" s="115">
        <v>0</v>
      </c>
      <c r="D26" s="179"/>
      <c r="F26" s="75" t="s">
        <v>18</v>
      </c>
      <c r="G26" s="93">
        <v>7673</v>
      </c>
      <c r="H26" s="98">
        <v>9.239E-2</v>
      </c>
      <c r="I26" s="71">
        <f t="shared" si="0"/>
        <v>708.90846999999997</v>
      </c>
      <c r="J26" s="75"/>
      <c r="K26" s="93"/>
      <c r="L26" s="98"/>
      <c r="M26" s="71"/>
    </row>
    <row r="27" spans="1:13" ht="15.75">
      <c r="A27" s="11" t="s">
        <v>47</v>
      </c>
      <c r="C27" s="17">
        <f>SUM(C23:C26)</f>
        <v>415367.51999999996</v>
      </c>
      <c r="D27" s="179"/>
      <c r="F27" s="75" t="s">
        <v>19</v>
      </c>
      <c r="G27" s="93">
        <v>97867</v>
      </c>
      <c r="H27" s="98">
        <v>9.2249999999999999E-2</v>
      </c>
      <c r="I27" s="71">
        <f t="shared" si="0"/>
        <v>9028.2307500000006</v>
      </c>
      <c r="J27" s="75"/>
      <c r="K27" s="93"/>
      <c r="L27" s="98"/>
      <c r="M27" s="71"/>
    </row>
    <row r="28" spans="1:13" ht="16.5" thickBot="1">
      <c r="A28" s="80" t="s">
        <v>89</v>
      </c>
      <c r="C28" s="20">
        <v>0</v>
      </c>
      <c r="D28" s="2"/>
      <c r="F28" s="75" t="s">
        <v>20</v>
      </c>
      <c r="G28" s="93">
        <v>35233</v>
      </c>
      <c r="H28" s="98">
        <v>9.2249999999999999E-2</v>
      </c>
      <c r="I28" s="71">
        <f t="shared" si="0"/>
        <v>3250.2442499999997</v>
      </c>
      <c r="J28" s="74" t="s">
        <v>70</v>
      </c>
      <c r="K28" s="56">
        <f>SUM(K23:K27)</f>
        <v>3379605</v>
      </c>
      <c r="L28" s="57"/>
      <c r="M28" s="72">
        <f>SUM(M23:M27)</f>
        <v>323901.3432</v>
      </c>
    </row>
    <row r="29" spans="1:13" ht="17.25" thickTop="1" thickBot="1">
      <c r="A29" s="80" t="s">
        <v>101</v>
      </c>
      <c r="C29" s="20">
        <v>0</v>
      </c>
      <c r="D29" s="179"/>
      <c r="F29" s="75" t="s">
        <v>21</v>
      </c>
      <c r="G29" s="93">
        <v>0</v>
      </c>
      <c r="H29" s="98">
        <v>5.9499999999999997E-2</v>
      </c>
      <c r="I29" s="71">
        <f t="shared" si="0"/>
        <v>0</v>
      </c>
      <c r="J29" s="74"/>
      <c r="K29" s="87">
        <v>3379605</v>
      </c>
      <c r="L29" s="62" t="s">
        <v>49</v>
      </c>
      <c r="M29" s="103">
        <f>M28/K28</f>
        <v>9.5839999999999995E-2</v>
      </c>
    </row>
    <row r="30" spans="1:13" ht="16.5" thickBot="1">
      <c r="A30" s="9" t="s">
        <v>54</v>
      </c>
      <c r="C30" s="178">
        <f>C7+C11+C14+C17+C20+C22+C27+C28+C29</f>
        <v>2238502.0499999998</v>
      </c>
      <c r="D30" s="2"/>
      <c r="F30" s="75" t="s">
        <v>22</v>
      </c>
      <c r="G30" s="93">
        <v>74295</v>
      </c>
      <c r="H30" s="98">
        <v>5.9499999999999997E-2</v>
      </c>
      <c r="I30" s="71">
        <f t="shared" si="0"/>
        <v>4420.5524999999998</v>
      </c>
      <c r="J30" s="75"/>
      <c r="K30" s="86">
        <f>K28-K29</f>
        <v>0</v>
      </c>
      <c r="L30" s="57"/>
      <c r="M30" s="73"/>
    </row>
    <row r="31" spans="1:13" ht="15.75">
      <c r="A31" s="97" t="s">
        <v>55</v>
      </c>
      <c r="C31" s="20">
        <v>-8265.4</v>
      </c>
      <c r="D31" s="180"/>
      <c r="F31" s="75" t="s">
        <v>37</v>
      </c>
      <c r="G31" s="93">
        <v>2599421</v>
      </c>
      <c r="H31" s="98">
        <v>5.4000000000000001E-4</v>
      </c>
      <c r="I31" s="71">
        <f t="shared" si="0"/>
        <v>1403.6873399999999</v>
      </c>
      <c r="J31" s="34"/>
      <c r="K31" s="1"/>
      <c r="L31" s="57"/>
      <c r="M31" s="73"/>
    </row>
    <row r="32" spans="1:13" ht="16.5" thickBot="1">
      <c r="A32" s="9" t="s">
        <v>59</v>
      </c>
      <c r="B32" s="9" t="s">
        <v>60</v>
      </c>
      <c r="C32" s="116">
        <f>C30+C31</f>
        <v>2230236.65</v>
      </c>
      <c r="D32" s="181"/>
      <c r="F32" s="74" t="s">
        <v>70</v>
      </c>
      <c r="G32" s="56">
        <f>SUM(G23:G31)</f>
        <v>9526767</v>
      </c>
      <c r="H32" s="1"/>
      <c r="I32" s="72">
        <f>SUM(I23:I31)</f>
        <v>682132.0777299999</v>
      </c>
      <c r="J32" s="67"/>
      <c r="K32" s="68"/>
      <c r="L32" s="1"/>
      <c r="M32" s="65"/>
    </row>
    <row r="33" spans="1:17" ht="17.25" thickTop="1" thickBot="1">
      <c r="A33" s="97" t="s">
        <v>56</v>
      </c>
      <c r="C33" s="116">
        <f>-C5-C9-C13-C16-C19</f>
        <v>-57784.689999999995</v>
      </c>
      <c r="D33" s="179"/>
      <c r="F33" s="61"/>
      <c r="G33" s="87">
        <v>9526767</v>
      </c>
      <c r="H33" s="62" t="s">
        <v>49</v>
      </c>
      <c r="I33" s="84">
        <f>I32/G32</f>
        <v>7.1601633348438137E-2</v>
      </c>
      <c r="J33" s="67"/>
      <c r="K33" s="68"/>
      <c r="L33" s="1"/>
      <c r="M33" s="16"/>
    </row>
    <row r="34" spans="1:17" ht="16.5" thickBot="1">
      <c r="A34" s="9" t="s">
        <v>57</v>
      </c>
      <c r="C34" s="178">
        <f>SUM(C32:C33)</f>
        <v>2172451.96</v>
      </c>
      <c r="D34" s="179"/>
      <c r="F34" s="34"/>
      <c r="G34" s="86">
        <f>G32-G33</f>
        <v>0</v>
      </c>
      <c r="H34" s="1"/>
      <c r="I34" s="16"/>
      <c r="J34" s="67"/>
      <c r="K34" s="66"/>
      <c r="L34" s="1"/>
      <c r="M34" s="16"/>
    </row>
    <row r="35" spans="1:17" ht="18" customHeight="1">
      <c r="A35" s="9"/>
      <c r="C35" s="116"/>
      <c r="D35" s="179"/>
      <c r="F35" s="59"/>
      <c r="G35" s="4"/>
      <c r="H35" s="4"/>
      <c r="I35" s="60"/>
      <c r="J35" s="74" t="s">
        <v>71</v>
      </c>
      <c r="K35" s="132"/>
      <c r="L35" s="132"/>
      <c r="M35" s="133"/>
    </row>
    <row r="36" spans="1:17" ht="15.75">
      <c r="A36" s="3" t="s">
        <v>45</v>
      </c>
      <c r="B36" s="9"/>
      <c r="C36" s="17"/>
      <c r="D36" s="179"/>
      <c r="F36" s="74" t="s">
        <v>71</v>
      </c>
      <c r="G36" s="1"/>
      <c r="H36" s="1"/>
      <c r="I36" s="16"/>
      <c r="J36" s="75" t="s">
        <v>16</v>
      </c>
      <c r="K36" s="94">
        <f>K23</f>
        <v>2161977</v>
      </c>
      <c r="L36" s="98">
        <v>0.16886000000000001</v>
      </c>
      <c r="M36" s="71">
        <f t="shared" ref="M36:M42" si="2">K36*L36</f>
        <v>365071.43622000003</v>
      </c>
      <c r="P36" s="125"/>
      <c r="Q36" s="125"/>
    </row>
    <row r="37" spans="1:17" ht="15.75">
      <c r="A37" s="1" t="s">
        <v>72</v>
      </c>
      <c r="B37" s="131" t="s">
        <v>58</v>
      </c>
      <c r="C37" s="20">
        <v>7748252.5599999996</v>
      </c>
      <c r="D37" s="179"/>
      <c r="F37" s="75" t="s">
        <v>16</v>
      </c>
      <c r="G37" s="94">
        <f>G23</f>
        <v>4312435</v>
      </c>
      <c r="H37" s="98">
        <v>0.17066999999999999</v>
      </c>
      <c r="I37" s="71">
        <f t="shared" ref="I37:I44" si="3">G37*H37</f>
        <v>736003.28144999989</v>
      </c>
      <c r="J37" s="75" t="s">
        <v>17</v>
      </c>
      <c r="K37" s="94">
        <f>K24</f>
        <v>1184622</v>
      </c>
      <c r="L37" s="98">
        <v>0.16886000000000001</v>
      </c>
      <c r="M37" s="71">
        <f t="shared" si="2"/>
        <v>200035.27092000001</v>
      </c>
      <c r="P37" s="125"/>
      <c r="Q37" s="125"/>
    </row>
    <row r="38" spans="1:17" ht="15.75">
      <c r="A38" s="81" t="s">
        <v>175</v>
      </c>
      <c r="B38" s="131" t="s">
        <v>174</v>
      </c>
      <c r="C38" s="20">
        <f>-36347-926202</f>
        <v>-962549</v>
      </c>
      <c r="D38" s="179"/>
      <c r="F38" s="75" t="s">
        <v>159</v>
      </c>
      <c r="G38" s="94">
        <f t="shared" ref="G38:G44" si="4">G24</f>
        <v>4874</v>
      </c>
      <c r="H38" s="98">
        <v>0.17066999999999999</v>
      </c>
      <c r="I38" s="71">
        <f t="shared" si="3"/>
        <v>831.84557999999993</v>
      </c>
      <c r="J38" s="75" t="s">
        <v>18</v>
      </c>
      <c r="K38" s="94">
        <f>K25</f>
        <v>33006</v>
      </c>
      <c r="L38" s="98">
        <v>0.16886000000000001</v>
      </c>
      <c r="M38" s="71">
        <f t="shared" si="2"/>
        <v>5573.3931600000005</v>
      </c>
      <c r="P38" s="125"/>
      <c r="Q38" s="125"/>
    </row>
    <row r="39" spans="1:17" ht="15.75">
      <c r="A39" s="1" t="s">
        <v>85</v>
      </c>
      <c r="B39" s="131" t="s">
        <v>86</v>
      </c>
      <c r="C39" s="20">
        <v>-55977.33</v>
      </c>
      <c r="D39" s="179"/>
      <c r="F39" s="75" t="s">
        <v>17</v>
      </c>
      <c r="G39" s="94">
        <f t="shared" si="4"/>
        <v>2394969</v>
      </c>
      <c r="H39" s="98">
        <v>0.17066999999999999</v>
      </c>
      <c r="I39" s="71">
        <f t="shared" si="3"/>
        <v>408749.35922999994</v>
      </c>
      <c r="J39" s="75" t="s">
        <v>19</v>
      </c>
      <c r="K39" s="94">
        <f>K26</f>
        <v>0</v>
      </c>
      <c r="L39" s="98">
        <v>0.16886000000000001</v>
      </c>
      <c r="M39" s="71">
        <f t="shared" si="2"/>
        <v>0</v>
      </c>
      <c r="P39" s="125"/>
      <c r="Q39" s="125"/>
    </row>
    <row r="40" spans="1:17" ht="15.75">
      <c r="A40" s="1" t="s">
        <v>74</v>
      </c>
      <c r="B40" s="131" t="s">
        <v>75</v>
      </c>
      <c r="C40" s="20">
        <v>342746.27</v>
      </c>
      <c r="D40" s="179"/>
      <c r="F40" s="75" t="s">
        <v>18</v>
      </c>
      <c r="G40" s="94">
        <f t="shared" si="4"/>
        <v>7673</v>
      </c>
      <c r="H40" s="98">
        <v>0.17066999999999999</v>
      </c>
      <c r="I40" s="71">
        <f t="shared" si="3"/>
        <v>1309.5509099999999</v>
      </c>
      <c r="J40" s="75" t="s">
        <v>20</v>
      </c>
      <c r="K40" s="94">
        <f>K27</f>
        <v>0</v>
      </c>
      <c r="L40" s="98">
        <v>0.16886000000000001</v>
      </c>
      <c r="M40" s="71">
        <f t="shared" si="2"/>
        <v>0</v>
      </c>
      <c r="P40" s="125"/>
      <c r="Q40" s="125"/>
    </row>
    <row r="41" spans="1:17" ht="15.75">
      <c r="A41" s="1" t="s">
        <v>91</v>
      </c>
      <c r="B41" s="117" t="s">
        <v>92</v>
      </c>
      <c r="C41" s="20">
        <v>14180.47</v>
      </c>
      <c r="D41" s="179"/>
      <c r="F41" s="75" t="s">
        <v>19</v>
      </c>
      <c r="G41" s="94">
        <f t="shared" si="4"/>
        <v>97867</v>
      </c>
      <c r="H41" s="98">
        <v>0.17066999999999999</v>
      </c>
      <c r="I41" s="71">
        <f t="shared" si="3"/>
        <v>16702.960889999998</v>
      </c>
      <c r="J41" s="75" t="s">
        <v>21</v>
      </c>
      <c r="K41" s="93">
        <v>0</v>
      </c>
      <c r="L41" s="98">
        <v>0.16886000000000001</v>
      </c>
      <c r="M41" s="71">
        <f t="shared" si="2"/>
        <v>0</v>
      </c>
      <c r="P41" s="125"/>
      <c r="Q41" s="125"/>
    </row>
    <row r="42" spans="1:17" ht="16.5" thickBot="1">
      <c r="A42" s="1" t="s">
        <v>109</v>
      </c>
      <c r="B42" s="131" t="s">
        <v>110</v>
      </c>
      <c r="C42" s="20">
        <v>1675553.79</v>
      </c>
      <c r="D42" s="2"/>
      <c r="F42" s="75" t="s">
        <v>20</v>
      </c>
      <c r="G42" s="94">
        <f t="shared" si="4"/>
        <v>35233</v>
      </c>
      <c r="H42" s="98">
        <v>0.17066999999999999</v>
      </c>
      <c r="I42" s="71">
        <f t="shared" si="3"/>
        <v>6013.2161099999994</v>
      </c>
      <c r="J42" s="75" t="s">
        <v>22</v>
      </c>
      <c r="K42" s="95">
        <v>0</v>
      </c>
      <c r="L42" s="98">
        <v>0.16886000000000001</v>
      </c>
      <c r="M42" s="71">
        <f t="shared" si="2"/>
        <v>0</v>
      </c>
      <c r="P42" s="125"/>
      <c r="Q42" s="125"/>
    </row>
    <row r="43" spans="1:17" ht="16.5" thickBot="1">
      <c r="A43" s="14" t="s">
        <v>66</v>
      </c>
      <c r="B43" s="4"/>
      <c r="C43" s="178">
        <f>SUM(C37:C42)</f>
        <v>8762206.7599999998</v>
      </c>
      <c r="D43" s="179"/>
      <c r="F43" s="75" t="s">
        <v>21</v>
      </c>
      <c r="G43" s="94">
        <f t="shared" si="4"/>
        <v>0</v>
      </c>
      <c r="H43" s="98">
        <v>0.17066999999999999</v>
      </c>
      <c r="I43" s="71">
        <f t="shared" si="3"/>
        <v>0</v>
      </c>
      <c r="J43" s="74" t="s">
        <v>76</v>
      </c>
      <c r="K43" s="56">
        <f>SUM(K36:K42)</f>
        <v>3379605</v>
      </c>
      <c r="L43" s="57"/>
      <c r="M43" s="72">
        <f>SUM(M36:M42)</f>
        <v>570680.10030000005</v>
      </c>
    </row>
    <row r="44" spans="1:17" ht="16.5" thickBot="1">
      <c r="A44" s="182" t="s">
        <v>108</v>
      </c>
      <c r="B44" s="183" t="s">
        <v>63</v>
      </c>
      <c r="C44" s="20">
        <f>-4977520.79+4169.39+40907+50321.17</f>
        <v>-4882123.2300000004</v>
      </c>
      <c r="D44" s="2"/>
      <c r="F44" s="75" t="s">
        <v>22</v>
      </c>
      <c r="G44" s="94">
        <f t="shared" si="4"/>
        <v>74295</v>
      </c>
      <c r="H44" s="98">
        <v>0.17066999999999999</v>
      </c>
      <c r="I44" s="71">
        <f t="shared" si="3"/>
        <v>12679.92765</v>
      </c>
      <c r="J44" s="69"/>
      <c r="K44" s="88">
        <v>3379605</v>
      </c>
      <c r="L44" s="64" t="s">
        <v>49</v>
      </c>
      <c r="M44" s="85">
        <f>M43/K43</f>
        <v>0.16886000000000001</v>
      </c>
    </row>
    <row r="45" spans="1:17" ht="16.5" thickBot="1">
      <c r="A45" s="81" t="s">
        <v>102</v>
      </c>
      <c r="B45" s="117" t="s">
        <v>58</v>
      </c>
      <c r="C45" s="20">
        <v>0</v>
      </c>
      <c r="D45" s="180"/>
      <c r="F45" s="74" t="s">
        <v>76</v>
      </c>
      <c r="G45" s="56">
        <f>SUM(G37:G44)</f>
        <v>6927346</v>
      </c>
      <c r="H45" s="57"/>
      <c r="I45" s="72">
        <f>SUM(I37:I44)</f>
        <v>1182290.1418199996</v>
      </c>
      <c r="J45" s="14"/>
      <c r="K45" s="87"/>
      <c r="L45" s="62"/>
      <c r="M45" s="113"/>
    </row>
    <row r="46" spans="1:17" ht="19.5" customHeight="1" thickTop="1" thickBot="1">
      <c r="A46" s="81" t="s">
        <v>103</v>
      </c>
      <c r="B46" s="117" t="s">
        <v>58</v>
      </c>
      <c r="C46" s="20">
        <v>0</v>
      </c>
      <c r="D46" s="181"/>
      <c r="F46" s="63"/>
      <c r="G46" s="88">
        <v>6927346</v>
      </c>
      <c r="H46" s="64" t="s">
        <v>49</v>
      </c>
      <c r="I46" s="83">
        <f>I45/G45</f>
        <v>0.17066999999999993</v>
      </c>
      <c r="J46" s="14"/>
      <c r="K46" s="87"/>
      <c r="L46" s="62"/>
      <c r="M46" s="113"/>
    </row>
    <row r="47" spans="1:17" ht="19.5" customHeight="1">
      <c r="A47" s="97" t="s">
        <v>80</v>
      </c>
      <c r="B47" s="117" t="s">
        <v>58</v>
      </c>
      <c r="C47" s="20">
        <v>-43847.62</v>
      </c>
      <c r="D47" s="179"/>
      <c r="G47" s="86">
        <f>G45-G46</f>
        <v>0</v>
      </c>
      <c r="J47" s="21"/>
      <c r="K47" s="86">
        <f>K43-K44</f>
        <v>0</v>
      </c>
      <c r="M47" s="21"/>
    </row>
    <row r="48" spans="1:17" ht="16.5" thickBot="1">
      <c r="A48" s="81" t="s">
        <v>158</v>
      </c>
      <c r="B48" s="117" t="s">
        <v>58</v>
      </c>
      <c r="C48" s="20">
        <v>14000</v>
      </c>
      <c r="D48" s="179"/>
      <c r="J48" s="21"/>
      <c r="K48" s="18"/>
      <c r="M48" s="13"/>
    </row>
    <row r="49" spans="1:21" ht="15.75">
      <c r="A49" s="1" t="s">
        <v>73</v>
      </c>
      <c r="B49" s="131" t="s">
        <v>90</v>
      </c>
      <c r="C49" s="20">
        <v>19910</v>
      </c>
      <c r="D49" s="179"/>
      <c r="G49" s="18"/>
      <c r="H49" s="25" t="s">
        <v>14</v>
      </c>
      <c r="I49" s="5" t="s">
        <v>14</v>
      </c>
      <c r="J49" s="5" t="s">
        <v>26</v>
      </c>
      <c r="K49" s="23" t="s">
        <v>33</v>
      </c>
      <c r="L49" s="21"/>
    </row>
    <row r="50" spans="1:21" ht="16.5" thickBot="1">
      <c r="A50" s="1" t="s">
        <v>121</v>
      </c>
      <c r="B50" s="131" t="s">
        <v>90</v>
      </c>
      <c r="C50" s="20">
        <v>2464.54</v>
      </c>
      <c r="D50" s="2"/>
      <c r="F50" s="9" t="s">
        <v>36</v>
      </c>
      <c r="H50" s="26" t="s">
        <v>0</v>
      </c>
      <c r="I50" s="27" t="s">
        <v>1</v>
      </c>
      <c r="J50" s="27" t="s">
        <v>0</v>
      </c>
      <c r="K50" s="24" t="s">
        <v>1</v>
      </c>
    </row>
    <row r="51" spans="1:21" ht="15.75">
      <c r="A51" s="1" t="s">
        <v>161</v>
      </c>
      <c r="B51" s="131" t="s">
        <v>90</v>
      </c>
      <c r="C51" s="20">
        <v>4151.87</v>
      </c>
      <c r="D51" s="179"/>
      <c r="H51" s="32"/>
      <c r="I51" s="33"/>
      <c r="J51" s="33"/>
      <c r="K51" s="33"/>
      <c r="L51" s="22" t="s">
        <v>50</v>
      </c>
    </row>
    <row r="52" spans="1:21" ht="15.75">
      <c r="A52" s="44" t="s">
        <v>61</v>
      </c>
      <c r="B52" s="117"/>
      <c r="C52" s="17">
        <f>-C33</f>
        <v>57784.689999999995</v>
      </c>
      <c r="D52" s="176"/>
      <c r="F52" s="97" t="s">
        <v>79</v>
      </c>
      <c r="H52" s="82">
        <f>K12</f>
        <v>-380899.10706800036</v>
      </c>
      <c r="I52" s="19">
        <f>I14</f>
        <v>1500295.3235760001</v>
      </c>
      <c r="J52" s="19">
        <f>L12</f>
        <v>-184310.77293200017</v>
      </c>
      <c r="K52" s="19">
        <f>J14</f>
        <v>672156.63642400003</v>
      </c>
      <c r="L52" s="28">
        <f>SUM(H52:K52)</f>
        <v>1607242.0799999996</v>
      </c>
    </row>
    <row r="53" spans="1:21" ht="16.5" thickBot="1">
      <c r="A53" s="97" t="s">
        <v>168</v>
      </c>
      <c r="B53" s="131" t="s">
        <v>169</v>
      </c>
      <c r="C53" s="20">
        <v>12410.31</v>
      </c>
      <c r="D53" s="176"/>
      <c r="F53" s="97" t="s">
        <v>52</v>
      </c>
      <c r="H53" s="82">
        <f>-I45</f>
        <v>-1182290.1418199996</v>
      </c>
      <c r="I53" s="19">
        <f>-I32</f>
        <v>-682132.0777299999</v>
      </c>
      <c r="J53" s="19">
        <f>-M43</f>
        <v>-570680.10030000005</v>
      </c>
      <c r="K53" s="19">
        <f>-M28</f>
        <v>-323901.3432</v>
      </c>
      <c r="L53" s="92">
        <f>SUM(H53:K53)</f>
        <v>-2759003.6630499996</v>
      </c>
    </row>
    <row r="54" spans="1:21" ht="16.5" thickBot="1">
      <c r="A54" s="97" t="s">
        <v>67</v>
      </c>
      <c r="B54" s="117" t="s">
        <v>156</v>
      </c>
      <c r="C54" s="20">
        <v>-4056230.4</v>
      </c>
      <c r="D54" s="179"/>
      <c r="F54" s="97" t="s">
        <v>38</v>
      </c>
      <c r="H54" s="89">
        <v>0</v>
      </c>
      <c r="I54" s="90">
        <v>0</v>
      </c>
      <c r="J54" s="90">
        <v>0</v>
      </c>
      <c r="K54" s="91">
        <v>0</v>
      </c>
      <c r="L54" s="184">
        <f>SUM(L52:L53)</f>
        <v>-1151761.58305</v>
      </c>
    </row>
    <row r="55" spans="1:21" ht="16.5" thickBot="1">
      <c r="A55" s="97" t="s">
        <v>165</v>
      </c>
      <c r="B55" s="117" t="s">
        <v>120</v>
      </c>
      <c r="C55" s="20">
        <v>-375000</v>
      </c>
      <c r="D55" s="179"/>
      <c r="F55" s="97" t="s">
        <v>34</v>
      </c>
      <c r="H55" s="178">
        <f>IFERROR(H52+H53+H54,0)</f>
        <v>-1563189.2488879999</v>
      </c>
      <c r="I55" s="178">
        <f>I52+I53+I54</f>
        <v>818163.24584600015</v>
      </c>
      <c r="J55" s="178">
        <f>IFERROR(J52+J53+J54,0)</f>
        <v>-754990.87323200027</v>
      </c>
      <c r="K55" s="178">
        <f>K52+K53+K54</f>
        <v>348255.29322400002</v>
      </c>
      <c r="L55" s="185">
        <f>SUM(H55:K55)</f>
        <v>-1151761.58305</v>
      </c>
    </row>
    <row r="56" spans="1:21" ht="16.5" thickBot="1">
      <c r="A56" s="186" t="s">
        <v>62</v>
      </c>
      <c r="B56" s="183"/>
      <c r="C56" s="36">
        <f>SUM(C43:C55)</f>
        <v>-484273.08000000054</v>
      </c>
      <c r="D56" s="179"/>
      <c r="F56" s="187" t="s">
        <v>112</v>
      </c>
      <c r="H56" s="97" t="s">
        <v>104</v>
      </c>
      <c r="I56" s="1">
        <f>SUM(H55:I55)</f>
        <v>-745026.00304199976</v>
      </c>
      <c r="J56" s="12" t="s">
        <v>105</v>
      </c>
      <c r="K56" s="97">
        <f>SUM(J55:K55)</f>
        <v>-406735.58000800025</v>
      </c>
      <c r="L56" s="188">
        <f>ROUND(L54-L55,3)</f>
        <v>0</v>
      </c>
      <c r="T56" s="189"/>
    </row>
    <row r="57" spans="1:21" ht="16.5" thickTop="1">
      <c r="A57" s="97" t="s">
        <v>64</v>
      </c>
      <c r="B57" s="117" t="s">
        <v>176</v>
      </c>
      <c r="C57" s="20">
        <v>-55419.17</v>
      </c>
      <c r="D57" s="179"/>
      <c r="F57" s="190" t="s">
        <v>112</v>
      </c>
      <c r="H57" s="191"/>
    </row>
    <row r="58" spans="1:21" ht="16.5" thickBot="1">
      <c r="A58" s="97" t="s">
        <v>65</v>
      </c>
      <c r="B58" s="117" t="s">
        <v>177</v>
      </c>
      <c r="C58" s="20">
        <v>-25517.63</v>
      </c>
      <c r="D58" s="179"/>
      <c r="F58" s="190" t="s">
        <v>113</v>
      </c>
      <c r="H58" s="180"/>
      <c r="I58" s="192"/>
      <c r="J58" s="192"/>
      <c r="K58" s="193"/>
      <c r="L58" s="192"/>
    </row>
    <row r="59" spans="1:21" ht="16.5" thickBot="1">
      <c r="A59" s="9" t="s">
        <v>68</v>
      </c>
      <c r="B59" s="9"/>
      <c r="C59" s="36">
        <f>SUM(C56:C58)</f>
        <v>-565209.88000000059</v>
      </c>
      <c r="D59" s="179"/>
      <c r="F59" s="194" t="s">
        <v>157</v>
      </c>
      <c r="G59" s="9" t="str">
        <f>IF(OR(AND(I56&gt;0,K56&gt;0),AND(I56&lt;0,K56&lt;0)),"OK","ERROR")</f>
        <v>OK</v>
      </c>
      <c r="H59" s="32" t="s">
        <v>154</v>
      </c>
      <c r="I59" s="77"/>
    </row>
    <row r="60" spans="1:21" ht="17.25" thickTop="1" thickBot="1">
      <c r="A60" s="9"/>
      <c r="C60" s="116"/>
      <c r="D60" s="179"/>
      <c r="H60" s="35" t="s">
        <v>106</v>
      </c>
      <c r="I60" s="148" t="s">
        <v>107</v>
      </c>
      <c r="J60" s="1"/>
    </row>
    <row r="61" spans="1:21" ht="16.5" thickBot="1">
      <c r="A61" s="29"/>
      <c r="B61" s="29" t="s">
        <v>46</v>
      </c>
      <c r="C61" s="178">
        <f>C59+C34</f>
        <v>1607242.0799999994</v>
      </c>
      <c r="D61" s="179"/>
      <c r="H61" s="96" t="e">
        <f>SUM('WA - Def-Amtz (current)'!BA5:BA40)+SUM(#REF!)</f>
        <v>#REF!</v>
      </c>
      <c r="I61" s="100" t="e">
        <f>SUM('WA - Def-Amtz (current)'!BB5:BB41)+SUM(#REF!)</f>
        <v>#REF!</v>
      </c>
    </row>
    <row r="62" spans="1:21" ht="15.75">
      <c r="A62" s="9"/>
      <c r="B62" s="29" t="s">
        <v>95</v>
      </c>
      <c r="C62" s="118">
        <v>1607242.08</v>
      </c>
      <c r="D62" s="2"/>
      <c r="G62" s="1"/>
      <c r="I62" s="17" t="e">
        <f>H61-I61</f>
        <v>#REF!</v>
      </c>
      <c r="N62" s="1"/>
      <c r="O62" s="1"/>
      <c r="P62" s="195"/>
    </row>
    <row r="63" spans="1:21" ht="15.75">
      <c r="A63" s="29"/>
      <c r="B63" s="29" t="s">
        <v>94</v>
      </c>
      <c r="C63" s="17">
        <f>ROUND(C61-C62,2)</f>
        <v>0</v>
      </c>
      <c r="S63" s="117"/>
    </row>
    <row r="64" spans="1:21" ht="15.75">
      <c r="A64" s="15"/>
      <c r="C64" s="196"/>
      <c r="D64" s="179"/>
      <c r="N64" s="44"/>
      <c r="U64" s="9"/>
    </row>
    <row r="65" spans="1:21" ht="15.75">
      <c r="A65" s="15"/>
      <c r="C65" s="2"/>
      <c r="D65" s="197"/>
      <c r="N65" s="44"/>
      <c r="S65" s="198"/>
    </row>
    <row r="66" spans="1:21" ht="15.75">
      <c r="A66" s="9"/>
      <c r="C66" s="2"/>
      <c r="D66" s="179"/>
      <c r="N66" s="44"/>
      <c r="S66" s="199"/>
    </row>
    <row r="67" spans="1:21">
      <c r="C67" s="17"/>
      <c r="D67" s="179"/>
      <c r="N67" s="44"/>
      <c r="S67" s="200"/>
    </row>
    <row r="68" spans="1:21">
      <c r="D68" s="179"/>
      <c r="N68" s="44"/>
      <c r="S68" s="199"/>
    </row>
    <row r="69" spans="1:21">
      <c r="D69" s="179"/>
      <c r="N69" s="44"/>
    </row>
    <row r="70" spans="1:21">
      <c r="D70" s="2"/>
      <c r="N70" s="44"/>
      <c r="S70" s="201"/>
    </row>
    <row r="71" spans="1:21">
      <c r="D71" s="179"/>
    </row>
    <row r="72" spans="1:21">
      <c r="D72" s="179"/>
    </row>
    <row r="73" spans="1:21">
      <c r="D73" s="179"/>
      <c r="S73" s="202"/>
    </row>
    <row r="74" spans="1:21">
      <c r="D74" s="66"/>
      <c r="R74" s="117"/>
      <c r="S74" s="117"/>
      <c r="T74" s="117"/>
    </row>
    <row r="76" spans="1:21">
      <c r="U76" s="203"/>
    </row>
    <row r="1477" spans="3:3">
      <c r="C1477" s="97">
        <v>-2130</v>
      </c>
    </row>
    <row r="1485" spans="3:3">
      <c r="C1485" s="97">
        <f>7004298-2130</f>
        <v>7002168</v>
      </c>
    </row>
  </sheetData>
  <mergeCells count="3">
    <mergeCell ref="F18:I18"/>
    <mergeCell ref="J18:M18"/>
    <mergeCell ref="K35:M35"/>
  </mergeCells>
  <conditionalFormatting sqref="C63 L56 I62">
    <cfRule type="cellIs" dxfId="68" priority="7" stopIfTrue="1" operator="equal">
      <formula>0</formula>
    </cfRule>
    <cfRule type="cellIs" dxfId="67" priority="8" stopIfTrue="1" operator="notEqual">
      <formula>0</formula>
    </cfRule>
  </conditionalFormatting>
  <conditionalFormatting sqref="G34 G47 K30 K47">
    <cfRule type="cellIs" dxfId="66" priority="6" operator="notEqual">
      <formula>0</formula>
    </cfRule>
  </conditionalFormatting>
  <conditionalFormatting sqref="C63">
    <cfRule type="cellIs" dxfId="65" priority="4" stopIfTrue="1" operator="equal">
      <formula>0</formula>
    </cfRule>
    <cfRule type="cellIs" dxfId="64" priority="5" stopIfTrue="1" operator="notEqual">
      <formula>0</formula>
    </cfRule>
  </conditionalFormatting>
  <conditionalFormatting sqref="K30">
    <cfRule type="cellIs" dxfId="63" priority="3" operator="notEqual">
      <formula>0</formula>
    </cfRule>
  </conditionalFormatting>
  <conditionalFormatting sqref="G59">
    <cfRule type="cellIs" dxfId="62" priority="2" operator="equal">
      <formula>"ERROR"</formula>
    </cfRule>
  </conditionalFormatting>
  <conditionalFormatting sqref="G59">
    <cfRule type="cellIs" dxfId="61"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00CC66"/>
    <pageSetUpPr fitToPage="1"/>
  </sheetPr>
  <dimension ref="A1:U1487"/>
  <sheetViews>
    <sheetView showGridLines="0" zoomScale="70" zoomScaleNormal="70" workbookViewId="0">
      <selection activeCell="A25"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4" t="s">
        <v>27</v>
      </c>
      <c r="B1" s="175"/>
      <c r="C1" s="109">
        <f>Apr!C1+1</f>
        <v>201905</v>
      </c>
      <c r="F1" s="109">
        <f>C1</f>
        <v>201905</v>
      </c>
      <c r="H1" s="37" t="s">
        <v>32</v>
      </c>
      <c r="I1" s="22" t="s">
        <v>1</v>
      </c>
      <c r="J1" s="22" t="s">
        <v>1</v>
      </c>
      <c r="K1" s="22" t="s">
        <v>29</v>
      </c>
      <c r="L1" s="22" t="s">
        <v>29</v>
      </c>
    </row>
    <row r="2" spans="1:12" ht="15.75">
      <c r="C2" s="6"/>
      <c r="H2" s="38" t="s">
        <v>11</v>
      </c>
      <c r="I2" s="39" t="s">
        <v>28</v>
      </c>
      <c r="J2" s="39" t="s">
        <v>28</v>
      </c>
      <c r="K2" s="39" t="s">
        <v>30</v>
      </c>
      <c r="L2" s="39" t="s">
        <v>30</v>
      </c>
    </row>
    <row r="3" spans="1:12" ht="16.5" thickBot="1">
      <c r="A3" s="10" t="s">
        <v>53</v>
      </c>
      <c r="C3" s="7"/>
      <c r="D3" s="176"/>
      <c r="F3" s="9" t="s">
        <v>35</v>
      </c>
      <c r="H3" s="40" t="s">
        <v>31</v>
      </c>
      <c r="I3" s="40" t="s">
        <v>14</v>
      </c>
      <c r="J3" s="40" t="s">
        <v>26</v>
      </c>
      <c r="K3" s="40" t="s">
        <v>14</v>
      </c>
      <c r="L3" s="40" t="s">
        <v>26</v>
      </c>
    </row>
    <row r="4" spans="1:12" ht="15.75">
      <c r="A4" s="97" t="s">
        <v>39</v>
      </c>
      <c r="C4" s="20">
        <f>-7356.7+3631690.92</f>
        <v>3624334.2199999997</v>
      </c>
      <c r="D4" s="6"/>
      <c r="H4" s="3"/>
    </row>
    <row r="5" spans="1:12" ht="14.25" customHeight="1">
      <c r="A5" s="97" t="s">
        <v>10</v>
      </c>
      <c r="C5" s="20">
        <v>34635.089999999997</v>
      </c>
      <c r="D5" s="6"/>
      <c r="H5" s="3"/>
      <c r="I5" s="177">
        <v>0.69059999999999999</v>
      </c>
      <c r="J5" s="177">
        <v>0.30940000000000001</v>
      </c>
      <c r="K5" s="99">
        <f>ROUND(G45/(G45+K43),4)</f>
        <v>0.67210000000000003</v>
      </c>
      <c r="L5" s="99">
        <f>1-K5</f>
        <v>0.32789999999999997</v>
      </c>
    </row>
    <row r="6" spans="1:12" ht="16.5" thickBot="1">
      <c r="A6" s="8" t="s">
        <v>9</v>
      </c>
      <c r="C6" s="20">
        <f>-78046.48-97479.45-1484819.23-423508.04-121002.3-136127.59</f>
        <v>-2340983.09</v>
      </c>
      <c r="D6" s="6"/>
    </row>
    <row r="7" spans="1:12" ht="16.5" thickBot="1">
      <c r="A7" s="12" t="s">
        <v>83</v>
      </c>
      <c r="C7" s="17">
        <f>SUM(C4:C6)</f>
        <v>1317986.2199999997</v>
      </c>
      <c r="D7" s="7"/>
      <c r="F7" s="41" t="s">
        <v>82</v>
      </c>
      <c r="G7" s="41"/>
      <c r="H7" s="178">
        <f>C34</f>
        <v>2172451.96</v>
      </c>
      <c r="I7" s="42">
        <f>H7*I5</f>
        <v>1500295.3235760001</v>
      </c>
      <c r="J7" s="42">
        <f>H7*J5</f>
        <v>672156.63642400003</v>
      </c>
      <c r="K7" s="42"/>
      <c r="L7" s="42"/>
    </row>
    <row r="8" spans="1:12" ht="15.75">
      <c r="A8" s="97" t="s">
        <v>40</v>
      </c>
      <c r="C8" s="20">
        <v>172464.26</v>
      </c>
      <c r="D8" s="7"/>
      <c r="H8" s="43"/>
      <c r="I8" s="43"/>
      <c r="J8" s="43"/>
      <c r="K8" s="43"/>
      <c r="L8" s="43"/>
    </row>
    <row r="9" spans="1:12" ht="15.75">
      <c r="A9" s="97" t="s">
        <v>41</v>
      </c>
      <c r="C9" s="20">
        <f>5018.28-677.03</f>
        <v>4341.25</v>
      </c>
      <c r="D9" s="179"/>
      <c r="F9" s="41" t="s">
        <v>62</v>
      </c>
      <c r="H9" s="42">
        <f>C56</f>
        <v>478275.91999999946</v>
      </c>
      <c r="I9" s="42"/>
      <c r="J9" s="42"/>
      <c r="K9" s="42">
        <f>H9*K5</f>
        <v>321449.24583199964</v>
      </c>
      <c r="L9" s="42">
        <f>H9*L5</f>
        <v>156826.67416799979</v>
      </c>
    </row>
    <row r="10" spans="1:12" ht="15.75">
      <c r="A10" s="8" t="s">
        <v>42</v>
      </c>
      <c r="C10" s="112">
        <v>-3078.51</v>
      </c>
      <c r="D10" s="179"/>
      <c r="F10" s="44" t="s">
        <v>182</v>
      </c>
      <c r="H10" s="42">
        <f>C59+C57</f>
        <v>-91766.17</v>
      </c>
      <c r="I10" s="42"/>
      <c r="J10" s="42"/>
      <c r="K10" s="42">
        <f>H10</f>
        <v>-91766.17</v>
      </c>
      <c r="L10" s="42"/>
    </row>
    <row r="11" spans="1:12">
      <c r="A11" s="12" t="s">
        <v>84</v>
      </c>
      <c r="C11" s="17">
        <f>SUM(C8:C10)</f>
        <v>173727</v>
      </c>
      <c r="D11" s="179"/>
      <c r="F11" s="44" t="s">
        <v>183</v>
      </c>
      <c r="H11" s="45">
        <f>C60+C58</f>
        <v>-951719.63</v>
      </c>
      <c r="I11" s="42"/>
      <c r="J11" s="42"/>
      <c r="K11" s="45"/>
      <c r="L11" s="45">
        <f>H11</f>
        <v>-951719.63</v>
      </c>
    </row>
    <row r="12" spans="1:12" ht="15.75">
      <c r="A12" s="97" t="s">
        <v>99</v>
      </c>
      <c r="C12" s="20">
        <f>-1373.23+229644.91</f>
        <v>228271.68</v>
      </c>
      <c r="D12" s="179"/>
      <c r="F12" s="44" t="s">
        <v>81</v>
      </c>
      <c r="H12" s="42">
        <f>H9+H10+H11</f>
        <v>-565209.88000000059</v>
      </c>
      <c r="I12" s="42"/>
      <c r="J12" s="42"/>
      <c r="K12" s="42">
        <f>SUM(K9:K11)</f>
        <v>229683.07583199965</v>
      </c>
      <c r="L12" s="42">
        <f>SUM(L9:L11)</f>
        <v>-794892.95583200024</v>
      </c>
    </row>
    <row r="13" spans="1:12" ht="16.5" thickBot="1">
      <c r="A13" s="8" t="s">
        <v>100</v>
      </c>
      <c r="C13" s="112">
        <v>0</v>
      </c>
      <c r="D13" s="179"/>
      <c r="F13" s="46"/>
      <c r="G13" s="47"/>
      <c r="H13" s="48"/>
      <c r="I13" s="49"/>
      <c r="J13" s="48"/>
      <c r="K13" s="43"/>
      <c r="L13" s="48"/>
    </row>
    <row r="14" spans="1:12" ht="16.5" thickBot="1">
      <c r="A14" s="12" t="s">
        <v>43</v>
      </c>
      <c r="C14" s="17">
        <f>SUM(C12:C13)</f>
        <v>228271.68</v>
      </c>
      <c r="D14" s="2"/>
      <c r="F14" s="9" t="s">
        <v>32</v>
      </c>
      <c r="G14" s="50"/>
      <c r="H14" s="178">
        <f>H12+H7</f>
        <v>1607242.0799999994</v>
      </c>
      <c r="I14" s="51">
        <f>SUM(I7:I13)</f>
        <v>1500295.3235760001</v>
      </c>
      <c r="J14" s="51">
        <f>SUM(J7:J13)</f>
        <v>672156.63642400003</v>
      </c>
      <c r="K14" s="51">
        <f>K12</f>
        <v>229683.07583199965</v>
      </c>
      <c r="L14" s="51">
        <f>L12</f>
        <v>-794892.95583200024</v>
      </c>
    </row>
    <row r="15" spans="1:12" ht="15.75">
      <c r="A15" s="97" t="s">
        <v>114</v>
      </c>
      <c r="C15" s="20"/>
      <c r="D15" s="179"/>
      <c r="F15" s="46"/>
      <c r="G15" s="47" t="s">
        <v>49</v>
      </c>
      <c r="H15" s="48">
        <f>H14-C63</f>
        <v>0</v>
      </c>
      <c r="I15" s="52"/>
      <c r="J15" s="48">
        <f>J7+I7-H7</f>
        <v>0</v>
      </c>
      <c r="L15" s="48">
        <f>H12-K14-L14</f>
        <v>0</v>
      </c>
    </row>
    <row r="16" spans="1:12" ht="15.75">
      <c r="A16" s="8" t="s">
        <v>115</v>
      </c>
      <c r="C16" s="112">
        <v>0</v>
      </c>
      <c r="D16" s="179"/>
      <c r="F16" s="53"/>
      <c r="G16" s="47"/>
      <c r="H16" s="54"/>
      <c r="I16" s="55"/>
      <c r="J16" s="54"/>
      <c r="L16" s="54"/>
    </row>
    <row r="17" spans="1:13" ht="15.75" thickBot="1">
      <c r="A17" s="12" t="s">
        <v>116</v>
      </c>
      <c r="C17" s="17">
        <f>SUM(C15:C16)</f>
        <v>0</v>
      </c>
      <c r="D17" s="2"/>
      <c r="F17" s="46"/>
      <c r="G17" s="47"/>
      <c r="H17" s="54"/>
      <c r="I17" s="55"/>
      <c r="J17" s="58"/>
      <c r="L17" s="54"/>
    </row>
    <row r="18" spans="1:13" ht="16.5" thickBot="1">
      <c r="A18" s="97" t="s">
        <v>97</v>
      </c>
      <c r="C18" s="20">
        <f>9620+99825.8-18156.8-411.92-10950.36</f>
        <v>79926.720000000001</v>
      </c>
      <c r="D18" s="179"/>
      <c r="F18" s="134" t="s">
        <v>77</v>
      </c>
      <c r="G18" s="135"/>
      <c r="H18" s="135"/>
      <c r="I18" s="136"/>
      <c r="J18" s="134" t="s">
        <v>78</v>
      </c>
      <c r="K18" s="135"/>
      <c r="L18" s="135"/>
      <c r="M18" s="136"/>
    </row>
    <row r="19" spans="1:13" ht="15.75">
      <c r="A19" s="8" t="s">
        <v>98</v>
      </c>
      <c r="C19" s="112">
        <v>18808.349999999999</v>
      </c>
      <c r="D19" s="179"/>
      <c r="F19" s="76" t="s">
        <v>51</v>
      </c>
      <c r="G19" s="39" t="s">
        <v>12</v>
      </c>
      <c r="H19" s="39" t="s">
        <v>12</v>
      </c>
      <c r="I19" s="39" t="s">
        <v>12</v>
      </c>
      <c r="J19" s="76" t="s">
        <v>51</v>
      </c>
      <c r="K19" s="39" t="s">
        <v>12</v>
      </c>
      <c r="L19" s="39" t="s">
        <v>12</v>
      </c>
      <c r="M19" s="60" t="s">
        <v>12</v>
      </c>
    </row>
    <row r="20" spans="1:13" ht="16.5" thickBot="1">
      <c r="A20" s="11" t="s">
        <v>44</v>
      </c>
      <c r="C20" s="17">
        <f>SUM(C18:C19)</f>
        <v>98735.07</v>
      </c>
      <c r="D20" s="179"/>
      <c r="F20" s="70" t="s">
        <v>96</v>
      </c>
      <c r="G20" s="40" t="s">
        <v>48</v>
      </c>
      <c r="H20" s="40" t="s">
        <v>15</v>
      </c>
      <c r="I20" s="40" t="s">
        <v>13</v>
      </c>
      <c r="J20" s="70" t="s">
        <v>96</v>
      </c>
      <c r="K20" s="40" t="s">
        <v>48</v>
      </c>
      <c r="L20" s="40" t="s">
        <v>15</v>
      </c>
      <c r="M20" s="40" t="s">
        <v>13</v>
      </c>
    </row>
    <row r="21" spans="1:13" ht="15.75">
      <c r="A21" s="8" t="s">
        <v>88</v>
      </c>
      <c r="C21" s="112">
        <v>4414.5600000000004</v>
      </c>
      <c r="D21" s="179"/>
      <c r="F21" s="59"/>
      <c r="G21" s="4"/>
      <c r="H21" s="4"/>
      <c r="I21" s="60"/>
      <c r="J21" s="25"/>
      <c r="K21" s="5"/>
      <c r="L21" s="5"/>
      <c r="M21" s="77"/>
    </row>
    <row r="22" spans="1:13" ht="18" customHeight="1">
      <c r="A22" s="11" t="s">
        <v>88</v>
      </c>
      <c r="C22" s="17">
        <f>SUM(C21)</f>
        <v>4414.5600000000004</v>
      </c>
      <c r="D22" s="179"/>
      <c r="F22" s="74" t="s">
        <v>69</v>
      </c>
      <c r="G22" s="1"/>
      <c r="H22" s="1"/>
      <c r="I22" s="16"/>
      <c r="J22" s="74" t="s">
        <v>69</v>
      </c>
      <c r="K22" s="1"/>
      <c r="L22" s="1"/>
      <c r="M22" s="16"/>
    </row>
    <row r="23" spans="1:13" ht="15.75">
      <c r="A23" s="78" t="s">
        <v>111</v>
      </c>
      <c r="C23" s="17">
        <f>-2575.46+417942.98</f>
        <v>415367.51999999996</v>
      </c>
      <c r="D23" s="179"/>
      <c r="F23" s="75" t="s">
        <v>16</v>
      </c>
      <c r="G23" s="93">
        <v>4312435</v>
      </c>
      <c r="H23" s="98">
        <v>0.10238999999999999</v>
      </c>
      <c r="I23" s="71">
        <f t="shared" ref="I23:I31" si="0">G23*H23</f>
        <v>441550.21964999998</v>
      </c>
      <c r="J23" s="75" t="s">
        <v>16</v>
      </c>
      <c r="K23" s="93">
        <v>2161977</v>
      </c>
      <c r="L23" s="98">
        <v>9.5839999999999995E-2</v>
      </c>
      <c r="M23" s="71">
        <f>K23*L23</f>
        <v>207203.87568</v>
      </c>
    </row>
    <row r="24" spans="1:13" ht="15.75">
      <c r="A24" s="78" t="s">
        <v>117</v>
      </c>
      <c r="C24" s="20">
        <v>0</v>
      </c>
      <c r="D24" s="179"/>
      <c r="F24" s="75" t="s">
        <v>159</v>
      </c>
      <c r="G24" s="93">
        <v>4874</v>
      </c>
      <c r="H24" s="98">
        <v>0.10238999999999999</v>
      </c>
      <c r="I24" s="71">
        <f t="shared" si="0"/>
        <v>499.04885999999999</v>
      </c>
      <c r="J24" s="75" t="s">
        <v>17</v>
      </c>
      <c r="K24" s="93">
        <v>1184622</v>
      </c>
      <c r="L24" s="98">
        <v>9.5839999999999995E-2</v>
      </c>
      <c r="M24" s="71">
        <f t="shared" ref="M24:M25" si="1">K24*L24</f>
        <v>113534.17247999999</v>
      </c>
    </row>
    <row r="25" spans="1:13" ht="15.75">
      <c r="A25" s="78" t="s">
        <v>119</v>
      </c>
      <c r="C25" s="114">
        <v>0</v>
      </c>
      <c r="D25" s="179"/>
      <c r="F25" s="75" t="s">
        <v>17</v>
      </c>
      <c r="G25" s="93">
        <v>2394969</v>
      </c>
      <c r="H25" s="98">
        <v>9.239E-2</v>
      </c>
      <c r="I25" s="71">
        <f t="shared" si="0"/>
        <v>221271.18591</v>
      </c>
      <c r="J25" s="75" t="s">
        <v>18</v>
      </c>
      <c r="K25" s="93">
        <v>33006</v>
      </c>
      <c r="L25" s="98">
        <v>9.5839999999999995E-2</v>
      </c>
      <c r="M25" s="71">
        <f t="shared" si="1"/>
        <v>3163.29504</v>
      </c>
    </row>
    <row r="26" spans="1:13" ht="15.75">
      <c r="A26" s="79" t="s">
        <v>118</v>
      </c>
      <c r="C26" s="115">
        <v>0</v>
      </c>
      <c r="D26" s="179"/>
      <c r="F26" s="75" t="s">
        <v>18</v>
      </c>
      <c r="G26" s="93">
        <v>7673</v>
      </c>
      <c r="H26" s="98">
        <v>9.239E-2</v>
      </c>
      <c r="I26" s="71">
        <f t="shared" si="0"/>
        <v>708.90846999999997</v>
      </c>
      <c r="J26" s="75"/>
      <c r="K26" s="93"/>
      <c r="L26" s="98"/>
      <c r="M26" s="71"/>
    </row>
    <row r="27" spans="1:13" ht="15.75">
      <c r="A27" s="11" t="s">
        <v>47</v>
      </c>
      <c r="C27" s="17">
        <f>SUM(C23:C26)</f>
        <v>415367.51999999996</v>
      </c>
      <c r="D27" s="179"/>
      <c r="F27" s="75" t="s">
        <v>19</v>
      </c>
      <c r="G27" s="93">
        <v>97867</v>
      </c>
      <c r="H27" s="98">
        <v>9.2249999999999999E-2</v>
      </c>
      <c r="I27" s="71">
        <f t="shared" si="0"/>
        <v>9028.2307500000006</v>
      </c>
      <c r="J27" s="75"/>
      <c r="K27" s="93"/>
      <c r="L27" s="98"/>
      <c r="M27" s="71"/>
    </row>
    <row r="28" spans="1:13" ht="16.5" thickBot="1">
      <c r="A28" s="80" t="s">
        <v>89</v>
      </c>
      <c r="C28" s="20">
        <v>0</v>
      </c>
      <c r="D28" s="2"/>
      <c r="F28" s="75" t="s">
        <v>20</v>
      </c>
      <c r="G28" s="93">
        <v>35233</v>
      </c>
      <c r="H28" s="98">
        <v>9.2249999999999999E-2</v>
      </c>
      <c r="I28" s="71">
        <f t="shared" si="0"/>
        <v>3250.2442499999997</v>
      </c>
      <c r="J28" s="74" t="s">
        <v>70</v>
      </c>
      <c r="K28" s="56">
        <f>SUM(K23:K27)</f>
        <v>3379605</v>
      </c>
      <c r="L28" s="57"/>
      <c r="M28" s="72">
        <f>SUM(M23:M27)</f>
        <v>323901.3432</v>
      </c>
    </row>
    <row r="29" spans="1:13" ht="17.25" thickTop="1" thickBot="1">
      <c r="A29" s="80" t="s">
        <v>101</v>
      </c>
      <c r="C29" s="20">
        <v>0</v>
      </c>
      <c r="D29" s="179"/>
      <c r="F29" s="75" t="s">
        <v>21</v>
      </c>
      <c r="G29" s="93">
        <v>0</v>
      </c>
      <c r="H29" s="98">
        <v>5.9499999999999997E-2</v>
      </c>
      <c r="I29" s="71">
        <f t="shared" si="0"/>
        <v>0</v>
      </c>
      <c r="J29" s="74"/>
      <c r="K29" s="87">
        <v>3379605</v>
      </c>
      <c r="L29" s="62" t="s">
        <v>49</v>
      </c>
      <c r="M29" s="103">
        <f>M28/K28</f>
        <v>9.5839999999999995E-2</v>
      </c>
    </row>
    <row r="30" spans="1:13" ht="16.5" thickBot="1">
      <c r="A30" s="9" t="s">
        <v>54</v>
      </c>
      <c r="C30" s="178">
        <f>C7+C11+C14+C17+C20+C22+C27+C28+C29</f>
        <v>2238502.0499999998</v>
      </c>
      <c r="D30" s="2"/>
      <c r="F30" s="75" t="s">
        <v>22</v>
      </c>
      <c r="G30" s="93">
        <v>74295</v>
      </c>
      <c r="H30" s="98">
        <v>5.9499999999999997E-2</v>
      </c>
      <c r="I30" s="71">
        <f t="shared" si="0"/>
        <v>4420.5524999999998</v>
      </c>
      <c r="J30" s="75"/>
      <c r="K30" s="86">
        <f>K28-K29</f>
        <v>0</v>
      </c>
      <c r="L30" s="57"/>
      <c r="M30" s="73"/>
    </row>
    <row r="31" spans="1:13" ht="15.75">
      <c r="A31" s="97" t="s">
        <v>55</v>
      </c>
      <c r="C31" s="20">
        <v>-8265.4</v>
      </c>
      <c r="D31" s="180"/>
      <c r="F31" s="75" t="s">
        <v>37</v>
      </c>
      <c r="G31" s="93">
        <v>2599421</v>
      </c>
      <c r="H31" s="98">
        <v>5.4000000000000001E-4</v>
      </c>
      <c r="I31" s="71">
        <f t="shared" si="0"/>
        <v>1403.6873399999999</v>
      </c>
      <c r="J31" s="34"/>
      <c r="K31" s="1"/>
      <c r="L31" s="57"/>
      <c r="M31" s="73"/>
    </row>
    <row r="32" spans="1:13" ht="16.5" thickBot="1">
      <c r="A32" s="9" t="s">
        <v>59</v>
      </c>
      <c r="B32" s="9" t="s">
        <v>60</v>
      </c>
      <c r="C32" s="116">
        <f>C30+C31</f>
        <v>2230236.65</v>
      </c>
      <c r="D32" s="181"/>
      <c r="F32" s="74" t="s">
        <v>70</v>
      </c>
      <c r="G32" s="56">
        <f>SUM(G23:G31)</f>
        <v>9526767</v>
      </c>
      <c r="H32" s="1"/>
      <c r="I32" s="72">
        <f>SUM(I23:I31)</f>
        <v>682132.0777299999</v>
      </c>
      <c r="J32" s="67"/>
      <c r="K32" s="68"/>
      <c r="L32" s="1"/>
      <c r="M32" s="65"/>
    </row>
    <row r="33" spans="1:17" ht="17.25" thickTop="1" thickBot="1">
      <c r="A33" s="97" t="s">
        <v>56</v>
      </c>
      <c r="C33" s="116">
        <f>-C5-C9-C13-C16-C19</f>
        <v>-57784.689999999995</v>
      </c>
      <c r="D33" s="179"/>
      <c r="F33" s="61"/>
      <c r="G33" s="87">
        <v>9526767</v>
      </c>
      <c r="H33" s="62" t="s">
        <v>49</v>
      </c>
      <c r="I33" s="84">
        <f>I32/G32</f>
        <v>7.1601633348438137E-2</v>
      </c>
      <c r="J33" s="67"/>
      <c r="K33" s="68"/>
      <c r="L33" s="1"/>
      <c r="M33" s="16"/>
    </row>
    <row r="34" spans="1:17" ht="16.5" thickBot="1">
      <c r="A34" s="9" t="s">
        <v>57</v>
      </c>
      <c r="C34" s="178">
        <f>SUM(C32:C33)</f>
        <v>2172451.96</v>
      </c>
      <c r="D34" s="179"/>
      <c r="F34" s="34"/>
      <c r="G34" s="86">
        <f>G32-G33</f>
        <v>0</v>
      </c>
      <c r="H34" s="1"/>
      <c r="I34" s="16"/>
      <c r="J34" s="67"/>
      <c r="K34" s="66"/>
      <c r="L34" s="1"/>
      <c r="M34" s="16"/>
    </row>
    <row r="35" spans="1:17" ht="18" customHeight="1">
      <c r="A35" s="9"/>
      <c r="C35" s="116"/>
      <c r="D35" s="179"/>
      <c r="F35" s="59"/>
      <c r="G35" s="4"/>
      <c r="H35" s="4"/>
      <c r="I35" s="60"/>
      <c r="J35" s="74" t="s">
        <v>71</v>
      </c>
      <c r="K35" s="132"/>
      <c r="L35" s="132"/>
      <c r="M35" s="133"/>
    </row>
    <row r="36" spans="1:17" ht="15.75">
      <c r="A36" s="3" t="s">
        <v>45</v>
      </c>
      <c r="B36" s="9"/>
      <c r="C36" s="17"/>
      <c r="D36" s="179"/>
      <c r="F36" s="74" t="s">
        <v>71</v>
      </c>
      <c r="G36" s="1"/>
      <c r="H36" s="1"/>
      <c r="I36" s="16"/>
      <c r="J36" s="75" t="s">
        <v>16</v>
      </c>
      <c r="K36" s="94">
        <f>K23</f>
        <v>2161977</v>
      </c>
      <c r="L36" s="98">
        <v>0.16886000000000001</v>
      </c>
      <c r="M36" s="71">
        <f t="shared" ref="M36:M42" si="2">K36*L36</f>
        <v>365071.43622000003</v>
      </c>
      <c r="P36" s="125"/>
      <c r="Q36" s="125"/>
    </row>
    <row r="37" spans="1:17" ht="15.75">
      <c r="A37" s="1" t="s">
        <v>72</v>
      </c>
      <c r="B37" s="131" t="s">
        <v>58</v>
      </c>
      <c r="C37" s="20">
        <v>7748252.5599999996</v>
      </c>
      <c r="D37" s="179"/>
      <c r="F37" s="75" t="s">
        <v>16</v>
      </c>
      <c r="G37" s="94">
        <f>G23</f>
        <v>4312435</v>
      </c>
      <c r="H37" s="98">
        <v>0.17066999999999999</v>
      </c>
      <c r="I37" s="71">
        <f t="shared" ref="I37:I44" si="3">G37*H37</f>
        <v>736003.28144999989</v>
      </c>
      <c r="J37" s="75" t="s">
        <v>17</v>
      </c>
      <c r="K37" s="94">
        <f>K24</f>
        <v>1184622</v>
      </c>
      <c r="L37" s="98">
        <v>0.16886000000000001</v>
      </c>
      <c r="M37" s="71">
        <f t="shared" si="2"/>
        <v>200035.27092000001</v>
      </c>
      <c r="P37" s="125"/>
      <c r="Q37" s="125"/>
    </row>
    <row r="38" spans="1:17" ht="15.75">
      <c r="A38" s="81" t="s">
        <v>5</v>
      </c>
      <c r="B38" s="131" t="s">
        <v>58</v>
      </c>
      <c r="C38" s="20"/>
      <c r="D38" s="179"/>
      <c r="F38" s="75" t="s">
        <v>159</v>
      </c>
      <c r="G38" s="94">
        <f t="shared" ref="G38:G44" si="4">G24</f>
        <v>4874</v>
      </c>
      <c r="H38" s="98">
        <v>0.17066999999999999</v>
      </c>
      <c r="I38" s="71">
        <f t="shared" si="3"/>
        <v>831.84557999999993</v>
      </c>
      <c r="J38" s="75" t="s">
        <v>18</v>
      </c>
      <c r="K38" s="94">
        <f>K25</f>
        <v>33006</v>
      </c>
      <c r="L38" s="98">
        <v>0.16886000000000001</v>
      </c>
      <c r="M38" s="71">
        <f t="shared" si="2"/>
        <v>5573.3931600000005</v>
      </c>
      <c r="P38" s="125"/>
      <c r="Q38" s="125"/>
    </row>
    <row r="39" spans="1:17" ht="15.75">
      <c r="A39" s="1" t="s">
        <v>85</v>
      </c>
      <c r="B39" s="131" t="s">
        <v>86</v>
      </c>
      <c r="C39" s="20">
        <v>-55977.33</v>
      </c>
      <c r="D39" s="179"/>
      <c r="F39" s="75" t="s">
        <v>17</v>
      </c>
      <c r="G39" s="94">
        <f t="shared" si="4"/>
        <v>2394969</v>
      </c>
      <c r="H39" s="98">
        <v>0.17066999999999999</v>
      </c>
      <c r="I39" s="71">
        <f t="shared" si="3"/>
        <v>408749.35922999994</v>
      </c>
      <c r="J39" s="75" t="s">
        <v>19</v>
      </c>
      <c r="K39" s="94">
        <f>K26</f>
        <v>0</v>
      </c>
      <c r="L39" s="98">
        <v>0.16886000000000001</v>
      </c>
      <c r="M39" s="71">
        <f t="shared" si="2"/>
        <v>0</v>
      </c>
      <c r="P39" s="125"/>
      <c r="Q39" s="125"/>
    </row>
    <row r="40" spans="1:17" ht="15.75">
      <c r="A40" s="1" t="s">
        <v>74</v>
      </c>
      <c r="B40" s="131" t="s">
        <v>75</v>
      </c>
      <c r="C40" s="20">
        <v>342746.27</v>
      </c>
      <c r="D40" s="179"/>
      <c r="F40" s="75" t="s">
        <v>18</v>
      </c>
      <c r="G40" s="94">
        <f t="shared" si="4"/>
        <v>7673</v>
      </c>
      <c r="H40" s="98">
        <v>0.17066999999999999</v>
      </c>
      <c r="I40" s="71">
        <f t="shared" si="3"/>
        <v>1309.5509099999999</v>
      </c>
      <c r="J40" s="75" t="s">
        <v>20</v>
      </c>
      <c r="K40" s="94">
        <f>K27</f>
        <v>0</v>
      </c>
      <c r="L40" s="98">
        <v>0.16886000000000001</v>
      </c>
      <c r="M40" s="71">
        <f t="shared" si="2"/>
        <v>0</v>
      </c>
      <c r="P40" s="125"/>
      <c r="Q40" s="125"/>
    </row>
    <row r="41" spans="1:17" ht="15.75">
      <c r="A41" s="1" t="s">
        <v>91</v>
      </c>
      <c r="B41" s="117" t="s">
        <v>92</v>
      </c>
      <c r="C41" s="20">
        <v>14180.47</v>
      </c>
      <c r="D41" s="179"/>
      <c r="F41" s="75" t="s">
        <v>19</v>
      </c>
      <c r="G41" s="94">
        <f t="shared" si="4"/>
        <v>97867</v>
      </c>
      <c r="H41" s="98">
        <v>0.17066999999999999</v>
      </c>
      <c r="I41" s="71">
        <f t="shared" si="3"/>
        <v>16702.960889999998</v>
      </c>
      <c r="J41" s="75" t="s">
        <v>21</v>
      </c>
      <c r="K41" s="93">
        <v>0</v>
      </c>
      <c r="L41" s="98">
        <v>0.16886000000000001</v>
      </c>
      <c r="M41" s="71">
        <f t="shared" si="2"/>
        <v>0</v>
      </c>
      <c r="P41" s="125"/>
      <c r="Q41" s="125"/>
    </row>
    <row r="42" spans="1:17" ht="16.5" thickBot="1">
      <c r="A42" s="1" t="s">
        <v>109</v>
      </c>
      <c r="B42" s="131" t="s">
        <v>110</v>
      </c>
      <c r="C42" s="20">
        <v>1675553.79</v>
      </c>
      <c r="D42" s="2"/>
      <c r="F42" s="75" t="s">
        <v>20</v>
      </c>
      <c r="G42" s="94">
        <f t="shared" si="4"/>
        <v>35233</v>
      </c>
      <c r="H42" s="98">
        <v>0.17066999999999999</v>
      </c>
      <c r="I42" s="71">
        <f t="shared" si="3"/>
        <v>6013.2161099999994</v>
      </c>
      <c r="J42" s="75" t="s">
        <v>22</v>
      </c>
      <c r="K42" s="95">
        <v>0</v>
      </c>
      <c r="L42" s="98">
        <v>0.16886000000000001</v>
      </c>
      <c r="M42" s="71">
        <f t="shared" si="2"/>
        <v>0</v>
      </c>
      <c r="P42" s="125"/>
      <c r="Q42" s="125"/>
    </row>
    <row r="43" spans="1:17" ht="16.5" thickBot="1">
      <c r="A43" s="14" t="s">
        <v>66</v>
      </c>
      <c r="B43" s="4"/>
      <c r="C43" s="178">
        <f>SUM(C37:C42)</f>
        <v>9724755.7599999998</v>
      </c>
      <c r="D43" s="179"/>
      <c r="F43" s="75" t="s">
        <v>21</v>
      </c>
      <c r="G43" s="94">
        <f t="shared" si="4"/>
        <v>0</v>
      </c>
      <c r="H43" s="98">
        <v>0.17066999999999999</v>
      </c>
      <c r="I43" s="71">
        <f t="shared" si="3"/>
        <v>0</v>
      </c>
      <c r="J43" s="74" t="s">
        <v>76</v>
      </c>
      <c r="K43" s="56">
        <f>SUM(K36:K42)</f>
        <v>3379605</v>
      </c>
      <c r="L43" s="57"/>
      <c r="M43" s="72">
        <f>SUM(M36:M42)</f>
        <v>570680.10030000005</v>
      </c>
    </row>
    <row r="44" spans="1:17" ht="16.5" thickBot="1">
      <c r="A44" s="182" t="s">
        <v>108</v>
      </c>
      <c r="B44" s="183" t="s">
        <v>63</v>
      </c>
      <c r="C44" s="20">
        <f>-4977520.79+4169.39+40907+50321.17</f>
        <v>-4882123.2300000004</v>
      </c>
      <c r="D44" s="2"/>
      <c r="F44" s="75" t="s">
        <v>22</v>
      </c>
      <c r="G44" s="94">
        <f t="shared" si="4"/>
        <v>74295</v>
      </c>
      <c r="H44" s="98">
        <v>0.17066999999999999</v>
      </c>
      <c r="I44" s="71">
        <f t="shared" si="3"/>
        <v>12679.92765</v>
      </c>
      <c r="J44" s="69"/>
      <c r="K44" s="88">
        <v>3379605</v>
      </c>
      <c r="L44" s="64" t="s">
        <v>49</v>
      </c>
      <c r="M44" s="85">
        <f>M43/K43</f>
        <v>0.16886000000000001</v>
      </c>
    </row>
    <row r="45" spans="1:17" ht="16.5" thickBot="1">
      <c r="A45" s="81" t="s">
        <v>102</v>
      </c>
      <c r="B45" s="117" t="s">
        <v>58</v>
      </c>
      <c r="C45" s="20">
        <v>0</v>
      </c>
      <c r="D45" s="180"/>
      <c r="F45" s="74" t="s">
        <v>76</v>
      </c>
      <c r="G45" s="56">
        <f>SUM(G37:G44)</f>
        <v>6927346</v>
      </c>
      <c r="H45" s="57"/>
      <c r="I45" s="72">
        <f>SUM(I37:I44)</f>
        <v>1182290.1418199996</v>
      </c>
      <c r="J45" s="14"/>
      <c r="K45" s="87"/>
      <c r="L45" s="62"/>
      <c r="M45" s="113"/>
    </row>
    <row r="46" spans="1:17" ht="19.5" customHeight="1" thickTop="1" thickBot="1">
      <c r="A46" s="81" t="s">
        <v>103</v>
      </c>
      <c r="B46" s="117" t="s">
        <v>58</v>
      </c>
      <c r="C46" s="20">
        <v>0</v>
      </c>
      <c r="D46" s="181"/>
      <c r="F46" s="63"/>
      <c r="G46" s="88">
        <v>6927346</v>
      </c>
      <c r="H46" s="64" t="s">
        <v>49</v>
      </c>
      <c r="I46" s="83">
        <f>I45/G45</f>
        <v>0.17066999999999993</v>
      </c>
      <c r="J46" s="14"/>
      <c r="K46" s="87"/>
      <c r="L46" s="62"/>
      <c r="M46" s="113"/>
    </row>
    <row r="47" spans="1:17" ht="19.5" customHeight="1">
      <c r="A47" s="97" t="s">
        <v>80</v>
      </c>
      <c r="B47" s="117" t="s">
        <v>58</v>
      </c>
      <c r="C47" s="20">
        <v>-43847.62</v>
      </c>
      <c r="D47" s="179"/>
      <c r="G47" s="86">
        <f>G45-G46</f>
        <v>0</v>
      </c>
      <c r="J47" s="21"/>
      <c r="K47" s="86">
        <f>K43-K44</f>
        <v>0</v>
      </c>
      <c r="M47" s="21"/>
    </row>
    <row r="48" spans="1:17" ht="16.5" thickBot="1">
      <c r="A48" s="81" t="s">
        <v>158</v>
      </c>
      <c r="B48" s="117" t="s">
        <v>58</v>
      </c>
      <c r="C48" s="20">
        <v>14000</v>
      </c>
      <c r="D48" s="179"/>
      <c r="J48" s="21"/>
      <c r="K48" s="18"/>
      <c r="M48" s="13"/>
    </row>
    <row r="49" spans="1:20" ht="15.75">
      <c r="A49" s="1" t="s">
        <v>73</v>
      </c>
      <c r="B49" s="131" t="s">
        <v>90</v>
      </c>
      <c r="C49" s="20">
        <v>19910</v>
      </c>
      <c r="D49" s="179"/>
      <c r="G49" s="18"/>
      <c r="H49" s="25" t="s">
        <v>14</v>
      </c>
      <c r="I49" s="5" t="s">
        <v>14</v>
      </c>
      <c r="J49" s="5" t="s">
        <v>26</v>
      </c>
      <c r="K49" s="23" t="s">
        <v>33</v>
      </c>
      <c r="L49" s="21"/>
    </row>
    <row r="50" spans="1:20" ht="16.5" thickBot="1">
      <c r="A50" s="1" t="s">
        <v>121</v>
      </c>
      <c r="B50" s="131" t="s">
        <v>90</v>
      </c>
      <c r="C50" s="20">
        <v>2464.54</v>
      </c>
      <c r="D50" s="2"/>
      <c r="F50" s="9" t="s">
        <v>36</v>
      </c>
      <c r="H50" s="26" t="s">
        <v>0</v>
      </c>
      <c r="I50" s="27" t="s">
        <v>1</v>
      </c>
      <c r="J50" s="27" t="s">
        <v>0</v>
      </c>
      <c r="K50" s="24" t="s">
        <v>1</v>
      </c>
    </row>
    <row r="51" spans="1:20" ht="15.75">
      <c r="A51" s="1" t="s">
        <v>161</v>
      </c>
      <c r="B51" s="131" t="s">
        <v>90</v>
      </c>
      <c r="C51" s="20">
        <v>4151.87</v>
      </c>
      <c r="D51" s="179"/>
      <c r="H51" s="32"/>
      <c r="I51" s="33"/>
      <c r="J51" s="33"/>
      <c r="K51" s="33"/>
      <c r="L51" s="22" t="s">
        <v>50</v>
      </c>
    </row>
    <row r="52" spans="1:20" ht="15.75">
      <c r="A52" s="44" t="s">
        <v>61</v>
      </c>
      <c r="B52" s="117"/>
      <c r="C52" s="17">
        <f>-C33</f>
        <v>57784.689999999995</v>
      </c>
      <c r="D52" s="176"/>
      <c r="F52" s="97" t="s">
        <v>79</v>
      </c>
      <c r="H52" s="82">
        <f>K12</f>
        <v>229683.07583199965</v>
      </c>
      <c r="I52" s="19">
        <f>I14</f>
        <v>1500295.3235760001</v>
      </c>
      <c r="J52" s="19">
        <f>L12</f>
        <v>-794892.95583200024</v>
      </c>
      <c r="K52" s="19">
        <f>J14</f>
        <v>672156.63642400003</v>
      </c>
      <c r="L52" s="28">
        <f>SUM(H52:K52)</f>
        <v>1607242.0799999994</v>
      </c>
    </row>
    <row r="53" spans="1:20" ht="16.5" thickBot="1">
      <c r="A53" s="97" t="s">
        <v>168</v>
      </c>
      <c r="B53" s="131" t="s">
        <v>169</v>
      </c>
      <c r="C53" s="20">
        <v>12410.31</v>
      </c>
      <c r="D53" s="176"/>
      <c r="F53" s="97" t="s">
        <v>52</v>
      </c>
      <c r="H53" s="82">
        <f>-I45</f>
        <v>-1182290.1418199996</v>
      </c>
      <c r="I53" s="19">
        <f>-I32</f>
        <v>-682132.0777299999</v>
      </c>
      <c r="J53" s="19">
        <f>-M43</f>
        <v>-570680.10030000005</v>
      </c>
      <c r="K53" s="19">
        <f>-M28</f>
        <v>-323901.3432</v>
      </c>
      <c r="L53" s="92">
        <f>SUM(H53:K53)</f>
        <v>-2759003.6630499996</v>
      </c>
    </row>
    <row r="54" spans="1:20" ht="16.5" thickBot="1">
      <c r="A54" s="97" t="s">
        <v>67</v>
      </c>
      <c r="B54" s="117" t="s">
        <v>156</v>
      </c>
      <c r="C54" s="20">
        <v>-4056230.4</v>
      </c>
      <c r="D54" s="179"/>
      <c r="F54" s="97" t="s">
        <v>38</v>
      </c>
      <c r="H54" s="89">
        <v>0</v>
      </c>
      <c r="I54" s="90">
        <v>0</v>
      </c>
      <c r="J54" s="90">
        <v>0</v>
      </c>
      <c r="K54" s="91">
        <v>0</v>
      </c>
      <c r="L54" s="184">
        <f>SUM(L52:L53)</f>
        <v>-1151761.5830500002</v>
      </c>
    </row>
    <row r="55" spans="1:20" ht="16.5" thickBot="1">
      <c r="A55" s="97" t="s">
        <v>165</v>
      </c>
      <c r="B55" s="117" t="s">
        <v>120</v>
      </c>
      <c r="C55" s="20">
        <v>-375000</v>
      </c>
      <c r="D55" s="179"/>
      <c r="F55" s="97" t="s">
        <v>34</v>
      </c>
      <c r="H55" s="178">
        <f>IFERROR(H52+H53+H54,0)</f>
        <v>-952607.0659879999</v>
      </c>
      <c r="I55" s="178">
        <f>I52+I53+I54</f>
        <v>818163.24584600015</v>
      </c>
      <c r="J55" s="178">
        <f>IFERROR(J52+J53+J54,0)</f>
        <v>-1365573.0561320004</v>
      </c>
      <c r="K55" s="178">
        <f>K52+K53+K54</f>
        <v>348255.29322400002</v>
      </c>
      <c r="L55" s="185">
        <f>SUM(H55:K55)</f>
        <v>-1151761.58305</v>
      </c>
    </row>
    <row r="56" spans="1:20" ht="16.5" thickBot="1">
      <c r="A56" s="186" t="s">
        <v>62</v>
      </c>
      <c r="B56" s="183"/>
      <c r="C56" s="36">
        <f>SUM(C43:C55)</f>
        <v>478275.91999999946</v>
      </c>
      <c r="D56" s="179"/>
      <c r="F56" s="187" t="s">
        <v>112</v>
      </c>
      <c r="H56" s="97" t="s">
        <v>104</v>
      </c>
      <c r="I56" s="1">
        <f>SUM(H55:I55)</f>
        <v>-134443.82014199975</v>
      </c>
      <c r="J56" s="12" t="s">
        <v>105</v>
      </c>
      <c r="K56" s="97">
        <f>SUM(J55:K55)</f>
        <v>-1017317.7629080004</v>
      </c>
      <c r="L56" s="188">
        <f>ROUND(L54-L55,3)</f>
        <v>0</v>
      </c>
      <c r="T56" s="189"/>
    </row>
    <row r="57" spans="1:20" ht="16.5" thickTop="1">
      <c r="A57" s="97" t="s">
        <v>178</v>
      </c>
      <c r="B57" s="131" t="s">
        <v>179</v>
      </c>
      <c r="C57" s="20">
        <v>-36347</v>
      </c>
      <c r="D57" s="179"/>
      <c r="F57" s="187"/>
      <c r="I57" s="1"/>
      <c r="J57" s="12"/>
      <c r="L57" s="17"/>
      <c r="T57" s="189"/>
    </row>
    <row r="58" spans="1:20" ht="15.75">
      <c r="A58" s="97" t="s">
        <v>178</v>
      </c>
      <c r="B58" s="131" t="s">
        <v>180</v>
      </c>
      <c r="C58" s="20">
        <v>-926202</v>
      </c>
      <c r="D58" s="179"/>
      <c r="F58" s="187"/>
      <c r="I58" s="1"/>
      <c r="J58" s="12"/>
      <c r="L58" s="17"/>
      <c r="T58" s="189"/>
    </row>
    <row r="59" spans="1:20" ht="15.75">
      <c r="A59" s="97" t="s">
        <v>64</v>
      </c>
      <c r="B59" s="117" t="s">
        <v>176</v>
      </c>
      <c r="C59" s="20">
        <v>-55419.17</v>
      </c>
      <c r="D59" s="179"/>
      <c r="F59" s="190" t="s">
        <v>112</v>
      </c>
      <c r="H59" s="191"/>
    </row>
    <row r="60" spans="1:20" ht="16.5" thickBot="1">
      <c r="A60" s="97" t="s">
        <v>65</v>
      </c>
      <c r="B60" s="117" t="s">
        <v>177</v>
      </c>
      <c r="C60" s="20">
        <v>-25517.63</v>
      </c>
      <c r="D60" s="179"/>
      <c r="F60" s="190" t="s">
        <v>113</v>
      </c>
      <c r="H60" s="180"/>
      <c r="I60" s="192"/>
      <c r="J60" s="192"/>
      <c r="K60" s="193"/>
      <c r="L60" s="192"/>
    </row>
    <row r="61" spans="1:20" ht="16.5" thickBot="1">
      <c r="A61" s="9" t="s">
        <v>68</v>
      </c>
      <c r="B61" s="9"/>
      <c r="C61" s="36">
        <f>SUM(C56:C60)</f>
        <v>-565209.88000000059</v>
      </c>
      <c r="D61" s="179"/>
      <c r="F61" s="194" t="s">
        <v>157</v>
      </c>
      <c r="G61" s="9" t="str">
        <f>IF(OR(AND(I56&gt;0,K56&gt;0),AND(I56&lt;0,K56&lt;0)),"OK","ERROR")</f>
        <v>OK</v>
      </c>
      <c r="H61" s="32" t="s">
        <v>154</v>
      </c>
      <c r="I61" s="77"/>
    </row>
    <row r="62" spans="1:20" ht="17.25" thickTop="1" thickBot="1">
      <c r="A62" s="9"/>
      <c r="C62" s="116"/>
      <c r="D62" s="179"/>
      <c r="H62" s="35" t="s">
        <v>106</v>
      </c>
      <c r="I62" s="148" t="s">
        <v>107</v>
      </c>
      <c r="J62" s="1"/>
    </row>
    <row r="63" spans="1:20" ht="16.5" thickBot="1">
      <c r="A63" s="29"/>
      <c r="B63" s="29" t="s">
        <v>46</v>
      </c>
      <c r="C63" s="178">
        <f>C61+C34</f>
        <v>1607242.0799999994</v>
      </c>
      <c r="D63" s="179"/>
      <c r="H63" s="96" t="e">
        <f>SUM('WA - Def-Amtz (current)'!BA5:BA40)+SUM(#REF!)</f>
        <v>#REF!</v>
      </c>
      <c r="I63" s="100" t="e">
        <f>SUM('WA - Def-Amtz (current)'!BB5:BB41)+SUM(#REF!)</f>
        <v>#REF!</v>
      </c>
    </row>
    <row r="64" spans="1:20" ht="15.75">
      <c r="A64" s="9"/>
      <c r="B64" s="29" t="s">
        <v>95</v>
      </c>
      <c r="C64" s="118">
        <v>1607242.08</v>
      </c>
      <c r="D64" s="2"/>
      <c r="G64" s="1"/>
      <c r="I64" s="17" t="e">
        <f>H63-I63</f>
        <v>#REF!</v>
      </c>
      <c r="N64" s="1"/>
      <c r="O64" s="1"/>
      <c r="P64" s="195"/>
    </row>
    <row r="65" spans="1:21" ht="15.75">
      <c r="A65" s="29"/>
      <c r="B65" s="29" t="s">
        <v>94</v>
      </c>
      <c r="C65" s="17">
        <f>ROUND(C63-C64,2)</f>
        <v>0</v>
      </c>
      <c r="S65" s="117"/>
    </row>
    <row r="66" spans="1:21" ht="15.75">
      <c r="A66" s="15"/>
      <c r="C66" s="196"/>
      <c r="D66" s="179"/>
      <c r="N66" s="44"/>
      <c r="U66" s="9"/>
    </row>
    <row r="67" spans="1:21" ht="15.75">
      <c r="A67" s="15"/>
      <c r="C67" s="2"/>
      <c r="D67" s="197"/>
      <c r="N67" s="44"/>
      <c r="S67" s="198"/>
    </row>
    <row r="68" spans="1:21" ht="15.75">
      <c r="A68" s="9"/>
      <c r="C68" s="2"/>
      <c r="D68" s="179"/>
      <c r="N68" s="44"/>
      <c r="S68" s="199"/>
    </row>
    <row r="69" spans="1:21">
      <c r="C69" s="17"/>
      <c r="D69" s="179"/>
      <c r="N69" s="44"/>
      <c r="S69" s="200"/>
    </row>
    <row r="70" spans="1:21">
      <c r="D70" s="179"/>
      <c r="N70" s="44"/>
      <c r="S70" s="199"/>
    </row>
    <row r="71" spans="1:21">
      <c r="D71" s="179"/>
      <c r="N71" s="44"/>
    </row>
    <row r="72" spans="1:21">
      <c r="D72" s="2"/>
      <c r="N72" s="44"/>
      <c r="S72" s="201"/>
    </row>
    <row r="73" spans="1:21">
      <c r="D73" s="179"/>
    </row>
    <row r="74" spans="1:21">
      <c r="D74" s="179"/>
    </row>
    <row r="75" spans="1:21">
      <c r="D75" s="179"/>
      <c r="S75" s="202"/>
    </row>
    <row r="76" spans="1:21">
      <c r="D76" s="66"/>
      <c r="R76" s="117"/>
      <c r="S76" s="117"/>
      <c r="T76" s="117"/>
    </row>
    <row r="78" spans="1:21">
      <c r="U78" s="203"/>
    </row>
    <row r="1479" spans="3:3">
      <c r="C1479" s="97">
        <v>-2130</v>
      </c>
    </row>
    <row r="1487" spans="3:3">
      <c r="C1487" s="97">
        <f>7004298-2130</f>
        <v>7002168</v>
      </c>
    </row>
  </sheetData>
  <mergeCells count="3">
    <mergeCell ref="F18:I18"/>
    <mergeCell ref="J18:M18"/>
    <mergeCell ref="K35:M35"/>
  </mergeCells>
  <conditionalFormatting sqref="C65 L56:L58 I64">
    <cfRule type="cellIs" dxfId="60" priority="7" stopIfTrue="1" operator="equal">
      <formula>0</formula>
    </cfRule>
    <cfRule type="cellIs" dxfId="59" priority="8" stopIfTrue="1" operator="notEqual">
      <formula>0</formula>
    </cfRule>
  </conditionalFormatting>
  <conditionalFormatting sqref="G34 G47 K30 K47">
    <cfRule type="cellIs" dxfId="58" priority="6" operator="notEqual">
      <formula>0</formula>
    </cfRule>
  </conditionalFormatting>
  <conditionalFormatting sqref="C65">
    <cfRule type="cellIs" dxfId="57" priority="4" stopIfTrue="1" operator="equal">
      <formula>0</formula>
    </cfRule>
    <cfRule type="cellIs" dxfId="56" priority="5" stopIfTrue="1" operator="notEqual">
      <formula>0</formula>
    </cfRule>
  </conditionalFormatting>
  <conditionalFormatting sqref="K30">
    <cfRule type="cellIs" dxfId="55" priority="3" operator="notEqual">
      <formula>0</formula>
    </cfRule>
  </conditionalFormatting>
  <conditionalFormatting sqref="G61">
    <cfRule type="cellIs" dxfId="54" priority="2" operator="equal">
      <formula>"ERROR"</formula>
    </cfRule>
  </conditionalFormatting>
  <conditionalFormatting sqref="G61">
    <cfRule type="cellIs" dxfId="53"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1">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24.28515625"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4" t="s">
        <v>27</v>
      </c>
      <c r="B1" s="175"/>
      <c r="C1" s="109">
        <f>May!C1+1</f>
        <v>201906</v>
      </c>
      <c r="F1" s="109">
        <f>C1</f>
        <v>201906</v>
      </c>
      <c r="H1" s="37" t="s">
        <v>32</v>
      </c>
      <c r="I1" s="22" t="s">
        <v>1</v>
      </c>
      <c r="J1" s="22" t="s">
        <v>1</v>
      </c>
      <c r="K1" s="22" t="s">
        <v>29</v>
      </c>
      <c r="L1" s="22" t="s">
        <v>29</v>
      </c>
    </row>
    <row r="2" spans="1:12" ht="15.75">
      <c r="C2" s="6"/>
      <c r="H2" s="38" t="s">
        <v>11</v>
      </c>
      <c r="I2" s="39" t="s">
        <v>28</v>
      </c>
      <c r="J2" s="39" t="s">
        <v>28</v>
      </c>
      <c r="K2" s="39" t="s">
        <v>30</v>
      </c>
      <c r="L2" s="39" t="s">
        <v>30</v>
      </c>
    </row>
    <row r="3" spans="1:12" ht="16.5" thickBot="1">
      <c r="A3" s="10" t="s">
        <v>53</v>
      </c>
      <c r="C3" s="7"/>
      <c r="D3" s="176"/>
      <c r="F3" s="9" t="s">
        <v>35</v>
      </c>
      <c r="H3" s="40" t="s">
        <v>31</v>
      </c>
      <c r="I3" s="40" t="s">
        <v>14</v>
      </c>
      <c r="J3" s="40" t="s">
        <v>26</v>
      </c>
      <c r="K3" s="40" t="s">
        <v>14</v>
      </c>
      <c r="L3" s="40" t="s">
        <v>26</v>
      </c>
    </row>
    <row r="4" spans="1:12" ht="15.75">
      <c r="A4" s="97" t="s">
        <v>39</v>
      </c>
      <c r="C4" s="20">
        <v>3514539.59</v>
      </c>
      <c r="D4" s="6"/>
      <c r="H4" s="3"/>
    </row>
    <row r="5" spans="1:12" ht="14.25" customHeight="1">
      <c r="A5" s="97" t="s">
        <v>10</v>
      </c>
      <c r="C5" s="20">
        <v>25294.880000000001</v>
      </c>
      <c r="D5" s="6"/>
      <c r="H5" s="3"/>
      <c r="I5" s="177">
        <v>0.69059999999999999</v>
      </c>
      <c r="J5" s="177">
        <v>0.30940000000000001</v>
      </c>
      <c r="K5" s="99">
        <f>ROUND(G45/(G45+K43),4)</f>
        <v>0.65239999999999998</v>
      </c>
      <c r="L5" s="99">
        <f>1-K5</f>
        <v>0.34760000000000002</v>
      </c>
    </row>
    <row r="6" spans="1:12" ht="16.5" thickBot="1">
      <c r="A6" s="8" t="s">
        <v>9</v>
      </c>
      <c r="C6" s="112">
        <f>-1436921.83-409846.5-117099-131736.38-75528.86-94334.95</f>
        <v>-2265467.52</v>
      </c>
      <c r="D6" s="6"/>
    </row>
    <row r="7" spans="1:12" ht="16.5" thickBot="1">
      <c r="A7" s="12" t="s">
        <v>83</v>
      </c>
      <c r="C7" s="17">
        <f>SUM(C4:C6)</f>
        <v>1274366.9499999997</v>
      </c>
      <c r="D7" s="7"/>
      <c r="F7" s="41" t="s">
        <v>197</v>
      </c>
      <c r="G7" s="41"/>
      <c r="H7" s="178">
        <f>C34</f>
        <v>2191221.5699999998</v>
      </c>
      <c r="I7" s="42">
        <f>H7*I5</f>
        <v>1513257.6162419999</v>
      </c>
      <c r="J7" s="42">
        <f>H7*J5</f>
        <v>677963.95375799993</v>
      </c>
      <c r="K7" s="42"/>
      <c r="L7" s="42"/>
    </row>
    <row r="8" spans="1:12" ht="15.75">
      <c r="A8" s="97" t="s">
        <v>40</v>
      </c>
      <c r="C8" s="20">
        <v>166900.87</v>
      </c>
      <c r="D8" s="7"/>
      <c r="H8" s="43"/>
      <c r="I8" s="43"/>
      <c r="J8" s="43"/>
      <c r="K8" s="43"/>
      <c r="L8" s="43"/>
    </row>
    <row r="9" spans="1:12" ht="15.75">
      <c r="A9" s="97" t="s">
        <v>41</v>
      </c>
      <c r="C9" s="20">
        <f>5762.93-201.63</f>
        <v>5561.3</v>
      </c>
      <c r="D9" s="179"/>
      <c r="F9" s="41" t="s">
        <v>62</v>
      </c>
      <c r="H9" s="42">
        <f>C56</f>
        <v>-1266022.21</v>
      </c>
      <c r="I9" s="42"/>
      <c r="J9" s="42"/>
      <c r="K9" s="42">
        <f>H9*K5</f>
        <v>-825952.88980399992</v>
      </c>
      <c r="L9" s="42">
        <f>H9*L5</f>
        <v>-440069.32019599999</v>
      </c>
    </row>
    <row r="10" spans="1:12" ht="15.75">
      <c r="A10" s="8" t="s">
        <v>42</v>
      </c>
      <c r="C10" s="112">
        <v>-2979.2</v>
      </c>
      <c r="D10" s="179"/>
      <c r="F10" s="44" t="s">
        <v>23</v>
      </c>
      <c r="H10" s="42">
        <f>C57</f>
        <v>-14248.9</v>
      </c>
      <c r="I10" s="42"/>
      <c r="J10" s="42"/>
      <c r="K10" s="42">
        <f>H10</f>
        <v>-14248.9</v>
      </c>
      <c r="L10" s="42"/>
    </row>
    <row r="11" spans="1:12">
      <c r="A11" s="12" t="s">
        <v>84</v>
      </c>
      <c r="C11" s="17">
        <f>SUM(C8:C10)</f>
        <v>169482.96999999997</v>
      </c>
      <c r="D11" s="179"/>
      <c r="F11" s="44" t="s">
        <v>24</v>
      </c>
      <c r="H11" s="45">
        <f>C58</f>
        <v>-7420.49</v>
      </c>
      <c r="I11" s="42"/>
      <c r="J11" s="42"/>
      <c r="K11" s="45"/>
      <c r="L11" s="45">
        <f>H11</f>
        <v>-7420.49</v>
      </c>
    </row>
    <row r="12" spans="1:12" ht="15.75">
      <c r="A12" s="97" t="s">
        <v>99</v>
      </c>
      <c r="C12" s="20">
        <f>5188.68+237154.92</f>
        <v>242343.6</v>
      </c>
      <c r="D12" s="179"/>
      <c r="F12" s="44" t="s">
        <v>81</v>
      </c>
      <c r="H12" s="42">
        <f>H9+H10+H11</f>
        <v>-1287691.5999999999</v>
      </c>
      <c r="I12" s="42"/>
      <c r="J12" s="42"/>
      <c r="K12" s="42">
        <f>SUM(K9:K11)</f>
        <v>-840201.78980399994</v>
      </c>
      <c r="L12" s="42">
        <f>SUM(L9:L11)</f>
        <v>-447489.81019599998</v>
      </c>
    </row>
    <row r="13" spans="1:12" ht="16.5" thickBot="1">
      <c r="A13" s="8" t="s">
        <v>100</v>
      </c>
      <c r="C13" s="112">
        <v>0</v>
      </c>
      <c r="D13" s="179"/>
      <c r="F13" s="46"/>
      <c r="G13" s="47"/>
      <c r="H13" s="48"/>
      <c r="I13" s="49"/>
      <c r="J13" s="48"/>
      <c r="K13" s="43"/>
      <c r="L13" s="48"/>
    </row>
    <row r="14" spans="1:12" ht="16.5" thickBot="1">
      <c r="A14" s="12" t="s">
        <v>43</v>
      </c>
      <c r="C14" s="17">
        <f>SUM(C12:C13)</f>
        <v>242343.6</v>
      </c>
      <c r="D14" s="2"/>
      <c r="F14" s="9" t="s">
        <v>32</v>
      </c>
      <c r="G14" s="50"/>
      <c r="H14" s="178">
        <f>H12+H7</f>
        <v>903529.97</v>
      </c>
      <c r="I14" s="51">
        <f>SUM(I7:I13)</f>
        <v>1513257.6162419999</v>
      </c>
      <c r="J14" s="51">
        <f>SUM(J7:J13)</f>
        <v>677963.95375799993</v>
      </c>
      <c r="K14" s="51">
        <f>K12</f>
        <v>-840201.78980399994</v>
      </c>
      <c r="L14" s="51">
        <f>L12</f>
        <v>-447489.81019599998</v>
      </c>
    </row>
    <row r="15" spans="1:12" ht="15.75">
      <c r="A15" s="97" t="s">
        <v>114</v>
      </c>
      <c r="C15" s="20">
        <f>9464.15+431610.85</f>
        <v>441075</v>
      </c>
      <c r="D15" s="179"/>
      <c r="F15" s="46"/>
      <c r="G15" s="47" t="s">
        <v>49</v>
      </c>
      <c r="H15" s="48">
        <f>H14-C61</f>
        <v>0</v>
      </c>
      <c r="I15" s="52"/>
      <c r="J15" s="48">
        <f>J7+I7-H7</f>
        <v>0</v>
      </c>
      <c r="L15" s="48">
        <f>H12-K14-L14</f>
        <v>0</v>
      </c>
    </row>
    <row r="16" spans="1:12" ht="15.75">
      <c r="A16" s="8" t="s">
        <v>115</v>
      </c>
      <c r="C16" s="112">
        <v>0</v>
      </c>
      <c r="D16" s="179"/>
      <c r="F16" s="53"/>
      <c r="G16" s="47"/>
      <c r="H16" s="54"/>
      <c r="I16" s="55"/>
      <c r="J16" s="54"/>
      <c r="L16" s="54"/>
    </row>
    <row r="17" spans="1:13" ht="15.75" thickBot="1">
      <c r="A17" s="12" t="s">
        <v>116</v>
      </c>
      <c r="C17" s="17">
        <f>SUM(C15:C16)</f>
        <v>441075</v>
      </c>
      <c r="D17" s="2"/>
      <c r="F17" s="46"/>
      <c r="G17" s="47"/>
      <c r="H17" s="54"/>
      <c r="I17" s="55"/>
      <c r="J17" s="58"/>
      <c r="L17" s="54"/>
    </row>
    <row r="18" spans="1:13" ht="16.5" thickBot="1">
      <c r="A18" s="97" t="s">
        <v>97</v>
      </c>
      <c r="C18" s="20">
        <f>9934.6-11923.28+102551.6+2478.36</f>
        <v>103041.28000000001</v>
      </c>
      <c r="D18" s="179"/>
      <c r="F18" s="134" t="s">
        <v>77</v>
      </c>
      <c r="G18" s="135"/>
      <c r="H18" s="135"/>
      <c r="I18" s="136"/>
      <c r="J18" s="134" t="s">
        <v>78</v>
      </c>
      <c r="K18" s="135"/>
      <c r="L18" s="135"/>
      <c r="M18" s="136"/>
    </row>
    <row r="19" spans="1:13" ht="15.75">
      <c r="A19" s="8" t="s">
        <v>98</v>
      </c>
      <c r="C19" s="112">
        <v>-3912.35</v>
      </c>
      <c r="D19" s="179"/>
      <c r="F19" s="76" t="s">
        <v>51</v>
      </c>
      <c r="G19" s="39" t="s">
        <v>12</v>
      </c>
      <c r="H19" s="39" t="s">
        <v>12</v>
      </c>
      <c r="I19" s="39" t="s">
        <v>12</v>
      </c>
      <c r="J19" s="76" t="s">
        <v>51</v>
      </c>
      <c r="K19" s="39" t="s">
        <v>12</v>
      </c>
      <c r="L19" s="39" t="s">
        <v>12</v>
      </c>
      <c r="M19" s="60" t="s">
        <v>12</v>
      </c>
    </row>
    <row r="20" spans="1:13" ht="16.5" thickBot="1">
      <c r="A20" s="11" t="s">
        <v>44</v>
      </c>
      <c r="C20" s="17">
        <f>SUM(C18:C19)</f>
        <v>99128.930000000008</v>
      </c>
      <c r="D20" s="179"/>
      <c r="F20" s="70" t="s">
        <v>96</v>
      </c>
      <c r="G20" s="40" t="s">
        <v>48</v>
      </c>
      <c r="H20" s="40" t="s">
        <v>15</v>
      </c>
      <c r="I20" s="40" t="s">
        <v>13</v>
      </c>
      <c r="J20" s="70" t="s">
        <v>96</v>
      </c>
      <c r="K20" s="40" t="s">
        <v>48</v>
      </c>
      <c r="L20" s="40" t="s">
        <v>15</v>
      </c>
      <c r="M20" s="40" t="s">
        <v>13</v>
      </c>
    </row>
    <row r="21" spans="1:13" ht="15.75">
      <c r="A21" s="8" t="s">
        <v>196</v>
      </c>
      <c r="C21" s="112">
        <v>30.06</v>
      </c>
      <c r="D21" s="179"/>
      <c r="F21" s="59"/>
      <c r="G21" s="4"/>
      <c r="H21" s="4"/>
      <c r="I21" s="60"/>
      <c r="J21" s="25"/>
      <c r="K21" s="5"/>
      <c r="L21" s="5"/>
      <c r="M21" s="77"/>
    </row>
    <row r="22" spans="1:13" ht="18" customHeight="1">
      <c r="A22" s="11" t="s">
        <v>88</v>
      </c>
      <c r="C22" s="17">
        <f>SUM(C21)</f>
        <v>30.06</v>
      </c>
      <c r="D22" s="179"/>
      <c r="F22" s="74" t="s">
        <v>69</v>
      </c>
      <c r="G22" s="1"/>
      <c r="H22" s="1"/>
      <c r="I22" s="16"/>
      <c r="J22" s="74" t="s">
        <v>69</v>
      </c>
      <c r="K22" s="1"/>
      <c r="L22" s="1"/>
      <c r="M22" s="16"/>
    </row>
    <row r="23" spans="1:13" ht="15.75">
      <c r="A23" s="78" t="s">
        <v>111</v>
      </c>
      <c r="C23" s="17">
        <v>0</v>
      </c>
      <c r="D23" s="179"/>
      <c r="F23" s="75" t="s">
        <v>16</v>
      </c>
      <c r="G23" s="93">
        <v>2497712</v>
      </c>
      <c r="H23" s="98">
        <v>0.10238999999999999</v>
      </c>
      <c r="I23" s="71">
        <f>G23*H23</f>
        <v>255740.73168</v>
      </c>
      <c r="J23" s="75" t="s">
        <v>16</v>
      </c>
      <c r="K23" s="93">
        <v>1473042</v>
      </c>
      <c r="L23" s="98">
        <v>9.5839999999999995E-2</v>
      </c>
      <c r="M23" s="71">
        <f>K23*L23</f>
        <v>141176.34527999998</v>
      </c>
    </row>
    <row r="24" spans="1:13" ht="15.75">
      <c r="A24" s="78" t="s">
        <v>117</v>
      </c>
      <c r="C24" s="20">
        <v>0</v>
      </c>
      <c r="D24" s="179"/>
      <c r="F24" s="75" t="s">
        <v>159</v>
      </c>
      <c r="G24" s="93">
        <v>2253</v>
      </c>
      <c r="H24" s="98">
        <v>0.10238999999999999</v>
      </c>
      <c r="I24" s="71">
        <f t="shared" ref="I24:I31" si="0">G24*H24</f>
        <v>230.68466999999998</v>
      </c>
      <c r="J24" s="75" t="s">
        <v>17</v>
      </c>
      <c r="K24" s="93">
        <v>1108394</v>
      </c>
      <c r="L24" s="98">
        <v>9.5839999999999995E-2</v>
      </c>
      <c r="M24" s="71">
        <f t="shared" ref="M24:M27" si="1">K24*L24</f>
        <v>106228.48096</v>
      </c>
    </row>
    <row r="25" spans="1:13" ht="15.75">
      <c r="A25" s="78" t="s">
        <v>119</v>
      </c>
      <c r="C25" s="114">
        <v>0</v>
      </c>
      <c r="D25" s="179"/>
      <c r="F25" s="75" t="s">
        <v>17</v>
      </c>
      <c r="G25" s="93">
        <v>2410231</v>
      </c>
      <c r="H25" s="98">
        <v>9.239E-2</v>
      </c>
      <c r="I25" s="71">
        <f t="shared" si="0"/>
        <v>222681.24209000001</v>
      </c>
      <c r="J25" s="75" t="s">
        <v>18</v>
      </c>
      <c r="K25" s="93">
        <v>31219</v>
      </c>
      <c r="L25" s="98">
        <v>9.5839999999999995E-2</v>
      </c>
      <c r="M25" s="71">
        <f t="shared" si="1"/>
        <v>2992.0289599999996</v>
      </c>
    </row>
    <row r="26" spans="1:13" ht="15.75">
      <c r="A26" s="79" t="s">
        <v>118</v>
      </c>
      <c r="C26" s="115">
        <v>0</v>
      </c>
      <c r="D26" s="179"/>
      <c r="F26" s="75" t="s">
        <v>18</v>
      </c>
      <c r="G26" s="93">
        <v>5783</v>
      </c>
      <c r="H26" s="98">
        <v>9.239E-2</v>
      </c>
      <c r="I26" s="71">
        <f t="shared" si="0"/>
        <v>534.29137000000003</v>
      </c>
      <c r="J26" s="75" t="s">
        <v>19</v>
      </c>
      <c r="K26" s="93">
        <v>0</v>
      </c>
      <c r="L26" s="98">
        <v>9.5839999999999995E-2</v>
      </c>
      <c r="M26" s="71">
        <f t="shared" si="1"/>
        <v>0</v>
      </c>
    </row>
    <row r="27" spans="1:13" ht="15.75">
      <c r="A27" s="11" t="s">
        <v>47</v>
      </c>
      <c r="C27" s="17">
        <f>SUM(C23:C26)</f>
        <v>0</v>
      </c>
      <c r="D27" s="179"/>
      <c r="F27" s="75" t="s">
        <v>19</v>
      </c>
      <c r="G27" s="93">
        <v>-90738</v>
      </c>
      <c r="H27" s="98">
        <v>9.2249999999999999E-2</v>
      </c>
      <c r="I27" s="71">
        <f t="shared" si="0"/>
        <v>-8370.5805</v>
      </c>
      <c r="J27" s="75" t="s">
        <v>20</v>
      </c>
      <c r="K27" s="93">
        <v>0</v>
      </c>
      <c r="L27" s="98">
        <v>9.5839999999999995E-2</v>
      </c>
      <c r="M27" s="71">
        <f t="shared" si="1"/>
        <v>0</v>
      </c>
    </row>
    <row r="28" spans="1:13" ht="16.5" thickBot="1">
      <c r="A28" s="80" t="s">
        <v>89</v>
      </c>
      <c r="C28" s="20">
        <v>0</v>
      </c>
      <c r="D28" s="2"/>
      <c r="F28" s="75" t="s">
        <v>20</v>
      </c>
      <c r="G28" s="93">
        <v>25730</v>
      </c>
      <c r="H28" s="98">
        <v>9.2249999999999999E-2</v>
      </c>
      <c r="I28" s="71">
        <f t="shared" si="0"/>
        <v>2373.5924999999997</v>
      </c>
      <c r="J28" s="74" t="s">
        <v>70</v>
      </c>
      <c r="K28" s="56">
        <f>SUM(K23:K27)</f>
        <v>2612655</v>
      </c>
      <c r="L28" s="57"/>
      <c r="M28" s="72">
        <f>SUM(M23:M27)</f>
        <v>250396.85519999996</v>
      </c>
    </row>
    <row r="29" spans="1:13" ht="17.25" thickTop="1" thickBot="1">
      <c r="A29" s="80" t="s">
        <v>101</v>
      </c>
      <c r="C29" s="20">
        <v>0</v>
      </c>
      <c r="D29" s="179"/>
      <c r="F29" s="75" t="s">
        <v>21</v>
      </c>
      <c r="G29" s="93">
        <v>0</v>
      </c>
      <c r="H29" s="98">
        <v>5.9499999999999997E-2</v>
      </c>
      <c r="I29" s="71">
        <f t="shared" si="0"/>
        <v>0</v>
      </c>
      <c r="J29" s="74"/>
      <c r="K29" s="87">
        <v>2612655</v>
      </c>
      <c r="L29" s="62" t="s">
        <v>49</v>
      </c>
      <c r="M29" s="103">
        <f>M28/K28</f>
        <v>9.5839999999999981E-2</v>
      </c>
    </row>
    <row r="30" spans="1:13" ht="16.5" thickBot="1">
      <c r="A30" s="9" t="s">
        <v>54</v>
      </c>
      <c r="C30" s="178">
        <f>C7+C11+C14+C17+C20+C22+C27+C28+C29</f>
        <v>2226427.5099999998</v>
      </c>
      <c r="D30" s="2"/>
      <c r="F30" s="75" t="s">
        <v>22</v>
      </c>
      <c r="G30" s="93">
        <v>52474</v>
      </c>
      <c r="H30" s="98">
        <v>5.9499999999999997E-2</v>
      </c>
      <c r="I30" s="71">
        <f t="shared" si="0"/>
        <v>3122.203</v>
      </c>
      <c r="J30" s="75"/>
      <c r="K30" s="86">
        <f>K28-K29</f>
        <v>0</v>
      </c>
      <c r="L30" s="57"/>
      <c r="M30" s="73"/>
    </row>
    <row r="31" spans="1:13" ht="15.75">
      <c r="A31" s="97" t="s">
        <v>55</v>
      </c>
      <c r="C31" s="20">
        <v>-8262.11</v>
      </c>
      <c r="D31" s="180"/>
      <c r="F31" s="75" t="s">
        <v>37</v>
      </c>
      <c r="G31" s="93">
        <v>2420689</v>
      </c>
      <c r="H31" s="98">
        <v>5.4000000000000001E-4</v>
      </c>
      <c r="I31" s="71">
        <f t="shared" si="0"/>
        <v>1307.1720600000001</v>
      </c>
      <c r="J31" s="34"/>
      <c r="K31" s="1"/>
      <c r="L31" s="57"/>
      <c r="M31" s="73"/>
    </row>
    <row r="32" spans="1:13" ht="16.5" thickBot="1">
      <c r="A32" s="9" t="s">
        <v>59</v>
      </c>
      <c r="B32" s="9" t="s">
        <v>60</v>
      </c>
      <c r="C32" s="116">
        <f>C30+C31</f>
        <v>2218165.4</v>
      </c>
      <c r="D32" s="181"/>
      <c r="F32" s="74" t="s">
        <v>70</v>
      </c>
      <c r="G32" s="56">
        <f>SUM(G23:G31)</f>
        <v>7324134</v>
      </c>
      <c r="H32" s="1"/>
      <c r="I32" s="72">
        <f>SUM(I23:I31)</f>
        <v>477619.33687000006</v>
      </c>
      <c r="J32" s="67"/>
      <c r="K32" s="68"/>
      <c r="L32" s="1"/>
      <c r="M32" s="65"/>
    </row>
    <row r="33" spans="1:17" ht="17.25" thickTop="1" thickBot="1">
      <c r="A33" s="97" t="s">
        <v>56</v>
      </c>
      <c r="C33" s="116">
        <f>-C5-C9-C13-C16-C19</f>
        <v>-26943.83</v>
      </c>
      <c r="D33" s="179"/>
      <c r="F33" s="61"/>
      <c r="G33" s="87">
        <v>7324134</v>
      </c>
      <c r="H33" s="62" t="s">
        <v>49</v>
      </c>
      <c r="I33" s="84">
        <f>I32/G32</f>
        <v>6.5211714705110543E-2</v>
      </c>
      <c r="J33" s="67"/>
      <c r="K33" s="68"/>
      <c r="L33" s="1"/>
      <c r="M33" s="16"/>
    </row>
    <row r="34" spans="1:17" ht="16.5" thickBot="1">
      <c r="A34" s="9" t="s">
        <v>57</v>
      </c>
      <c r="C34" s="178">
        <f>SUM(C32:C33)</f>
        <v>2191221.5699999998</v>
      </c>
      <c r="D34" s="179"/>
      <c r="F34" s="34"/>
      <c r="G34" s="86">
        <f>G32-G33</f>
        <v>0</v>
      </c>
      <c r="H34" s="1"/>
      <c r="I34" s="16"/>
      <c r="J34" s="67"/>
      <c r="K34" s="66"/>
      <c r="L34" s="1"/>
      <c r="M34" s="16"/>
    </row>
    <row r="35" spans="1:17" ht="18" customHeight="1">
      <c r="A35" s="9"/>
      <c r="C35" s="116"/>
      <c r="D35" s="179"/>
      <c r="F35" s="59"/>
      <c r="G35" s="4"/>
      <c r="H35" s="4"/>
      <c r="I35" s="60"/>
      <c r="J35" s="74" t="s">
        <v>71</v>
      </c>
      <c r="K35" s="132"/>
      <c r="L35" s="132"/>
      <c r="M35" s="133"/>
    </row>
    <row r="36" spans="1:17" ht="15.75">
      <c r="A36" s="3" t="s">
        <v>45</v>
      </c>
      <c r="B36" s="9"/>
      <c r="C36" s="17"/>
      <c r="D36" s="179"/>
      <c r="F36" s="74" t="s">
        <v>71</v>
      </c>
      <c r="G36" s="1"/>
      <c r="H36" s="1"/>
      <c r="I36" s="16"/>
      <c r="J36" s="75" t="s">
        <v>16</v>
      </c>
      <c r="K36" s="94">
        <f>K23</f>
        <v>1473042</v>
      </c>
      <c r="L36" s="98">
        <v>0.16886000000000001</v>
      </c>
      <c r="M36" s="71">
        <f t="shared" ref="M36:M42" si="2">K36*L36</f>
        <v>248737.87212000001</v>
      </c>
      <c r="P36" s="125"/>
      <c r="Q36" s="125"/>
    </row>
    <row r="37" spans="1:17" ht="15.75">
      <c r="A37" s="1" t="s">
        <v>72</v>
      </c>
      <c r="B37" s="131" t="s">
        <v>58</v>
      </c>
      <c r="C37" s="20">
        <v>4317216.2</v>
      </c>
      <c r="D37" s="179"/>
      <c r="F37" s="75" t="s">
        <v>16</v>
      </c>
      <c r="G37" s="94">
        <f>G23</f>
        <v>2497712</v>
      </c>
      <c r="H37" s="98">
        <v>0.17066999999999999</v>
      </c>
      <c r="I37" s="71">
        <f t="shared" ref="I37:I44" si="3">G37*H37</f>
        <v>426284.50704</v>
      </c>
      <c r="J37" s="75" t="s">
        <v>17</v>
      </c>
      <c r="K37" s="94">
        <f>K24</f>
        <v>1108394</v>
      </c>
      <c r="L37" s="98">
        <v>0.16886000000000001</v>
      </c>
      <c r="M37" s="71">
        <f t="shared" si="2"/>
        <v>187163.41084</v>
      </c>
      <c r="P37" s="125"/>
      <c r="Q37" s="125"/>
    </row>
    <row r="38" spans="1:17" ht="15.75">
      <c r="A38" s="81" t="s">
        <v>199</v>
      </c>
      <c r="B38" s="131" t="s">
        <v>198</v>
      </c>
      <c r="C38" s="20">
        <v>-375071</v>
      </c>
      <c r="D38" s="179"/>
      <c r="F38" s="75" t="s">
        <v>159</v>
      </c>
      <c r="G38" s="94">
        <f>G24</f>
        <v>2253</v>
      </c>
      <c r="H38" s="98">
        <v>0.17066999999999999</v>
      </c>
      <c r="I38" s="71">
        <f t="shared" si="3"/>
        <v>384.51950999999997</v>
      </c>
      <c r="J38" s="75" t="s">
        <v>18</v>
      </c>
      <c r="K38" s="94">
        <f>K25</f>
        <v>31219</v>
      </c>
      <c r="L38" s="98">
        <v>0.16886000000000001</v>
      </c>
      <c r="M38" s="71">
        <f t="shared" si="2"/>
        <v>5271.6403399999999</v>
      </c>
      <c r="P38" s="125"/>
      <c r="Q38" s="125"/>
    </row>
    <row r="39" spans="1:17" ht="15.75">
      <c r="A39" s="1" t="s">
        <v>85</v>
      </c>
      <c r="B39" s="131" t="s">
        <v>86</v>
      </c>
      <c r="C39" s="20">
        <v>-37462.82</v>
      </c>
      <c r="D39" s="179"/>
      <c r="F39" s="75" t="s">
        <v>17</v>
      </c>
      <c r="G39" s="94">
        <f t="shared" ref="G39:G44" si="4">G25</f>
        <v>2410231</v>
      </c>
      <c r="H39" s="98">
        <v>0.17066999999999999</v>
      </c>
      <c r="I39" s="71">
        <f t="shared" si="3"/>
        <v>411354.12476999999</v>
      </c>
      <c r="J39" s="75" t="s">
        <v>19</v>
      </c>
      <c r="K39" s="94">
        <f>K26</f>
        <v>0</v>
      </c>
      <c r="L39" s="98">
        <v>0.16886000000000001</v>
      </c>
      <c r="M39" s="71">
        <f t="shared" si="2"/>
        <v>0</v>
      </c>
      <c r="P39" s="125"/>
      <c r="Q39" s="125"/>
    </row>
    <row r="40" spans="1:17" ht="15.75">
      <c r="A40" s="1" t="s">
        <v>74</v>
      </c>
      <c r="B40" s="131" t="s">
        <v>75</v>
      </c>
      <c r="C40" s="20">
        <v>370135.44</v>
      </c>
      <c r="D40" s="179"/>
      <c r="F40" s="75" t="s">
        <v>18</v>
      </c>
      <c r="G40" s="94">
        <f t="shared" si="4"/>
        <v>5783</v>
      </c>
      <c r="H40" s="98">
        <v>0.17066999999999999</v>
      </c>
      <c r="I40" s="71">
        <f t="shared" si="3"/>
        <v>986.98460999999998</v>
      </c>
      <c r="J40" s="75" t="s">
        <v>20</v>
      </c>
      <c r="K40" s="94">
        <f>K27</f>
        <v>0</v>
      </c>
      <c r="L40" s="98">
        <v>0.16886000000000001</v>
      </c>
      <c r="M40" s="71">
        <f t="shared" si="2"/>
        <v>0</v>
      </c>
      <c r="P40" s="125"/>
      <c r="Q40" s="125"/>
    </row>
    <row r="41" spans="1:17" ht="15.75">
      <c r="A41" s="1" t="s">
        <v>91</v>
      </c>
      <c r="B41" s="117" t="s">
        <v>92</v>
      </c>
      <c r="C41" s="20">
        <v>-43771.41</v>
      </c>
      <c r="D41" s="179"/>
      <c r="F41" s="75" t="s">
        <v>19</v>
      </c>
      <c r="G41" s="94">
        <f t="shared" si="4"/>
        <v>-90738</v>
      </c>
      <c r="H41" s="98">
        <v>0.17066999999999999</v>
      </c>
      <c r="I41" s="71">
        <f t="shared" si="3"/>
        <v>-15486.254459999998</v>
      </c>
      <c r="J41" s="75" t="s">
        <v>21</v>
      </c>
      <c r="K41" s="93">
        <v>0</v>
      </c>
      <c r="L41" s="98">
        <v>0.16886000000000001</v>
      </c>
      <c r="M41" s="71">
        <f t="shared" si="2"/>
        <v>0</v>
      </c>
      <c r="P41" s="125"/>
      <c r="Q41" s="125"/>
    </row>
    <row r="42" spans="1:17" ht="16.5" thickBot="1">
      <c r="A42" s="1" t="s">
        <v>109</v>
      </c>
      <c r="B42" s="131" t="s">
        <v>110</v>
      </c>
      <c r="C42" s="20">
        <v>685772.93</v>
      </c>
      <c r="D42" s="2"/>
      <c r="F42" s="75" t="s">
        <v>20</v>
      </c>
      <c r="G42" s="94">
        <f t="shared" si="4"/>
        <v>25730</v>
      </c>
      <c r="H42" s="98">
        <v>0.17066999999999999</v>
      </c>
      <c r="I42" s="71">
        <f t="shared" si="3"/>
        <v>4391.3391000000001</v>
      </c>
      <c r="J42" s="75" t="s">
        <v>22</v>
      </c>
      <c r="K42" s="95">
        <v>0</v>
      </c>
      <c r="L42" s="98">
        <v>0.16886000000000001</v>
      </c>
      <c r="M42" s="71">
        <f t="shared" si="2"/>
        <v>0</v>
      </c>
      <c r="P42" s="125"/>
      <c r="Q42" s="125"/>
    </row>
    <row r="43" spans="1:17" ht="16.5" thickBot="1">
      <c r="A43" s="14" t="s">
        <v>66</v>
      </c>
      <c r="B43" s="4"/>
      <c r="C43" s="178">
        <f>SUM(C37:C42)</f>
        <v>4916819.34</v>
      </c>
      <c r="D43" s="179"/>
      <c r="F43" s="75" t="s">
        <v>21</v>
      </c>
      <c r="G43" s="94">
        <f t="shared" si="4"/>
        <v>0</v>
      </c>
      <c r="H43" s="98">
        <v>0.17066999999999999</v>
      </c>
      <c r="I43" s="71">
        <f t="shared" si="3"/>
        <v>0</v>
      </c>
      <c r="J43" s="74" t="s">
        <v>76</v>
      </c>
      <c r="K43" s="56">
        <f>SUM(K36:K42)</f>
        <v>2612655</v>
      </c>
      <c r="L43" s="57"/>
      <c r="M43" s="72">
        <f>SUM(M36:M42)</f>
        <v>441172.92329999997</v>
      </c>
    </row>
    <row r="44" spans="1:17" ht="16.5" thickBot="1">
      <c r="A44" s="182" t="s">
        <v>108</v>
      </c>
      <c r="B44" s="183" t="s">
        <v>63</v>
      </c>
      <c r="C44" s="20">
        <f>-1784605.88+596138.58</f>
        <v>-1188467.2999999998</v>
      </c>
      <c r="D44" s="2"/>
      <c r="F44" s="75" t="s">
        <v>22</v>
      </c>
      <c r="G44" s="94">
        <f t="shared" si="4"/>
        <v>52474</v>
      </c>
      <c r="H44" s="98">
        <v>0.17066999999999999</v>
      </c>
      <c r="I44" s="71">
        <f t="shared" si="3"/>
        <v>8955.7375799999991</v>
      </c>
      <c r="J44" s="69"/>
      <c r="K44" s="88">
        <v>2612655</v>
      </c>
      <c r="L44" s="64" t="s">
        <v>49</v>
      </c>
      <c r="M44" s="85">
        <f>M43/K43</f>
        <v>0.16885999999999998</v>
      </c>
    </row>
    <row r="45" spans="1:17" ht="16.5" thickBot="1">
      <c r="A45" s="81" t="s">
        <v>102</v>
      </c>
      <c r="B45" s="117" t="s">
        <v>58</v>
      </c>
      <c r="C45" s="20">
        <v>0</v>
      </c>
      <c r="D45" s="180"/>
      <c r="F45" s="74" t="s">
        <v>76</v>
      </c>
      <c r="G45" s="56">
        <f>SUM(G37:G44)</f>
        <v>4903445</v>
      </c>
      <c r="H45" s="57"/>
      <c r="I45" s="72">
        <f>SUM(I37:I44)</f>
        <v>836870.95814999996</v>
      </c>
      <c r="J45" s="14"/>
      <c r="K45" s="87"/>
      <c r="L45" s="62"/>
      <c r="M45" s="113"/>
    </row>
    <row r="46" spans="1:17" ht="19.5" customHeight="1" thickTop="1" thickBot="1">
      <c r="A46" s="81" t="s">
        <v>103</v>
      </c>
      <c r="B46" s="117" t="s">
        <v>58</v>
      </c>
      <c r="C46" s="20">
        <v>0</v>
      </c>
      <c r="D46" s="181"/>
      <c r="F46" s="63"/>
      <c r="G46" s="88">
        <v>4903445</v>
      </c>
      <c r="H46" s="64" t="s">
        <v>49</v>
      </c>
      <c r="I46" s="83">
        <f>I45/G45</f>
        <v>0.17066999999999999</v>
      </c>
      <c r="J46" s="14"/>
      <c r="K46" s="87"/>
      <c r="L46" s="62"/>
      <c r="M46" s="113"/>
    </row>
    <row r="47" spans="1:17" ht="19.5" customHeight="1">
      <c r="A47" s="97" t="s">
        <v>80</v>
      </c>
      <c r="B47" s="117" t="s">
        <v>58</v>
      </c>
      <c r="C47" s="20">
        <v>-362311.88</v>
      </c>
      <c r="D47" s="179"/>
      <c r="G47" s="86">
        <f>G45-G46</f>
        <v>0</v>
      </c>
      <c r="J47" s="21"/>
      <c r="K47" s="86">
        <f>K43-K44</f>
        <v>0</v>
      </c>
      <c r="M47" s="21"/>
    </row>
    <row r="48" spans="1:17" ht="16.5" thickBot="1">
      <c r="A48" s="81" t="s">
        <v>158</v>
      </c>
      <c r="B48" s="117" t="s">
        <v>58</v>
      </c>
      <c r="C48" s="20">
        <v>7000</v>
      </c>
      <c r="D48" s="179"/>
      <c r="J48" s="21"/>
      <c r="K48" s="18"/>
      <c r="M48" s="13"/>
    </row>
    <row r="49" spans="1:21" ht="15.75">
      <c r="A49" s="1" t="s">
        <v>73</v>
      </c>
      <c r="B49" s="131" t="s">
        <v>90</v>
      </c>
      <c r="C49" s="20">
        <v>21037.439999999999</v>
      </c>
      <c r="D49" s="179"/>
      <c r="G49" s="18"/>
      <c r="H49" s="25" t="s">
        <v>14</v>
      </c>
      <c r="I49" s="5" t="s">
        <v>14</v>
      </c>
      <c r="J49" s="5" t="s">
        <v>26</v>
      </c>
      <c r="K49" s="23" t="s">
        <v>33</v>
      </c>
      <c r="L49" s="21"/>
    </row>
    <row r="50" spans="1:21" ht="16.5" thickBot="1">
      <c r="A50" s="1" t="s">
        <v>121</v>
      </c>
      <c r="B50" s="131" t="s">
        <v>90</v>
      </c>
      <c r="C50" s="20">
        <v>2024.56</v>
      </c>
      <c r="D50" s="2"/>
      <c r="F50" s="9" t="s">
        <v>36</v>
      </c>
      <c r="H50" s="26" t="s">
        <v>0</v>
      </c>
      <c r="I50" s="27" t="s">
        <v>1</v>
      </c>
      <c r="J50" s="27" t="s">
        <v>0</v>
      </c>
      <c r="K50" s="24" t="s">
        <v>1</v>
      </c>
    </row>
    <row r="51" spans="1:21" ht="15.75">
      <c r="A51" s="1" t="s">
        <v>161</v>
      </c>
      <c r="B51" s="131" t="s">
        <v>90</v>
      </c>
      <c r="C51" s="20">
        <v>4288.1400000000003</v>
      </c>
      <c r="D51" s="179"/>
      <c r="H51" s="32"/>
      <c r="I51" s="33"/>
      <c r="J51" s="33"/>
      <c r="K51" s="33"/>
      <c r="L51" s="22" t="s">
        <v>50</v>
      </c>
    </row>
    <row r="52" spans="1:21" ht="15.75">
      <c r="A52" s="44" t="s">
        <v>61</v>
      </c>
      <c r="B52" s="117"/>
      <c r="C52" s="17">
        <f>-C33</f>
        <v>26943.83</v>
      </c>
      <c r="D52" s="176"/>
      <c r="F52" s="97" t="s">
        <v>79</v>
      </c>
      <c r="H52" s="82">
        <f>K12</f>
        <v>-840201.78980399994</v>
      </c>
      <c r="I52" s="19">
        <f>I14</f>
        <v>1513257.6162419999</v>
      </c>
      <c r="J52" s="19">
        <f>L12</f>
        <v>-447489.81019599998</v>
      </c>
      <c r="K52" s="19">
        <f>J14</f>
        <v>677963.95375799993</v>
      </c>
      <c r="L52" s="28">
        <f>SUM(H52:K52)</f>
        <v>903529.97</v>
      </c>
    </row>
    <row r="53" spans="1:21" ht="16.5" thickBot="1">
      <c r="A53" s="97" t="s">
        <v>168</v>
      </c>
      <c r="B53" s="131" t="s">
        <v>169</v>
      </c>
      <c r="C53" s="20">
        <v>16070.19</v>
      </c>
      <c r="D53" s="176"/>
      <c r="F53" s="97" t="s">
        <v>52</v>
      </c>
      <c r="H53" s="82">
        <f>-I45</f>
        <v>-836870.95814999996</v>
      </c>
      <c r="I53" s="19">
        <f>-I32</f>
        <v>-477619.33687000006</v>
      </c>
      <c r="J53" s="19">
        <f>-M43</f>
        <v>-441172.92329999997</v>
      </c>
      <c r="K53" s="19">
        <f>-M28</f>
        <v>-250396.85519999996</v>
      </c>
      <c r="L53" s="92">
        <f>SUM(H53:K53)</f>
        <v>-2006060.0735199999</v>
      </c>
    </row>
    <row r="54" spans="1:21" ht="16.5" thickBot="1">
      <c r="A54" s="97" t="s">
        <v>67</v>
      </c>
      <c r="B54" s="117" t="s">
        <v>156</v>
      </c>
      <c r="C54" s="20">
        <v>-4334426.53</v>
      </c>
      <c r="D54" s="179"/>
      <c r="F54" s="97" t="s">
        <v>38</v>
      </c>
      <c r="H54" s="89">
        <v>0</v>
      </c>
      <c r="I54" s="90">
        <v>0</v>
      </c>
      <c r="J54" s="90">
        <v>0</v>
      </c>
      <c r="K54" s="91">
        <v>0</v>
      </c>
      <c r="L54" s="184">
        <f>SUM(L52:L53)</f>
        <v>-1102530.1035199999</v>
      </c>
    </row>
    <row r="55" spans="1:21" ht="16.5" thickBot="1">
      <c r="A55" s="97" t="s">
        <v>165</v>
      </c>
      <c r="B55" s="117" t="s">
        <v>120</v>
      </c>
      <c r="C55" s="20">
        <v>-375000</v>
      </c>
      <c r="D55" s="179"/>
      <c r="F55" s="97" t="s">
        <v>34</v>
      </c>
      <c r="H55" s="178">
        <f>IFERROR(H52+H53+H54,0)</f>
        <v>-1677072.7479539998</v>
      </c>
      <c r="I55" s="178">
        <f>I52+I53+I54</f>
        <v>1035638.2793719999</v>
      </c>
      <c r="J55" s="178">
        <f>IFERROR(J52+J53+J54,0)</f>
        <v>-888662.73349599994</v>
      </c>
      <c r="K55" s="178">
        <f>K52+K53+K54</f>
        <v>427567.09855799994</v>
      </c>
      <c r="L55" s="185">
        <f>SUM(H55:K55)</f>
        <v>-1102530.1035199999</v>
      </c>
    </row>
    <row r="56" spans="1:21" ht="16.5" thickBot="1">
      <c r="A56" s="186" t="s">
        <v>62</v>
      </c>
      <c r="B56" s="183"/>
      <c r="C56" s="36">
        <f>SUM(C43:C55)</f>
        <v>-1266022.21</v>
      </c>
      <c r="D56" s="179"/>
      <c r="F56" s="187" t="s">
        <v>112</v>
      </c>
      <c r="H56" s="97" t="s">
        <v>104</v>
      </c>
      <c r="I56" s="1">
        <f>SUM(H55:I55)</f>
        <v>-641434.46858199988</v>
      </c>
      <c r="J56" s="12" t="s">
        <v>105</v>
      </c>
      <c r="K56" s="97">
        <f>SUM(J55:K55)</f>
        <v>-461095.634938</v>
      </c>
      <c r="L56" s="188">
        <f>ROUND(L54-L55,3)</f>
        <v>0</v>
      </c>
      <c r="T56" s="189"/>
    </row>
    <row r="57" spans="1:21" ht="16.5" thickTop="1">
      <c r="A57" s="97" t="s">
        <v>64</v>
      </c>
      <c r="B57" s="117" t="s">
        <v>176</v>
      </c>
      <c r="C57" s="20">
        <v>-14248.9</v>
      </c>
      <c r="D57" s="179"/>
      <c r="F57" s="190" t="s">
        <v>112</v>
      </c>
      <c r="H57" s="191"/>
    </row>
    <row r="58" spans="1:21" ht="16.5" thickBot="1">
      <c r="A58" s="97" t="s">
        <v>65</v>
      </c>
      <c r="B58" s="117" t="s">
        <v>177</v>
      </c>
      <c r="C58" s="20">
        <v>-7420.49</v>
      </c>
      <c r="D58" s="179"/>
      <c r="F58" s="190" t="s">
        <v>113</v>
      </c>
      <c r="H58" s="180"/>
      <c r="I58" s="192"/>
      <c r="J58" s="192"/>
      <c r="K58" s="193"/>
      <c r="L58" s="192"/>
    </row>
    <row r="59" spans="1:21" ht="16.5" thickBot="1">
      <c r="A59" s="9" t="s">
        <v>68</v>
      </c>
      <c r="B59" s="9"/>
      <c r="C59" s="36">
        <f>SUM(C56:C58)</f>
        <v>-1287691.5999999999</v>
      </c>
      <c r="D59" s="179"/>
      <c r="F59" s="194" t="s">
        <v>157</v>
      </c>
      <c r="G59" s="110" t="str">
        <f>IF(OR(AND(I56&gt;0,K56&gt;0),AND(I56&lt;0,K56&lt;0)),"OK","ERROR")</f>
        <v>OK</v>
      </c>
      <c r="H59" s="32" t="s">
        <v>154</v>
      </c>
      <c r="I59" s="77"/>
    </row>
    <row r="60" spans="1:21" ht="17.25" thickTop="1" thickBot="1">
      <c r="A60" s="9"/>
      <c r="C60" s="116"/>
      <c r="D60" s="179"/>
      <c r="H60" s="35" t="s">
        <v>106</v>
      </c>
      <c r="I60" s="148" t="s">
        <v>107</v>
      </c>
      <c r="J60" s="1"/>
    </row>
    <row r="61" spans="1:21" ht="16.5" thickBot="1">
      <c r="A61" s="29"/>
      <c r="B61" s="29" t="s">
        <v>46</v>
      </c>
      <c r="C61" s="178">
        <f>C59+C34</f>
        <v>903529.97</v>
      </c>
      <c r="D61" s="179"/>
      <c r="H61" s="96" t="e">
        <f>SUM('WA - Def-Amtz (current)'!BA5:BA40)+SUM(#REF!)</f>
        <v>#REF!</v>
      </c>
      <c r="I61" s="100" t="e">
        <f>SUM('WA - Def-Amtz (current)'!BB5:BB41)+SUM(#REF!)</f>
        <v>#REF!</v>
      </c>
      <c r="J61" s="97">
        <f>H53+I53+J53+K53</f>
        <v>-2006060.0735199999</v>
      </c>
    </row>
    <row r="62" spans="1:21" ht="15.75">
      <c r="A62" s="9"/>
      <c r="B62" s="29" t="s">
        <v>95</v>
      </c>
      <c r="C62" s="118">
        <v>903529.97</v>
      </c>
      <c r="D62" s="2"/>
      <c r="G62" s="1"/>
      <c r="I62" s="17" t="e">
        <f>H61-I61</f>
        <v>#REF!</v>
      </c>
      <c r="N62" s="1"/>
      <c r="O62" s="1"/>
      <c r="P62" s="195"/>
    </row>
    <row r="63" spans="1:21" ht="15.75">
      <c r="A63" s="29"/>
      <c r="B63" s="29" t="s">
        <v>94</v>
      </c>
      <c r="C63" s="17">
        <f>ROUND(C61-C62,2)</f>
        <v>0</v>
      </c>
      <c r="S63" s="117"/>
    </row>
    <row r="64" spans="1:21" ht="15.75">
      <c r="A64" s="15"/>
      <c r="C64" s="196"/>
      <c r="D64" s="179"/>
      <c r="N64" s="44"/>
      <c r="U64" s="9"/>
    </row>
    <row r="65" spans="1:21" ht="15.75">
      <c r="A65" s="15"/>
      <c r="C65" s="2"/>
      <c r="D65" s="197"/>
      <c r="N65" s="44"/>
      <c r="S65" s="198"/>
    </row>
    <row r="66" spans="1:21" ht="15.75">
      <c r="A66" s="9"/>
      <c r="C66" s="2"/>
      <c r="D66" s="179"/>
      <c r="N66" s="44"/>
      <c r="S66" s="199"/>
    </row>
    <row r="67" spans="1:21">
      <c r="C67" s="17"/>
      <c r="D67" s="179"/>
      <c r="N67" s="44"/>
      <c r="S67" s="200"/>
    </row>
    <row r="68" spans="1:21">
      <c r="D68" s="179"/>
      <c r="N68" s="44"/>
      <c r="S68" s="199"/>
    </row>
    <row r="69" spans="1:21">
      <c r="D69" s="179"/>
      <c r="N69" s="44"/>
    </row>
    <row r="70" spans="1:21">
      <c r="D70" s="2"/>
      <c r="N70" s="44"/>
      <c r="S70" s="201"/>
    </row>
    <row r="71" spans="1:21">
      <c r="D71" s="179"/>
    </row>
    <row r="72" spans="1:21">
      <c r="D72" s="179"/>
    </row>
    <row r="73" spans="1:21">
      <c r="D73" s="179"/>
      <c r="S73" s="202"/>
    </row>
    <row r="74" spans="1:21">
      <c r="D74" s="66"/>
      <c r="R74" s="117"/>
      <c r="S74" s="117"/>
      <c r="T74" s="117"/>
    </row>
    <row r="76" spans="1:21">
      <c r="U76" s="203"/>
    </row>
    <row r="1477" spans="3:3">
      <c r="C1477" s="97">
        <v>-2130</v>
      </c>
    </row>
    <row r="1485" spans="3:3">
      <c r="C1485" s="97">
        <f>7004298-2130</f>
        <v>7002168</v>
      </c>
    </row>
  </sheetData>
  <mergeCells count="3">
    <mergeCell ref="F18:I18"/>
    <mergeCell ref="J18:M18"/>
    <mergeCell ref="K35:M35"/>
  </mergeCells>
  <conditionalFormatting sqref="C63 L56 I62">
    <cfRule type="cellIs" dxfId="52" priority="7" stopIfTrue="1" operator="equal">
      <formula>0</formula>
    </cfRule>
    <cfRule type="cellIs" dxfId="51" priority="8" stopIfTrue="1" operator="notEqual">
      <formula>0</formula>
    </cfRule>
  </conditionalFormatting>
  <conditionalFormatting sqref="G34 G47 K30 K47">
    <cfRule type="cellIs" dxfId="50" priority="6" operator="notEqual">
      <formula>0</formula>
    </cfRule>
  </conditionalFormatting>
  <conditionalFormatting sqref="C63">
    <cfRule type="cellIs" dxfId="49" priority="4" stopIfTrue="1" operator="equal">
      <formula>0</formula>
    </cfRule>
    <cfRule type="cellIs" dxfId="48" priority="5" stopIfTrue="1" operator="notEqual">
      <formula>0</formula>
    </cfRule>
  </conditionalFormatting>
  <conditionalFormatting sqref="K30">
    <cfRule type="cellIs" dxfId="47" priority="3" operator="notEqual">
      <formula>0</formula>
    </cfRule>
  </conditionalFormatting>
  <conditionalFormatting sqref="G59">
    <cfRule type="cellIs" dxfId="46" priority="2" operator="equal">
      <formula>"ERROR"</formula>
    </cfRule>
  </conditionalFormatting>
  <conditionalFormatting sqref="G59">
    <cfRule type="cellIs" dxfId="45" priority="1" operator="equal">
      <formula>"ERROR"</formula>
    </cfRule>
  </conditionalFormatting>
  <printOptions verticalCentered="1" gridLinesSet="0"/>
  <pageMargins left="0.5" right="0" top="0.25" bottom="0.5" header="0" footer="0.25"/>
  <pageSetup scale="46" orientation="landscape" cellComments="asDisplayed" r:id="rId1"/>
  <headerFooter alignWithMargins="0">
    <oddFooter>&amp;L&amp;F&amp;C&amp;A&amp;R&amp;D&amp;T</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2">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4" t="s">
        <v>27</v>
      </c>
      <c r="B1" s="175"/>
      <c r="C1" s="109">
        <f>Jun!C1+1</f>
        <v>201907</v>
      </c>
      <c r="F1" s="109">
        <f>C1</f>
        <v>201907</v>
      </c>
      <c r="H1" s="37" t="s">
        <v>32</v>
      </c>
      <c r="I1" s="22" t="s">
        <v>1</v>
      </c>
      <c r="J1" s="22" t="s">
        <v>1</v>
      </c>
      <c r="K1" s="22" t="s">
        <v>29</v>
      </c>
      <c r="L1" s="22" t="s">
        <v>29</v>
      </c>
    </row>
    <row r="2" spans="1:12" ht="15.75">
      <c r="C2" s="6"/>
      <c r="H2" s="38" t="s">
        <v>11</v>
      </c>
      <c r="I2" s="39" t="s">
        <v>28</v>
      </c>
      <c r="J2" s="39" t="s">
        <v>28</v>
      </c>
      <c r="K2" s="39" t="s">
        <v>30</v>
      </c>
      <c r="L2" s="39" t="s">
        <v>30</v>
      </c>
    </row>
    <row r="3" spans="1:12" ht="16.5" thickBot="1">
      <c r="A3" s="10" t="s">
        <v>53</v>
      </c>
      <c r="C3" s="7"/>
      <c r="D3" s="176"/>
      <c r="F3" s="9" t="s">
        <v>35</v>
      </c>
      <c r="H3" s="40" t="s">
        <v>31</v>
      </c>
      <c r="I3" s="40" t="s">
        <v>14</v>
      </c>
      <c r="J3" s="40" t="s">
        <v>26</v>
      </c>
      <c r="K3" s="40" t="s">
        <v>14</v>
      </c>
      <c r="L3" s="40" t="s">
        <v>26</v>
      </c>
    </row>
    <row r="4" spans="1:12" ht="15.75">
      <c r="A4" s="97" t="s">
        <v>39</v>
      </c>
      <c r="C4" s="20">
        <v>3631690.92</v>
      </c>
      <c r="D4" s="6"/>
      <c r="H4" s="3"/>
    </row>
    <row r="5" spans="1:12" ht="14.25" customHeight="1">
      <c r="A5" s="97" t="s">
        <v>10</v>
      </c>
      <c r="C5" s="20">
        <v>13267.16</v>
      </c>
      <c r="D5" s="6"/>
      <c r="H5" s="3"/>
      <c r="I5" s="177">
        <v>0.69059999999999999</v>
      </c>
      <c r="J5" s="177">
        <v>0.30940000000000001</v>
      </c>
      <c r="K5" s="99">
        <f>ROUND(G45/(G45+K43),4)</f>
        <v>0.65500000000000003</v>
      </c>
      <c r="L5" s="99">
        <f>1-K5</f>
        <v>0.34499999999999997</v>
      </c>
    </row>
    <row r="6" spans="1:12" ht="16.5" thickBot="1">
      <c r="A6" s="8" t="s">
        <v>9</v>
      </c>
      <c r="C6" s="112">
        <f>-78046.48-97479.45-1484819.23-423508.04-121002.3-136127.59</f>
        <v>-2340983.09</v>
      </c>
      <c r="D6" s="6"/>
    </row>
    <row r="7" spans="1:12" ht="16.5" thickBot="1">
      <c r="A7" s="12" t="s">
        <v>83</v>
      </c>
      <c r="C7" s="17">
        <f>SUM(C4:C6)</f>
        <v>1303974.9900000002</v>
      </c>
      <c r="D7" s="7"/>
      <c r="F7" s="41" t="s">
        <v>82</v>
      </c>
      <c r="G7" s="41"/>
      <c r="H7" s="178">
        <f>C34</f>
        <v>2215639.4700000002</v>
      </c>
      <c r="I7" s="42">
        <f>H7*I5</f>
        <v>1530120.6179820001</v>
      </c>
      <c r="J7" s="42">
        <f>H7*J5</f>
        <v>685518.85201800009</v>
      </c>
      <c r="K7" s="42"/>
      <c r="L7" s="42"/>
    </row>
    <row r="8" spans="1:12" ht="15.75">
      <c r="A8" s="97" t="s">
        <v>202</v>
      </c>
      <c r="C8" s="20">
        <v>172464.26</v>
      </c>
      <c r="D8" s="7"/>
      <c r="H8" s="43"/>
      <c r="I8" s="43"/>
      <c r="J8" s="43"/>
      <c r="K8" s="43"/>
      <c r="L8" s="43"/>
    </row>
    <row r="9" spans="1:12" ht="15.75">
      <c r="A9" s="97" t="s">
        <v>203</v>
      </c>
      <c r="C9" s="20">
        <v>6046.91</v>
      </c>
      <c r="D9" s="179"/>
      <c r="F9" s="41" t="s">
        <v>62</v>
      </c>
      <c r="H9" s="42">
        <f>C56</f>
        <v>-2057736.7800000003</v>
      </c>
      <c r="I9" s="42"/>
      <c r="J9" s="42"/>
      <c r="K9" s="42">
        <f>H9*K5</f>
        <v>-1347817.5909000002</v>
      </c>
      <c r="L9" s="42">
        <f>H9*L5</f>
        <v>-709919.18910000008</v>
      </c>
    </row>
    <row r="10" spans="1:12" ht="15.75">
      <c r="A10" s="8" t="s">
        <v>204</v>
      </c>
      <c r="C10" s="112">
        <v>-3078.51</v>
      </c>
      <c r="D10" s="179"/>
      <c r="F10" s="44" t="s">
        <v>23</v>
      </c>
      <c r="H10" s="42">
        <f>C57</f>
        <v>17940.95</v>
      </c>
      <c r="I10" s="42"/>
      <c r="J10" s="42"/>
      <c r="K10" s="42">
        <f>H10</f>
        <v>17940.95</v>
      </c>
      <c r="L10" s="42"/>
    </row>
    <row r="11" spans="1:12">
      <c r="A11" s="12" t="s">
        <v>84</v>
      </c>
      <c r="C11" s="17">
        <f>SUM(C8:C10)</f>
        <v>175432.66</v>
      </c>
      <c r="D11" s="179"/>
      <c r="F11" s="44" t="s">
        <v>24</v>
      </c>
      <c r="H11" s="45">
        <f>C58</f>
        <v>9176.75</v>
      </c>
      <c r="I11" s="42"/>
      <c r="J11" s="42"/>
      <c r="K11" s="45"/>
      <c r="L11" s="45">
        <f>H11</f>
        <v>9176.75</v>
      </c>
    </row>
    <row r="12" spans="1:12" ht="15.75">
      <c r="A12" s="97" t="s">
        <v>200</v>
      </c>
      <c r="C12" s="20">
        <f>-504.9+232374.96</f>
        <v>231870.06</v>
      </c>
      <c r="D12" s="179"/>
      <c r="F12" s="44" t="s">
        <v>81</v>
      </c>
      <c r="H12" s="42">
        <f>H9+H10+H11</f>
        <v>-2030619.0800000003</v>
      </c>
      <c r="I12" s="42"/>
      <c r="J12" s="42"/>
      <c r="K12" s="42">
        <f>SUM(K9:K11)</f>
        <v>-1329876.6409000002</v>
      </c>
      <c r="L12" s="42">
        <f>SUM(L9:L11)</f>
        <v>-700742.43910000008</v>
      </c>
    </row>
    <row r="13" spans="1:12" ht="16.5" thickBot="1">
      <c r="A13" s="8" t="s">
        <v>201</v>
      </c>
      <c r="C13" s="112">
        <v>0</v>
      </c>
      <c r="D13" s="179"/>
      <c r="F13" s="46"/>
      <c r="G13" s="47"/>
      <c r="H13" s="48"/>
      <c r="I13" s="49"/>
      <c r="J13" s="48"/>
      <c r="K13" s="43"/>
      <c r="L13" s="48"/>
    </row>
    <row r="14" spans="1:12" ht="16.5" thickBot="1">
      <c r="A14" s="12" t="s">
        <v>207</v>
      </c>
      <c r="C14" s="17">
        <f>SUM(C12:C13)</f>
        <v>231870.06</v>
      </c>
      <c r="D14" s="2"/>
      <c r="F14" s="9" t="s">
        <v>32</v>
      </c>
      <c r="G14" s="50"/>
      <c r="H14" s="178">
        <f>H12+H7</f>
        <v>185020.3899999999</v>
      </c>
      <c r="I14" s="51">
        <f>SUM(I7:I13)</f>
        <v>1530120.6179820001</v>
      </c>
      <c r="J14" s="51">
        <f>SUM(J7:J13)</f>
        <v>685518.85201800009</v>
      </c>
      <c r="K14" s="51">
        <f>K12</f>
        <v>-1329876.6409000002</v>
      </c>
      <c r="L14" s="51">
        <f>L12</f>
        <v>-700742.43910000008</v>
      </c>
    </row>
    <row r="15" spans="1:12" ht="15.75">
      <c r="A15" s="97" t="s">
        <v>205</v>
      </c>
      <c r="C15" s="20">
        <f>421492.49-918.92</f>
        <v>420573.57</v>
      </c>
      <c r="D15" s="179"/>
      <c r="F15" s="46"/>
      <c r="G15" s="47" t="s">
        <v>49</v>
      </c>
      <c r="H15" s="48">
        <f>H14-C61</f>
        <v>0</v>
      </c>
      <c r="I15" s="52"/>
      <c r="J15" s="48">
        <f>J7+I7-H7</f>
        <v>0</v>
      </c>
      <c r="L15" s="48">
        <f>H12-K14-L14</f>
        <v>0</v>
      </c>
    </row>
    <row r="16" spans="1:12" ht="15.75">
      <c r="A16" s="8" t="s">
        <v>206</v>
      </c>
      <c r="C16" s="112">
        <v>0</v>
      </c>
      <c r="D16" s="179"/>
      <c r="F16" s="53"/>
      <c r="G16" s="47"/>
      <c r="H16" s="54"/>
      <c r="I16" s="55"/>
      <c r="J16" s="54"/>
      <c r="L16" s="54"/>
    </row>
    <row r="17" spans="1:13" ht="15.75" thickBot="1">
      <c r="A17" s="12" t="s">
        <v>116</v>
      </c>
      <c r="C17" s="17">
        <f>SUM(C15:C16)</f>
        <v>420573.57</v>
      </c>
      <c r="D17" s="2"/>
      <c r="F17" s="46"/>
      <c r="G17" s="47"/>
      <c r="H17" s="54"/>
      <c r="I17" s="55"/>
      <c r="J17" s="58"/>
      <c r="L17" s="54"/>
    </row>
    <row r="18" spans="1:13" ht="16.5" thickBot="1">
      <c r="A18" s="97" t="s">
        <v>97</v>
      </c>
      <c r="C18" s="20">
        <f>-196.21+101706.17+9852.7</f>
        <v>111362.65999999999</v>
      </c>
      <c r="D18" s="179"/>
      <c r="F18" s="134" t="s">
        <v>77</v>
      </c>
      <c r="G18" s="135"/>
      <c r="H18" s="135"/>
      <c r="I18" s="136"/>
      <c r="J18" s="134" t="s">
        <v>78</v>
      </c>
      <c r="K18" s="135"/>
      <c r="L18" s="135"/>
      <c r="M18" s="136"/>
    </row>
    <row r="19" spans="1:13" ht="15.75">
      <c r="A19" s="8" t="s">
        <v>98</v>
      </c>
      <c r="C19" s="112">
        <v>-8716.61</v>
      </c>
      <c r="D19" s="179"/>
      <c r="F19" s="76" t="s">
        <v>51</v>
      </c>
      <c r="G19" s="39" t="s">
        <v>12</v>
      </c>
      <c r="H19" s="39" t="s">
        <v>12</v>
      </c>
      <c r="I19" s="39" t="s">
        <v>12</v>
      </c>
      <c r="J19" s="76" t="s">
        <v>51</v>
      </c>
      <c r="K19" s="39" t="s">
        <v>12</v>
      </c>
      <c r="L19" s="39" t="s">
        <v>12</v>
      </c>
      <c r="M19" s="60" t="s">
        <v>12</v>
      </c>
    </row>
    <row r="20" spans="1:13" ht="16.5" thickBot="1">
      <c r="A20" s="11" t="s">
        <v>208</v>
      </c>
      <c r="C20" s="17">
        <f>SUM(C18:C19)</f>
        <v>102646.04999999999</v>
      </c>
      <c r="D20" s="179"/>
      <c r="F20" s="70" t="s">
        <v>96</v>
      </c>
      <c r="G20" s="40" t="s">
        <v>48</v>
      </c>
      <c r="H20" s="40" t="s">
        <v>15</v>
      </c>
      <c r="I20" s="40" t="s">
        <v>13</v>
      </c>
      <c r="J20" s="70" t="s">
        <v>96</v>
      </c>
      <c r="K20" s="40" t="s">
        <v>48</v>
      </c>
      <c r="L20" s="40" t="s">
        <v>15</v>
      </c>
      <c r="M20" s="40" t="s">
        <v>13</v>
      </c>
    </row>
    <row r="21" spans="1:13" ht="15.75">
      <c r="A21" s="8" t="s">
        <v>196</v>
      </c>
      <c r="C21" s="112"/>
      <c r="D21" s="179"/>
      <c r="F21" s="59"/>
      <c r="G21" s="4"/>
      <c r="H21" s="4"/>
      <c r="I21" s="60"/>
      <c r="J21" s="25"/>
      <c r="K21" s="5"/>
      <c r="L21" s="5"/>
      <c r="M21" s="77"/>
    </row>
    <row r="22" spans="1:13" ht="18" customHeight="1">
      <c r="A22" s="11" t="s">
        <v>209</v>
      </c>
      <c r="C22" s="17">
        <f>SUM(C21)</f>
        <v>0</v>
      </c>
      <c r="D22" s="179"/>
      <c r="F22" s="74" t="s">
        <v>69</v>
      </c>
      <c r="G22" s="1"/>
      <c r="H22" s="1"/>
      <c r="I22" s="16"/>
      <c r="J22" s="74" t="s">
        <v>69</v>
      </c>
      <c r="K22" s="1"/>
      <c r="L22" s="1"/>
      <c r="M22" s="16"/>
    </row>
    <row r="23" spans="1:13" ht="15.75">
      <c r="A23" s="78" t="s">
        <v>111</v>
      </c>
      <c r="C23" s="17">
        <v>0</v>
      </c>
      <c r="D23" s="179"/>
      <c r="F23" s="75" t="s">
        <v>16</v>
      </c>
      <c r="G23" s="93">
        <v>2393172</v>
      </c>
      <c r="H23" s="98">
        <v>0.10238999999999999</v>
      </c>
      <c r="I23" s="71">
        <f t="shared" ref="I23:I31" si="0">G23*H23</f>
        <v>245036.88107999999</v>
      </c>
      <c r="J23" s="75" t="s">
        <v>16</v>
      </c>
      <c r="K23" s="93">
        <v>1139474</v>
      </c>
      <c r="L23" s="98">
        <v>9.5839999999999995E-2</v>
      </c>
      <c r="M23" s="71">
        <f>K23*L23</f>
        <v>109207.18815999999</v>
      </c>
    </row>
    <row r="24" spans="1:13" ht="15.75">
      <c r="A24" s="78" t="s">
        <v>117</v>
      </c>
      <c r="C24" s="20">
        <v>0</v>
      </c>
      <c r="D24" s="179"/>
      <c r="F24" s="75" t="s">
        <v>159</v>
      </c>
      <c r="G24" s="93">
        <v>1928</v>
      </c>
      <c r="H24" s="98">
        <v>0.10238999999999999</v>
      </c>
      <c r="I24" s="71">
        <f t="shared" si="0"/>
        <v>197.40791999999999</v>
      </c>
      <c r="J24" s="75" t="s">
        <v>17</v>
      </c>
      <c r="K24" s="93">
        <v>1142095</v>
      </c>
      <c r="L24" s="98">
        <v>9.5839999999999995E-2</v>
      </c>
      <c r="M24" s="71">
        <f t="shared" ref="M24:M27" si="1">K24*L24</f>
        <v>109458.3848</v>
      </c>
    </row>
    <row r="25" spans="1:13" ht="15.75">
      <c r="A25" s="78" t="s">
        <v>119</v>
      </c>
      <c r="C25" s="114">
        <v>0</v>
      </c>
      <c r="D25" s="179"/>
      <c r="F25" s="75" t="s">
        <v>17</v>
      </c>
      <c r="G25" s="93">
        <v>1815710</v>
      </c>
      <c r="H25" s="98">
        <v>9.239E-2</v>
      </c>
      <c r="I25" s="71">
        <f t="shared" si="0"/>
        <v>167753.44690000001</v>
      </c>
      <c r="J25" s="75" t="s">
        <v>18</v>
      </c>
      <c r="K25" s="93">
        <v>46279</v>
      </c>
      <c r="L25" s="98">
        <v>9.5839999999999995E-2</v>
      </c>
      <c r="M25" s="71">
        <f t="shared" si="1"/>
        <v>4435.3793599999999</v>
      </c>
    </row>
    <row r="26" spans="1:13" ht="15.75">
      <c r="A26" s="79" t="s">
        <v>118</v>
      </c>
      <c r="C26" s="115">
        <v>0</v>
      </c>
      <c r="D26" s="179"/>
      <c r="F26" s="75" t="s">
        <v>18</v>
      </c>
      <c r="G26" s="93">
        <v>5596</v>
      </c>
      <c r="H26" s="98">
        <v>9.239E-2</v>
      </c>
      <c r="I26" s="71">
        <f t="shared" si="0"/>
        <v>517.01444000000004</v>
      </c>
      <c r="J26" s="75" t="s">
        <v>19</v>
      </c>
      <c r="K26" s="93">
        <v>0</v>
      </c>
      <c r="L26" s="98">
        <v>9.5839999999999995E-2</v>
      </c>
      <c r="M26" s="71">
        <f t="shared" si="1"/>
        <v>0</v>
      </c>
    </row>
    <row r="27" spans="1:13" ht="15.75">
      <c r="A27" s="11" t="s">
        <v>47</v>
      </c>
      <c r="C27" s="17">
        <f>SUM(C23:C26)</f>
        <v>0</v>
      </c>
      <c r="D27" s="179"/>
      <c r="F27" s="75" t="s">
        <v>19</v>
      </c>
      <c r="G27" s="93">
        <v>133593</v>
      </c>
      <c r="H27" s="98">
        <v>9.2249999999999999E-2</v>
      </c>
      <c r="I27" s="71">
        <f t="shared" si="0"/>
        <v>12323.954250000001</v>
      </c>
      <c r="J27" s="75" t="s">
        <v>20</v>
      </c>
      <c r="K27" s="93">
        <v>0</v>
      </c>
      <c r="L27" s="98">
        <v>9.5839999999999995E-2</v>
      </c>
      <c r="M27" s="71">
        <f t="shared" si="1"/>
        <v>0</v>
      </c>
    </row>
    <row r="28" spans="1:13" ht="16.5" thickBot="1">
      <c r="A28" s="80" t="s">
        <v>89</v>
      </c>
      <c r="C28" s="20">
        <v>0</v>
      </c>
      <c r="D28" s="2"/>
      <c r="F28" s="75" t="s">
        <v>20</v>
      </c>
      <c r="G28" s="93">
        <v>31604</v>
      </c>
      <c r="H28" s="98">
        <v>9.2249999999999999E-2</v>
      </c>
      <c r="I28" s="71">
        <f t="shared" si="0"/>
        <v>2915.4690000000001</v>
      </c>
      <c r="J28" s="74" t="s">
        <v>70</v>
      </c>
      <c r="K28" s="56">
        <f>SUM(K23:K27)</f>
        <v>2327848</v>
      </c>
      <c r="L28" s="57"/>
      <c r="M28" s="72">
        <f>SUM(M23:M27)</f>
        <v>223100.95231999998</v>
      </c>
    </row>
    <row r="29" spans="1:13" ht="17.25" thickTop="1" thickBot="1">
      <c r="A29" s="80" t="s">
        <v>101</v>
      </c>
      <c r="C29" s="20">
        <v>0</v>
      </c>
      <c r="D29" s="179"/>
      <c r="F29" s="75" t="s">
        <v>21</v>
      </c>
      <c r="G29" s="93">
        <v>0</v>
      </c>
      <c r="H29" s="98">
        <v>5.9499999999999997E-2</v>
      </c>
      <c r="I29" s="71">
        <f t="shared" si="0"/>
        <v>0</v>
      </c>
      <c r="J29" s="74"/>
      <c r="K29" s="87">
        <v>2327848</v>
      </c>
      <c r="L29" s="62" t="s">
        <v>49</v>
      </c>
      <c r="M29" s="103">
        <f>M28/K28</f>
        <v>9.5839999999999995E-2</v>
      </c>
    </row>
    <row r="30" spans="1:13" ht="16.5" thickBot="1">
      <c r="A30" s="9" t="s">
        <v>54</v>
      </c>
      <c r="C30" s="178">
        <f>C7+C11+C14+C17+C20+C22+C27+C28+C29</f>
        <v>2234497.33</v>
      </c>
      <c r="D30" s="2"/>
      <c r="F30" s="75" t="s">
        <v>22</v>
      </c>
      <c r="G30" s="93">
        <v>38600</v>
      </c>
      <c r="H30" s="98">
        <v>5.9499999999999997E-2</v>
      </c>
      <c r="I30" s="71">
        <f t="shared" si="0"/>
        <v>2296.6999999999998</v>
      </c>
      <c r="J30" s="75"/>
      <c r="K30" s="86">
        <f>K28-K29</f>
        <v>0</v>
      </c>
      <c r="L30" s="57"/>
      <c r="M30" s="73"/>
    </row>
    <row r="31" spans="1:13" ht="15.75">
      <c r="A31" s="97" t="s">
        <v>55</v>
      </c>
      <c r="C31" s="20">
        <v>-8260.4</v>
      </c>
      <c r="D31" s="180"/>
      <c r="F31" s="75" t="s">
        <v>37</v>
      </c>
      <c r="G31" s="93">
        <v>2422953</v>
      </c>
      <c r="H31" s="98">
        <v>5.4000000000000001E-4</v>
      </c>
      <c r="I31" s="71">
        <f t="shared" si="0"/>
        <v>1308.39462</v>
      </c>
      <c r="J31" s="34"/>
      <c r="K31" s="1"/>
      <c r="L31" s="57"/>
      <c r="M31" s="73"/>
    </row>
    <row r="32" spans="1:13" ht="16.5" thickBot="1">
      <c r="A32" s="9" t="s">
        <v>59</v>
      </c>
      <c r="B32" s="9" t="s">
        <v>60</v>
      </c>
      <c r="C32" s="116">
        <f>C30+C31</f>
        <v>2226236.9300000002</v>
      </c>
      <c r="D32" s="181"/>
      <c r="F32" s="74" t="s">
        <v>70</v>
      </c>
      <c r="G32" s="56">
        <f>SUM(G23:G31)</f>
        <v>6843156</v>
      </c>
      <c r="H32" s="1"/>
      <c r="I32" s="72">
        <f>SUM(I23:I31)</f>
        <v>432349.26820999995</v>
      </c>
      <c r="J32" s="67"/>
      <c r="K32" s="68"/>
      <c r="L32" s="1"/>
      <c r="M32" s="65"/>
    </row>
    <row r="33" spans="1:17" ht="17.25" thickTop="1" thickBot="1">
      <c r="A33" s="97" t="s">
        <v>56</v>
      </c>
      <c r="C33" s="116">
        <f>-C5-C9-C13-C16-C19</f>
        <v>-10597.46</v>
      </c>
      <c r="D33" s="179"/>
      <c r="F33" s="61"/>
      <c r="G33" s="87">
        <v>6843156</v>
      </c>
      <c r="H33" s="62" t="s">
        <v>49</v>
      </c>
      <c r="I33" s="84">
        <f>I32/G32</f>
        <v>6.3179805956491419E-2</v>
      </c>
      <c r="J33" s="67"/>
      <c r="K33" s="68"/>
      <c r="L33" s="1"/>
      <c r="M33" s="16"/>
    </row>
    <row r="34" spans="1:17" ht="16.5" thickBot="1">
      <c r="A34" s="9" t="s">
        <v>57</v>
      </c>
      <c r="C34" s="178">
        <f>SUM(C32:C33)</f>
        <v>2215639.4700000002</v>
      </c>
      <c r="D34" s="179"/>
      <c r="F34" s="34"/>
      <c r="G34" s="86">
        <f>G32-G33</f>
        <v>0</v>
      </c>
      <c r="H34" s="1"/>
      <c r="I34" s="16"/>
      <c r="J34" s="67"/>
      <c r="K34" s="66"/>
      <c r="L34" s="1"/>
      <c r="M34" s="16"/>
    </row>
    <row r="35" spans="1:17" ht="18" customHeight="1">
      <c r="A35" s="9"/>
      <c r="C35" s="116"/>
      <c r="D35" s="179"/>
      <c r="F35" s="59"/>
      <c r="G35" s="4"/>
      <c r="H35" s="4"/>
      <c r="I35" s="60"/>
      <c r="J35" s="74" t="s">
        <v>71</v>
      </c>
      <c r="K35" s="132"/>
      <c r="L35" s="132"/>
      <c r="M35" s="133"/>
    </row>
    <row r="36" spans="1:17" ht="15.75">
      <c r="A36" s="3" t="s">
        <v>45</v>
      </c>
      <c r="B36" s="9"/>
      <c r="C36" s="17"/>
      <c r="D36" s="179"/>
      <c r="F36" s="74" t="s">
        <v>71</v>
      </c>
      <c r="G36" s="1"/>
      <c r="H36" s="1"/>
      <c r="I36" s="16"/>
      <c r="J36" s="75" t="s">
        <v>16</v>
      </c>
      <c r="K36" s="94">
        <v>1139474</v>
      </c>
      <c r="L36" s="98">
        <v>0.16886000000000001</v>
      </c>
      <c r="M36" s="71">
        <f t="shared" ref="M36:M42" si="2">K36*L36</f>
        <v>192411.57964000001</v>
      </c>
      <c r="P36" s="125"/>
      <c r="Q36" s="125"/>
    </row>
    <row r="37" spans="1:17" ht="15.75">
      <c r="A37" s="1" t="s">
        <v>72</v>
      </c>
      <c r="B37" s="131" t="s">
        <v>58</v>
      </c>
      <c r="C37" s="20">
        <v>4382153.17</v>
      </c>
      <c r="D37" s="179"/>
      <c r="F37" s="75" t="s">
        <v>16</v>
      </c>
      <c r="G37" s="94">
        <v>2393172</v>
      </c>
      <c r="H37" s="98">
        <v>0.17066999999999999</v>
      </c>
      <c r="I37" s="71">
        <f t="shared" ref="I37:I44" si="3">G37*H37</f>
        <v>408442.66523999994</v>
      </c>
      <c r="J37" s="75" t="s">
        <v>17</v>
      </c>
      <c r="K37" s="94">
        <v>1142095</v>
      </c>
      <c r="L37" s="98">
        <v>0.16886000000000001</v>
      </c>
      <c r="M37" s="71">
        <f t="shared" si="2"/>
        <v>192854.16170000003</v>
      </c>
      <c r="P37" s="125"/>
      <c r="Q37" s="125"/>
    </row>
    <row r="38" spans="1:17" ht="15.75">
      <c r="A38" s="81" t="s">
        <v>5</v>
      </c>
      <c r="B38" s="131" t="s">
        <v>58</v>
      </c>
      <c r="C38" s="20">
        <v>0</v>
      </c>
      <c r="D38" s="179"/>
      <c r="F38" s="75" t="s">
        <v>159</v>
      </c>
      <c r="G38" s="94">
        <v>1928</v>
      </c>
      <c r="H38" s="98">
        <v>0.17066999999999999</v>
      </c>
      <c r="I38" s="71">
        <f t="shared" si="3"/>
        <v>329.05176</v>
      </c>
      <c r="J38" s="75" t="s">
        <v>18</v>
      </c>
      <c r="K38" s="94">
        <v>46279</v>
      </c>
      <c r="L38" s="98">
        <v>0.16886000000000001</v>
      </c>
      <c r="M38" s="71">
        <f t="shared" si="2"/>
        <v>7814.6719400000002</v>
      </c>
      <c r="P38" s="125"/>
      <c r="Q38" s="125"/>
    </row>
    <row r="39" spans="1:17" ht="15.75">
      <c r="A39" s="1" t="s">
        <v>85</v>
      </c>
      <c r="B39" s="131" t="s">
        <v>86</v>
      </c>
      <c r="C39" s="20">
        <v>-41767.69</v>
      </c>
      <c r="D39" s="179"/>
      <c r="F39" s="75" t="s">
        <v>17</v>
      </c>
      <c r="G39" s="94">
        <v>1815710</v>
      </c>
      <c r="H39" s="98">
        <v>0.17066999999999999</v>
      </c>
      <c r="I39" s="71">
        <f t="shared" si="3"/>
        <v>309887.22569999995</v>
      </c>
      <c r="J39" s="75" t="s">
        <v>19</v>
      </c>
      <c r="K39" s="94">
        <f>K26</f>
        <v>0</v>
      </c>
      <c r="L39" s="98">
        <v>0.16886000000000001</v>
      </c>
      <c r="M39" s="71">
        <f t="shared" si="2"/>
        <v>0</v>
      </c>
      <c r="P39" s="125"/>
      <c r="Q39" s="125"/>
    </row>
    <row r="40" spans="1:17" ht="15.75">
      <c r="A40" s="1" t="s">
        <v>74</v>
      </c>
      <c r="B40" s="131" t="s">
        <v>75</v>
      </c>
      <c r="C40" s="20">
        <v>256221.98</v>
      </c>
      <c r="D40" s="179"/>
      <c r="F40" s="75" t="s">
        <v>18</v>
      </c>
      <c r="G40" s="94">
        <v>5596</v>
      </c>
      <c r="H40" s="98">
        <v>0.17066999999999999</v>
      </c>
      <c r="I40" s="71">
        <f t="shared" si="3"/>
        <v>955.06931999999995</v>
      </c>
      <c r="J40" s="75" t="s">
        <v>20</v>
      </c>
      <c r="K40" s="94">
        <f>K27</f>
        <v>0</v>
      </c>
      <c r="L40" s="98">
        <v>0.16886000000000001</v>
      </c>
      <c r="M40" s="71">
        <f t="shared" si="2"/>
        <v>0</v>
      </c>
      <c r="P40" s="125"/>
      <c r="Q40" s="125"/>
    </row>
    <row r="41" spans="1:17" ht="15.75">
      <c r="A41" s="1" t="s">
        <v>91</v>
      </c>
      <c r="B41" s="117" t="s">
        <v>92</v>
      </c>
      <c r="C41" s="20">
        <v>45501.27</v>
      </c>
      <c r="D41" s="179"/>
      <c r="F41" s="75" t="s">
        <v>19</v>
      </c>
      <c r="G41" s="94">
        <v>133593</v>
      </c>
      <c r="H41" s="98">
        <v>0.17066999999999999</v>
      </c>
      <c r="I41" s="71">
        <f t="shared" si="3"/>
        <v>22800.317309999999</v>
      </c>
      <c r="J41" s="75" t="s">
        <v>21</v>
      </c>
      <c r="K41" s="93">
        <v>0</v>
      </c>
      <c r="L41" s="98">
        <v>0.16886000000000001</v>
      </c>
      <c r="M41" s="71">
        <f t="shared" si="2"/>
        <v>0</v>
      </c>
      <c r="P41" s="125"/>
      <c r="Q41" s="125"/>
    </row>
    <row r="42" spans="1:17" ht="16.5" thickBot="1">
      <c r="A42" s="1" t="s">
        <v>109</v>
      </c>
      <c r="B42" s="131" t="s">
        <v>110</v>
      </c>
      <c r="C42" s="20">
        <v>336693.88</v>
      </c>
      <c r="D42" s="2"/>
      <c r="F42" s="75" t="s">
        <v>20</v>
      </c>
      <c r="G42" s="94">
        <v>31604</v>
      </c>
      <c r="H42" s="98">
        <v>0.17066999999999999</v>
      </c>
      <c r="I42" s="71">
        <f t="shared" si="3"/>
        <v>5393.8546799999995</v>
      </c>
      <c r="J42" s="75" t="s">
        <v>22</v>
      </c>
      <c r="K42" s="95">
        <v>0</v>
      </c>
      <c r="L42" s="98">
        <v>0.16886000000000001</v>
      </c>
      <c r="M42" s="71">
        <f t="shared" si="2"/>
        <v>0</v>
      </c>
      <c r="P42" s="125"/>
      <c r="Q42" s="125"/>
    </row>
    <row r="43" spans="1:17" ht="16.5" thickBot="1">
      <c r="A43" s="14" t="s">
        <v>66</v>
      </c>
      <c r="B43" s="4"/>
      <c r="C43" s="178">
        <f>SUM(C37:C42)</f>
        <v>4978802.6099999994</v>
      </c>
      <c r="D43" s="179"/>
      <c r="F43" s="75" t="s">
        <v>21</v>
      </c>
      <c r="G43" s="94">
        <v>0</v>
      </c>
      <c r="H43" s="98">
        <v>0.17066999999999999</v>
      </c>
      <c r="I43" s="71">
        <f t="shared" si="3"/>
        <v>0</v>
      </c>
      <c r="J43" s="74" t="s">
        <v>76</v>
      </c>
      <c r="K43" s="56">
        <f>SUM(K36:K42)</f>
        <v>2327848</v>
      </c>
      <c r="L43" s="57"/>
      <c r="M43" s="72">
        <f>SUM(M36:M42)</f>
        <v>393080.4132800001</v>
      </c>
    </row>
    <row r="44" spans="1:17" ht="16.5" thickBot="1">
      <c r="A44" s="182" t="s">
        <v>108</v>
      </c>
      <c r="B44" s="183" t="s">
        <v>63</v>
      </c>
      <c r="C44" s="20">
        <v>-309394.63</v>
      </c>
      <c r="D44" s="2"/>
      <c r="F44" s="75" t="s">
        <v>22</v>
      </c>
      <c r="G44" s="94">
        <v>38600</v>
      </c>
      <c r="H44" s="98">
        <v>0.17066999999999999</v>
      </c>
      <c r="I44" s="71">
        <f t="shared" si="3"/>
        <v>6587.8619999999992</v>
      </c>
      <c r="J44" s="69"/>
      <c r="K44" s="88">
        <v>2327848</v>
      </c>
      <c r="L44" s="64" t="s">
        <v>49</v>
      </c>
      <c r="M44" s="85">
        <f>M43/K43</f>
        <v>0.16886000000000004</v>
      </c>
    </row>
    <row r="45" spans="1:17" ht="16.5" thickBot="1">
      <c r="A45" s="81" t="s">
        <v>102</v>
      </c>
      <c r="B45" s="117" t="s">
        <v>58</v>
      </c>
      <c r="C45" s="20">
        <v>0</v>
      </c>
      <c r="D45" s="180"/>
      <c r="F45" s="74" t="s">
        <v>76</v>
      </c>
      <c r="G45" s="56">
        <f>SUM(G37:G44)</f>
        <v>4420203</v>
      </c>
      <c r="H45" s="57"/>
      <c r="I45" s="72">
        <f>SUM(I37:I44)</f>
        <v>754396.04600999982</v>
      </c>
      <c r="J45" s="14"/>
      <c r="K45" s="87"/>
      <c r="L45" s="62"/>
      <c r="M45" s="113"/>
    </row>
    <row r="46" spans="1:17" ht="19.5" customHeight="1" thickTop="1" thickBot="1">
      <c r="A46" s="81" t="s">
        <v>103</v>
      </c>
      <c r="B46" s="117" t="s">
        <v>58</v>
      </c>
      <c r="C46" s="20">
        <v>0</v>
      </c>
      <c r="D46" s="181"/>
      <c r="F46" s="63"/>
      <c r="G46" s="88">
        <v>4420203</v>
      </c>
      <c r="H46" s="64" t="s">
        <v>49</v>
      </c>
      <c r="I46" s="83">
        <f>I45/G45</f>
        <v>0.17066999999999996</v>
      </c>
      <c r="J46" s="14"/>
      <c r="K46" s="87"/>
      <c r="L46" s="62"/>
      <c r="M46" s="113"/>
    </row>
    <row r="47" spans="1:17" ht="19.149999999999999" customHeight="1">
      <c r="A47" s="97" t="s">
        <v>80</v>
      </c>
      <c r="B47" s="117" t="s">
        <v>58</v>
      </c>
      <c r="C47" s="20">
        <v>0</v>
      </c>
      <c r="D47" s="179"/>
      <c r="G47" s="86">
        <f>G45-G46</f>
        <v>0</v>
      </c>
      <c r="J47" s="21"/>
      <c r="K47" s="86">
        <f>K43-K44</f>
        <v>0</v>
      </c>
      <c r="M47" s="21"/>
    </row>
    <row r="48" spans="1:17" ht="16.5" thickBot="1">
      <c r="A48" s="81" t="s">
        <v>158</v>
      </c>
      <c r="B48" s="117" t="s">
        <v>58</v>
      </c>
      <c r="C48" s="20">
        <v>7000</v>
      </c>
      <c r="D48" s="179"/>
      <c r="J48" s="21"/>
      <c r="K48" s="18"/>
      <c r="M48" s="13"/>
    </row>
    <row r="49" spans="1:21" ht="15.75">
      <c r="A49" s="1" t="s">
        <v>73</v>
      </c>
      <c r="B49" s="131" t="s">
        <v>90</v>
      </c>
      <c r="C49" s="20">
        <v>15557.31</v>
      </c>
      <c r="D49" s="179"/>
      <c r="G49" s="18"/>
      <c r="H49" s="25" t="s">
        <v>14</v>
      </c>
      <c r="I49" s="5" t="s">
        <v>14</v>
      </c>
      <c r="J49" s="5" t="s">
        <v>26</v>
      </c>
      <c r="K49" s="23" t="s">
        <v>33</v>
      </c>
      <c r="L49" s="21"/>
    </row>
    <row r="50" spans="1:21" ht="16.5" thickBot="1">
      <c r="A50" s="1" t="s">
        <v>121</v>
      </c>
      <c r="B50" s="131" t="s">
        <v>90</v>
      </c>
      <c r="C50" s="20">
        <v>2168.17</v>
      </c>
      <c r="D50" s="2"/>
      <c r="F50" s="9" t="s">
        <v>36</v>
      </c>
      <c r="H50" s="26" t="s">
        <v>0</v>
      </c>
      <c r="I50" s="27" t="s">
        <v>1</v>
      </c>
      <c r="J50" s="27" t="s">
        <v>0</v>
      </c>
      <c r="K50" s="24" t="s">
        <v>1</v>
      </c>
    </row>
    <row r="51" spans="1:21" ht="15.75">
      <c r="A51" s="1" t="s">
        <v>161</v>
      </c>
      <c r="B51" s="131" t="s">
        <v>90</v>
      </c>
      <c r="C51" s="20">
        <v>3959.87</v>
      </c>
      <c r="D51" s="179"/>
      <c r="H51" s="32"/>
      <c r="I51" s="33"/>
      <c r="J51" s="33"/>
      <c r="K51" s="33"/>
      <c r="L51" s="22" t="s">
        <v>50</v>
      </c>
    </row>
    <row r="52" spans="1:21" ht="15.75">
      <c r="A52" s="44" t="s">
        <v>61</v>
      </c>
      <c r="B52" s="117"/>
      <c r="C52" s="17">
        <f>-C33</f>
        <v>10597.46</v>
      </c>
      <c r="D52" s="176"/>
      <c r="F52" s="97" t="s">
        <v>79</v>
      </c>
      <c r="H52" s="82">
        <f>K12</f>
        <v>-1329876.6409000002</v>
      </c>
      <c r="I52" s="19">
        <f>I14</f>
        <v>1530120.6179820001</v>
      </c>
      <c r="J52" s="19">
        <f>L12</f>
        <v>-700742.43910000008</v>
      </c>
      <c r="K52" s="19">
        <f>J14</f>
        <v>685518.85201800009</v>
      </c>
      <c r="L52" s="28">
        <f>SUM(H52:K52)</f>
        <v>185020.3899999999</v>
      </c>
    </row>
    <row r="53" spans="1:21" ht="16.5" thickBot="1">
      <c r="A53" s="97" t="s">
        <v>168</v>
      </c>
      <c r="B53" s="131" t="s">
        <v>169</v>
      </c>
      <c r="C53" s="20">
        <v>11656.4</v>
      </c>
      <c r="D53" s="179"/>
      <c r="F53" s="97" t="s">
        <v>52</v>
      </c>
      <c r="H53" s="82">
        <f>-I45</f>
        <v>-754396.04600999982</v>
      </c>
      <c r="I53" s="19">
        <f>-I32</f>
        <v>-432349.26820999995</v>
      </c>
      <c r="J53" s="19">
        <f>-M43</f>
        <v>-393080.4132800001</v>
      </c>
      <c r="K53" s="19">
        <f>-M28</f>
        <v>-223100.95231999998</v>
      </c>
      <c r="L53" s="92">
        <f>SUM(H53:K53)</f>
        <v>-1802926.67982</v>
      </c>
    </row>
    <row r="54" spans="1:21" ht="16.5" thickBot="1">
      <c r="A54" s="97" t="s">
        <v>67</v>
      </c>
      <c r="B54" s="117" t="s">
        <v>156</v>
      </c>
      <c r="C54" s="20">
        <v>-6403083.9699999997</v>
      </c>
      <c r="D54" s="179"/>
      <c r="F54" s="97" t="s">
        <v>38</v>
      </c>
      <c r="H54" s="89">
        <v>0</v>
      </c>
      <c r="I54" s="90">
        <v>0</v>
      </c>
      <c r="J54" s="90">
        <v>0</v>
      </c>
      <c r="K54" s="91">
        <v>0</v>
      </c>
      <c r="L54" s="184">
        <f>SUM(L52:L53)</f>
        <v>-1617906.2898200001</v>
      </c>
    </row>
    <row r="55" spans="1:21" ht="16.5" thickBot="1">
      <c r="A55" s="97" t="s">
        <v>165</v>
      </c>
      <c r="B55" s="117" t="s">
        <v>120</v>
      </c>
      <c r="C55" s="20">
        <v>-375000</v>
      </c>
      <c r="D55" s="179"/>
      <c r="F55" s="97" t="s">
        <v>34</v>
      </c>
      <c r="H55" s="178">
        <f>IFERROR(H52+H53+H54,0)</f>
        <v>-2084272.6869100002</v>
      </c>
      <c r="I55" s="178">
        <f>I52+I53+I54</f>
        <v>1097771.3497720002</v>
      </c>
      <c r="J55" s="178">
        <f>IFERROR(J52+J53+J54,0)</f>
        <v>-1093822.8523800001</v>
      </c>
      <c r="K55" s="178">
        <f>K52+K53+K54</f>
        <v>462417.89969800011</v>
      </c>
      <c r="L55" s="185">
        <f>SUM(H55:K55)</f>
        <v>-1617906.2898199998</v>
      </c>
    </row>
    <row r="56" spans="1:21" ht="16.5" thickBot="1">
      <c r="A56" s="186" t="s">
        <v>62</v>
      </c>
      <c r="B56" s="183"/>
      <c r="C56" s="36">
        <f>SUM(C43:C55)</f>
        <v>-2057736.7800000003</v>
      </c>
      <c r="D56" s="179"/>
      <c r="F56" s="187" t="s">
        <v>112</v>
      </c>
      <c r="H56" s="97" t="s">
        <v>104</v>
      </c>
      <c r="I56" s="1">
        <f>SUM(H55:I55)</f>
        <v>-986501.33713799994</v>
      </c>
      <c r="J56" s="12" t="s">
        <v>105</v>
      </c>
      <c r="K56" s="97">
        <f>SUM(J55:K55)</f>
        <v>-631404.95268199989</v>
      </c>
      <c r="L56" s="188">
        <f>ROUND(L54-L55,3)</f>
        <v>0</v>
      </c>
      <c r="T56" s="189"/>
    </row>
    <row r="57" spans="1:21" ht="16.5" thickTop="1">
      <c r="A57" s="97" t="s">
        <v>64</v>
      </c>
      <c r="B57" s="117" t="s">
        <v>176</v>
      </c>
      <c r="C57" s="116">
        <v>17940.95</v>
      </c>
      <c r="D57" s="179"/>
      <c r="F57" s="190" t="s">
        <v>112</v>
      </c>
      <c r="H57" s="191"/>
    </row>
    <row r="58" spans="1:21" ht="16.5" thickBot="1">
      <c r="A58" s="97" t="s">
        <v>65</v>
      </c>
      <c r="B58" s="117" t="s">
        <v>177</v>
      </c>
      <c r="C58" s="116">
        <v>9176.75</v>
      </c>
      <c r="D58" s="179"/>
      <c r="F58" s="190" t="s">
        <v>113</v>
      </c>
      <c r="H58" s="180"/>
      <c r="I58" s="192"/>
      <c r="J58" s="192"/>
      <c r="K58" s="193"/>
      <c r="L58" s="192"/>
    </row>
    <row r="59" spans="1:21" ht="16.5" thickBot="1">
      <c r="A59" s="9" t="s">
        <v>68</v>
      </c>
      <c r="B59" s="9"/>
      <c r="C59" s="36">
        <f>SUM(C56:C58)</f>
        <v>-2030619.0800000003</v>
      </c>
      <c r="D59" s="179"/>
      <c r="F59" s="194" t="s">
        <v>157</v>
      </c>
      <c r="G59" s="9" t="str">
        <f>IF(OR(AND(I56&gt;0,K56&gt;0),AND(I56&lt;0,K56&lt;0)),"OK","ERROR")</f>
        <v>OK</v>
      </c>
      <c r="H59" s="32" t="s">
        <v>154</v>
      </c>
      <c r="I59" s="77"/>
    </row>
    <row r="60" spans="1:21" ht="17.25" thickTop="1" thickBot="1">
      <c r="A60" s="9"/>
      <c r="C60" s="116"/>
      <c r="D60" s="179"/>
      <c r="H60" s="35" t="s">
        <v>106</v>
      </c>
      <c r="I60" s="148" t="s">
        <v>107</v>
      </c>
      <c r="J60" s="1"/>
    </row>
    <row r="61" spans="1:21" ht="16.5" thickBot="1">
      <c r="A61" s="29"/>
      <c r="B61" s="29" t="s">
        <v>46</v>
      </c>
      <c r="C61" s="178">
        <f>C59+C34</f>
        <v>185020.3899999999</v>
      </c>
      <c r="D61" s="2"/>
      <c r="H61" s="96" t="e">
        <f>SUM('WA - Def-Amtz (current)'!BA5:BA40)+SUM(#REF!)</f>
        <v>#REF!</v>
      </c>
      <c r="I61" s="100" t="e">
        <f>SUM('WA - Def-Amtz (current)'!BB5:BB41)+SUM(#REF!)</f>
        <v>#REF!</v>
      </c>
      <c r="J61" s="97">
        <f>H53+I53+J53+K53</f>
        <v>-1802926.67982</v>
      </c>
    </row>
    <row r="62" spans="1:21" ht="15.75">
      <c r="A62" s="9"/>
      <c r="B62" s="29" t="s">
        <v>95</v>
      </c>
      <c r="C62" s="118">
        <v>185020.39</v>
      </c>
      <c r="G62" s="1"/>
      <c r="I62" s="17" t="e">
        <f>H61-I61</f>
        <v>#REF!</v>
      </c>
      <c r="N62" s="1"/>
      <c r="O62" s="1"/>
      <c r="P62" s="195"/>
    </row>
    <row r="63" spans="1:21" ht="15.75">
      <c r="A63" s="29"/>
      <c r="B63" s="29" t="s">
        <v>210</v>
      </c>
      <c r="C63" s="17">
        <f>ROUND(C61-C62,2)</f>
        <v>0</v>
      </c>
      <c r="D63" s="179"/>
      <c r="S63" s="117"/>
    </row>
    <row r="64" spans="1:21" ht="15.75">
      <c r="A64" s="15"/>
      <c r="C64" s="196"/>
      <c r="D64" s="197"/>
      <c r="N64" s="44"/>
      <c r="U64" s="9"/>
    </row>
    <row r="65" spans="1:21" ht="15.75">
      <c r="A65" s="15"/>
      <c r="C65" s="2"/>
      <c r="D65" s="179"/>
      <c r="N65" s="44"/>
      <c r="S65" s="198"/>
    </row>
    <row r="66" spans="1:21" ht="15.75">
      <c r="A66" s="9"/>
      <c r="C66" s="2"/>
      <c r="D66" s="179"/>
      <c r="N66" s="44"/>
      <c r="S66" s="199"/>
    </row>
    <row r="67" spans="1:21">
      <c r="C67" s="17"/>
      <c r="D67" s="179"/>
      <c r="N67" s="44"/>
      <c r="S67" s="200"/>
    </row>
    <row r="68" spans="1:21">
      <c r="D68" s="179"/>
      <c r="N68" s="44"/>
      <c r="S68" s="199"/>
    </row>
    <row r="69" spans="1:21">
      <c r="D69" s="2"/>
      <c r="N69" s="44"/>
    </row>
    <row r="70" spans="1:21">
      <c r="D70" s="179"/>
      <c r="N70" s="44"/>
      <c r="S70" s="201"/>
    </row>
    <row r="71" spans="1:21">
      <c r="D71" s="179"/>
    </row>
    <row r="72" spans="1:21">
      <c r="D72" s="179"/>
    </row>
    <row r="73" spans="1:21">
      <c r="D73" s="66"/>
      <c r="S73" s="202"/>
    </row>
    <row r="74" spans="1:21">
      <c r="R74" s="117"/>
      <c r="S74" s="117"/>
      <c r="T74" s="117"/>
    </row>
    <row r="76" spans="1:21">
      <c r="U76" s="203"/>
    </row>
    <row r="1477" spans="3:3">
      <c r="C1477" s="97">
        <v>-2130</v>
      </c>
    </row>
    <row r="1485" spans="3:3">
      <c r="C1485" s="97">
        <f>7004298-2130</f>
        <v>7002168</v>
      </c>
    </row>
  </sheetData>
  <mergeCells count="3">
    <mergeCell ref="F18:I18"/>
    <mergeCell ref="J18:M18"/>
    <mergeCell ref="K35:M35"/>
  </mergeCells>
  <conditionalFormatting sqref="C63 L56 I62">
    <cfRule type="cellIs" dxfId="44" priority="7" stopIfTrue="1" operator="equal">
      <formula>0</formula>
    </cfRule>
    <cfRule type="cellIs" dxfId="43" priority="8" stopIfTrue="1" operator="notEqual">
      <formula>0</formula>
    </cfRule>
  </conditionalFormatting>
  <conditionalFormatting sqref="G34 G47 K30 K47">
    <cfRule type="cellIs" dxfId="42" priority="6" operator="notEqual">
      <formula>0</formula>
    </cfRule>
  </conditionalFormatting>
  <conditionalFormatting sqref="C63">
    <cfRule type="cellIs" dxfId="41" priority="4" stopIfTrue="1" operator="equal">
      <formula>0</formula>
    </cfRule>
    <cfRule type="cellIs" dxfId="40" priority="5" stopIfTrue="1" operator="notEqual">
      <formula>0</formula>
    </cfRule>
  </conditionalFormatting>
  <conditionalFormatting sqref="K30">
    <cfRule type="cellIs" dxfId="39" priority="3" operator="notEqual">
      <formula>0</formula>
    </cfRule>
  </conditionalFormatting>
  <conditionalFormatting sqref="G59">
    <cfRule type="cellIs" dxfId="38" priority="2" operator="equal">
      <formula>"ERROR"</formula>
    </cfRule>
  </conditionalFormatting>
  <conditionalFormatting sqref="G59">
    <cfRule type="cellIs" dxfId="37"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00CC66"/>
    <pageSetUpPr fitToPage="1"/>
  </sheetPr>
  <dimension ref="A1:BQ111"/>
  <sheetViews>
    <sheetView showGridLines="0" tabSelected="1" zoomScale="70" zoomScaleNormal="70" zoomScaleSheetLayoutView="85" workbookViewId="0">
      <pane xSplit="2" ySplit="3" topLeftCell="C4" activePane="bottomRight" state="frozen"/>
      <selection activeCell="BD49" activeCellId="1" sqref="BD13 BD49"/>
      <selection pane="topRight" activeCell="BD49" activeCellId="1" sqref="BD13 BD49"/>
      <selection pane="bottomLeft" activeCell="BD49" activeCellId="1" sqref="BD13 BD49"/>
      <selection pane="bottomRight"/>
    </sheetView>
  </sheetViews>
  <sheetFormatPr defaultColWidth="9.140625" defaultRowHeight="15" outlineLevelRow="1" outlineLevelCol="1"/>
  <cols>
    <col min="1" max="1" width="17.28515625" style="97" customWidth="1"/>
    <col min="2" max="2" width="18.7109375" style="12" customWidth="1"/>
    <col min="3" max="3" width="17.5703125" style="97" hidden="1" customWidth="1"/>
    <col min="4" max="4" width="17.85546875" style="97" hidden="1" customWidth="1"/>
    <col min="5" max="6" width="16.28515625" style="97" hidden="1" customWidth="1" outlineLevel="1"/>
    <col min="7" max="7" width="17.42578125" style="97" hidden="1" customWidth="1" outlineLevel="1"/>
    <col min="8" max="8" width="15.5703125" style="97" hidden="1" customWidth="1" outlineLevel="1"/>
    <col min="9" max="13" width="17.42578125" style="97" hidden="1" customWidth="1" outlineLevel="1"/>
    <col min="14" max="14" width="17.5703125" style="97" hidden="1" customWidth="1" outlineLevel="1"/>
    <col min="15" max="15" width="18.140625" style="97" hidden="1" customWidth="1" outlineLevel="1"/>
    <col min="16" max="16" width="17.7109375" style="97" hidden="1" customWidth="1" outlineLevel="1"/>
    <col min="17" max="17" width="18.7109375" style="97" hidden="1" customWidth="1" outlineLevel="1" collapsed="1"/>
    <col min="18" max="18" width="19.140625" style="97" hidden="1" customWidth="1" outlineLevel="1"/>
    <col min="19" max="19" width="17.42578125" style="97" hidden="1" customWidth="1" outlineLevel="1"/>
    <col min="20" max="20" width="16.7109375" style="97" hidden="1" customWidth="1" outlineLevel="1"/>
    <col min="21" max="22" width="17.42578125" style="97" hidden="1" customWidth="1" outlineLevel="1"/>
    <col min="23" max="23" width="17.42578125" style="97" hidden="1" customWidth="1" outlineLevel="1" collapsed="1"/>
    <col min="24" max="25" width="17.42578125" style="97" hidden="1" customWidth="1" outlineLevel="1"/>
    <col min="26" max="26" width="18.5703125" style="97" hidden="1" customWidth="1" outlineLevel="1"/>
    <col min="27" max="27" width="18.140625" style="97" hidden="1" customWidth="1" outlineLevel="1"/>
    <col min="28" max="28" width="17.7109375" style="97" hidden="1" customWidth="1" outlineLevel="1"/>
    <col min="29" max="29" width="17.7109375" style="97" hidden="1" customWidth="1" outlineLevel="1" collapsed="1"/>
    <col min="30" max="40" width="17.7109375" style="97" hidden="1" customWidth="1" outlineLevel="1"/>
    <col min="41" max="41" width="17.7109375" style="97" customWidth="1" collapsed="1"/>
    <col min="42" max="45" width="17.7109375" style="97" customWidth="1"/>
    <col min="46" max="48" width="18.85546875" style="97" customWidth="1"/>
    <col min="49" max="49" width="34.42578125" style="97" customWidth="1"/>
    <col min="50" max="50" width="14.42578125" style="81" bestFit="1" customWidth="1"/>
    <col min="51" max="51" width="4.7109375" style="97" bestFit="1" customWidth="1"/>
    <col min="52" max="52" width="5" style="97" bestFit="1" customWidth="1"/>
    <col min="53" max="53" width="18.28515625" style="97" customWidth="1"/>
    <col min="54" max="54" width="17.140625" style="97" bestFit="1" customWidth="1"/>
    <col min="55" max="55" width="0.42578125" style="97" customWidth="1"/>
    <col min="56" max="56" width="9.140625" style="97"/>
    <col min="57" max="57" width="10.5703125" style="97" bestFit="1" customWidth="1"/>
    <col min="58" max="58" width="11.28515625" style="97" bestFit="1" customWidth="1"/>
    <col min="59" max="61" width="9.140625" style="97"/>
    <col min="62" max="62" width="23.85546875" style="97" bestFit="1" customWidth="1"/>
    <col min="63" max="63" width="11.7109375" style="97" bestFit="1" customWidth="1"/>
    <col min="64" max="64" width="4.28515625" style="97" bestFit="1" customWidth="1"/>
    <col min="65" max="65" width="4.5703125" style="97" bestFit="1" customWidth="1"/>
    <col min="66" max="68" width="11.7109375" style="97" bestFit="1" customWidth="1"/>
    <col min="69" max="16384" width="9.140625" style="97"/>
  </cols>
  <sheetData>
    <row r="1" spans="1:56" ht="15.75">
      <c r="A1" s="137" t="s">
        <v>136</v>
      </c>
      <c r="AW1" s="137"/>
      <c r="AZ1" s="9" t="s">
        <v>167</v>
      </c>
      <c r="BA1" s="9"/>
    </row>
    <row r="2" spans="1:56" ht="15.75">
      <c r="A2" s="9" t="s">
        <v>137</v>
      </c>
      <c r="AT2" s="138"/>
      <c r="AU2" s="138"/>
      <c r="AV2" s="138"/>
    </row>
    <row r="3" spans="1:56" s="9" customFormat="1" ht="32.25" thickBot="1">
      <c r="A3" s="123">
        <v>191010</v>
      </c>
      <c r="B3" s="29" t="s">
        <v>127</v>
      </c>
      <c r="C3" s="138" t="s">
        <v>123</v>
      </c>
      <c r="D3" s="139" t="s">
        <v>132</v>
      </c>
      <c r="E3" s="123">
        <v>201601</v>
      </c>
      <c r="F3" s="123">
        <f>E3+1</f>
        <v>201602</v>
      </c>
      <c r="G3" s="123">
        <f t="shared" ref="G3:O3" si="0">F3+1</f>
        <v>201603</v>
      </c>
      <c r="H3" s="123">
        <f t="shared" si="0"/>
        <v>201604</v>
      </c>
      <c r="I3" s="123">
        <f t="shared" si="0"/>
        <v>201605</v>
      </c>
      <c r="J3" s="123">
        <f t="shared" si="0"/>
        <v>201606</v>
      </c>
      <c r="K3" s="123">
        <f>J3+1</f>
        <v>201607</v>
      </c>
      <c r="L3" s="123">
        <f t="shared" si="0"/>
        <v>201608</v>
      </c>
      <c r="M3" s="123">
        <f t="shared" si="0"/>
        <v>201609</v>
      </c>
      <c r="N3" s="123">
        <f t="shared" si="0"/>
        <v>201610</v>
      </c>
      <c r="O3" s="123">
        <f t="shared" si="0"/>
        <v>201611</v>
      </c>
      <c r="P3" s="123">
        <f>O3+1</f>
        <v>201612</v>
      </c>
      <c r="Q3" s="123">
        <v>201701</v>
      </c>
      <c r="R3" s="123">
        <f>Q3+1</f>
        <v>201702</v>
      </c>
      <c r="S3" s="123">
        <f t="shared" ref="S3" si="1">R3+1</f>
        <v>201703</v>
      </c>
      <c r="T3" s="123">
        <f t="shared" ref="T3" si="2">S3+1</f>
        <v>201704</v>
      </c>
      <c r="U3" s="123">
        <f t="shared" ref="U3" si="3">T3+1</f>
        <v>201705</v>
      </c>
      <c r="V3" s="123">
        <f t="shared" ref="V3" si="4">U3+1</f>
        <v>201706</v>
      </c>
      <c r="W3" s="123">
        <f>V3+1</f>
        <v>201707</v>
      </c>
      <c r="X3" s="123">
        <f t="shared" ref="X3" si="5">W3+1</f>
        <v>201708</v>
      </c>
      <c r="Y3" s="123">
        <f t="shared" ref="Y3" si="6">X3+1</f>
        <v>201709</v>
      </c>
      <c r="Z3" s="123">
        <f t="shared" ref="Z3" si="7">Y3+1</f>
        <v>201710</v>
      </c>
      <c r="AA3" s="123">
        <f t="shared" ref="AA3" si="8">Z3+1</f>
        <v>201711</v>
      </c>
      <c r="AB3" s="123">
        <f>AA3+1</f>
        <v>201712</v>
      </c>
      <c r="AC3" s="123">
        <v>201801</v>
      </c>
      <c r="AD3" s="123">
        <v>201802</v>
      </c>
      <c r="AE3" s="123">
        <v>201803</v>
      </c>
      <c r="AF3" s="123">
        <v>201804</v>
      </c>
      <c r="AG3" s="123">
        <v>201805</v>
      </c>
      <c r="AH3" s="123">
        <v>201806</v>
      </c>
      <c r="AI3" s="123">
        <v>201807</v>
      </c>
      <c r="AJ3" s="123">
        <v>201808</v>
      </c>
      <c r="AK3" s="123">
        <v>201809</v>
      </c>
      <c r="AL3" s="123">
        <v>201810</v>
      </c>
      <c r="AM3" s="123">
        <v>201811</v>
      </c>
      <c r="AN3" s="123">
        <v>201812</v>
      </c>
      <c r="AO3" s="123">
        <v>201901</v>
      </c>
      <c r="AP3" s="123">
        <v>201902</v>
      </c>
      <c r="AQ3" s="123">
        <v>201903</v>
      </c>
      <c r="AR3" s="123">
        <v>201904</v>
      </c>
      <c r="AS3" s="123">
        <v>201905</v>
      </c>
      <c r="AT3" s="129" t="s">
        <v>181</v>
      </c>
      <c r="AU3" s="129">
        <v>201906</v>
      </c>
      <c r="AV3" s="129">
        <v>201907</v>
      </c>
      <c r="AX3" s="137" t="s">
        <v>155</v>
      </c>
    </row>
    <row r="4" spans="1:56" s="9" customFormat="1" ht="16.5" thickBot="1">
      <c r="B4" s="29" t="s">
        <v>128</v>
      </c>
      <c r="C4" s="97"/>
      <c r="E4" s="119">
        <v>3.2500000000000001E-2</v>
      </c>
      <c r="F4" s="119">
        <v>3.2500000000000001E-2</v>
      </c>
      <c r="G4" s="119">
        <v>3.2500000000000001E-2</v>
      </c>
      <c r="H4" s="119">
        <v>3.4599999999999999E-2</v>
      </c>
      <c r="I4" s="119">
        <v>3.4599999999999999E-2</v>
      </c>
      <c r="J4" s="119">
        <v>3.4599999999999999E-2</v>
      </c>
      <c r="K4" s="119">
        <v>3.5000000000000003E-2</v>
      </c>
      <c r="L4" s="119">
        <v>3.5000000000000003E-2</v>
      </c>
      <c r="M4" s="119">
        <v>3.5000000000000003E-2</v>
      </c>
      <c r="N4" s="119">
        <v>3.5000000000000003E-2</v>
      </c>
      <c r="O4" s="119">
        <v>3.5000000000000003E-2</v>
      </c>
      <c r="P4" s="119">
        <v>3.5000000000000003E-2</v>
      </c>
      <c r="Q4" s="119">
        <v>3.5000000000000003E-2</v>
      </c>
      <c r="R4" s="119">
        <v>3.5000000000000003E-2</v>
      </c>
      <c r="S4" s="119">
        <v>3.5000000000000003E-2</v>
      </c>
      <c r="T4" s="119">
        <v>3.7100000000000001E-2</v>
      </c>
      <c r="U4" s="119">
        <v>3.7100000000000001E-2</v>
      </c>
      <c r="V4" s="119">
        <v>3.7100000000000001E-2</v>
      </c>
      <c r="W4" s="119">
        <v>3.9600000000000003E-2</v>
      </c>
      <c r="X4" s="119">
        <v>3.9600000000000003E-2</v>
      </c>
      <c r="Y4" s="119">
        <v>3.9600000000000003E-2</v>
      </c>
      <c r="Z4" s="119">
        <v>4.2099999999999999E-2</v>
      </c>
      <c r="AA4" s="119">
        <v>4.2099999999999999E-2</v>
      </c>
      <c r="AB4" s="119">
        <v>4.2099999999999999E-2</v>
      </c>
      <c r="AC4" s="119">
        <v>4.2500000000000003E-2</v>
      </c>
      <c r="AD4" s="119">
        <v>4.2500000000000003E-2</v>
      </c>
      <c r="AE4" s="119">
        <v>4.2500000000000003E-2</v>
      </c>
      <c r="AF4" s="119">
        <v>4.4699999999999997E-2</v>
      </c>
      <c r="AG4" s="119">
        <v>4.4699999999999997E-2</v>
      </c>
      <c r="AH4" s="119">
        <v>4.4699999999999997E-2</v>
      </c>
      <c r="AI4" s="119">
        <v>4.6899999999999997E-2</v>
      </c>
      <c r="AJ4" s="119">
        <v>4.6899999999999997E-2</v>
      </c>
      <c r="AK4" s="119">
        <v>4.6899999999999997E-2</v>
      </c>
      <c r="AL4" s="119">
        <v>4.9599999999999998E-2</v>
      </c>
      <c r="AM4" s="119">
        <v>4.9599999999999998E-2</v>
      </c>
      <c r="AN4" s="119">
        <v>4.9599999999999998E-2</v>
      </c>
      <c r="AO4" s="119">
        <v>5.1799999999999999E-2</v>
      </c>
      <c r="AP4" s="119">
        <v>5.1799999999999999E-2</v>
      </c>
      <c r="AQ4" s="119">
        <v>5.1799999999999999E-2</v>
      </c>
      <c r="AR4" s="119">
        <v>5.45E-2</v>
      </c>
      <c r="AS4" s="119">
        <v>5.45E-2</v>
      </c>
      <c r="AT4" s="119">
        <v>5.45E-2</v>
      </c>
      <c r="AU4" s="119">
        <v>5.45E-2</v>
      </c>
      <c r="AV4" s="119">
        <v>5.5E-2</v>
      </c>
      <c r="AW4" s="140">
        <v>201907</v>
      </c>
      <c r="AX4" s="141"/>
      <c r="AY4" s="33"/>
      <c r="AZ4" s="33"/>
      <c r="BA4" s="33"/>
      <c r="BB4" s="142"/>
    </row>
    <row r="5" spans="1:56" ht="15.75" thickBot="1">
      <c r="B5" s="12" t="s">
        <v>125</v>
      </c>
      <c r="D5" s="97">
        <f>E5</f>
        <v>-6508323.8685397729</v>
      </c>
      <c r="E5" s="97">
        <v>-6508323.8685397729</v>
      </c>
      <c r="F5" s="97">
        <f t="shared" ref="F5:P5" si="9">E13</f>
        <v>-8439847.1132167727</v>
      </c>
      <c r="G5" s="97">
        <f t="shared" si="9"/>
        <v>-9264796.9494047705</v>
      </c>
      <c r="H5" s="97">
        <f t="shared" si="9"/>
        <v>-10398819.535470769</v>
      </c>
      <c r="I5" s="97">
        <f t="shared" si="9"/>
        <v>-12153304.785960769</v>
      </c>
      <c r="J5" s="97">
        <f t="shared" si="9"/>
        <v>-12778894.072104771</v>
      </c>
      <c r="K5" s="97">
        <f>J13</f>
        <v>-14182183.944992768</v>
      </c>
      <c r="L5" s="97">
        <f t="shared" si="9"/>
        <v>-15130761.40771677</v>
      </c>
      <c r="M5" s="97">
        <f>L13</f>
        <v>-15660034.00335677</v>
      </c>
      <c r="N5" s="97">
        <f t="shared" si="9"/>
        <v>-16306032.832939774</v>
      </c>
      <c r="O5" s="97">
        <f>N13</f>
        <v>-16534597.329101773</v>
      </c>
      <c r="P5" s="97">
        <f t="shared" si="9"/>
        <v>-3075004.5709557864</v>
      </c>
      <c r="Q5" s="97">
        <f>P13</f>
        <v>-6818269.0378097855</v>
      </c>
      <c r="R5" s="97">
        <f>Q13</f>
        <v>-10248016.525328787</v>
      </c>
      <c r="S5" s="97">
        <f>R13</f>
        <v>-12338677.191237787</v>
      </c>
      <c r="T5" s="97">
        <f t="shared" ref="T5" si="10">S13</f>
        <v>-13990367.081666788</v>
      </c>
      <c r="U5" s="97">
        <f t="shared" ref="U5" si="11">T13</f>
        <v>-15173451.409781789</v>
      </c>
      <c r="V5" s="97">
        <f t="shared" ref="V5" si="12">U13</f>
        <v>-15098116.96234579</v>
      </c>
      <c r="W5" s="97">
        <f>V13</f>
        <v>-14771177.38731979</v>
      </c>
      <c r="X5" s="97">
        <f t="shared" ref="X5" si="13">W13</f>
        <v>-15909772.702550791</v>
      </c>
      <c r="Y5" s="97">
        <f>X13</f>
        <v>-16977268.897435792</v>
      </c>
      <c r="Z5" s="97">
        <f t="shared" ref="Z5" si="14">Y13</f>
        <v>-18962414.798894793</v>
      </c>
      <c r="AA5" s="97">
        <f>Z13</f>
        <v>-21954910.563472789</v>
      </c>
      <c r="AB5" s="97">
        <f t="shared" ref="AB5" si="15">AA13</f>
        <v>-8189815.5396147836</v>
      </c>
      <c r="AC5" s="97">
        <f t="shared" ref="AC5:AG5" si="16">AB13</f>
        <v>-11107523.78934879</v>
      </c>
      <c r="AD5" s="97">
        <f t="shared" si="16"/>
        <v>-13225129.045603791</v>
      </c>
      <c r="AE5" s="97">
        <f t="shared" si="16"/>
        <v>-13264083.729049791</v>
      </c>
      <c r="AF5" s="97">
        <f t="shared" si="16"/>
        <v>-13822513.408797791</v>
      </c>
      <c r="AG5" s="97">
        <f t="shared" si="16"/>
        <v>-15210763.179049792</v>
      </c>
      <c r="AH5" s="97">
        <f t="shared" ref="AH5:AL5" si="17">AG13</f>
        <v>-15585609.433038792</v>
      </c>
      <c r="AI5" s="97">
        <f t="shared" si="17"/>
        <v>-15619860.019682793</v>
      </c>
      <c r="AJ5" s="97">
        <f>AI13</f>
        <v>-16745497.680481793</v>
      </c>
      <c r="AK5" s="97">
        <f>AJ13</f>
        <v>-18677163.365235794</v>
      </c>
      <c r="AL5" s="97">
        <f t="shared" si="17"/>
        <v>-19095614.906968795</v>
      </c>
      <c r="AM5" s="97">
        <f t="shared" ref="AM5:AR5" si="18">AL13</f>
        <v>-22888085.886205796</v>
      </c>
      <c r="AN5" s="97">
        <f t="shared" si="18"/>
        <v>-11298837.777765797</v>
      </c>
      <c r="AO5" s="97">
        <f t="shared" si="18"/>
        <v>-12602073.841011796</v>
      </c>
      <c r="AP5" s="97">
        <f t="shared" si="18"/>
        <v>-13118053.916233797</v>
      </c>
      <c r="AQ5" s="97">
        <f t="shared" si="18"/>
        <v>-7482556.3398997923</v>
      </c>
      <c r="AR5" s="97">
        <f t="shared" si="18"/>
        <v>4374910.7761692042</v>
      </c>
      <c r="AS5" s="97">
        <f>AR13</f>
        <v>4570416.7615592042</v>
      </c>
      <c r="AT5" s="97">
        <f>AR13</f>
        <v>4570416.7615592042</v>
      </c>
      <c r="AU5" s="97">
        <f>AT13</f>
        <v>4456424.951417204</v>
      </c>
      <c r="AV5" s="97">
        <f>AU13</f>
        <v>3833773.4928352041</v>
      </c>
      <c r="AW5" s="32" t="s">
        <v>144</v>
      </c>
      <c r="AX5" s="141">
        <v>419600</v>
      </c>
      <c r="AY5" s="33" t="s">
        <v>141</v>
      </c>
      <c r="AZ5" s="33" t="s">
        <v>142</v>
      </c>
      <c r="BA5" s="104">
        <v>0</v>
      </c>
      <c r="BB5" s="101">
        <f>IF((SUMIF(E3:AV3,AW4,E8:AV8))&gt;0,(SUMIF(E3:AV3,AW4,E8:AV8)),0)</f>
        <v>15310.73</v>
      </c>
      <c r="BD5" s="97" t="str">
        <f>_xll.GLW_Segment_Description(AX5,2,2)</f>
        <v>INTEREST ON ENERGY DEFERRALS</v>
      </c>
    </row>
    <row r="6" spans="1:56">
      <c r="B6" s="12" t="s">
        <v>162</v>
      </c>
      <c r="C6" s="97">
        <f>SUM(Q6:AB6)</f>
        <v>-14998507.255011011</v>
      </c>
      <c r="D6" s="97">
        <f t="shared" ref="D6:D12" si="19">SUM(E6:AB6)</f>
        <v>-28170584.433512013</v>
      </c>
      <c r="E6" s="97">
        <v>-173856.58066100068</v>
      </c>
      <c r="F6" s="97">
        <v>105835.91384800058</v>
      </c>
      <c r="G6" s="97">
        <v>-604740.2805199977</v>
      </c>
      <c r="H6" s="97">
        <v>-2253526.4287800011</v>
      </c>
      <c r="I6" s="97">
        <v>-1368171.1781060011</v>
      </c>
      <c r="J6" s="97">
        <v>-2304890.4720699973</v>
      </c>
      <c r="K6" s="97">
        <v>-1924994.8295020012</v>
      </c>
      <c r="L6" s="97">
        <v>-1510253.5672820001</v>
      </c>
      <c r="M6" s="97">
        <v>-1421303.766953001</v>
      </c>
      <c r="N6" s="97">
        <v>-389419.70859999908</v>
      </c>
      <c r="O6" s="97">
        <v>-192874.3790970007</v>
      </c>
      <c r="P6" s="97">
        <v>-1133881.9007779993</v>
      </c>
      <c r="Q6" s="97">
        <v>-491376.17008000147</v>
      </c>
      <c r="R6" s="97">
        <v>-201411.09328799881</v>
      </c>
      <c r="S6" s="97">
        <v>-696753.01067200163</v>
      </c>
      <c r="T6" s="97">
        <v>-912928.80422000168</v>
      </c>
      <c r="U6" s="97">
        <v>-482101.19766700035</v>
      </c>
      <c r="V6" s="97">
        <v>-580245.48787200102</v>
      </c>
      <c r="W6" s="32">
        <v>-2217856.2503400007</v>
      </c>
      <c r="X6" s="33">
        <v>-2108794.2989039999</v>
      </c>
      <c r="Y6" s="33">
        <v>-2779163.5886399997</v>
      </c>
      <c r="Z6" s="33">
        <v>-2935887.7038159985</v>
      </c>
      <c r="AA6" s="33">
        <v>-386463.99829400051</v>
      </c>
      <c r="AB6" s="33">
        <v>-1205525.6512180055</v>
      </c>
      <c r="AC6" s="33">
        <v>-743591.89883300196</v>
      </c>
      <c r="AD6" s="33">
        <v>1500599.2415440008</v>
      </c>
      <c r="AE6" s="33">
        <v>262271.11627200013</v>
      </c>
      <c r="AF6" s="33">
        <v>-1287451.4058399997</v>
      </c>
      <c r="AG6" s="33">
        <v>-1208166.9855549999</v>
      </c>
      <c r="AH6" s="77">
        <v>-914700.39864600007</v>
      </c>
      <c r="AI6" s="97">
        <v>-2116989.4332109992</v>
      </c>
      <c r="AJ6" s="97">
        <v>-2914665.4083000002</v>
      </c>
      <c r="AK6" s="97">
        <v>-1246615.2131509997</v>
      </c>
      <c r="AL6" s="97">
        <v>-3845502.552499</v>
      </c>
      <c r="AM6" s="97">
        <v>-3344640.6773000024</v>
      </c>
      <c r="AN6" s="97">
        <v>63791.745464000851</v>
      </c>
      <c r="AO6" s="97">
        <f>Jan!H55</f>
        <v>873899.57711800188</v>
      </c>
      <c r="AP6" s="97">
        <f>Feb!H55</f>
        <v>7465399.5511440039</v>
      </c>
      <c r="AQ6" s="97">
        <f>Mar!H55</f>
        <v>12594910.824578997</v>
      </c>
      <c r="AR6" s="97">
        <f>Apr!H55</f>
        <v>-11480.7391099995</v>
      </c>
      <c r="AS6" s="97">
        <f>May!$H55</f>
        <v>-1563189.2488879999</v>
      </c>
      <c r="AT6" s="97">
        <f>'May Revised'!H55</f>
        <v>-952607.0659879999</v>
      </c>
      <c r="AU6" s="97">
        <f>Jun!$H55</f>
        <v>-1677072.7479539998</v>
      </c>
      <c r="AV6" s="97">
        <f>Jul!$H55</f>
        <v>-2084272.6869100002</v>
      </c>
      <c r="AW6" s="34" t="s">
        <v>145</v>
      </c>
      <c r="AX6" s="78">
        <v>431600</v>
      </c>
      <c r="AY6" s="1" t="s">
        <v>141</v>
      </c>
      <c r="AZ6" s="1" t="s">
        <v>142</v>
      </c>
      <c r="BA6" s="106">
        <f>IF(SUMIF(E3:AV3,AW4,E8:AV8)&lt;0,-SUMIF(E3:AV3,AW4,E8:AV8),0)</f>
        <v>0</v>
      </c>
      <c r="BB6" s="101">
        <v>0</v>
      </c>
      <c r="BD6" s="97" t="str">
        <f>_xll.GLW_Segment_Description(AX6,2,2)</f>
        <v>INTEREST EXPENSE ENERGY DEFERRALS</v>
      </c>
    </row>
    <row r="7" spans="1:56">
      <c r="B7" s="12" t="s">
        <v>126</v>
      </c>
      <c r="C7" s="97">
        <f t="shared" ref="C7:C11" si="20">SUM(Q7:AB7)</f>
        <v>-3531759.9092339999</v>
      </c>
      <c r="D7" s="97">
        <f t="shared" si="19"/>
        <v>-4469685.620381997</v>
      </c>
      <c r="E7" s="97">
        <v>-1737451.7240159996</v>
      </c>
      <c r="F7" s="97">
        <v>-906843.13003599993</v>
      </c>
      <c r="G7" s="97">
        <v>-502690.50554600032</v>
      </c>
      <c r="H7" s="97">
        <v>531507.01829000015</v>
      </c>
      <c r="I7" s="97">
        <v>778474.07196199952</v>
      </c>
      <c r="J7" s="97">
        <v>940413.5291820009</v>
      </c>
      <c r="K7" s="97">
        <v>1019103.1667780007</v>
      </c>
      <c r="L7" s="97">
        <v>1025818.8216420002</v>
      </c>
      <c r="M7" s="97">
        <v>821854.23736999987</v>
      </c>
      <c r="N7" s="97">
        <v>208678.05243800068</v>
      </c>
      <c r="O7" s="97">
        <v>-521813.363136</v>
      </c>
      <c r="P7" s="97">
        <v>-2594975.8860759991</v>
      </c>
      <c r="Q7" s="97">
        <v>-2913519.2274390003</v>
      </c>
      <c r="R7" s="97">
        <v>-1856358.6126210007</v>
      </c>
      <c r="S7" s="97">
        <v>-916596.2697570005</v>
      </c>
      <c r="T7" s="97">
        <v>-225142.70389499958</v>
      </c>
      <c r="U7" s="97">
        <v>604158.21510300005</v>
      </c>
      <c r="V7" s="97">
        <v>953286.75289800053</v>
      </c>
      <c r="W7" s="34">
        <v>1129801.1151090004</v>
      </c>
      <c r="X7" s="1">
        <v>1095472.3340190002</v>
      </c>
      <c r="Y7" s="1">
        <v>853220.47718099994</v>
      </c>
      <c r="Z7" s="1">
        <v>15042.059238000307</v>
      </c>
      <c r="AA7" s="1">
        <v>-592732.92055399995</v>
      </c>
      <c r="AB7" s="1">
        <v>-1678391.1285159995</v>
      </c>
      <c r="AC7" s="1">
        <v>-1331000.4574219999</v>
      </c>
      <c r="AD7" s="1">
        <v>-1492728.8649899999</v>
      </c>
      <c r="AE7" s="1">
        <v>-772819.73601999972</v>
      </c>
      <c r="AF7" s="1">
        <v>-46824.414412000682</v>
      </c>
      <c r="AG7" s="1">
        <v>890572.34156599978</v>
      </c>
      <c r="AH7" s="16">
        <v>938461.95200199937</v>
      </c>
      <c r="AI7" s="97">
        <v>1054475.7224120002</v>
      </c>
      <c r="AJ7" s="97">
        <v>1052086.5035460002</v>
      </c>
      <c r="AK7" s="97">
        <v>901834.01141799951</v>
      </c>
      <c r="AL7" s="97">
        <v>139618.94326199964</v>
      </c>
      <c r="AM7" s="97">
        <v>-647678.45426000026</v>
      </c>
      <c r="AN7" s="97">
        <v>-1317734.4687100004</v>
      </c>
      <c r="AO7" s="97">
        <f>Jan!I55</f>
        <v>-1334486.6023400014</v>
      </c>
      <c r="AP7" s="97">
        <f>Feb!I55</f>
        <v>-1785534.7548100003</v>
      </c>
      <c r="AQ7" s="97">
        <f>Mar!I55</f>
        <v>-730750.81851000059</v>
      </c>
      <c r="AR7" s="97">
        <f>Apr!I55</f>
        <v>186719.40449999948</v>
      </c>
      <c r="AS7" s="97">
        <f>May!$I55</f>
        <v>818163.24584600015</v>
      </c>
      <c r="AT7" s="97">
        <f>'May Revised'!$I55</f>
        <v>818163.24584600015</v>
      </c>
      <c r="AU7" s="97">
        <f>Jun!$I55</f>
        <v>1035638.2793719999</v>
      </c>
      <c r="AV7" s="97">
        <f>Jul!$I55</f>
        <v>1097771.3497720002</v>
      </c>
      <c r="AW7" s="34" t="s">
        <v>146</v>
      </c>
      <c r="AX7" s="78">
        <v>191010</v>
      </c>
      <c r="AY7" s="1" t="s">
        <v>141</v>
      </c>
      <c r="AZ7" s="1" t="s">
        <v>142</v>
      </c>
      <c r="BA7" s="106">
        <f>IF((SUMIF(E3:AV3,AW4,E6:AV6)+SUMIF(E3:AV3,AW4,E7:AV7)+SUMIF(E3:AV3,AW4,E8:AV8))&gt;0,(SUMIF(E3:AV3,AW4,E6:AV6)+SUMIF(E3:AV3,AW4,E7:AV7)+SUMIF(E3:AV3,AW4,E8:AV8)),0)</f>
        <v>0</v>
      </c>
      <c r="BB7" s="101">
        <f>IF((SUMIF(E3:AV3,AW4,E6:AV6)+SUMIF(E3:AV3,AW4,E7:AV7)+SUMIF(E3:AV3,AW4,E8:AV8))&lt;0,-(SUMIF(E3:AV3,AW4,E6:AV6)+SUMIF(E3:AV3,AW4,E7:AV7)++SUMIF(E3:AV3,AW4,E8:AV8)),0)</f>
        <v>971190.60713799996</v>
      </c>
      <c r="BD7" s="97" t="str">
        <f>_xll.GLW_Segment_Description(AX7,2,2)</f>
        <v>CURR UNRECOV PGA DEFERRED</v>
      </c>
    </row>
    <row r="8" spans="1:56" ht="15.75" thickBot="1">
      <c r="B8" s="12" t="s">
        <v>129</v>
      </c>
      <c r="C8" s="97">
        <f t="shared" si="20"/>
        <v>-530200.14</v>
      </c>
      <c r="D8" s="97">
        <f t="shared" si="19"/>
        <v>-912326.38</v>
      </c>
      <c r="E8" s="120">
        <v>-20214.939999999999</v>
      </c>
      <c r="F8" s="120">
        <v>-23942.62</v>
      </c>
      <c r="G8" s="120">
        <v>-26591.8</v>
      </c>
      <c r="H8" s="120">
        <v>-32465.84</v>
      </c>
      <c r="I8" s="120">
        <v>-35892.18</v>
      </c>
      <c r="J8" s="120">
        <v>-38812.93</v>
      </c>
      <c r="K8" s="120">
        <v>-42685.8</v>
      </c>
      <c r="L8" s="120">
        <v>-44837.85</v>
      </c>
      <c r="M8" s="120">
        <v>-46549.3</v>
      </c>
      <c r="N8" s="120">
        <v>-47822.84</v>
      </c>
      <c r="O8" s="120">
        <f>ROUND(((O5+O9+O10+O11)*(O4/12))+((SUM(O6:O7)/2)*(O4/12)),2)</f>
        <v>-7903.46</v>
      </c>
      <c r="P8" s="120">
        <v>-14406.68</v>
      </c>
      <c r="Q8" s="120">
        <f t="shared" ref="Q8:U8" si="21">ROUND(((Q5)*(Q4/12))+((SUM(Q6:Q7)/2)*(Q4/12)),2)</f>
        <v>-24852.09</v>
      </c>
      <c r="R8" s="120">
        <f t="shared" si="21"/>
        <v>-32890.959999999999</v>
      </c>
      <c r="S8" s="120">
        <f t="shared" si="21"/>
        <v>-38340.61</v>
      </c>
      <c r="T8" s="120">
        <f t="shared" si="21"/>
        <v>-45012.82</v>
      </c>
      <c r="U8" s="120">
        <f t="shared" si="21"/>
        <v>-46722.57</v>
      </c>
      <c r="V8" s="120">
        <f>ROUND(((V5)*(V4/12))+((SUM(V6:V7)/2)*(V4/12)),2)</f>
        <v>-46101.69</v>
      </c>
      <c r="W8" s="143">
        <f t="shared" ref="W8:Y8" si="22">ROUND(((W5)*(W4/12))+((SUM(W6:W7)/2)*(W4/12)),2)</f>
        <v>-50540.18</v>
      </c>
      <c r="X8" s="144">
        <f>ROUND(((X5)*(X4/12))+((SUM(X6:X7)/2)*(X4/12)),2)</f>
        <v>-54174.23</v>
      </c>
      <c r="Y8" s="144">
        <f t="shared" si="22"/>
        <v>-59202.79</v>
      </c>
      <c r="Z8" s="144">
        <f>ROUND(((Z5)*(Z4/12))+((SUM(Z6:Z7)/2)*(Z4/12)),2)</f>
        <v>-71650.12</v>
      </c>
      <c r="AA8" s="144">
        <f>ROUND(((AA5+AA9+AA10+AA11)*(AA4/12))+((SUM(AA6:AA7)/2)*(AA4/12)),2)</f>
        <v>-26920.61</v>
      </c>
      <c r="AB8" s="144">
        <f t="shared" ref="AB8" si="23">ROUND(((AB5)*(AB4/12))+((SUM(AB6:AB7)/2)*(AB4/12)),2)</f>
        <v>-33791.47</v>
      </c>
      <c r="AC8" s="144">
        <v>-43012.9</v>
      </c>
      <c r="AD8" s="144">
        <v>-46825.06</v>
      </c>
      <c r="AE8" s="144">
        <v>-47881.06</v>
      </c>
      <c r="AF8" s="144">
        <v>-53973.95</v>
      </c>
      <c r="AG8" s="144">
        <v>-57251.61</v>
      </c>
      <c r="AH8" s="145">
        <v>-58012.14</v>
      </c>
      <c r="AI8" s="120">
        <v>-63123.95</v>
      </c>
      <c r="AJ8" s="120">
        <v>-69086.78</v>
      </c>
      <c r="AK8" s="120">
        <v>-73670.34</v>
      </c>
      <c r="AL8" s="120">
        <v>-86587.37</v>
      </c>
      <c r="AM8" s="120">
        <v>-38292.79</v>
      </c>
      <c r="AN8" s="120">
        <v>-49293.34</v>
      </c>
      <c r="AO8" s="120">
        <f t="shared" ref="AO8:AT8" si="24">ROUND(((AO5+AO9+AO10+AO11+AO12)*(AO4/12))+((SUM(AO6:AO7)/2)*(AO4/12)),2)</f>
        <v>-55393.05</v>
      </c>
      <c r="AP8" s="120">
        <f t="shared" si="24"/>
        <v>-44367.22</v>
      </c>
      <c r="AQ8" s="120">
        <f t="shared" si="24"/>
        <v>-6692.89</v>
      </c>
      <c r="AR8" s="120">
        <f t="shared" si="24"/>
        <v>20267.32</v>
      </c>
      <c r="AS8" s="120">
        <f t="shared" si="24"/>
        <v>19065.48</v>
      </c>
      <c r="AT8" s="120">
        <f t="shared" si="24"/>
        <v>20452.009999999998</v>
      </c>
      <c r="AU8" s="120">
        <f>ROUND(((AU5+AU9+AU10+AU11+AU12)*(AU4/12))+((SUM(AU6:AU7)/2)*(AU4/12)),2)</f>
        <v>18783.009999999998</v>
      </c>
      <c r="AV8" s="120">
        <f>ROUND(((AV5+AV9+AV10+AV11+AV12)*(AV4/12))+((SUM(AV6:AV7)/2)*(AV4/12)),2)</f>
        <v>15310.73</v>
      </c>
      <c r="AW8" s="34" t="s">
        <v>147</v>
      </c>
      <c r="AX8" s="78">
        <v>805120</v>
      </c>
      <c r="AY8" s="1" t="s">
        <v>141</v>
      </c>
      <c r="AZ8" s="1" t="s">
        <v>142</v>
      </c>
      <c r="BA8" s="106">
        <f>IF((SUMIF(E3:AV3,AW4,E6:AV6)+SUMIF(E3:AV3,AW4,E7:AV7))&lt;0,-(SUMIF(E3:AV3,AW4,E6:AV6)+SUMIF(E3:AV3,AW4,E7:AV7)),0)</f>
        <v>986501.33713799994</v>
      </c>
      <c r="BB8" s="101">
        <f>IF((SUMIF(E3:AV3,AW4,E6:AV6)+SUMIF(E3:AV3,AW4,E7:AV7))&gt;0,(SUMIF(E3:AV3,AW4,E6:AV6)+SUMIF(E3:AV3,AW4,E7:AV7)),0)</f>
        <v>0</v>
      </c>
      <c r="BD8" s="97" t="str">
        <f>_xll.GLW_Segment_Description(AX8,2,2)</f>
        <v>DEFER CURRENT UNRECOVERED GAS COSTS</v>
      </c>
    </row>
    <row r="9" spans="1:56">
      <c r="B9" s="12" t="s">
        <v>133</v>
      </c>
      <c r="C9" s="97">
        <f t="shared" si="20"/>
        <v>9937543.9160110056</v>
      </c>
      <c r="D9" s="97">
        <f t="shared" si="19"/>
        <v>24087163.011451997</v>
      </c>
      <c r="E9" s="97">
        <v>0</v>
      </c>
      <c r="F9" s="97">
        <v>0</v>
      </c>
      <c r="G9" s="97">
        <v>0</v>
      </c>
      <c r="H9" s="97">
        <v>0</v>
      </c>
      <c r="I9" s="97">
        <v>0</v>
      </c>
      <c r="J9" s="97">
        <v>0</v>
      </c>
      <c r="K9" s="97">
        <v>0</v>
      </c>
      <c r="L9" s="97">
        <v>0</v>
      </c>
      <c r="M9" s="97">
        <v>0</v>
      </c>
      <c r="N9" s="97">
        <v>0</v>
      </c>
      <c r="O9" s="146">
        <v>14149619.095440991</v>
      </c>
      <c r="P9" s="97">
        <v>0</v>
      </c>
      <c r="Q9" s="97">
        <v>0</v>
      </c>
      <c r="R9" s="97">
        <v>0</v>
      </c>
      <c r="S9" s="97">
        <v>0</v>
      </c>
      <c r="T9" s="97">
        <v>0</v>
      </c>
      <c r="U9" s="97">
        <v>0</v>
      </c>
      <c r="V9" s="97">
        <v>0</v>
      </c>
      <c r="W9" s="97">
        <v>0</v>
      </c>
      <c r="X9" s="97">
        <v>0</v>
      </c>
      <c r="Y9" s="97">
        <v>0</v>
      </c>
      <c r="Z9" s="97">
        <v>0</v>
      </c>
      <c r="AA9" s="147">
        <f>-SUM(K6:V6)</f>
        <v>9937543.9160110056</v>
      </c>
      <c r="AB9" s="97">
        <v>0</v>
      </c>
      <c r="AC9" s="97">
        <v>0</v>
      </c>
      <c r="AD9" s="97">
        <v>0</v>
      </c>
      <c r="AE9" s="97">
        <v>0</v>
      </c>
      <c r="AF9" s="97">
        <v>0</v>
      </c>
      <c r="AG9" s="97">
        <v>0</v>
      </c>
      <c r="AH9" s="97">
        <v>0</v>
      </c>
      <c r="AI9" s="97">
        <v>0</v>
      </c>
      <c r="AJ9" s="97">
        <v>0</v>
      </c>
      <c r="AK9" s="97">
        <v>0</v>
      </c>
      <c r="AL9" s="97">
        <v>0</v>
      </c>
      <c r="AM9" s="97">
        <f>14024731.82</f>
        <v>14024731.82</v>
      </c>
      <c r="AN9" s="97">
        <v>0</v>
      </c>
      <c r="AO9" s="97">
        <v>0</v>
      </c>
      <c r="AP9" s="97">
        <v>0</v>
      </c>
      <c r="AQ9" s="97">
        <v>0</v>
      </c>
      <c r="AR9" s="97">
        <v>0</v>
      </c>
      <c r="AS9" s="97">
        <v>0</v>
      </c>
      <c r="AT9" s="97">
        <v>0</v>
      </c>
      <c r="AU9" s="97">
        <v>0</v>
      </c>
      <c r="AV9" s="97">
        <v>0</v>
      </c>
      <c r="AW9" s="34" t="s">
        <v>4</v>
      </c>
      <c r="AX9" s="78">
        <v>191010</v>
      </c>
      <c r="AY9" s="1" t="s">
        <v>141</v>
      </c>
      <c r="AZ9" s="1" t="s">
        <v>142</v>
      </c>
      <c r="BA9" s="106">
        <f>IF((SUMIF(E3:AV3,AW4,E9:AV9)+SUMIF(E3:AV3,AW4,E10:AV10)+SUMIF(E3:AV3,AW4,E11:AV11)+SUMIF(E3:AV3,AW4,E12:AV12))&gt;0,(SUMIF(E3:AV3,AW4,E9:AV9)+SUMIF(E3:AV3,AW4,E10:AV10)+SUMIF(E3:AV3,AW4,E11:AV11)+SUMIF(E3:AV3,AW4,E12:AV12)),0)</f>
        <v>0</v>
      </c>
      <c r="BB9" s="101">
        <v>0</v>
      </c>
      <c r="BD9" s="97" t="str">
        <f>_xll.GLW_Segment_Description(AX9,2,2)</f>
        <v>CURR UNRECOV PGA DEFERRED</v>
      </c>
    </row>
    <row r="10" spans="1:56" ht="15.75" thickBot="1">
      <c r="B10" s="12" t="s">
        <v>134</v>
      </c>
      <c r="C10" s="97">
        <f t="shared" si="20"/>
        <v>4395506.8166949991</v>
      </c>
      <c r="D10" s="97">
        <f t="shared" si="19"/>
        <v>4181620.6216329979</v>
      </c>
      <c r="E10" s="97">
        <v>0</v>
      </c>
      <c r="F10" s="97">
        <v>0</v>
      </c>
      <c r="G10" s="97">
        <v>0</v>
      </c>
      <c r="H10" s="97">
        <v>0</v>
      </c>
      <c r="I10" s="97">
        <v>0</v>
      </c>
      <c r="J10" s="97">
        <v>0</v>
      </c>
      <c r="K10" s="97">
        <v>0</v>
      </c>
      <c r="L10" s="97">
        <v>0</v>
      </c>
      <c r="M10" s="97">
        <v>0</v>
      </c>
      <c r="N10" s="97">
        <v>0</v>
      </c>
      <c r="O10" s="147">
        <v>-213886.19506200103</v>
      </c>
      <c r="P10" s="97">
        <v>0</v>
      </c>
      <c r="Q10" s="97">
        <v>0</v>
      </c>
      <c r="R10" s="97">
        <v>0</v>
      </c>
      <c r="S10" s="97">
        <v>0</v>
      </c>
      <c r="T10" s="97">
        <v>0</v>
      </c>
      <c r="U10" s="97">
        <v>0</v>
      </c>
      <c r="V10" s="97">
        <v>0</v>
      </c>
      <c r="W10" s="97">
        <v>0</v>
      </c>
      <c r="X10" s="97">
        <v>0</v>
      </c>
      <c r="Y10" s="97">
        <v>0</v>
      </c>
      <c r="Z10" s="97">
        <v>0</v>
      </c>
      <c r="AA10" s="147">
        <f>-SUM(K7:V7)</f>
        <v>4395506.8166949991</v>
      </c>
      <c r="AB10" s="97">
        <v>0</v>
      </c>
      <c r="AC10" s="97">
        <v>0</v>
      </c>
      <c r="AD10" s="97">
        <v>0</v>
      </c>
      <c r="AE10" s="97">
        <v>0</v>
      </c>
      <c r="AF10" s="97">
        <v>0</v>
      </c>
      <c r="AG10" s="97">
        <v>0</v>
      </c>
      <c r="AH10" s="97">
        <v>0</v>
      </c>
      <c r="AI10" s="97">
        <v>0</v>
      </c>
      <c r="AJ10" s="97">
        <v>0</v>
      </c>
      <c r="AK10" s="97">
        <v>0</v>
      </c>
      <c r="AL10" s="97">
        <v>0</v>
      </c>
      <c r="AM10" s="97">
        <f>991927.24</f>
        <v>991927.24</v>
      </c>
      <c r="AN10" s="97">
        <v>0</v>
      </c>
      <c r="AO10" s="97">
        <v>0</v>
      </c>
      <c r="AP10" s="97">
        <v>0</v>
      </c>
      <c r="AQ10" s="97">
        <v>0</v>
      </c>
      <c r="AR10" s="97">
        <v>0</v>
      </c>
      <c r="AS10" s="97">
        <v>0</v>
      </c>
      <c r="AT10" s="97">
        <v>0</v>
      </c>
      <c r="AU10" s="97">
        <v>0</v>
      </c>
      <c r="AV10" s="97">
        <v>0</v>
      </c>
      <c r="AW10" s="35" t="str">
        <f>AW9</f>
        <v>Tracker Transfer</v>
      </c>
      <c r="AX10" s="111">
        <f>AX37</f>
        <v>191000</v>
      </c>
      <c r="AY10" s="111" t="str">
        <f>AY37</f>
        <v>GD</v>
      </c>
      <c r="AZ10" s="111" t="str">
        <f>AZ37</f>
        <v>WA</v>
      </c>
      <c r="BA10" s="102">
        <v>0</v>
      </c>
      <c r="BB10" s="107">
        <f>BA9</f>
        <v>0</v>
      </c>
      <c r="BD10" s="97" t="str">
        <f>_xll.GLW_Segment_Description(AX10,2,2)</f>
        <v>RECOVERABLE GAS COSTS AMORTIZED</v>
      </c>
    </row>
    <row r="11" spans="1:56" ht="15.75" thickBot="1">
      <c r="B11" s="12" t="s">
        <v>135</v>
      </c>
      <c r="C11" s="97">
        <f t="shared" si="20"/>
        <v>438126.67</v>
      </c>
      <c r="D11" s="97">
        <f t="shared" si="19"/>
        <v>684577.32</v>
      </c>
      <c r="E11" s="97">
        <v>0</v>
      </c>
      <c r="F11" s="97">
        <v>0</v>
      </c>
      <c r="G11" s="97">
        <v>0</v>
      </c>
      <c r="H11" s="97">
        <v>0</v>
      </c>
      <c r="I11" s="97">
        <v>0</v>
      </c>
      <c r="J11" s="97">
        <v>0</v>
      </c>
      <c r="K11" s="97">
        <v>0</v>
      </c>
      <c r="L11" s="97">
        <v>0</v>
      </c>
      <c r="M11" s="97">
        <v>0</v>
      </c>
      <c r="N11" s="97">
        <v>0</v>
      </c>
      <c r="O11" s="147">
        <v>246450.64999999997</v>
      </c>
      <c r="P11" s="97">
        <v>0</v>
      </c>
      <c r="Q11" s="97">
        <v>0</v>
      </c>
      <c r="R11" s="97">
        <v>0</v>
      </c>
      <c r="S11" s="97">
        <v>0</v>
      </c>
      <c r="T11" s="97">
        <v>0</v>
      </c>
      <c r="U11" s="97">
        <v>0</v>
      </c>
      <c r="V11" s="97">
        <v>0</v>
      </c>
      <c r="W11" s="97">
        <v>0</v>
      </c>
      <c r="X11" s="97">
        <v>0</v>
      </c>
      <c r="Y11" s="97">
        <v>0</v>
      </c>
      <c r="Z11" s="97">
        <v>0</v>
      </c>
      <c r="AA11" s="147">
        <f>-SUM(K8:V8)</f>
        <v>438126.67</v>
      </c>
      <c r="AB11" s="97">
        <v>0</v>
      </c>
      <c r="AC11" s="97">
        <v>0</v>
      </c>
      <c r="AD11" s="97">
        <v>0</v>
      </c>
      <c r="AE11" s="97">
        <v>0</v>
      </c>
      <c r="AF11" s="97">
        <v>0</v>
      </c>
      <c r="AG11" s="97">
        <v>0</v>
      </c>
      <c r="AH11" s="97">
        <v>0</v>
      </c>
      <c r="AI11" s="97">
        <v>0</v>
      </c>
      <c r="AJ11" s="97">
        <v>0</v>
      </c>
      <c r="AK11" s="97">
        <v>0</v>
      </c>
      <c r="AL11" s="97">
        <v>0</v>
      </c>
      <c r="AM11" s="97">
        <v>603236.12</v>
      </c>
      <c r="AN11" s="97">
        <v>0</v>
      </c>
      <c r="AO11" s="97">
        <v>0</v>
      </c>
      <c r="AP11" s="97">
        <v>0</v>
      </c>
      <c r="AQ11" s="97">
        <v>0</v>
      </c>
      <c r="AR11" s="97">
        <v>0</v>
      </c>
      <c r="AS11" s="97">
        <v>0</v>
      </c>
      <c r="AT11" s="97">
        <v>0</v>
      </c>
      <c r="AU11" s="97">
        <v>0</v>
      </c>
      <c r="AV11" s="97">
        <v>0</v>
      </c>
      <c r="AW11" s="35"/>
      <c r="AX11" s="111"/>
      <c r="AY11" s="30"/>
      <c r="AZ11" s="30"/>
      <c r="BA11" s="30" t="s">
        <v>94</v>
      </c>
      <c r="BB11" s="148">
        <f>SUM(BA5:BA10)-SUM(BB5:BB10)</f>
        <v>0</v>
      </c>
    </row>
    <row r="12" spans="1:56">
      <c r="B12" s="12" t="s">
        <v>87</v>
      </c>
      <c r="C12" s="97">
        <f>SUM(Q12:AB12)</f>
        <v>35.15</v>
      </c>
      <c r="D12" s="97">
        <f t="shared" si="19"/>
        <v>35.559999999999995</v>
      </c>
      <c r="E12" s="97">
        <v>0</v>
      </c>
      <c r="F12" s="97">
        <v>0</v>
      </c>
      <c r="G12" s="97">
        <v>0</v>
      </c>
      <c r="H12" s="97">
        <v>0</v>
      </c>
      <c r="I12" s="97">
        <v>0</v>
      </c>
      <c r="J12" s="97">
        <v>0</v>
      </c>
      <c r="K12" s="97">
        <v>0</v>
      </c>
      <c r="L12" s="97">
        <v>0</v>
      </c>
      <c r="M12" s="97">
        <v>0</v>
      </c>
      <c r="N12" s="97">
        <v>0</v>
      </c>
      <c r="O12" s="149">
        <v>0.41</v>
      </c>
      <c r="P12" s="97">
        <v>0</v>
      </c>
      <c r="Q12" s="97">
        <v>0</v>
      </c>
      <c r="R12" s="97">
        <v>0</v>
      </c>
      <c r="S12" s="97">
        <v>0</v>
      </c>
      <c r="T12" s="97">
        <v>0</v>
      </c>
      <c r="U12" s="97">
        <v>0</v>
      </c>
      <c r="V12" s="97">
        <v>0</v>
      </c>
      <c r="W12" s="97">
        <v>0</v>
      </c>
      <c r="X12" s="97">
        <v>0</v>
      </c>
      <c r="Y12" s="97">
        <v>0</v>
      </c>
      <c r="Z12" s="97">
        <v>0</v>
      </c>
      <c r="AA12" s="149">
        <v>35.15</v>
      </c>
      <c r="AB12" s="97">
        <v>0</v>
      </c>
      <c r="AC12" s="97">
        <v>0</v>
      </c>
      <c r="AD12" s="97">
        <v>0</v>
      </c>
      <c r="AE12" s="97">
        <v>0</v>
      </c>
      <c r="AF12" s="97">
        <v>0</v>
      </c>
      <c r="AG12" s="97">
        <v>0</v>
      </c>
      <c r="AH12" s="97">
        <v>0</v>
      </c>
      <c r="AI12" s="97">
        <v>0</v>
      </c>
      <c r="AJ12" s="97">
        <v>0</v>
      </c>
      <c r="AK12" s="97">
        <v>0</v>
      </c>
      <c r="AL12" s="97">
        <v>0</v>
      </c>
      <c r="AM12" s="97">
        <v>-35.15</v>
      </c>
      <c r="AN12" s="97">
        <v>0</v>
      </c>
      <c r="AO12" s="97">
        <v>0</v>
      </c>
      <c r="AP12" s="97">
        <v>0</v>
      </c>
      <c r="AQ12" s="97">
        <v>0</v>
      </c>
      <c r="AR12" s="97">
        <v>0</v>
      </c>
      <c r="AS12" s="97">
        <v>0</v>
      </c>
      <c r="AT12" s="97">
        <v>0</v>
      </c>
      <c r="AU12" s="97">
        <v>0</v>
      </c>
      <c r="AV12" s="97">
        <v>0</v>
      </c>
    </row>
    <row r="13" spans="1:56" ht="16.5" thickBot="1">
      <c r="B13" s="12" t="s">
        <v>25</v>
      </c>
      <c r="C13" s="121">
        <f>SUM(C5:C12)</f>
        <v>-4289254.751539005</v>
      </c>
      <c r="D13" s="121">
        <f>SUM(D5:D12)</f>
        <v>-11107523.789348787</v>
      </c>
      <c r="E13" s="121">
        <v>-8439847.1132167727</v>
      </c>
      <c r="F13" s="121">
        <f>SUM(F5:F12)</f>
        <v>-9264796.9494047705</v>
      </c>
      <c r="G13" s="121">
        <f t="shared" ref="G13:N13" si="25">SUM(G5:G12)</f>
        <v>-10398819.535470769</v>
      </c>
      <c r="H13" s="121">
        <f t="shared" si="25"/>
        <v>-12153304.785960769</v>
      </c>
      <c r="I13" s="121">
        <f t="shared" si="25"/>
        <v>-12778894.072104771</v>
      </c>
      <c r="J13" s="121">
        <f>SUM(J5:J12)</f>
        <v>-14182183.944992768</v>
      </c>
      <c r="K13" s="121">
        <f>SUM(K5:K12)</f>
        <v>-15130761.40771677</v>
      </c>
      <c r="L13" s="121">
        <f t="shared" si="25"/>
        <v>-15660034.00335677</v>
      </c>
      <c r="M13" s="121">
        <f>SUM(M5:M12)</f>
        <v>-16306032.832939774</v>
      </c>
      <c r="N13" s="121">
        <f t="shared" si="25"/>
        <v>-16534597.329101773</v>
      </c>
      <c r="O13" s="150">
        <f>SUM(O5:O12)</f>
        <v>-3075004.5709557864</v>
      </c>
      <c r="P13" s="121">
        <f>SUM(P5:P12)</f>
        <v>-6818269.0378097855</v>
      </c>
      <c r="Q13" s="121">
        <f>SUM(Q5:Q12)</f>
        <v>-10248016.525328787</v>
      </c>
      <c r="R13" s="121">
        <f>SUM(R5:R12)</f>
        <v>-12338677.191237787</v>
      </c>
      <c r="S13" s="121">
        <f>SUM(S5:S12)</f>
        <v>-13990367.081666788</v>
      </c>
      <c r="T13" s="121">
        <f t="shared" ref="T13:U13" si="26">SUM(T5:T12)</f>
        <v>-15173451.409781789</v>
      </c>
      <c r="U13" s="121">
        <f t="shared" si="26"/>
        <v>-15098116.96234579</v>
      </c>
      <c r="V13" s="121">
        <f>SUM(V5:V12)</f>
        <v>-14771177.38731979</v>
      </c>
      <c r="W13" s="121">
        <f t="shared" ref="W13:X13" si="27">SUM(W5:W12)</f>
        <v>-15909772.702550791</v>
      </c>
      <c r="X13" s="121">
        <f t="shared" si="27"/>
        <v>-16977268.897435792</v>
      </c>
      <c r="Y13" s="121">
        <f>SUM(Y5:Y12)</f>
        <v>-18962414.798894793</v>
      </c>
      <c r="Z13" s="121">
        <f t="shared" ref="Z13" si="28">SUM(Z5:Z12)</f>
        <v>-21954910.563472789</v>
      </c>
      <c r="AA13" s="150">
        <f t="shared" ref="AA13:AE13" si="29">SUM(AA5:AA12)</f>
        <v>-8189815.5396147836</v>
      </c>
      <c r="AB13" s="121">
        <f t="shared" si="29"/>
        <v>-11107523.78934879</v>
      </c>
      <c r="AC13" s="121">
        <f t="shared" si="29"/>
        <v>-13225129.045603791</v>
      </c>
      <c r="AD13" s="121">
        <f t="shared" si="29"/>
        <v>-13264083.729049791</v>
      </c>
      <c r="AE13" s="121">
        <f t="shared" si="29"/>
        <v>-13822513.408797791</v>
      </c>
      <c r="AF13" s="121">
        <f>SUM(AF5:AF12)</f>
        <v>-15210763.179049792</v>
      </c>
      <c r="AG13" s="121">
        <f t="shared" ref="AG13" si="30">SUM(AG5:AG12)</f>
        <v>-15585609.433038792</v>
      </c>
      <c r="AH13" s="121">
        <f>SUM(AH5:AH12)</f>
        <v>-15619860.019682793</v>
      </c>
      <c r="AI13" s="121">
        <f>SUM(AI5:AI12)</f>
        <v>-16745497.680481793</v>
      </c>
      <c r="AJ13" s="121">
        <f t="shared" ref="AJ13:AL13" si="31">SUM(AJ5:AJ12)</f>
        <v>-18677163.365235794</v>
      </c>
      <c r="AK13" s="121">
        <f t="shared" si="31"/>
        <v>-19095614.906968795</v>
      </c>
      <c r="AL13" s="121">
        <f t="shared" si="31"/>
        <v>-22888085.886205796</v>
      </c>
      <c r="AM13" s="121">
        <f t="shared" ref="AM13:AR13" si="32">SUM(AM5:AM12)</f>
        <v>-11298837.777765797</v>
      </c>
      <c r="AN13" s="121">
        <f t="shared" si="32"/>
        <v>-12602073.841011796</v>
      </c>
      <c r="AO13" s="121">
        <f t="shared" si="32"/>
        <v>-13118053.916233797</v>
      </c>
      <c r="AP13" s="121">
        <f t="shared" si="32"/>
        <v>-7482556.3398997923</v>
      </c>
      <c r="AQ13" s="121">
        <f t="shared" si="32"/>
        <v>4374910.7761692042</v>
      </c>
      <c r="AR13" s="121">
        <f t="shared" si="32"/>
        <v>4570416.7615592042</v>
      </c>
      <c r="AS13" s="121">
        <f>SUM(AS5:AS12)</f>
        <v>3844456.2385172043</v>
      </c>
      <c r="AT13" s="121">
        <f>SUM(AT5:AT12)</f>
        <v>4456424.951417204</v>
      </c>
      <c r="AU13" s="121">
        <f>SUM(AU5:AU12)</f>
        <v>3833773.4928352041</v>
      </c>
      <c r="AV13" s="121">
        <f>SUM(AV5:AV12)</f>
        <v>2862582.8856972042</v>
      </c>
    </row>
    <row r="14" spans="1:56" ht="15.75" thickTop="1">
      <c r="B14" s="12" t="s">
        <v>131</v>
      </c>
      <c r="D14" s="97">
        <f>_xll.Get_Balance(AB3,"YTD","USD","Total","A","","001",$A$3,"GD","WA","DL")</f>
        <v>-11107523.800000001</v>
      </c>
      <c r="E14" s="97">
        <v>-8432290.1199999992</v>
      </c>
      <c r="F14" s="97">
        <f>_xll.Get_Balance(F3,"YTD","USD","Total","A","","001",$A$3,"GD","WA","DL")</f>
        <v>-9264796.9499999993</v>
      </c>
      <c r="G14" s="97">
        <f>_xll.Get_Balance(G3,"YTD","USD","Total","A","","001",$A$3,"GD","WA","DL")</f>
        <v>-10398819.539999999</v>
      </c>
      <c r="H14" s="97">
        <f>_xll.Get_Balance(H3,"YTD","USD","Total","A","","001",$A$3,"GD","WA","DL")</f>
        <v>-12153304.789999999</v>
      </c>
      <c r="I14" s="97">
        <f>_xll.Get_Balance(I3,"YTD","USD","Total","A","","001",$A$3,"GD","WA","DL")</f>
        <v>-12778894.08</v>
      </c>
      <c r="J14" s="97">
        <f>_xll.Get_Balance(J3,"YTD","USD","Total","A","","001",$A$3,"GD","WA","DL")</f>
        <v>-14182183.949999999</v>
      </c>
      <c r="K14" s="97">
        <f>_xll.Get_Balance(K3,"YTD","USD","Total","A","","001",$A$3,"GD","WA","DL")</f>
        <v>-15130761.41</v>
      </c>
      <c r="L14" s="97">
        <f>_xll.Get_Balance(L3,"YTD","USD","Total","A","","001",$A$3,"GD","WA","DL")</f>
        <v>-15660034.01</v>
      </c>
      <c r="M14" s="97">
        <f>_xll.Get_Balance(M3,"YTD","USD","Total","A","","001",$A$3,"GD","WA","DL")</f>
        <v>-16306032.84</v>
      </c>
      <c r="N14" s="97">
        <f>_xll.Get_Balance(N3,"YTD","USD","Total","A","","001",$A$3,"GD","WA","DL")</f>
        <v>-16534597.34</v>
      </c>
      <c r="O14" s="97">
        <f>_xll.Get_Balance(O3,"YTD","USD","Total","A","","001",$A$3,"GD","WA","DL")</f>
        <v>-3075004.58</v>
      </c>
      <c r="P14" s="97">
        <f>_xll.Get_Balance(P3,"YTD","USD","Total","A","","001",$A$3,"GD","WA","DL")</f>
        <v>-6818269.0499999998</v>
      </c>
      <c r="Q14" s="97">
        <f>_xll.Get_Balance(Q3,"YTD","USD","Total","A","","001",$A$3,"GD","WA","DL")</f>
        <v>-10248016.539999999</v>
      </c>
      <c r="R14" s="97">
        <f>_xll.Get_Balance(R3,"YTD","USD","Total","A","","001",$A$3,"GD","WA","DL")</f>
        <v>-12338677.210000001</v>
      </c>
      <c r="S14" s="97">
        <f>_xll.Get_Balance(S3,"YTD","USD","Total","A","","001",$A$3,"GD","WA","DL")</f>
        <v>-13990367.1</v>
      </c>
      <c r="T14" s="97">
        <f>_xll.Get_Balance(T3,"YTD","USD","Total","A","","001",$A$3,"GD","WA","DL")</f>
        <v>-15173451.43</v>
      </c>
      <c r="U14" s="97">
        <f>_xll.Get_Balance(U3,"YTD","USD","Total","A","","001",$A$3,"GD","WA","DL")</f>
        <v>-15098116.98</v>
      </c>
      <c r="V14" s="97">
        <f>_xll.Get_Balance(V3,"YTD","USD","Total","A","","001",$A$3,"GD","WA","DL")</f>
        <v>-14771177.4</v>
      </c>
      <c r="W14" s="97">
        <f>_xll.Get_Balance(W3,"YTD","USD","Total","A","","001",$A$3,"GD","WA","DL")</f>
        <v>-15909772.720000001</v>
      </c>
      <c r="X14" s="97">
        <f>_xll.Get_Balance(X3,"YTD","USD","Total","A","","001",$A$3,"GD","WA","DL")</f>
        <v>-16977268.91</v>
      </c>
      <c r="Y14" s="97">
        <f>_xll.Get_Balance(Y3,"YTD","USD","Total","A","","001",$A$3,"GD","WA","DL")</f>
        <v>-18962414.809999999</v>
      </c>
      <c r="Z14" s="97">
        <f>_xll.Get_Balance(Z3,"YTD","USD","Total","A","","001",$A$3,"GD","WA","DL")</f>
        <v>-21954910.57</v>
      </c>
      <c r="AA14" s="97">
        <f>_xll.Get_Balance(AA3,"YTD","USD","Total","A","","001",$A$3,"GD","WA","DL")</f>
        <v>-8189815.5499999998</v>
      </c>
      <c r="AB14" s="97">
        <f>_xll.Get_Balance(AB3,"YTD","USD","Total","A","","001",$A$3,"GD","WA","DL")</f>
        <v>-11107523.800000001</v>
      </c>
      <c r="AC14" s="97">
        <f>_xll.Get_Balance(AC3,"YTD","USD","Total","A","","001",$A$3,"GD","WA","DL")</f>
        <v>-13242800.26</v>
      </c>
      <c r="AD14" s="97">
        <f>_xll.Get_Balance(AD3,"YTD","USD","Total","A","","001",$A$3,"GD","WA","DL")</f>
        <v>-13281817.529999999</v>
      </c>
      <c r="AE14" s="97">
        <f>_xll.Get_Balance(AE3,"YTD","USD","Total","A","","001",$A$3,"GD","WA","DL")</f>
        <v>-13840310.02</v>
      </c>
      <c r="AF14" s="97">
        <f>_xll.Get_Balance(AF3,"YTD","USD","Total","A","","001",$A$3,"GD","WA","DL")</f>
        <v>-15210763.189999999</v>
      </c>
      <c r="AG14" s="97">
        <f>_xll.Get_Balance(AG3,"YTD","USD","Total","A","","001",$A$3,"GD","WA","DL")</f>
        <v>-15585609.439999999</v>
      </c>
      <c r="AH14" s="97">
        <f>_xll.Get_Balance(AH3,"YTD","USD","Total","A","","001",$A$3,"GD","WA","DL")</f>
        <v>-15619860.029999999</v>
      </c>
      <c r="AI14" s="97">
        <f>_xll.Get_Balance(AI3,"YTD","USD","Total","A","","001",$A$3,"GD","WA","DL")</f>
        <v>-16745497.689999999</v>
      </c>
      <c r="AJ14" s="97">
        <f>_xll.Get_Balance(AJ3,"YTD","USD","Total","A","","001",$A$3,"GD","WA","DL")</f>
        <v>-18677163.379999999</v>
      </c>
      <c r="AK14" s="97">
        <f>_xll.Get_Balance(AK3,"YTD","USD","Total","A","","001",$A$3,"GD","WA","DL")</f>
        <v>-19095614.920000002</v>
      </c>
      <c r="AL14" s="97">
        <f>_xll.Get_Balance(AL3,"YTD","USD","Total","A","","001",$A$3,"GD","WA","DL")</f>
        <v>-22888085.899999999</v>
      </c>
      <c r="AM14" s="97">
        <f>_xll.Get_Balance(AM3,"YTD","USD","Total","A","","001",$A$3,"GD","WA","DL")</f>
        <v>-11298837.789999999</v>
      </c>
      <c r="AN14" s="97">
        <f>_xll.Get_Balance(AN3,"YTD","USD","Total","A","","001",$A$3,"GD","WA","DL")</f>
        <v>-12602073.85</v>
      </c>
      <c r="AO14" s="97">
        <f>_xll.Get_Balance(AO3,"YTD","USD","Total","A","","001",$A$3,"GD","WA","DL")</f>
        <v>-13118053.93</v>
      </c>
      <c r="AP14" s="97">
        <f>_xll.Get_Balance(AP3,"YTD","USD","Total","A","","001",$A$3,"GD","WA","DL")</f>
        <v>-7482556.3499999996</v>
      </c>
      <c r="AQ14" s="97">
        <f>_xll.Get_Balance(AQ3,"YTD","USD","Total","A","","001",$A$3,"GD","WA","DL")</f>
        <v>4374910.7699999996</v>
      </c>
      <c r="AR14" s="97">
        <f>_xll.Get_Balance(AR3,"YTD","USD","Total","A","","001",$A$3,"GD","WA","DL")</f>
        <v>4570416.76</v>
      </c>
      <c r="AS14" s="97">
        <f>_xll.Get_Balance(AS3,"YTD","USD","Total","A","","001",$A$3,"GD","WA","DL")</f>
        <v>3844456.24</v>
      </c>
      <c r="AT14" s="97">
        <f>_xll.Get_Balance(AS3,"YTD","USD","Total","A","","001",$A$3,"GD","WA","DL")</f>
        <v>3844456.24</v>
      </c>
      <c r="AU14" s="97">
        <f>_xll.Get_Balance(AU3,"YTD","USD","Total","A","","001",$A$3,"GD","WA","DL")</f>
        <v>3833773.49</v>
      </c>
      <c r="AV14" s="97">
        <f>_xll.Get_Balance(AV3,"YTD","USD","Total","A","","001",$A$3,"GD","WA","DL")</f>
        <v>3833773.49</v>
      </c>
    </row>
    <row r="15" spans="1:56">
      <c r="B15" s="12" t="s">
        <v>122</v>
      </c>
      <c r="E15" s="97">
        <v>-7556.9932167734951</v>
      </c>
      <c r="F15" s="97">
        <f t="shared" ref="F15:I15" si="33">F13-F14</f>
        <v>5.9522874653339386E-4</v>
      </c>
      <c r="G15" s="97">
        <f t="shared" si="33"/>
        <v>4.5292302966117859E-3</v>
      </c>
      <c r="H15" s="97">
        <f t="shared" si="33"/>
        <v>4.0392298251390457E-3</v>
      </c>
      <c r="I15" s="97">
        <f t="shared" si="33"/>
        <v>7.895229384303093E-3</v>
      </c>
      <c r="J15" s="97">
        <f t="shared" ref="J15:N15" si="34">J13-J14</f>
        <v>5.0072316080331802E-3</v>
      </c>
      <c r="K15" s="97">
        <f>K13-K14</f>
        <v>2.2832304239273071E-3</v>
      </c>
      <c r="L15" s="97">
        <f t="shared" si="34"/>
        <v>6.6432300955057144E-3</v>
      </c>
      <c r="M15" s="97">
        <f t="shared" si="34"/>
        <v>7.0602260529994965E-3</v>
      </c>
      <c r="N15" s="97">
        <f t="shared" si="34"/>
        <v>1.0898226872086525E-2</v>
      </c>
      <c r="O15" s="97">
        <f>O13-O14</f>
        <v>9.0442136861383915E-3</v>
      </c>
      <c r="P15" s="97">
        <f>P13-P14</f>
        <v>1.2190214358270168E-2</v>
      </c>
      <c r="Q15" s="97">
        <f>Q13-Q14</f>
        <v>1.4671212062239647E-2</v>
      </c>
      <c r="R15" s="97">
        <f t="shared" ref="R15:Z15" si="35">R13-R14</f>
        <v>1.8762214109301567E-2</v>
      </c>
      <c r="S15" s="97">
        <f t="shared" si="35"/>
        <v>1.8333211541175842E-2</v>
      </c>
      <c r="T15" s="97">
        <f t="shared" si="35"/>
        <v>2.021821029484272E-2</v>
      </c>
      <c r="U15" s="97">
        <f t="shared" si="35"/>
        <v>1.7654210329055786E-2</v>
      </c>
      <c r="V15" s="97">
        <f t="shared" si="35"/>
        <v>1.2680210173130035E-2</v>
      </c>
      <c r="W15" s="97">
        <f t="shared" si="35"/>
        <v>1.7449209466576576E-2</v>
      </c>
      <c r="X15" s="97">
        <f t="shared" si="35"/>
        <v>1.256420835852623E-2</v>
      </c>
      <c r="Y15" s="97">
        <f t="shared" si="35"/>
        <v>1.1105205863714218E-2</v>
      </c>
      <c r="Z15" s="97">
        <f t="shared" si="35"/>
        <v>6.5272115170955658E-3</v>
      </c>
      <c r="AA15" s="97">
        <f t="shared" ref="AA15:AE15" si="36">AA13-AA14</f>
        <v>1.038521621376276E-2</v>
      </c>
      <c r="AB15" s="97">
        <f t="shared" si="36"/>
        <v>1.0651210322976112E-2</v>
      </c>
      <c r="AC15" s="97">
        <f t="shared" si="36"/>
        <v>17671.214396208525</v>
      </c>
      <c r="AD15" s="97">
        <f t="shared" si="36"/>
        <v>17733.800950208679</v>
      </c>
      <c r="AE15" s="97">
        <f t="shared" si="36"/>
        <v>17796.611202208325</v>
      </c>
      <c r="AF15" s="97">
        <f>AF13-AF14</f>
        <v>1.0950207710266113E-2</v>
      </c>
      <c r="AG15" s="97">
        <f t="shared" ref="AG15" si="37">AG13-AG14</f>
        <v>6.9612078368663788E-3</v>
      </c>
      <c r="AH15" s="97">
        <f t="shared" ref="AH15:AL15" si="38">AH13-AH14</f>
        <v>1.0317206382751465E-2</v>
      </c>
      <c r="AI15" s="97">
        <f t="shared" si="38"/>
        <v>9.5182061195373535E-3</v>
      </c>
      <c r="AJ15" s="97">
        <f>AJ13-AJ14</f>
        <v>1.4764204621315002E-2</v>
      </c>
      <c r="AK15" s="97">
        <f t="shared" si="38"/>
        <v>1.3031207025051117E-2</v>
      </c>
      <c r="AL15" s="97">
        <f t="shared" si="38"/>
        <v>1.3794202357530594E-2</v>
      </c>
      <c r="AM15" s="97">
        <f>AM13-AM14</f>
        <v>1.2234201654791832E-2</v>
      </c>
      <c r="AN15" s="97">
        <f t="shared" ref="AN15" si="39">AN13-AN14</f>
        <v>8.9882034808397293E-3</v>
      </c>
      <c r="AO15" s="97">
        <f t="shared" ref="AO15:AT15" si="40">AO13-AO14</f>
        <v>1.3766203075647354E-2</v>
      </c>
      <c r="AP15" s="97">
        <f t="shared" si="40"/>
        <v>1.0100207291543484E-2</v>
      </c>
      <c r="AQ15" s="97">
        <f t="shared" si="40"/>
        <v>6.1692046001553535E-3</v>
      </c>
      <c r="AR15" s="97">
        <f t="shared" si="40"/>
        <v>1.5592044219374657E-3</v>
      </c>
      <c r="AS15" s="97">
        <f t="shared" si="40"/>
        <v>-1.482795923948288E-3</v>
      </c>
      <c r="AT15" s="97">
        <f t="shared" si="40"/>
        <v>611968.71141720377</v>
      </c>
      <c r="AU15" s="97">
        <f>AU13-AU14</f>
        <v>2.8352038934826851E-3</v>
      </c>
      <c r="AV15" s="97">
        <f>AV13-AV14</f>
        <v>-971190.60430279607</v>
      </c>
    </row>
    <row r="16" spans="1:56" ht="15.75">
      <c r="A16" s="9" t="s">
        <v>138</v>
      </c>
    </row>
    <row r="17" spans="1:56" ht="15.75">
      <c r="A17" s="9" t="s">
        <v>163</v>
      </c>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row>
    <row r="18" spans="1:56" ht="15.75">
      <c r="A18" s="123">
        <v>191000</v>
      </c>
      <c r="B18" s="29" t="s">
        <v>127</v>
      </c>
      <c r="C18" s="138" t="s">
        <v>123</v>
      </c>
      <c r="D18" s="138" t="s">
        <v>124</v>
      </c>
      <c r="E18" s="123">
        <v>201601</v>
      </c>
      <c r="F18" s="123">
        <f>E18+1</f>
        <v>201602</v>
      </c>
      <c r="G18" s="123">
        <f t="shared" ref="G18:P18" si="41">F18+1</f>
        <v>201603</v>
      </c>
      <c r="H18" s="123">
        <f t="shared" si="41"/>
        <v>201604</v>
      </c>
      <c r="I18" s="123">
        <f t="shared" si="41"/>
        <v>201605</v>
      </c>
      <c r="J18" s="123">
        <f t="shared" si="41"/>
        <v>201606</v>
      </c>
      <c r="K18" s="123">
        <f t="shared" si="41"/>
        <v>201607</v>
      </c>
      <c r="L18" s="123">
        <f t="shared" si="41"/>
        <v>201608</v>
      </c>
      <c r="M18" s="123">
        <f t="shared" si="41"/>
        <v>201609</v>
      </c>
      <c r="N18" s="123">
        <f t="shared" si="41"/>
        <v>201610</v>
      </c>
      <c r="O18" s="123">
        <f t="shared" si="41"/>
        <v>201611</v>
      </c>
      <c r="P18" s="123">
        <f t="shared" si="41"/>
        <v>201612</v>
      </c>
      <c r="Q18" s="123">
        <f>Q3</f>
        <v>201701</v>
      </c>
      <c r="R18" s="123">
        <f>Q18+1</f>
        <v>201702</v>
      </c>
      <c r="S18" s="123">
        <f t="shared" ref="S18" si="42">R18+1</f>
        <v>201703</v>
      </c>
      <c r="T18" s="123">
        <f t="shared" ref="T18" si="43">S18+1</f>
        <v>201704</v>
      </c>
      <c r="U18" s="123">
        <f t="shared" ref="U18" si="44">T18+1</f>
        <v>201705</v>
      </c>
      <c r="V18" s="123">
        <f t="shared" ref="V18" si="45">U18+1</f>
        <v>201706</v>
      </c>
      <c r="W18" s="123">
        <f t="shared" ref="W18" si="46">V18+1</f>
        <v>201707</v>
      </c>
      <c r="X18" s="123">
        <f t="shared" ref="X18" si="47">W18+1</f>
        <v>201708</v>
      </c>
      <c r="Y18" s="123">
        <f t="shared" ref="Y18" si="48">X18+1</f>
        <v>201709</v>
      </c>
      <c r="Z18" s="123">
        <f t="shared" ref="Z18" si="49">Y18+1</f>
        <v>201710</v>
      </c>
      <c r="AA18" s="123">
        <f t="shared" ref="AA18" si="50">Z18+1</f>
        <v>201711</v>
      </c>
      <c r="AB18" s="123">
        <f t="shared" ref="AB18" si="51">AA18+1</f>
        <v>201712</v>
      </c>
      <c r="AC18" s="123">
        <f t="shared" ref="AC18:AG18" si="52">AC3</f>
        <v>201801</v>
      </c>
      <c r="AD18" s="123">
        <f t="shared" si="52"/>
        <v>201802</v>
      </c>
      <c r="AE18" s="123">
        <f t="shared" si="52"/>
        <v>201803</v>
      </c>
      <c r="AF18" s="123">
        <f t="shared" si="52"/>
        <v>201804</v>
      </c>
      <c r="AG18" s="123">
        <f t="shared" si="52"/>
        <v>201805</v>
      </c>
      <c r="AH18" s="123">
        <f t="shared" ref="AH18:AL18" si="53">AH3</f>
        <v>201806</v>
      </c>
      <c r="AI18" s="123">
        <f t="shared" si="53"/>
        <v>201807</v>
      </c>
      <c r="AJ18" s="123">
        <f t="shared" si="53"/>
        <v>201808</v>
      </c>
      <c r="AK18" s="123">
        <f t="shared" si="53"/>
        <v>201809</v>
      </c>
      <c r="AL18" s="123">
        <f t="shared" si="53"/>
        <v>201810</v>
      </c>
      <c r="AM18" s="123">
        <f>AM3</f>
        <v>201811</v>
      </c>
      <c r="AN18" s="123">
        <f t="shared" ref="AN18:AO18" si="54">AN3</f>
        <v>201812</v>
      </c>
      <c r="AO18" s="123">
        <f t="shared" si="54"/>
        <v>201901</v>
      </c>
      <c r="AP18" s="123">
        <f t="shared" ref="AP18:AQ18" si="55">AP3</f>
        <v>201902</v>
      </c>
      <c r="AQ18" s="123">
        <f t="shared" si="55"/>
        <v>201903</v>
      </c>
      <c r="AR18" s="123">
        <f t="shared" ref="AR18:AS18" si="56">AR3</f>
        <v>201904</v>
      </c>
      <c r="AS18" s="123">
        <f t="shared" si="56"/>
        <v>201905</v>
      </c>
      <c r="AT18" s="129" t="str">
        <f t="shared" ref="AT18:AU18" si="57">AT3</f>
        <v>201905 Revised</v>
      </c>
      <c r="AU18" s="129">
        <f t="shared" si="57"/>
        <v>201906</v>
      </c>
      <c r="AV18" s="129">
        <f t="shared" ref="AV18" si="58">AV3</f>
        <v>201907</v>
      </c>
    </row>
    <row r="19" spans="1:56" ht="15.75">
      <c r="A19" s="9"/>
      <c r="B19" s="12" t="s">
        <v>16</v>
      </c>
      <c r="C19" s="97">
        <f>SUM(Q19:AB19)</f>
        <v>131594728</v>
      </c>
      <c r="D19" s="125">
        <f t="shared" ref="D19:D24" si="59">SUM(E19:AB19)</f>
        <v>240238598</v>
      </c>
      <c r="E19" s="127">
        <v>20140968</v>
      </c>
      <c r="F19" s="127">
        <v>14297044</v>
      </c>
      <c r="G19" s="127">
        <v>12238194</v>
      </c>
      <c r="H19" s="127">
        <v>5348802</v>
      </c>
      <c r="I19" s="127">
        <v>3384728</v>
      </c>
      <c r="J19" s="127">
        <v>2765049</v>
      </c>
      <c r="K19" s="127">
        <v>2292583</v>
      </c>
      <c r="L19" s="127">
        <v>2354714</v>
      </c>
      <c r="M19" s="127">
        <v>3123052</v>
      </c>
      <c r="N19" s="127">
        <v>7137333</v>
      </c>
      <c r="O19" s="127">
        <v>11352396</v>
      </c>
      <c r="P19" s="127">
        <v>24209007</v>
      </c>
      <c r="Q19" s="127">
        <v>27259641</v>
      </c>
      <c r="R19" s="127">
        <v>19157522</v>
      </c>
      <c r="S19" s="127">
        <v>14316138</v>
      </c>
      <c r="T19" s="127">
        <v>9641125</v>
      </c>
      <c r="U19" s="127">
        <v>4941679</v>
      </c>
      <c r="V19" s="127">
        <v>2542069</v>
      </c>
      <c r="W19" s="127">
        <v>2070483</v>
      </c>
      <c r="X19" s="127">
        <v>2080707</v>
      </c>
      <c r="Y19" s="127">
        <v>3147236</v>
      </c>
      <c r="Z19" s="127">
        <v>8835836</v>
      </c>
      <c r="AA19" s="127">
        <v>14838696</v>
      </c>
      <c r="AB19" s="127">
        <v>22763596</v>
      </c>
      <c r="AC19" s="127">
        <v>20257484</v>
      </c>
      <c r="AD19" s="127">
        <v>18179866</v>
      </c>
      <c r="AE19" s="127">
        <v>15771469</v>
      </c>
      <c r="AF19" s="127">
        <v>9759881</v>
      </c>
      <c r="AG19" s="127">
        <v>3286813</v>
      </c>
      <c r="AH19" s="127">
        <v>2630854</v>
      </c>
      <c r="AI19" s="127">
        <v>2294066</v>
      </c>
      <c r="AJ19" s="127">
        <v>2214130</v>
      </c>
      <c r="AK19" s="127">
        <v>3077139</v>
      </c>
      <c r="AL19" s="127">
        <v>8390464</v>
      </c>
      <c r="AM19" s="127">
        <v>15558764</v>
      </c>
      <c r="AN19" s="127">
        <v>20570424</v>
      </c>
      <c r="AO19" s="127">
        <f>Jan!G23</f>
        <v>21076213</v>
      </c>
      <c r="AP19" s="127">
        <f>Feb!G23</f>
        <v>23394682</v>
      </c>
      <c r="AQ19" s="127">
        <f>Mar!G23</f>
        <v>18476572</v>
      </c>
      <c r="AR19" s="127">
        <f>Apr!$G23</f>
        <v>8678511</v>
      </c>
      <c r="AS19" s="127">
        <f>May!$G23</f>
        <v>4312435</v>
      </c>
      <c r="AT19" s="127">
        <f>'May Revised'!$G23</f>
        <v>4312435</v>
      </c>
      <c r="AU19" s="127">
        <f>Jun!$G23</f>
        <v>2497712</v>
      </c>
      <c r="AV19" s="127">
        <f>Jul!$G23</f>
        <v>2393172</v>
      </c>
    </row>
    <row r="20" spans="1:56" ht="15.75">
      <c r="A20" s="9"/>
      <c r="B20" s="12" t="s">
        <v>159</v>
      </c>
      <c r="C20" s="97">
        <f t="shared" ref="C20:C24" si="60">SUM(Q20:AB20)</f>
        <v>188194</v>
      </c>
      <c r="D20" s="125">
        <f t="shared" si="59"/>
        <v>340511</v>
      </c>
      <c r="E20" s="127">
        <v>17893</v>
      </c>
      <c r="F20" s="127">
        <v>14593</v>
      </c>
      <c r="G20" s="127">
        <v>18603</v>
      </c>
      <c r="H20" s="127">
        <v>12171</v>
      </c>
      <c r="I20" s="127">
        <v>5734</v>
      </c>
      <c r="J20" s="127">
        <v>4482</v>
      </c>
      <c r="K20" s="127">
        <v>3610</v>
      </c>
      <c r="L20" s="127">
        <v>2820</v>
      </c>
      <c r="M20" s="127">
        <v>4729</v>
      </c>
      <c r="N20" s="127">
        <v>12809</v>
      </c>
      <c r="O20" s="127">
        <v>19581</v>
      </c>
      <c r="P20" s="127">
        <v>35292</v>
      </c>
      <c r="Q20" s="127">
        <v>40615</v>
      </c>
      <c r="R20" s="127">
        <v>29103</v>
      </c>
      <c r="S20" s="127">
        <v>22738</v>
      </c>
      <c r="T20" s="127">
        <v>15697</v>
      </c>
      <c r="U20" s="127">
        <v>8078</v>
      </c>
      <c r="V20" s="127">
        <v>3619</v>
      </c>
      <c r="W20" s="127">
        <v>2296</v>
      </c>
      <c r="X20" s="127">
        <v>2393</v>
      </c>
      <c r="Y20" s="127">
        <v>3920</v>
      </c>
      <c r="Z20" s="127">
        <v>13952</v>
      </c>
      <c r="AA20" s="127">
        <v>20740</v>
      </c>
      <c r="AB20" s="127">
        <v>25043</v>
      </c>
      <c r="AC20" s="127">
        <v>22671</v>
      </c>
      <c r="AD20" s="127">
        <v>21014</v>
      </c>
      <c r="AE20" s="127">
        <v>19043</v>
      </c>
      <c r="AF20" s="127">
        <v>11770</v>
      </c>
      <c r="AG20" s="127">
        <v>4240</v>
      </c>
      <c r="AH20" s="127">
        <v>2604</v>
      </c>
      <c r="AI20" s="127">
        <v>2356</v>
      </c>
      <c r="AJ20" s="127">
        <v>1944</v>
      </c>
      <c r="AK20" s="127">
        <v>3129</v>
      </c>
      <c r="AL20" s="127">
        <v>10239</v>
      </c>
      <c r="AM20" s="127">
        <v>17080</v>
      </c>
      <c r="AN20" s="127">
        <v>21435</v>
      </c>
      <c r="AO20" s="127">
        <f>Jan!G24</f>
        <v>21566</v>
      </c>
      <c r="AP20" s="127">
        <f>Feb!G24</f>
        <v>23936</v>
      </c>
      <c r="AQ20" s="127">
        <f>Mar!G24</f>
        <v>18913</v>
      </c>
      <c r="AR20" s="127">
        <f>Apr!$G24</f>
        <v>9640</v>
      </c>
      <c r="AS20" s="127">
        <f>May!$G24</f>
        <v>4874</v>
      </c>
      <c r="AT20" s="127">
        <f>'May Revised'!$G24</f>
        <v>4874</v>
      </c>
      <c r="AU20" s="127">
        <f>Jun!$G24</f>
        <v>2253</v>
      </c>
      <c r="AV20" s="127">
        <f>Jul!$G24</f>
        <v>1928</v>
      </c>
    </row>
    <row r="21" spans="1:56" ht="15.75">
      <c r="A21" s="9"/>
      <c r="B21" s="12" t="s">
        <v>17</v>
      </c>
      <c r="C21" s="97">
        <f t="shared" si="60"/>
        <v>51787474</v>
      </c>
      <c r="D21" s="125">
        <f t="shared" si="59"/>
        <v>96346775</v>
      </c>
      <c r="E21" s="127">
        <v>6568112</v>
      </c>
      <c r="F21" s="127">
        <v>5200734</v>
      </c>
      <c r="G21" s="127">
        <v>4795258</v>
      </c>
      <c r="H21" s="127">
        <v>2668983</v>
      </c>
      <c r="I21" s="127">
        <v>2221542</v>
      </c>
      <c r="J21" s="127">
        <v>1675034</v>
      </c>
      <c r="K21" s="127">
        <v>1510014</v>
      </c>
      <c r="L21" s="127">
        <v>1583471</v>
      </c>
      <c r="M21" s="127">
        <v>2056535</v>
      </c>
      <c r="N21" s="127">
        <v>3586972</v>
      </c>
      <c r="O21" s="127">
        <v>4116109</v>
      </c>
      <c r="P21" s="127">
        <v>8576537</v>
      </c>
      <c r="Q21" s="127">
        <v>8738107</v>
      </c>
      <c r="R21" s="127">
        <v>7258148</v>
      </c>
      <c r="S21" s="127">
        <v>5603968</v>
      </c>
      <c r="T21" s="127">
        <v>4021494</v>
      </c>
      <c r="U21" s="127">
        <v>2425238</v>
      </c>
      <c r="V21" s="127">
        <v>1878375</v>
      </c>
      <c r="W21" s="127">
        <v>1446879</v>
      </c>
      <c r="X21" s="127">
        <v>1463939</v>
      </c>
      <c r="Y21" s="127">
        <v>2165313</v>
      </c>
      <c r="Z21" s="127">
        <v>3629858</v>
      </c>
      <c r="AA21" s="127">
        <v>5325716</v>
      </c>
      <c r="AB21" s="127">
        <v>7830439</v>
      </c>
      <c r="AC21" s="127">
        <v>6608892</v>
      </c>
      <c r="AD21" s="127">
        <v>7202971</v>
      </c>
      <c r="AE21" s="127">
        <v>5606266</v>
      </c>
      <c r="AF21" s="127">
        <v>4266905</v>
      </c>
      <c r="AG21" s="127">
        <v>2210506</v>
      </c>
      <c r="AH21" s="127">
        <v>1922676</v>
      </c>
      <c r="AI21" s="127">
        <v>1476772</v>
      </c>
      <c r="AJ21" s="127">
        <v>1588311</v>
      </c>
      <c r="AK21" s="127">
        <v>1948398</v>
      </c>
      <c r="AL21" s="127">
        <v>3674467</v>
      </c>
      <c r="AM21" s="127">
        <v>5726364</v>
      </c>
      <c r="AN21" s="127">
        <v>18064862</v>
      </c>
      <c r="AO21" s="127">
        <f>Jan!G25</f>
        <v>4326716</v>
      </c>
      <c r="AP21" s="127">
        <f>Feb!G25</f>
        <v>8977809</v>
      </c>
      <c r="AQ21" s="127">
        <f>Mar!G25</f>
        <v>6826624</v>
      </c>
      <c r="AR21" s="127">
        <f>Apr!$G25</f>
        <v>4528915</v>
      </c>
      <c r="AS21" s="127">
        <f>May!$G25</f>
        <v>2394969</v>
      </c>
      <c r="AT21" s="127">
        <f>'May Revised'!$G25</f>
        <v>2394969</v>
      </c>
      <c r="AU21" s="127">
        <f>Jun!$G25</f>
        <v>2410231</v>
      </c>
      <c r="AV21" s="127">
        <f>Jul!$G25</f>
        <v>1815710</v>
      </c>
    </row>
    <row r="22" spans="1:56" ht="15.75">
      <c r="A22" s="9"/>
      <c r="B22" s="12" t="s">
        <v>19</v>
      </c>
      <c r="C22" s="97">
        <f t="shared" si="60"/>
        <v>3896834</v>
      </c>
      <c r="D22" s="125">
        <f t="shared" si="59"/>
        <v>7546429</v>
      </c>
      <c r="E22" s="127">
        <v>345863</v>
      </c>
      <c r="F22" s="127">
        <v>408568</v>
      </c>
      <c r="G22" s="127">
        <v>361566</v>
      </c>
      <c r="H22" s="127">
        <v>227877</v>
      </c>
      <c r="I22" s="127">
        <v>311290</v>
      </c>
      <c r="J22" s="127">
        <v>225272</v>
      </c>
      <c r="K22" s="127">
        <v>266816</v>
      </c>
      <c r="L22" s="127">
        <v>259403</v>
      </c>
      <c r="M22" s="127">
        <v>291879</v>
      </c>
      <c r="N22" s="127">
        <v>401880</v>
      </c>
      <c r="O22" s="127">
        <v>314956</v>
      </c>
      <c r="P22" s="127">
        <v>234225</v>
      </c>
      <c r="Q22" s="127">
        <v>284721</v>
      </c>
      <c r="R22" s="127">
        <v>399264</v>
      </c>
      <c r="S22" s="127">
        <v>334116</v>
      </c>
      <c r="T22" s="127">
        <v>288026</v>
      </c>
      <c r="U22" s="127">
        <v>302382</v>
      </c>
      <c r="V22" s="127">
        <v>289055</v>
      </c>
      <c r="W22" s="127">
        <v>274504</v>
      </c>
      <c r="X22" s="127">
        <v>291721</v>
      </c>
      <c r="Y22" s="127">
        <v>348558</v>
      </c>
      <c r="Z22" s="127">
        <v>248414</v>
      </c>
      <c r="AA22" s="127">
        <v>458380</v>
      </c>
      <c r="AB22" s="127">
        <v>377693</v>
      </c>
      <c r="AC22" s="127">
        <v>362835</v>
      </c>
      <c r="AD22" s="127">
        <v>448875</v>
      </c>
      <c r="AE22" s="127">
        <v>345298</v>
      </c>
      <c r="AF22" s="127">
        <v>305691</v>
      </c>
      <c r="AG22" s="127">
        <v>234262</v>
      </c>
      <c r="AH22" s="127">
        <v>318982</v>
      </c>
      <c r="AI22" s="127">
        <v>256335</v>
      </c>
      <c r="AJ22" s="127">
        <v>306054</v>
      </c>
      <c r="AK22" s="127">
        <v>302898</v>
      </c>
      <c r="AL22" s="127">
        <v>398880</v>
      </c>
      <c r="AM22" s="127">
        <v>420845</v>
      </c>
      <c r="AN22" s="127">
        <v>-10914823</v>
      </c>
      <c r="AO22" s="127">
        <f>Jan!G27</f>
        <v>3809625</v>
      </c>
      <c r="AP22" s="127">
        <f>Feb!G27</f>
        <v>177522</v>
      </c>
      <c r="AQ22" s="127">
        <f>Mar!G27</f>
        <v>115935</v>
      </c>
      <c r="AR22" s="127">
        <f>Apr!$G27</f>
        <v>108923</v>
      </c>
      <c r="AS22" s="127">
        <f>May!$G27</f>
        <v>97867</v>
      </c>
      <c r="AT22" s="127">
        <f>'May Revised'!$G27</f>
        <v>97867</v>
      </c>
      <c r="AU22" s="127">
        <f>Jun!$G27</f>
        <v>-90738</v>
      </c>
      <c r="AV22" s="127">
        <f>Jul!$G27</f>
        <v>133593</v>
      </c>
    </row>
    <row r="23" spans="1:56" ht="15.75">
      <c r="A23" s="9"/>
      <c r="B23" s="12" t="s">
        <v>21</v>
      </c>
      <c r="C23" s="97">
        <f t="shared" si="60"/>
        <v>0</v>
      </c>
      <c r="D23" s="125">
        <f t="shared" si="59"/>
        <v>0</v>
      </c>
      <c r="E23" s="127">
        <v>0</v>
      </c>
      <c r="F23" s="127">
        <v>0</v>
      </c>
      <c r="G23" s="127">
        <v>0</v>
      </c>
      <c r="H23" s="127">
        <v>0</v>
      </c>
      <c r="I23" s="127">
        <v>0</v>
      </c>
      <c r="J23" s="127">
        <v>0</v>
      </c>
      <c r="K23" s="127">
        <v>0</v>
      </c>
      <c r="L23" s="127">
        <v>0</v>
      </c>
      <c r="M23" s="127">
        <v>0</v>
      </c>
      <c r="N23" s="127">
        <v>0</v>
      </c>
      <c r="O23" s="127">
        <v>0</v>
      </c>
      <c r="P23" s="127">
        <v>0</v>
      </c>
      <c r="Q23" s="127">
        <v>0</v>
      </c>
      <c r="R23" s="127">
        <v>0</v>
      </c>
      <c r="S23" s="127">
        <v>0</v>
      </c>
      <c r="T23" s="127">
        <v>0</v>
      </c>
      <c r="U23" s="127">
        <v>0</v>
      </c>
      <c r="V23" s="127">
        <v>0</v>
      </c>
      <c r="W23" s="127">
        <v>0</v>
      </c>
      <c r="X23" s="127">
        <v>0</v>
      </c>
      <c r="Y23" s="127">
        <v>0</v>
      </c>
      <c r="Z23" s="127">
        <v>0</v>
      </c>
      <c r="AA23" s="127">
        <v>0</v>
      </c>
      <c r="AB23" s="127">
        <v>0</v>
      </c>
      <c r="AC23" s="127">
        <v>0</v>
      </c>
      <c r="AD23" s="127">
        <v>0</v>
      </c>
      <c r="AE23" s="127">
        <v>0</v>
      </c>
      <c r="AF23" s="127">
        <v>0</v>
      </c>
      <c r="AG23" s="127">
        <v>0</v>
      </c>
      <c r="AH23" s="127">
        <v>0</v>
      </c>
      <c r="AI23" s="127">
        <v>0</v>
      </c>
      <c r="AJ23" s="127">
        <v>0</v>
      </c>
      <c r="AK23" s="127">
        <v>0</v>
      </c>
      <c r="AL23" s="127">
        <v>0</v>
      </c>
      <c r="AM23" s="127">
        <v>0</v>
      </c>
      <c r="AN23" s="127">
        <v>0</v>
      </c>
      <c r="AO23" s="127">
        <f>Jan!G29</f>
        <v>0</v>
      </c>
      <c r="AP23" s="127">
        <f>Feb!G29</f>
        <v>0</v>
      </c>
      <c r="AQ23" s="127">
        <f>Mar!G29</f>
        <v>0</v>
      </c>
      <c r="AR23" s="127">
        <f>Apr!$G29</f>
        <v>0</v>
      </c>
      <c r="AS23" s="127">
        <f>May!$G29</f>
        <v>0</v>
      </c>
      <c r="AT23" s="127">
        <f>'May Revised'!$G29</f>
        <v>0</v>
      </c>
      <c r="AU23" s="127">
        <f>Jun!$G29</f>
        <v>0</v>
      </c>
      <c r="AV23" s="127">
        <f>Jul!$G29</f>
        <v>0</v>
      </c>
    </row>
    <row r="24" spans="1:56" ht="15.75">
      <c r="A24" s="9"/>
      <c r="B24" s="12" t="s">
        <v>37</v>
      </c>
      <c r="C24" s="97">
        <f t="shared" si="60"/>
        <v>36224919</v>
      </c>
      <c r="D24" s="125">
        <f t="shared" si="59"/>
        <v>67139519</v>
      </c>
      <c r="E24" s="127">
        <v>3346687</v>
      </c>
      <c r="F24" s="127">
        <v>2956295</v>
      </c>
      <c r="G24" s="127">
        <v>2822744</v>
      </c>
      <c r="H24" s="127">
        <v>2379815</v>
      </c>
      <c r="I24" s="127">
        <v>2359261</v>
      </c>
      <c r="J24" s="127">
        <v>2149880</v>
      </c>
      <c r="K24" s="127">
        <v>1956378</v>
      </c>
      <c r="L24" s="127">
        <v>1966117</v>
      </c>
      <c r="M24" s="127">
        <v>1915306</v>
      </c>
      <c r="N24" s="127">
        <v>2505633</v>
      </c>
      <c r="O24" s="127">
        <v>2750386</v>
      </c>
      <c r="P24" s="127">
        <v>3806098</v>
      </c>
      <c r="Q24" s="127">
        <v>4261630</v>
      </c>
      <c r="R24" s="127">
        <v>3513623</v>
      </c>
      <c r="S24" s="127">
        <v>3381923</v>
      </c>
      <c r="T24" s="127">
        <v>2868630</v>
      </c>
      <c r="U24" s="127">
        <v>2501903</v>
      </c>
      <c r="V24" s="127">
        <v>2531843</v>
      </c>
      <c r="W24" s="127">
        <v>2144434</v>
      </c>
      <c r="X24" s="127">
        <v>2338940</v>
      </c>
      <c r="Y24" s="127">
        <v>2209861</v>
      </c>
      <c r="Z24" s="127">
        <v>3085921</v>
      </c>
      <c r="AA24" s="127">
        <v>3418526</v>
      </c>
      <c r="AB24" s="127">
        <v>3967685</v>
      </c>
      <c r="AC24" s="127">
        <v>3629622</v>
      </c>
      <c r="AD24" s="127">
        <v>3567188</v>
      </c>
      <c r="AE24" s="127">
        <v>3349134</v>
      </c>
      <c r="AF24" s="127">
        <v>3031741</v>
      </c>
      <c r="AG24" s="127">
        <v>2500964</v>
      </c>
      <c r="AH24" s="127">
        <v>2373589</v>
      </c>
      <c r="AI24" s="127">
        <v>2236824</v>
      </c>
      <c r="AJ24" s="127">
        <v>2281688</v>
      </c>
      <c r="AK24" s="127">
        <v>2309719</v>
      </c>
      <c r="AL24" s="127">
        <v>3098253</v>
      </c>
      <c r="AM24" s="127">
        <v>3268121</v>
      </c>
      <c r="AN24" s="127">
        <v>3535845</v>
      </c>
      <c r="AO24" s="127">
        <f>Jan!G31</f>
        <v>3921073</v>
      </c>
      <c r="AP24" s="127">
        <f>Feb!G31</f>
        <v>3900873</v>
      </c>
      <c r="AQ24" s="127">
        <f>Mar!G31</f>
        <v>3846520</v>
      </c>
      <c r="AR24" s="127">
        <f>Apr!$G31</f>
        <v>3113093</v>
      </c>
      <c r="AS24" s="127">
        <f>May!$G31</f>
        <v>2599421</v>
      </c>
      <c r="AT24" s="127">
        <f>'May Revised'!$G31</f>
        <v>2599421</v>
      </c>
      <c r="AU24" s="127">
        <f>Jun!$G31</f>
        <v>2420689</v>
      </c>
      <c r="AV24" s="127">
        <f>Jul!$G31</f>
        <v>2422953</v>
      </c>
    </row>
    <row r="25" spans="1:56" ht="16.5" thickBot="1">
      <c r="A25" s="9"/>
      <c r="B25" s="12" t="s">
        <v>6</v>
      </c>
      <c r="C25" s="124">
        <f>SUM(C19:C24)</f>
        <v>223692149</v>
      </c>
      <c r="D25" s="124">
        <f>SUM(D19:D24)</f>
        <v>411611832</v>
      </c>
      <c r="E25" s="124">
        <v>30419523</v>
      </c>
      <c r="F25" s="124">
        <f t="shared" ref="F25:AD25" si="61">SUM(F19:F24)</f>
        <v>22877234</v>
      </c>
      <c r="G25" s="124">
        <f t="shared" si="61"/>
        <v>20236365</v>
      </c>
      <c r="H25" s="124">
        <f t="shared" si="61"/>
        <v>10637648</v>
      </c>
      <c r="I25" s="124">
        <f t="shared" si="61"/>
        <v>8282555</v>
      </c>
      <c r="J25" s="124">
        <f t="shared" si="61"/>
        <v>6819717</v>
      </c>
      <c r="K25" s="124">
        <f t="shared" si="61"/>
        <v>6029401</v>
      </c>
      <c r="L25" s="124">
        <f t="shared" si="61"/>
        <v>6166525</v>
      </c>
      <c r="M25" s="124">
        <f t="shared" si="61"/>
        <v>7391501</v>
      </c>
      <c r="N25" s="124">
        <f t="shared" si="61"/>
        <v>13644627</v>
      </c>
      <c r="O25" s="124">
        <f t="shared" si="61"/>
        <v>18553428</v>
      </c>
      <c r="P25" s="124">
        <f t="shared" si="61"/>
        <v>36861159</v>
      </c>
      <c r="Q25" s="124">
        <f t="shared" si="61"/>
        <v>40584714</v>
      </c>
      <c r="R25" s="124">
        <f t="shared" si="61"/>
        <v>30357660</v>
      </c>
      <c r="S25" s="124">
        <f t="shared" si="61"/>
        <v>23658883</v>
      </c>
      <c r="T25" s="124">
        <f t="shared" si="61"/>
        <v>16834972</v>
      </c>
      <c r="U25" s="124">
        <f t="shared" si="61"/>
        <v>10179280</v>
      </c>
      <c r="V25" s="124">
        <f t="shared" si="61"/>
        <v>7244961</v>
      </c>
      <c r="W25" s="124">
        <f t="shared" si="61"/>
        <v>5938596</v>
      </c>
      <c r="X25" s="124">
        <f t="shared" si="61"/>
        <v>6177700</v>
      </c>
      <c r="Y25" s="124">
        <f t="shared" si="61"/>
        <v>7874888</v>
      </c>
      <c r="Z25" s="124">
        <f t="shared" si="61"/>
        <v>15813981</v>
      </c>
      <c r="AA25" s="124">
        <f t="shared" si="61"/>
        <v>24062058</v>
      </c>
      <c r="AB25" s="124">
        <f t="shared" si="61"/>
        <v>34964456</v>
      </c>
      <c r="AC25" s="124">
        <f t="shared" si="61"/>
        <v>30881504</v>
      </c>
      <c r="AD25" s="124">
        <f t="shared" si="61"/>
        <v>29419914</v>
      </c>
      <c r="AE25" s="124">
        <f t="shared" ref="AE25" si="62">SUM(AE19:AE24)</f>
        <v>25091210</v>
      </c>
      <c r="AF25" s="124">
        <f>SUM(AF19:AF24)</f>
        <v>17375988</v>
      </c>
      <c r="AG25" s="124">
        <f>SUM(AG19:AG24)</f>
        <v>8236785</v>
      </c>
      <c r="AH25" s="124">
        <f>SUM(AH19:AH24)</f>
        <v>7248705</v>
      </c>
      <c r="AI25" s="124">
        <f>SUM(AI19:AI24)</f>
        <v>6266353</v>
      </c>
      <c r="AJ25" s="124">
        <f t="shared" ref="AJ25:AL25" si="63">SUM(AJ19:AJ24)</f>
        <v>6392127</v>
      </c>
      <c r="AK25" s="124">
        <f t="shared" si="63"/>
        <v>7641283</v>
      </c>
      <c r="AL25" s="124">
        <f t="shared" si="63"/>
        <v>15572303</v>
      </c>
      <c r="AM25" s="124">
        <f t="shared" ref="AM25:AR25" si="64">SUM(AM19:AM24)</f>
        <v>24991174</v>
      </c>
      <c r="AN25" s="124">
        <f t="shared" si="64"/>
        <v>31277743</v>
      </c>
      <c r="AO25" s="124">
        <f t="shared" si="64"/>
        <v>33155193</v>
      </c>
      <c r="AP25" s="124">
        <f t="shared" si="64"/>
        <v>36474822</v>
      </c>
      <c r="AQ25" s="124">
        <f t="shared" si="64"/>
        <v>29284564</v>
      </c>
      <c r="AR25" s="124">
        <f t="shared" si="64"/>
        <v>16439082</v>
      </c>
      <c r="AS25" s="124">
        <f>SUM(AS19:AS24)</f>
        <v>9409566</v>
      </c>
      <c r="AT25" s="124">
        <f>SUM(AT19:AT24)</f>
        <v>9409566</v>
      </c>
      <c r="AU25" s="124">
        <f>SUM(AU19:AU24)</f>
        <v>7240147</v>
      </c>
      <c r="AV25" s="124">
        <f>SUM(AV19:AV24)</f>
        <v>6767356</v>
      </c>
    </row>
    <row r="26" spans="1:56" ht="16.5" thickTop="1">
      <c r="A26" s="9"/>
      <c r="B26" s="12" t="s">
        <v>139</v>
      </c>
      <c r="C26" s="125">
        <f>SUM(Q26:AB26)</f>
        <v>223692149</v>
      </c>
      <c r="D26" s="125">
        <f>SUM(E26:AB26)</f>
        <v>411611832</v>
      </c>
      <c r="E26" s="125">
        <v>30419523</v>
      </c>
      <c r="F26" s="125">
        <v>22877234</v>
      </c>
      <c r="G26" s="125">
        <v>20236365</v>
      </c>
      <c r="H26" s="125">
        <v>10637648</v>
      </c>
      <c r="I26" s="125">
        <v>8282555</v>
      </c>
      <c r="J26" s="125">
        <v>6819717</v>
      </c>
      <c r="K26" s="125">
        <v>6029401</v>
      </c>
      <c r="L26" s="125">
        <v>6166525</v>
      </c>
      <c r="M26" s="125">
        <v>7391501</v>
      </c>
      <c r="N26" s="125">
        <v>13644627</v>
      </c>
      <c r="O26" s="125">
        <v>18553428</v>
      </c>
      <c r="P26" s="125">
        <v>36861159</v>
      </c>
      <c r="Q26" s="125">
        <v>40584714</v>
      </c>
      <c r="R26" s="125">
        <v>30357660</v>
      </c>
      <c r="S26" s="125">
        <v>23658883</v>
      </c>
      <c r="T26" s="125">
        <v>16834972</v>
      </c>
      <c r="U26" s="125">
        <v>10179280</v>
      </c>
      <c r="V26" s="125">
        <v>7244961</v>
      </c>
      <c r="W26" s="125">
        <v>5938596</v>
      </c>
      <c r="X26" s="125">
        <v>6177700</v>
      </c>
      <c r="Y26" s="125">
        <v>7874888</v>
      </c>
      <c r="Z26" s="125">
        <v>15813981</v>
      </c>
      <c r="AA26" s="125">
        <v>24062058</v>
      </c>
      <c r="AB26" s="125">
        <v>34964456</v>
      </c>
      <c r="AC26" s="125">
        <v>30881504</v>
      </c>
      <c r="AD26" s="125">
        <v>29419914</v>
      </c>
      <c r="AE26" s="125">
        <v>25091210</v>
      </c>
      <c r="AF26" s="125">
        <v>17375988</v>
      </c>
      <c r="AG26" s="125">
        <v>8236785</v>
      </c>
      <c r="AH26" s="125">
        <v>7248705</v>
      </c>
      <c r="AI26" s="125">
        <v>6266353</v>
      </c>
      <c r="AJ26" s="125">
        <v>6392127</v>
      </c>
      <c r="AK26" s="125">
        <v>7641283</v>
      </c>
      <c r="AL26" s="125">
        <v>15572303</v>
      </c>
      <c r="AM26" s="125">
        <v>24991174</v>
      </c>
      <c r="AN26" s="125">
        <v>31277743</v>
      </c>
      <c r="AO26" s="125">
        <v>33155193</v>
      </c>
      <c r="AP26" s="125">
        <v>36474822</v>
      </c>
      <c r="AQ26" s="125">
        <v>29284564</v>
      </c>
      <c r="AR26" s="125">
        <v>16439082</v>
      </c>
      <c r="AS26" s="125">
        <v>9409566</v>
      </c>
      <c r="AT26" s="125">
        <v>9409566</v>
      </c>
      <c r="AU26" s="125">
        <v>7240147</v>
      </c>
      <c r="AV26" s="125">
        <v>6767356</v>
      </c>
    </row>
    <row r="27" spans="1:56" ht="15.75">
      <c r="A27" s="9" t="s">
        <v>7</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BC27" s="1"/>
      <c r="BD27" s="1"/>
    </row>
    <row r="28" spans="1:56" ht="15.75">
      <c r="A28" s="123">
        <v>191000</v>
      </c>
      <c r="B28" s="29" t="s">
        <v>127</v>
      </c>
      <c r="E28" s="123">
        <v>201601</v>
      </c>
      <c r="F28" s="123">
        <f>E28+1</f>
        <v>201602</v>
      </c>
      <c r="G28" s="123">
        <f t="shared" ref="G28:P28" si="65">F28+1</f>
        <v>201603</v>
      </c>
      <c r="H28" s="123">
        <f t="shared" si="65"/>
        <v>201604</v>
      </c>
      <c r="I28" s="123">
        <f t="shared" si="65"/>
        <v>201605</v>
      </c>
      <c r="J28" s="123">
        <f t="shared" si="65"/>
        <v>201606</v>
      </c>
      <c r="K28" s="123">
        <f t="shared" si="65"/>
        <v>201607</v>
      </c>
      <c r="L28" s="123">
        <f t="shared" si="65"/>
        <v>201608</v>
      </c>
      <c r="M28" s="123">
        <f t="shared" si="65"/>
        <v>201609</v>
      </c>
      <c r="N28" s="123">
        <f t="shared" si="65"/>
        <v>201610</v>
      </c>
      <c r="O28" s="123">
        <f t="shared" si="65"/>
        <v>201611</v>
      </c>
      <c r="P28" s="123">
        <f t="shared" si="65"/>
        <v>201612</v>
      </c>
      <c r="Q28" s="123">
        <f>Q3</f>
        <v>201701</v>
      </c>
      <c r="R28" s="123">
        <f>Q28+1</f>
        <v>201702</v>
      </c>
      <c r="S28" s="123">
        <f t="shared" ref="S28" si="66">R28+1</f>
        <v>201703</v>
      </c>
      <c r="T28" s="123">
        <f t="shared" ref="T28" si="67">S28+1</f>
        <v>201704</v>
      </c>
      <c r="U28" s="123">
        <f t="shared" ref="U28" si="68">T28+1</f>
        <v>201705</v>
      </c>
      <c r="V28" s="123">
        <f t="shared" ref="V28" si="69">U28+1</f>
        <v>201706</v>
      </c>
      <c r="W28" s="123">
        <f t="shared" ref="W28" si="70">V28+1</f>
        <v>201707</v>
      </c>
      <c r="X28" s="123">
        <f t="shared" ref="X28" si="71">W28+1</f>
        <v>201708</v>
      </c>
      <c r="Y28" s="123">
        <f t="shared" ref="Y28" si="72">X28+1</f>
        <v>201709</v>
      </c>
      <c r="Z28" s="123">
        <f t="shared" ref="Z28" si="73">Y28+1</f>
        <v>201710</v>
      </c>
      <c r="AA28" s="123">
        <f t="shared" ref="AA28" si="74">Z28+1</f>
        <v>201711</v>
      </c>
      <c r="AB28" s="123">
        <f t="shared" ref="AB28" si="75">AA28+1</f>
        <v>201712</v>
      </c>
      <c r="AC28" s="123">
        <f t="shared" ref="AC28:AG28" si="76">AC3</f>
        <v>201801</v>
      </c>
      <c r="AD28" s="123">
        <f t="shared" si="76"/>
        <v>201802</v>
      </c>
      <c r="AE28" s="123">
        <f t="shared" si="76"/>
        <v>201803</v>
      </c>
      <c r="AF28" s="123">
        <f t="shared" si="76"/>
        <v>201804</v>
      </c>
      <c r="AG28" s="123">
        <f t="shared" si="76"/>
        <v>201805</v>
      </c>
      <c r="AH28" s="123">
        <f t="shared" ref="AH28:AL28" si="77">AH3</f>
        <v>201806</v>
      </c>
      <c r="AI28" s="123">
        <f t="shared" si="77"/>
        <v>201807</v>
      </c>
      <c r="AJ28" s="123">
        <f t="shared" si="77"/>
        <v>201808</v>
      </c>
      <c r="AK28" s="123">
        <f t="shared" si="77"/>
        <v>201809</v>
      </c>
      <c r="AL28" s="123">
        <f t="shared" si="77"/>
        <v>201810</v>
      </c>
      <c r="AM28" s="123">
        <f>AM3</f>
        <v>201811</v>
      </c>
      <c r="AN28" s="123">
        <f t="shared" ref="AN28:AO28" si="78">AN3</f>
        <v>201812</v>
      </c>
      <c r="AO28" s="123">
        <f t="shared" si="78"/>
        <v>201901</v>
      </c>
      <c r="AP28" s="123">
        <f t="shared" ref="AP28:AQ28" si="79">AP3</f>
        <v>201902</v>
      </c>
      <c r="AQ28" s="123">
        <f t="shared" si="79"/>
        <v>201903</v>
      </c>
      <c r="AR28" s="123">
        <f t="shared" ref="AR28:AS28" si="80">AR3</f>
        <v>201904</v>
      </c>
      <c r="AS28" s="123">
        <f t="shared" si="80"/>
        <v>201905</v>
      </c>
      <c r="AT28" s="129" t="str">
        <f t="shared" ref="AT28:AU28" si="81">AT3</f>
        <v>201905 Revised</v>
      </c>
      <c r="AU28" s="129">
        <f t="shared" si="81"/>
        <v>201906</v>
      </c>
      <c r="AV28" s="129">
        <f t="shared" ref="AV28" si="82">AV3</f>
        <v>201907</v>
      </c>
      <c r="BC28" s="1"/>
      <c r="BD28" s="1"/>
    </row>
    <row r="29" spans="1:56" ht="15.75">
      <c r="A29" s="9"/>
      <c r="B29" s="12" t="s">
        <v>16</v>
      </c>
      <c r="E29" s="151">
        <v>2.571E-2</v>
      </c>
      <c r="F29" s="151">
        <v>2.571E-2</v>
      </c>
      <c r="G29" s="151">
        <v>2.571E-2</v>
      </c>
      <c r="H29" s="151">
        <v>2.571E-2</v>
      </c>
      <c r="I29" s="151">
        <v>2.571E-2</v>
      </c>
      <c r="J29" s="151">
        <v>2.571E-2</v>
      </c>
      <c r="K29" s="151">
        <v>2.571E-2</v>
      </c>
      <c r="L29" s="151">
        <v>2.571E-2</v>
      </c>
      <c r="M29" s="151">
        <v>2.571E-2</v>
      </c>
      <c r="N29" s="151">
        <v>2.571E-2</v>
      </c>
      <c r="O29" s="151" t="s">
        <v>160</v>
      </c>
      <c r="P29" s="151" t="s">
        <v>160</v>
      </c>
      <c r="Q29" s="151">
        <v>9.1740000000000002E-2</v>
      </c>
      <c r="R29" s="151">
        <v>9.1740000000000002E-2</v>
      </c>
      <c r="S29" s="151">
        <v>9.1740000000000002E-2</v>
      </c>
      <c r="T29" s="151">
        <v>9.1740000000000002E-2</v>
      </c>
      <c r="U29" s="151">
        <v>9.1740000000000002E-2</v>
      </c>
      <c r="V29" s="151">
        <v>9.1740000000000002E-2</v>
      </c>
      <c r="W29" s="151">
        <v>9.1740000000000002E-2</v>
      </c>
      <c r="X29" s="151">
        <v>9.1740000000000002E-2</v>
      </c>
      <c r="Y29" s="151">
        <v>9.1740000000000002E-2</v>
      </c>
      <c r="Z29" s="151">
        <v>9.1740000000000002E-2</v>
      </c>
      <c r="AA29" s="128" t="s">
        <v>160</v>
      </c>
      <c r="AB29" s="128" t="s">
        <v>160</v>
      </c>
      <c r="AC29" s="128">
        <v>9.0670000000000001E-2</v>
      </c>
      <c r="AD29" s="128">
        <v>9.0670000000000001E-2</v>
      </c>
      <c r="AE29" s="128">
        <v>9.0670000000000001E-2</v>
      </c>
      <c r="AF29" s="128">
        <v>9.0670000000000001E-2</v>
      </c>
      <c r="AG29" s="128">
        <v>9.0670000000000001E-2</v>
      </c>
      <c r="AH29" s="128">
        <v>9.0670000000000001E-2</v>
      </c>
      <c r="AI29" s="128">
        <v>9.0670000000000001E-2</v>
      </c>
      <c r="AJ29" s="128">
        <v>9.0670000000000001E-2</v>
      </c>
      <c r="AK29" s="128">
        <v>9.0670000000000001E-2</v>
      </c>
      <c r="AL29" s="128">
        <v>9.0670000000000001E-2</v>
      </c>
      <c r="AM29" s="128" t="s">
        <v>160</v>
      </c>
      <c r="AN29" s="128" t="s">
        <v>160</v>
      </c>
      <c r="AO29" s="128">
        <v>9.1660000000000005E-2</v>
      </c>
      <c r="AP29" s="128">
        <v>9.1660000000000005E-2</v>
      </c>
      <c r="AQ29" s="128">
        <v>9.1660000000000005E-2</v>
      </c>
      <c r="AR29" s="128">
        <v>9.1660000000000005E-2</v>
      </c>
      <c r="AS29" s="128">
        <v>9.1660000000000005E-2</v>
      </c>
      <c r="AT29" s="128">
        <v>9.1660000000000005E-2</v>
      </c>
      <c r="AU29" s="128">
        <v>9.1660000000000005E-2</v>
      </c>
      <c r="AV29" s="128">
        <v>9.1660000000000005E-2</v>
      </c>
    </row>
    <row r="30" spans="1:56" ht="15.75">
      <c r="A30" s="9"/>
      <c r="B30" s="12" t="s">
        <v>159</v>
      </c>
      <c r="E30" s="151">
        <v>2.571E-2</v>
      </c>
      <c r="F30" s="151">
        <v>2.571E-2</v>
      </c>
      <c r="G30" s="151">
        <v>2.571E-2</v>
      </c>
      <c r="H30" s="151">
        <v>2.571E-2</v>
      </c>
      <c r="I30" s="151">
        <v>2.571E-2</v>
      </c>
      <c r="J30" s="151">
        <v>2.571E-2</v>
      </c>
      <c r="K30" s="151">
        <v>2.571E-2</v>
      </c>
      <c r="L30" s="151">
        <v>2.571E-2</v>
      </c>
      <c r="M30" s="151">
        <v>2.571E-2</v>
      </c>
      <c r="N30" s="151">
        <v>2.571E-2</v>
      </c>
      <c r="O30" s="151" t="s">
        <v>160</v>
      </c>
      <c r="P30" s="151" t="s">
        <v>160</v>
      </c>
      <c r="Q30" s="151">
        <v>9.1740000000000002E-2</v>
      </c>
      <c r="R30" s="151">
        <v>9.1740000000000002E-2</v>
      </c>
      <c r="S30" s="151">
        <v>9.1740000000000002E-2</v>
      </c>
      <c r="T30" s="151">
        <v>9.1740000000000002E-2</v>
      </c>
      <c r="U30" s="151">
        <v>9.1740000000000002E-2</v>
      </c>
      <c r="V30" s="151">
        <v>9.1740000000000002E-2</v>
      </c>
      <c r="W30" s="151">
        <v>9.1740000000000002E-2</v>
      </c>
      <c r="X30" s="151">
        <v>9.1740000000000002E-2</v>
      </c>
      <c r="Y30" s="151">
        <v>9.1740000000000002E-2</v>
      </c>
      <c r="Z30" s="151">
        <v>9.1740000000000002E-2</v>
      </c>
      <c r="AA30" s="128" t="s">
        <v>160</v>
      </c>
      <c r="AB30" s="128" t="s">
        <v>160</v>
      </c>
      <c r="AC30" s="128">
        <v>9.0670000000000001E-2</v>
      </c>
      <c r="AD30" s="128">
        <v>9.0670000000000001E-2</v>
      </c>
      <c r="AE30" s="128">
        <v>9.0670000000000001E-2</v>
      </c>
      <c r="AF30" s="128">
        <v>9.0670000000000001E-2</v>
      </c>
      <c r="AG30" s="128">
        <v>9.0670000000000001E-2</v>
      </c>
      <c r="AH30" s="128">
        <v>9.0670000000000001E-2</v>
      </c>
      <c r="AI30" s="128">
        <v>9.0670000000000001E-2</v>
      </c>
      <c r="AJ30" s="128">
        <v>9.0670000000000001E-2</v>
      </c>
      <c r="AK30" s="128">
        <v>9.0670000000000001E-2</v>
      </c>
      <c r="AL30" s="128">
        <v>9.0670000000000001E-2</v>
      </c>
      <c r="AM30" s="128" t="s">
        <v>160</v>
      </c>
      <c r="AN30" s="128" t="s">
        <v>160</v>
      </c>
      <c r="AO30" s="128">
        <v>9.1660000000000005E-2</v>
      </c>
      <c r="AP30" s="128">
        <v>9.1660000000000005E-2</v>
      </c>
      <c r="AQ30" s="128">
        <v>9.1660000000000005E-2</v>
      </c>
      <c r="AR30" s="128">
        <v>9.1660000000000005E-2</v>
      </c>
      <c r="AS30" s="128">
        <v>9.1660000000000005E-2</v>
      </c>
      <c r="AT30" s="128">
        <v>9.1660000000000005E-2</v>
      </c>
      <c r="AU30" s="128">
        <v>9.1660000000000005E-2</v>
      </c>
      <c r="AV30" s="128">
        <v>9.1660000000000005E-2</v>
      </c>
      <c r="AW30" s="1"/>
      <c r="AX30" s="78"/>
      <c r="AY30" s="1"/>
      <c r="AZ30" s="1"/>
      <c r="BA30" s="1"/>
      <c r="BB30" s="1"/>
    </row>
    <row r="31" spans="1:56" ht="15.75">
      <c r="A31" s="9"/>
      <c r="B31" s="12" t="s">
        <v>17</v>
      </c>
      <c r="E31" s="151">
        <v>1.372E-2</v>
      </c>
      <c r="F31" s="151">
        <v>1.372E-2</v>
      </c>
      <c r="G31" s="151">
        <v>1.372E-2</v>
      </c>
      <c r="H31" s="151">
        <v>1.372E-2</v>
      </c>
      <c r="I31" s="151">
        <v>1.372E-2</v>
      </c>
      <c r="J31" s="151">
        <v>1.372E-2</v>
      </c>
      <c r="K31" s="151">
        <v>1.372E-2</v>
      </c>
      <c r="L31" s="151">
        <v>1.372E-2</v>
      </c>
      <c r="M31" s="151">
        <v>1.372E-2</v>
      </c>
      <c r="N31" s="151">
        <v>1.372E-2</v>
      </c>
      <c r="O31" s="151" t="s">
        <v>160</v>
      </c>
      <c r="P31" s="151" t="s">
        <v>160</v>
      </c>
      <c r="Q31" s="151">
        <v>7.2489999999999999E-2</v>
      </c>
      <c r="R31" s="151">
        <v>7.2489999999999999E-2</v>
      </c>
      <c r="S31" s="151">
        <v>7.2489999999999999E-2</v>
      </c>
      <c r="T31" s="151">
        <v>7.2489999999999999E-2</v>
      </c>
      <c r="U31" s="151">
        <v>7.2489999999999999E-2</v>
      </c>
      <c r="V31" s="151">
        <v>7.2489999999999999E-2</v>
      </c>
      <c r="W31" s="151">
        <v>7.2489999999999999E-2</v>
      </c>
      <c r="X31" s="151">
        <v>7.2489999999999999E-2</v>
      </c>
      <c r="Y31" s="151">
        <v>7.2489999999999999E-2</v>
      </c>
      <c r="Z31" s="151">
        <v>7.2489999999999999E-2</v>
      </c>
      <c r="AA31" s="128" t="s">
        <v>160</v>
      </c>
      <c r="AB31" s="128" t="s">
        <v>160</v>
      </c>
      <c r="AC31" s="128">
        <v>7.4749999999999997E-2</v>
      </c>
      <c r="AD31" s="128">
        <v>7.4749999999999997E-2</v>
      </c>
      <c r="AE31" s="128">
        <v>7.4749999999999997E-2</v>
      </c>
      <c r="AF31" s="128">
        <v>7.4749999999999997E-2</v>
      </c>
      <c r="AG31" s="128">
        <v>7.4749999999999997E-2</v>
      </c>
      <c r="AH31" s="128">
        <v>7.4749999999999997E-2</v>
      </c>
      <c r="AI31" s="128">
        <v>7.4749999999999997E-2</v>
      </c>
      <c r="AJ31" s="128">
        <v>7.4749999999999997E-2</v>
      </c>
      <c r="AK31" s="128">
        <v>7.4749999999999997E-2</v>
      </c>
      <c r="AL31" s="128">
        <v>7.4749999999999997E-2</v>
      </c>
      <c r="AM31" s="128" t="s">
        <v>160</v>
      </c>
      <c r="AN31" s="128" t="s">
        <v>160</v>
      </c>
      <c r="AO31" s="128">
        <v>7.6249999999999998E-2</v>
      </c>
      <c r="AP31" s="128">
        <v>7.6249999999999998E-2</v>
      </c>
      <c r="AQ31" s="128">
        <v>7.6249999999999998E-2</v>
      </c>
      <c r="AR31" s="128">
        <v>7.6249999999999998E-2</v>
      </c>
      <c r="AS31" s="128">
        <v>7.6249999999999998E-2</v>
      </c>
      <c r="AT31" s="128">
        <v>7.6249999999999998E-2</v>
      </c>
      <c r="AU31" s="128">
        <v>7.6249999999999998E-2</v>
      </c>
      <c r="AV31" s="128">
        <v>7.6249999999999998E-2</v>
      </c>
    </row>
    <row r="32" spans="1:56" ht="15.75">
      <c r="A32" s="9"/>
      <c r="B32" s="12" t="s">
        <v>19</v>
      </c>
      <c r="E32" s="151">
        <v>-5.2900000000000004E-3</v>
      </c>
      <c r="F32" s="151">
        <v>-5.2900000000000004E-3</v>
      </c>
      <c r="G32" s="151">
        <v>-5.2900000000000004E-3</v>
      </c>
      <c r="H32" s="151">
        <v>-5.2900000000000004E-3</v>
      </c>
      <c r="I32" s="151">
        <v>-5.2900000000000004E-3</v>
      </c>
      <c r="J32" s="151">
        <v>-5.2900000000000004E-3</v>
      </c>
      <c r="K32" s="151">
        <v>-5.2900000000000004E-3</v>
      </c>
      <c r="L32" s="151">
        <v>-5.2900000000000004E-3</v>
      </c>
      <c r="M32" s="151">
        <v>-5.2900000000000004E-3</v>
      </c>
      <c r="N32" s="151">
        <v>-5.2900000000000004E-3</v>
      </c>
      <c r="O32" s="151" t="s">
        <v>160</v>
      </c>
      <c r="P32" s="151" t="s">
        <v>160</v>
      </c>
      <c r="Q32" s="151">
        <v>4.4479999999999999E-2</v>
      </c>
      <c r="R32" s="151">
        <v>4.4479999999999999E-2</v>
      </c>
      <c r="S32" s="151">
        <v>4.4479999999999999E-2</v>
      </c>
      <c r="T32" s="151">
        <v>4.4479999999999999E-2</v>
      </c>
      <c r="U32" s="151">
        <v>4.4479999999999999E-2</v>
      </c>
      <c r="V32" s="151">
        <v>4.4479999999999999E-2</v>
      </c>
      <c r="W32" s="151">
        <v>4.4479999999999999E-2</v>
      </c>
      <c r="X32" s="151">
        <v>4.4479999999999999E-2</v>
      </c>
      <c r="Y32" s="151">
        <v>4.4479999999999999E-2</v>
      </c>
      <c r="Z32" s="151">
        <v>4.4479999999999999E-2</v>
      </c>
      <c r="AA32" s="128" t="s">
        <v>160</v>
      </c>
      <c r="AB32" s="128" t="s">
        <v>160</v>
      </c>
      <c r="AC32" s="128">
        <v>4.7449999999999999E-2</v>
      </c>
      <c r="AD32" s="128">
        <v>4.7449999999999999E-2</v>
      </c>
      <c r="AE32" s="128">
        <v>4.7449999999999999E-2</v>
      </c>
      <c r="AF32" s="128">
        <v>4.7449999999999999E-2</v>
      </c>
      <c r="AG32" s="128">
        <v>4.7449999999999999E-2</v>
      </c>
      <c r="AH32" s="128">
        <v>4.7449999999999999E-2</v>
      </c>
      <c r="AI32" s="128">
        <v>4.7449999999999999E-2</v>
      </c>
      <c r="AJ32" s="128">
        <v>4.7449999999999999E-2</v>
      </c>
      <c r="AK32" s="128">
        <v>4.7449999999999999E-2</v>
      </c>
      <c r="AL32" s="128">
        <v>4.7449999999999999E-2</v>
      </c>
      <c r="AM32" s="128" t="s">
        <v>160</v>
      </c>
      <c r="AN32" s="128" t="s">
        <v>160</v>
      </c>
      <c r="AO32" s="128">
        <v>4.7800000000000002E-2</v>
      </c>
      <c r="AP32" s="128">
        <v>4.7800000000000002E-2</v>
      </c>
      <c r="AQ32" s="128">
        <v>4.7800000000000002E-2</v>
      </c>
      <c r="AR32" s="128">
        <v>4.7800000000000002E-2</v>
      </c>
      <c r="AS32" s="128">
        <v>4.7800000000000002E-2</v>
      </c>
      <c r="AT32" s="128">
        <v>4.7800000000000002E-2</v>
      </c>
      <c r="AU32" s="128">
        <v>4.7800000000000002E-2</v>
      </c>
      <c r="AV32" s="128">
        <v>4.7800000000000002E-2</v>
      </c>
    </row>
    <row r="33" spans="1:69" ht="16.5" thickBot="1">
      <c r="A33" s="9"/>
      <c r="B33" s="12" t="s">
        <v>21</v>
      </c>
      <c r="E33" s="151">
        <v>1.635E-2</v>
      </c>
      <c r="F33" s="151">
        <v>1.635E-2</v>
      </c>
      <c r="G33" s="151">
        <v>1.635E-2</v>
      </c>
      <c r="H33" s="151">
        <v>1.635E-2</v>
      </c>
      <c r="I33" s="151">
        <v>1.635E-2</v>
      </c>
      <c r="J33" s="151">
        <v>1.635E-2</v>
      </c>
      <c r="K33" s="151">
        <v>1.635E-2</v>
      </c>
      <c r="L33" s="151">
        <v>1.635E-2</v>
      </c>
      <c r="M33" s="151">
        <v>1.635E-2</v>
      </c>
      <c r="N33" s="151">
        <v>1.635E-2</v>
      </c>
      <c r="O33" s="151" t="s">
        <v>160</v>
      </c>
      <c r="P33" s="151" t="s">
        <v>160</v>
      </c>
      <c r="Q33" s="151">
        <v>8.8340000000000002E-2</v>
      </c>
      <c r="R33" s="151">
        <v>8.8340000000000002E-2</v>
      </c>
      <c r="S33" s="151">
        <v>8.8340000000000002E-2</v>
      </c>
      <c r="T33" s="151">
        <v>8.8340000000000002E-2</v>
      </c>
      <c r="U33" s="151">
        <v>8.8340000000000002E-2</v>
      </c>
      <c r="V33" s="151">
        <v>8.8340000000000002E-2</v>
      </c>
      <c r="W33" s="151">
        <v>8.8340000000000002E-2</v>
      </c>
      <c r="X33" s="151">
        <v>8.8340000000000002E-2</v>
      </c>
      <c r="Y33" s="151">
        <v>8.8340000000000002E-2</v>
      </c>
      <c r="Z33" s="151">
        <v>8.8340000000000002E-2</v>
      </c>
      <c r="AA33" s="128" t="s">
        <v>160</v>
      </c>
      <c r="AB33" s="128" t="s">
        <v>160</v>
      </c>
      <c r="AC33" s="128" t="s">
        <v>172</v>
      </c>
      <c r="AD33" s="128" t="s">
        <v>172</v>
      </c>
      <c r="AE33" s="128" t="s">
        <v>172</v>
      </c>
      <c r="AF33" s="128" t="s">
        <v>172</v>
      </c>
      <c r="AG33" s="128" t="s">
        <v>172</v>
      </c>
      <c r="AH33" s="128" t="s">
        <v>172</v>
      </c>
      <c r="AI33" s="128" t="s">
        <v>172</v>
      </c>
      <c r="AJ33" s="128" t="s">
        <v>172</v>
      </c>
      <c r="AK33" s="128" t="s">
        <v>172</v>
      </c>
      <c r="AL33" s="128" t="s">
        <v>172</v>
      </c>
      <c r="AM33" s="128" t="s">
        <v>160</v>
      </c>
      <c r="AN33" s="128" t="s">
        <v>160</v>
      </c>
      <c r="AO33" s="128" t="s">
        <v>172</v>
      </c>
      <c r="AP33" s="128" t="s">
        <v>172</v>
      </c>
      <c r="AQ33" s="128" t="s">
        <v>172</v>
      </c>
      <c r="AR33" s="128" t="s">
        <v>172</v>
      </c>
      <c r="AS33" s="128" t="s">
        <v>172</v>
      </c>
      <c r="AT33" s="128" t="s">
        <v>172</v>
      </c>
      <c r="AU33" s="128" t="s">
        <v>172</v>
      </c>
      <c r="AV33" s="128" t="s">
        <v>172</v>
      </c>
    </row>
    <row r="34" spans="1:69" ht="16.5" thickBot="1">
      <c r="A34" s="9"/>
      <c r="B34" s="12" t="s">
        <v>37</v>
      </c>
      <c r="E34" s="151">
        <v>0</v>
      </c>
      <c r="F34" s="151">
        <v>0</v>
      </c>
      <c r="G34" s="151">
        <v>0</v>
      </c>
      <c r="H34" s="151">
        <v>0</v>
      </c>
      <c r="I34" s="151">
        <v>0</v>
      </c>
      <c r="J34" s="151">
        <v>0</v>
      </c>
      <c r="K34" s="151">
        <v>0</v>
      </c>
      <c r="L34" s="151">
        <v>0</v>
      </c>
      <c r="M34" s="151">
        <v>0</v>
      </c>
      <c r="N34" s="151">
        <v>0</v>
      </c>
      <c r="O34" s="151" t="s">
        <v>160</v>
      </c>
      <c r="P34" s="151" t="s">
        <v>160</v>
      </c>
      <c r="Q34" s="151">
        <v>0</v>
      </c>
      <c r="R34" s="151">
        <v>0</v>
      </c>
      <c r="S34" s="151">
        <v>0</v>
      </c>
      <c r="T34" s="151">
        <v>0</v>
      </c>
      <c r="U34" s="151">
        <v>0</v>
      </c>
      <c r="V34" s="151">
        <v>0</v>
      </c>
      <c r="W34" s="151">
        <v>0</v>
      </c>
      <c r="X34" s="151">
        <v>0</v>
      </c>
      <c r="Y34" s="151">
        <v>0</v>
      </c>
      <c r="Z34" s="151">
        <v>0</v>
      </c>
      <c r="AA34" s="128" t="s">
        <v>160</v>
      </c>
      <c r="AB34" s="128" t="s">
        <v>160</v>
      </c>
      <c r="AC34" s="128" t="s">
        <v>172</v>
      </c>
      <c r="AD34" s="128" t="s">
        <v>172</v>
      </c>
      <c r="AE34" s="128" t="s">
        <v>172</v>
      </c>
      <c r="AF34" s="128" t="s">
        <v>172</v>
      </c>
      <c r="AG34" s="128" t="s">
        <v>172</v>
      </c>
      <c r="AH34" s="128" t="s">
        <v>172</v>
      </c>
      <c r="AI34" s="128" t="s">
        <v>172</v>
      </c>
      <c r="AJ34" s="128" t="s">
        <v>172</v>
      </c>
      <c r="AK34" s="128" t="s">
        <v>172</v>
      </c>
      <c r="AL34" s="128" t="s">
        <v>172</v>
      </c>
      <c r="AM34" s="128" t="s">
        <v>160</v>
      </c>
      <c r="AN34" s="128" t="s">
        <v>160</v>
      </c>
      <c r="AO34" s="128" t="s">
        <v>172</v>
      </c>
      <c r="AP34" s="128" t="s">
        <v>172</v>
      </c>
      <c r="AQ34" s="128" t="s">
        <v>172</v>
      </c>
      <c r="AR34" s="128" t="s">
        <v>172</v>
      </c>
      <c r="AS34" s="128" t="s">
        <v>172</v>
      </c>
      <c r="AT34" s="128" t="s">
        <v>172</v>
      </c>
      <c r="AU34" s="128" t="s">
        <v>172</v>
      </c>
      <c r="AV34" s="128" t="s">
        <v>172</v>
      </c>
      <c r="AW34" s="152">
        <f>AW4</f>
        <v>201907</v>
      </c>
      <c r="AX34" s="141"/>
      <c r="AY34" s="33"/>
      <c r="AZ34" s="33"/>
      <c r="BA34" s="33"/>
      <c r="BB34" s="77"/>
    </row>
    <row r="35" spans="1:69" ht="15.75">
      <c r="A35" s="9" t="s">
        <v>143</v>
      </c>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32" t="s">
        <v>148</v>
      </c>
      <c r="AX35" s="141">
        <v>419600</v>
      </c>
      <c r="AY35" s="33" t="s">
        <v>141</v>
      </c>
      <c r="AZ35" s="33" t="s">
        <v>142</v>
      </c>
      <c r="BA35" s="104">
        <v>0</v>
      </c>
      <c r="BB35" s="105">
        <f>IF(SUMIF(E3:AV3,AW4,E40:AV40)&gt;0,SUMIF(E3:AV3,AW4,E40:AV40),0)</f>
        <v>3063.5418443962126</v>
      </c>
      <c r="BD35" s="97" t="str">
        <f>_xll.GLW_Segment_Description(AX35,2,2)</f>
        <v>INTEREST ON ENERGY DEFERRALS</v>
      </c>
    </row>
    <row r="36" spans="1:69" s="9" customFormat="1" ht="15.75">
      <c r="A36" s="123">
        <v>191000</v>
      </c>
      <c r="B36" s="29" t="s">
        <v>127</v>
      </c>
      <c r="C36" s="138" t="s">
        <v>123</v>
      </c>
      <c r="D36" s="139" t="s">
        <v>124</v>
      </c>
      <c r="E36" s="123">
        <v>201601</v>
      </c>
      <c r="F36" s="123">
        <f>E36+1</f>
        <v>201602</v>
      </c>
      <c r="G36" s="123">
        <f t="shared" ref="G36:P36" si="83">F36+1</f>
        <v>201603</v>
      </c>
      <c r="H36" s="123">
        <f t="shared" si="83"/>
        <v>201604</v>
      </c>
      <c r="I36" s="123">
        <f t="shared" si="83"/>
        <v>201605</v>
      </c>
      <c r="J36" s="123">
        <f t="shared" si="83"/>
        <v>201606</v>
      </c>
      <c r="K36" s="123">
        <f t="shared" si="83"/>
        <v>201607</v>
      </c>
      <c r="L36" s="123">
        <f t="shared" si="83"/>
        <v>201608</v>
      </c>
      <c r="M36" s="123">
        <f t="shared" si="83"/>
        <v>201609</v>
      </c>
      <c r="N36" s="123">
        <f t="shared" si="83"/>
        <v>201610</v>
      </c>
      <c r="O36" s="123">
        <f t="shared" si="83"/>
        <v>201611</v>
      </c>
      <c r="P36" s="123">
        <f t="shared" si="83"/>
        <v>201612</v>
      </c>
      <c r="Q36" s="123">
        <f>Q3</f>
        <v>201701</v>
      </c>
      <c r="R36" s="123">
        <f>Q36+1</f>
        <v>201702</v>
      </c>
      <c r="S36" s="123">
        <f t="shared" ref="S36" si="84">R36+1</f>
        <v>201703</v>
      </c>
      <c r="T36" s="123">
        <f t="shared" ref="T36" si="85">S36+1</f>
        <v>201704</v>
      </c>
      <c r="U36" s="123">
        <f t="shared" ref="U36" si="86">T36+1</f>
        <v>201705</v>
      </c>
      <c r="V36" s="123">
        <f t="shared" ref="V36" si="87">U36+1</f>
        <v>201706</v>
      </c>
      <c r="W36" s="123">
        <f t="shared" ref="W36" si="88">V36+1</f>
        <v>201707</v>
      </c>
      <c r="X36" s="123">
        <f t="shared" ref="X36" si="89">W36+1</f>
        <v>201708</v>
      </c>
      <c r="Y36" s="123">
        <f t="shared" ref="Y36" si="90">X36+1</f>
        <v>201709</v>
      </c>
      <c r="Z36" s="123">
        <f t="shared" ref="Z36" si="91">Y36+1</f>
        <v>201710</v>
      </c>
      <c r="AA36" s="123">
        <f t="shared" ref="AA36" si="92">Z36+1</f>
        <v>201711</v>
      </c>
      <c r="AB36" s="123">
        <f t="shared" ref="AB36" si="93">AA36+1</f>
        <v>201712</v>
      </c>
      <c r="AC36" s="123">
        <f t="shared" ref="AC36:AE37" si="94">AC3</f>
        <v>201801</v>
      </c>
      <c r="AD36" s="123">
        <f t="shared" si="94"/>
        <v>201802</v>
      </c>
      <c r="AE36" s="123">
        <f t="shared" si="94"/>
        <v>201803</v>
      </c>
      <c r="AF36" s="123">
        <f>AF3</f>
        <v>201804</v>
      </c>
      <c r="AG36" s="123">
        <f t="shared" ref="AG36" si="95">AG3</f>
        <v>201805</v>
      </c>
      <c r="AH36" s="123">
        <f t="shared" ref="AH36:AL36" si="96">AH3</f>
        <v>201806</v>
      </c>
      <c r="AI36" s="123">
        <f t="shared" si="96"/>
        <v>201807</v>
      </c>
      <c r="AJ36" s="123">
        <f t="shared" si="96"/>
        <v>201808</v>
      </c>
      <c r="AK36" s="123">
        <f t="shared" si="96"/>
        <v>201809</v>
      </c>
      <c r="AL36" s="123">
        <f t="shared" si="96"/>
        <v>201810</v>
      </c>
      <c r="AM36" s="123">
        <f>AM3</f>
        <v>201811</v>
      </c>
      <c r="AN36" s="123">
        <f t="shared" ref="AN36:AO36" si="97">AN3</f>
        <v>201812</v>
      </c>
      <c r="AO36" s="123">
        <f t="shared" si="97"/>
        <v>201901</v>
      </c>
      <c r="AP36" s="123">
        <f t="shared" ref="AP36:AQ36" si="98">AP3</f>
        <v>201902</v>
      </c>
      <c r="AQ36" s="123">
        <f t="shared" si="98"/>
        <v>201903</v>
      </c>
      <c r="AR36" s="123">
        <f t="shared" ref="AR36:AS36" si="99">AR3</f>
        <v>201904</v>
      </c>
      <c r="AS36" s="123">
        <f t="shared" si="99"/>
        <v>201905</v>
      </c>
      <c r="AT36" s="129" t="str">
        <f t="shared" ref="AT36:AU36" si="100">AT3</f>
        <v>201905 Revised</v>
      </c>
      <c r="AU36" s="129">
        <f t="shared" si="100"/>
        <v>201906</v>
      </c>
      <c r="AV36" s="129">
        <f t="shared" ref="AV36" si="101">AV3</f>
        <v>201907</v>
      </c>
      <c r="AW36" s="34" t="s">
        <v>149</v>
      </c>
      <c r="AX36" s="78">
        <v>431600</v>
      </c>
      <c r="AY36" s="1" t="s">
        <v>141</v>
      </c>
      <c r="AZ36" s="1" t="s">
        <v>142</v>
      </c>
      <c r="BA36" s="106">
        <f>IF(SUMIF(E36:AV36,AW34,E40:AV40)&lt;0,-SUMIF(E36:AV36,AW34,E40:AV40),0)</f>
        <v>0</v>
      </c>
      <c r="BB36" s="101">
        <v>0</v>
      </c>
      <c r="BD36" s="97" t="str">
        <f>_xll.GLW_Segment_Description(AX36,2,2)</f>
        <v>INTEREST EXPENSE ENERGY DEFERRALS</v>
      </c>
    </row>
    <row r="37" spans="1:69" s="9" customFormat="1" ht="15.75">
      <c r="B37" s="29" t="s">
        <v>128</v>
      </c>
      <c r="C37" s="97"/>
      <c r="E37" s="119">
        <v>3.2500000000000001E-2</v>
      </c>
      <c r="F37" s="119">
        <v>3.2500000000000001E-2</v>
      </c>
      <c r="G37" s="119">
        <v>3.2500000000000001E-2</v>
      </c>
      <c r="H37" s="119">
        <v>3.4599999999999999E-2</v>
      </c>
      <c r="I37" s="119">
        <v>3.4599999999999999E-2</v>
      </c>
      <c r="J37" s="119">
        <v>3.4599999999999999E-2</v>
      </c>
      <c r="K37" s="119">
        <v>3.5000000000000003E-2</v>
      </c>
      <c r="L37" s="119">
        <v>3.5000000000000003E-2</v>
      </c>
      <c r="M37" s="119">
        <v>3.5000000000000003E-2</v>
      </c>
      <c r="N37" s="119">
        <v>3.5000000000000003E-2</v>
      </c>
      <c r="O37" s="119">
        <v>3.5000000000000003E-2</v>
      </c>
      <c r="P37" s="119">
        <v>3.5000000000000003E-2</v>
      </c>
      <c r="Q37" s="119">
        <v>3.5000000000000003E-2</v>
      </c>
      <c r="R37" s="119">
        <v>3.5000000000000003E-2</v>
      </c>
      <c r="S37" s="119">
        <v>3.5000000000000003E-2</v>
      </c>
      <c r="T37" s="119">
        <v>3.7100000000000001E-2</v>
      </c>
      <c r="U37" s="119">
        <v>3.7100000000000001E-2</v>
      </c>
      <c r="V37" s="119">
        <v>3.7100000000000001E-2</v>
      </c>
      <c r="W37" s="119">
        <v>3.9600000000000003E-2</v>
      </c>
      <c r="X37" s="119">
        <v>3.9600000000000003E-2</v>
      </c>
      <c r="Y37" s="119">
        <v>3.9600000000000003E-2</v>
      </c>
      <c r="Z37" s="119">
        <v>4.2099999999999999E-2</v>
      </c>
      <c r="AA37" s="119">
        <v>4.2099999999999999E-2</v>
      </c>
      <c r="AB37" s="119">
        <v>4.2099999999999999E-2</v>
      </c>
      <c r="AC37" s="119">
        <f t="shared" si="94"/>
        <v>4.2500000000000003E-2</v>
      </c>
      <c r="AD37" s="119">
        <f t="shared" si="94"/>
        <v>4.2500000000000003E-2</v>
      </c>
      <c r="AE37" s="119">
        <f t="shared" si="94"/>
        <v>4.2500000000000003E-2</v>
      </c>
      <c r="AF37" s="119">
        <f>AF4</f>
        <v>4.4699999999999997E-2</v>
      </c>
      <c r="AG37" s="119">
        <f t="shared" ref="AG37" si="102">AG4</f>
        <v>4.4699999999999997E-2</v>
      </c>
      <c r="AH37" s="119">
        <f t="shared" ref="AH37:AK37" si="103">AH4</f>
        <v>4.4699999999999997E-2</v>
      </c>
      <c r="AI37" s="119">
        <f t="shared" si="103"/>
        <v>4.6899999999999997E-2</v>
      </c>
      <c r="AJ37" s="119">
        <f t="shared" si="103"/>
        <v>4.6899999999999997E-2</v>
      </c>
      <c r="AK37" s="119">
        <f t="shared" si="103"/>
        <v>4.6899999999999997E-2</v>
      </c>
      <c r="AL37" s="119">
        <f>AL4</f>
        <v>4.9599999999999998E-2</v>
      </c>
      <c r="AM37" s="119">
        <f>AM4</f>
        <v>4.9599999999999998E-2</v>
      </c>
      <c r="AN37" s="119">
        <f t="shared" ref="AN37:AO37" si="104">AN4</f>
        <v>4.9599999999999998E-2</v>
      </c>
      <c r="AO37" s="119">
        <f t="shared" si="104"/>
        <v>5.1799999999999999E-2</v>
      </c>
      <c r="AP37" s="119">
        <f t="shared" ref="AP37" si="105">AP4</f>
        <v>5.1799999999999999E-2</v>
      </c>
      <c r="AQ37" s="119">
        <f t="shared" ref="AQ37:AV37" si="106">AQ4</f>
        <v>5.1799999999999999E-2</v>
      </c>
      <c r="AR37" s="119">
        <f t="shared" si="106"/>
        <v>5.45E-2</v>
      </c>
      <c r="AS37" s="119">
        <f t="shared" si="106"/>
        <v>5.45E-2</v>
      </c>
      <c r="AT37" s="119">
        <f t="shared" si="106"/>
        <v>5.45E-2</v>
      </c>
      <c r="AU37" s="119">
        <f t="shared" si="106"/>
        <v>5.45E-2</v>
      </c>
      <c r="AV37" s="119">
        <f t="shared" si="106"/>
        <v>5.5E-2</v>
      </c>
      <c r="AW37" s="34" t="s">
        <v>150</v>
      </c>
      <c r="AX37" s="78">
        <v>191000</v>
      </c>
      <c r="AY37" s="1" t="s">
        <v>141</v>
      </c>
      <c r="AZ37" s="1" t="s">
        <v>142</v>
      </c>
      <c r="BA37" s="106">
        <f>IF((SUMIF(E36:AV36,AW34,E39:AV39)+SUMIF(E36:AV36,AW34,E40:AV40))&gt;0,(SUMIF(E36:AV36,AW34,E39:AV39)+SUMIF(E36:AV36,AW34,E40:AV40)),0)</f>
        <v>367432.04074439622</v>
      </c>
      <c r="BB37" s="101">
        <f>IF((SUMIF(E36:AV36,AW34,E39:AV39)+SUMIF(E36:AV36,AW34,E40:AV40))&lt;0,-(SUMIF(E36:AV36,AW34,E39:AV39)+SUMIF(E36:AV36,AW34,E40:AV40)),0)</f>
        <v>0</v>
      </c>
      <c r="BD37" s="97" t="str">
        <f>_xll.GLW_Segment_Description(AX37,2,2)</f>
        <v>RECOVERABLE GAS COSTS AMORTIZED</v>
      </c>
    </row>
    <row r="38" spans="1:69" ht="15.75">
      <c r="A38" s="117"/>
      <c r="B38" s="12" t="s">
        <v>125</v>
      </c>
      <c r="D38" s="97">
        <f>E38</f>
        <v>-2400830.7877258095</v>
      </c>
      <c r="E38" s="97">
        <v>-2400830.7877258095</v>
      </c>
      <c r="F38" s="97">
        <f t="shared" ref="F38" si="107">E43</f>
        <v>-1799942.4443073752</v>
      </c>
      <c r="G38" s="97">
        <f t="shared" ref="G38" si="108">F43</f>
        <v>-1367080.388300563</v>
      </c>
      <c r="H38" s="97">
        <f t="shared" ref="H38" si="109">G43</f>
        <v>-991269.16134300514</v>
      </c>
      <c r="I38" s="97">
        <f t="shared" ref="I38" si="110">H43</f>
        <v>-820633.96798459429</v>
      </c>
      <c r="J38" s="97">
        <f>I43</f>
        <v>-706831.28344430251</v>
      </c>
      <c r="K38" s="97">
        <f t="shared" ref="K38" si="111">J43</f>
        <v>-615740.82707996247</v>
      </c>
      <c r="L38" s="97">
        <f t="shared" ref="L38" si="112">K43</f>
        <v>-539081.43298013532</v>
      </c>
      <c r="M38" s="97">
        <f t="shared" ref="M38:R38" si="113">L43</f>
        <v>-459570.5002163836</v>
      </c>
      <c r="N38" s="97">
        <f t="shared" si="113"/>
        <v>-353667.8760235564</v>
      </c>
      <c r="O38" s="97">
        <f t="shared" si="113"/>
        <v>-123445.19123732927</v>
      </c>
      <c r="P38" s="97">
        <f t="shared" si="113"/>
        <v>-12794629.54065969</v>
      </c>
      <c r="Q38" s="97">
        <f>P43</f>
        <v>-9990002.7430699486</v>
      </c>
      <c r="R38" s="97">
        <f t="shared" si="113"/>
        <v>-6863930.3518781429</v>
      </c>
      <c r="S38" s="97">
        <f>R43</f>
        <v>-4576506.6383892084</v>
      </c>
      <c r="T38" s="97">
        <f t="shared" ref="T38" si="114">S43</f>
        <v>-2850780.7220049934</v>
      </c>
      <c r="U38" s="97">
        <f t="shared" ref="U38" si="115">T43</f>
        <v>-1667508.1164393995</v>
      </c>
      <c r="V38" s="97">
        <f>U43</f>
        <v>-1028322.8285985981</v>
      </c>
      <c r="W38" s="97">
        <f t="shared" ref="W38" si="116">V43</f>
        <v>-648348.69566836057</v>
      </c>
      <c r="X38" s="97">
        <f t="shared" ref="X38:AB38" si="117">W43</f>
        <v>-342730.3402196177</v>
      </c>
      <c r="Y38" s="97">
        <f t="shared" si="117"/>
        <v>-33149.237686728884</v>
      </c>
      <c r="Z38" s="97">
        <f t="shared" si="117"/>
        <v>429057.38532247738</v>
      </c>
      <c r="AA38" s="97">
        <f t="shared" si="117"/>
        <v>1518525.1996199901</v>
      </c>
      <c r="AB38" s="97">
        <f t="shared" si="117"/>
        <v>-11530857.691050928</v>
      </c>
      <c r="AC38" s="97">
        <f t="shared" ref="AC38:AG38" si="118">AB43</f>
        <v>-8772939.4477731995</v>
      </c>
      <c r="AD38" s="97">
        <f t="shared" si="118"/>
        <v>-6449815.9068760211</v>
      </c>
      <c r="AE38" s="97">
        <f t="shared" si="118"/>
        <v>-4259121.6475951439</v>
      </c>
      <c r="AF38" s="97">
        <f t="shared" si="118"/>
        <v>-2403721.0782025773</v>
      </c>
      <c r="AG38" s="97">
        <f t="shared" si="118"/>
        <v>-1190951.9274032866</v>
      </c>
      <c r="AH38" s="97">
        <f t="shared" ref="AH38:AL38" si="119">AG43</f>
        <v>-719753.16900029394</v>
      </c>
      <c r="AI38" s="97">
        <f t="shared" si="119"/>
        <v>-324062.29737981706</v>
      </c>
      <c r="AJ38" s="97">
        <f t="shared" si="119"/>
        <v>6085.9211845684895</v>
      </c>
      <c r="AK38" s="97">
        <f>AJ43</f>
        <v>340942.68942091474</v>
      </c>
      <c r="AL38" s="97">
        <f t="shared" si="119"/>
        <v>782436.83885088074</v>
      </c>
      <c r="AM38" s="97">
        <f t="shared" ref="AM38:AR38" si="120">AL43</f>
        <v>1843136.8387223349</v>
      </c>
      <c r="AN38" s="97">
        <f t="shared" si="120"/>
        <v>-11755837.766428944</v>
      </c>
      <c r="AO38" s="97">
        <f t="shared" si="120"/>
        <v>-9086016.0967968497</v>
      </c>
      <c r="AP38" s="97">
        <f t="shared" si="120"/>
        <v>-6674123.8801444955</v>
      </c>
      <c r="AQ38" s="97">
        <f t="shared" si="120"/>
        <v>-3857211.0440841522</v>
      </c>
      <c r="AR38" s="97">
        <f t="shared" si="120"/>
        <v>-1647698.9578796327</v>
      </c>
      <c r="AS38" s="97">
        <f>AR43</f>
        <v>-505685.64744582976</v>
      </c>
      <c r="AT38" s="97">
        <f>AR43</f>
        <v>-505685.64744582976</v>
      </c>
      <c r="AU38" s="97">
        <f>AT43</f>
        <v>76360.607610460313</v>
      </c>
      <c r="AV38" s="97">
        <f>AU43</f>
        <v>486224.88023644633</v>
      </c>
      <c r="AW38" s="34" t="s">
        <v>151</v>
      </c>
      <c r="AX38" s="78">
        <v>805110</v>
      </c>
      <c r="AY38" s="1" t="s">
        <v>141</v>
      </c>
      <c r="AZ38" s="1" t="s">
        <v>142</v>
      </c>
      <c r="BA38" s="106">
        <f>IF((SUMIF(E36:AV36,AW34,E39:AV39))&lt;0,-(SUMIF(E36:AV36,AW34,E39:AV39)),0)</f>
        <v>0</v>
      </c>
      <c r="BB38" s="101">
        <f>IF((SUMIF(E36:AV36,AW34,E39:AV39))&gt;0,(SUMIF(E36:AV36,AW34,E39:AV39)),0)</f>
        <v>364368.49890000001</v>
      </c>
      <c r="BD38" s="97" t="str">
        <f>_xll.GLW_Segment_Description(AX38,2,2)</f>
        <v>AMORTIZE RECOVERABLE GAS COSTS</v>
      </c>
      <c r="BJ38" s="9"/>
      <c r="BK38" s="9"/>
      <c r="BL38" s="9"/>
      <c r="BM38" s="9"/>
      <c r="BN38" s="9"/>
      <c r="BO38" s="9"/>
      <c r="BP38" s="9"/>
      <c r="BQ38" s="9"/>
    </row>
    <row r="39" spans="1:69" ht="15.75">
      <c r="B39" s="12" t="s">
        <v>8</v>
      </c>
      <c r="C39" s="97">
        <f>SUM(Q39:AB39)</f>
        <v>16000586.827369999</v>
      </c>
      <c r="D39" s="153">
        <f>SUM(E39:AB39)</f>
        <v>22501687.655719999</v>
      </c>
      <c r="E39" s="97">
        <v>606569.19767999998</v>
      </c>
      <c r="F39" s="97">
        <v>437144.93303000001</v>
      </c>
      <c r="G39" s="97">
        <v>379000.50648999994</v>
      </c>
      <c r="H39" s="97">
        <v>173243.59325999999</v>
      </c>
      <c r="I39" s="97">
        <v>116001.61016</v>
      </c>
      <c r="J39" s="97">
        <v>92994.419610000012</v>
      </c>
      <c r="K39" s="97">
        <v>78341.057469999985</v>
      </c>
      <c r="L39" s="97">
        <v>80965.179390000005</v>
      </c>
      <c r="M39" s="97">
        <v>107086.8698</v>
      </c>
      <c r="N39" s="97">
        <v>230917.46145999999</v>
      </c>
      <c r="O39" s="97">
        <v>1361030</v>
      </c>
      <c r="P39" s="97">
        <f>2837806</f>
        <v>2837806</v>
      </c>
      <c r="Q39" s="97">
        <f t="shared" ref="Q39:Z39" si="121">SUMPRODUCT(Q19:Q24,Q29:Q34)</f>
        <v>3150615.2519499999</v>
      </c>
      <c r="R39" s="97">
        <f>SUMPRODUCT(R19:R24,R29:R34)</f>
        <v>2304083.3887400003</v>
      </c>
      <c r="S39" s="97">
        <f t="shared" si="121"/>
        <v>1736541.60424</v>
      </c>
      <c r="T39" s="97">
        <f t="shared" si="121"/>
        <v>1190246.3468200001</v>
      </c>
      <c r="U39" s="97">
        <f t="shared" si="121"/>
        <v>643346.16116000002</v>
      </c>
      <c r="V39" s="97">
        <f t="shared" si="121"/>
        <v>382561.98726999998</v>
      </c>
      <c r="W39" s="97">
        <f t="shared" si="121"/>
        <v>307250.94208999997</v>
      </c>
      <c r="X39" s="97">
        <f t="shared" si="121"/>
        <v>310200.28219000006</v>
      </c>
      <c r="Y39" s="97">
        <f t="shared" si="121"/>
        <v>461554.45064999996</v>
      </c>
      <c r="Z39" s="97">
        <f t="shared" si="121"/>
        <v>1086057.4122600001</v>
      </c>
      <c r="AA39" s="97">
        <v>1765228</v>
      </c>
      <c r="AB39" s="97">
        <v>2662901</v>
      </c>
      <c r="AC39" s="97">
        <f>SUMPRODUCT(AC19:AC24,AC29:AC34)</f>
        <v>2350032.8516000002</v>
      </c>
      <c r="AD39" s="97">
        <f t="shared" ref="AD39:AG39" si="122">SUMPRODUCT(AD19:AD24,AD29:AD34)</f>
        <v>2209994.9905999997</v>
      </c>
      <c r="AE39" s="97">
        <f t="shared" si="122"/>
        <v>1867178.4966399998</v>
      </c>
      <c r="AF39" s="97">
        <f t="shared" si="122"/>
        <v>1219451.78287</v>
      </c>
      <c r="AG39" s="97">
        <f t="shared" si="122"/>
        <v>474750.83091000002</v>
      </c>
      <c r="AH39" s="97">
        <f t="shared" ref="AH39:AI39" si="123">SUMPRODUCT(AH19:AH24,AH29:AH34)</f>
        <v>397631.36375999998</v>
      </c>
      <c r="AI39" s="97">
        <f t="shared" si="123"/>
        <v>330768.38548999996</v>
      </c>
      <c r="AJ39" s="97">
        <f>SUMPRODUCT(AJ19:AJ24,AJ29:AJ34)</f>
        <v>334179.93913000001</v>
      </c>
      <c r="AK39" s="97">
        <f>SUMPRODUCT(AK19:AK24,AK29:AK34)</f>
        <v>439303.16016000003</v>
      </c>
      <c r="AL39" s="97">
        <f>SUMPRODUCT(AL19:AL24,AL29:AL34)</f>
        <v>1055285.00526</v>
      </c>
      <c r="AM39" s="97">
        <v>1880095</v>
      </c>
      <c r="AN39" s="97">
        <v>2712806</v>
      </c>
      <c r="AO39" s="97">
        <f t="shared" ref="AO39:AT39" si="124">SUMPRODUCT(AO19:AO24,AO29:AO34)</f>
        <v>2445834.5931400005</v>
      </c>
      <c r="AP39" s="97">
        <f t="shared" si="124"/>
        <v>2839594.0137299998</v>
      </c>
      <c r="AQ39" s="97">
        <f t="shared" si="124"/>
        <v>2221367.9281000001</v>
      </c>
      <c r="AR39" s="97">
        <f t="shared" si="124"/>
        <v>1146892.2088100002</v>
      </c>
      <c r="AS39" s="97">
        <f t="shared" si="124"/>
        <v>583018.9717900001</v>
      </c>
      <c r="AT39" s="97">
        <f t="shared" si="124"/>
        <v>583018.9717900001</v>
      </c>
      <c r="AU39" s="97">
        <f>SUMPRODUCT(AU19:AU24,AU29:AU34)</f>
        <v>408589.62925</v>
      </c>
      <c r="AV39" s="97">
        <f>SUMPRODUCT(AV19:AV24,AV29:AV34)</f>
        <v>364368.49890000001</v>
      </c>
      <c r="AW39" s="34" t="s">
        <v>93</v>
      </c>
      <c r="AX39" s="78">
        <f>AX37</f>
        <v>191000</v>
      </c>
      <c r="AY39" s="78" t="str">
        <f t="shared" ref="AY39:AZ39" si="125">AY37</f>
        <v>GD</v>
      </c>
      <c r="AZ39" s="78" t="str">
        <f t="shared" si="125"/>
        <v>WA</v>
      </c>
      <c r="BA39" s="106">
        <v>0</v>
      </c>
      <c r="BB39" s="101">
        <f>-IF(SUMIF(E36:AV36,AW34,E42:AV42)&lt;0,SUMIF(E36:AV36,AW34,E42:AV42),0)</f>
        <v>0</v>
      </c>
      <c r="BD39" s="97" t="str">
        <f>_xll.GLW_Segment_Description(AX39,2,2)</f>
        <v>RECOVERABLE GAS COSTS AMORTIZED</v>
      </c>
      <c r="BJ39" s="9"/>
      <c r="BK39" s="9"/>
      <c r="BL39" s="9"/>
      <c r="BM39" s="9"/>
      <c r="BN39" s="9"/>
      <c r="BO39" s="9"/>
      <c r="BP39" s="9"/>
      <c r="BQ39" s="9"/>
    </row>
    <row r="40" spans="1:69" ht="16.5" thickBot="1">
      <c r="B40" s="12" t="s">
        <v>2</v>
      </c>
      <c r="C40" s="97">
        <f>SUM(Q40:AB40)</f>
        <v>-142882.10207324801</v>
      </c>
      <c r="D40" s="97">
        <f>SUM(E40:AB40)</f>
        <v>-240404.19576738396</v>
      </c>
      <c r="E40" s="120">
        <v>-5680.8542615657343</v>
      </c>
      <c r="F40" s="120">
        <v>-4282.8770231876824</v>
      </c>
      <c r="G40" s="120">
        <v>-3189.27953244215</v>
      </c>
      <c r="H40" s="120">
        <v>-2608.3999015891645</v>
      </c>
      <c r="I40" s="120">
        <v>-2198.9256197082468</v>
      </c>
      <c r="J40" s="120">
        <v>-1903.9632456599886</v>
      </c>
      <c r="K40" s="120">
        <v>-1681.6633701728074</v>
      </c>
      <c r="L40" s="120">
        <v>-1454.2466262483115</v>
      </c>
      <c r="M40" s="120">
        <v>-1184.2456071727854</v>
      </c>
      <c r="N40" s="120">
        <v>-694.77667377287275</v>
      </c>
      <c r="O40" s="120">
        <f>((O38+O41)*(O37/12))+(((O39+O42)/2)*(O37/12))</f>
        <v>-39463.659422358884</v>
      </c>
      <c r="P40" s="120">
        <f t="shared" ref="P40:T40" si="126">((P38+P41)*(P37/12))+(((P39+P42)/2)*(P37/12))</f>
        <v>-33179.202410257429</v>
      </c>
      <c r="Q40" s="120">
        <f>((Q38+Q41)*(Q37/12))+(((Q39+Q42)/2)*(Q37/12))</f>
        <v>-24542.860758193601</v>
      </c>
      <c r="R40" s="120">
        <f t="shared" si="126"/>
        <v>-16659.675251065419</v>
      </c>
      <c r="S40" s="120">
        <f t="shared" si="126"/>
        <v>-10815.687855785192</v>
      </c>
      <c r="T40" s="120">
        <f t="shared" si="126"/>
        <v>-6973.7412544061872</v>
      </c>
      <c r="U40" s="120">
        <f>((U38+U41)*(U37/12))+(((U39+U42)/2)*(U37/12))</f>
        <v>-4160.873319198643</v>
      </c>
      <c r="V40" s="120">
        <f>((V38+V41)*(V37/12))+(((V39+V42)/2)*(V37/12))</f>
        <v>-2587.8543397624576</v>
      </c>
      <c r="W40" s="120">
        <f t="shared" ref="W40" si="127">((W38+W41)*(W37/12))+(((W39+W42)/2)*(W37/12))</f>
        <v>-1632.5866412570899</v>
      </c>
      <c r="X40" s="120">
        <f t="shared" ref="X40:Z40" si="128">((X38+X41)*(X37/12))+(((X39+X42)/2)*(X37/12))</f>
        <v>-619.17965711123838</v>
      </c>
      <c r="Y40" s="120">
        <f t="shared" si="128"/>
        <v>652.17235920629469</v>
      </c>
      <c r="Z40" s="120">
        <f t="shared" si="128"/>
        <v>3410.4020375124419</v>
      </c>
      <c r="AA40" s="120">
        <f>((AA38+AA41)*(AA37/12))+(((AA39+AA42)/2)*(AA37/12))</f>
        <v>-43398.340670916543</v>
      </c>
      <c r="AB40" s="120">
        <f t="shared" ref="AB40:AE40" si="129">((AB38+AB41)*(AB37/12))+(((AB39+AB42)/2)*(AB37/12))</f>
        <v>-35553.876722270346</v>
      </c>
      <c r="AC40" s="120">
        <f>((AC38+AC41)*(AC37/12))+(((AC39+AC42)/2)*(AC37/12))</f>
        <v>-26909.310702821749</v>
      </c>
      <c r="AD40" s="120">
        <f t="shared" si="129"/>
        <v>-18930.221319123411</v>
      </c>
      <c r="AE40" s="120">
        <f t="shared" si="129"/>
        <v>-11777.927247432803</v>
      </c>
      <c r="AF40" s="120">
        <f t="shared" ref="AF40:AL40" si="130">((AF38+AF41)*(AF37/12))+(((AF39+AF42)/2)*(AF37/12))</f>
        <v>-6682.6320707092254</v>
      </c>
      <c r="AG40" s="120">
        <f t="shared" si="130"/>
        <v>-3552.0725070073668</v>
      </c>
      <c r="AH40" s="120">
        <f t="shared" si="130"/>
        <v>-1940.4921395230947</v>
      </c>
      <c r="AI40" s="120">
        <f t="shared" si="130"/>
        <v>-620.16692561441005</v>
      </c>
      <c r="AJ40" s="120">
        <f>((AJ38+AJ41)*(AJ37/12))+(((AJ39+AJ42)/2)*(AJ37/12))</f>
        <v>676.82910634623022</v>
      </c>
      <c r="AK40" s="120">
        <f>((AK38+AK41)*(AK37/12))+(((AK39+AK42)/2)*(AK37/12))</f>
        <v>2190.989269966075</v>
      </c>
      <c r="AL40" s="120">
        <f t="shared" si="130"/>
        <v>5414.9946114543072</v>
      </c>
      <c r="AM40" s="120">
        <f t="shared" ref="AM40:AR40" si="131">((AM38+AM41)*(AM37/12))+(((AM39+AM42)/2)*(AM37/12))</f>
        <v>-52658.465151281016</v>
      </c>
      <c r="AN40" s="120">
        <f t="shared" si="131"/>
        <v>-42984.330367906303</v>
      </c>
      <c r="AO40" s="120">
        <f t="shared" si="131"/>
        <v>-33942.376487645903</v>
      </c>
      <c r="AP40" s="120">
        <f t="shared" si="131"/>
        <v>-22681.177669656488</v>
      </c>
      <c r="AQ40" s="120">
        <f t="shared" si="131"/>
        <v>-11855.841895480757</v>
      </c>
      <c r="AR40" s="120">
        <f t="shared" si="131"/>
        <v>-4878.8983761972904</v>
      </c>
      <c r="AS40" s="120">
        <f>((AS38+AS41)*(AS37/12))+(((AS39+AS42)/2)*(AS37/12))</f>
        <v>-972.71673371001839</v>
      </c>
      <c r="AT40" s="120">
        <f>((AT38+AT41)*(AT37/12))+(((AT39+AT42)/2)*(AT37/12))</f>
        <v>-972.71673371001839</v>
      </c>
      <c r="AU40" s="120">
        <f>((AU38+AU41)*(AU37/12))+(((AU39+AU42)/2)*(AU37/12))</f>
        <v>1274.643375986049</v>
      </c>
      <c r="AV40" s="120">
        <f>((AV38+AV41)*(AV37/12))+(((AV39+AV42)/2)*(AV37/12))</f>
        <v>3063.5418443962126</v>
      </c>
      <c r="AW40" s="35" t="str">
        <f>AW39</f>
        <v>Large Customer Refund</v>
      </c>
      <c r="AX40" s="111">
        <f>AX38</f>
        <v>805110</v>
      </c>
      <c r="AY40" s="111" t="str">
        <f t="shared" ref="AY40:AZ40" si="132">AY38</f>
        <v>GD</v>
      </c>
      <c r="AZ40" s="111" t="str">
        <f t="shared" si="132"/>
        <v>WA</v>
      </c>
      <c r="BA40" s="102">
        <f>BB39</f>
        <v>0</v>
      </c>
      <c r="BB40" s="107">
        <f>BA39</f>
        <v>0</v>
      </c>
      <c r="BD40" s="97" t="str">
        <f>_xll.GLW_Segment_Description(AX40,2,2)</f>
        <v>AMORTIZE RECOVERABLE GAS COSTS</v>
      </c>
      <c r="BJ40" s="9"/>
      <c r="BK40" s="9"/>
      <c r="BL40" s="9"/>
      <c r="BM40" s="9"/>
      <c r="BN40" s="9"/>
      <c r="BO40" s="9"/>
      <c r="BP40" s="9"/>
      <c r="BQ40" s="9"/>
    </row>
    <row r="41" spans="1:69" ht="16.5" thickBot="1">
      <c r="B41" s="12" t="s">
        <v>130</v>
      </c>
      <c r="C41" s="97">
        <f t="shared" ref="C41:C42" si="133">SUM(Q41:AB41)</f>
        <v>-14771212.550000001</v>
      </c>
      <c r="D41" s="97">
        <f>SUM(E41:AB41)</f>
        <v>-28953396.510000002</v>
      </c>
      <c r="E41" s="97">
        <v>0</v>
      </c>
      <c r="F41" s="97">
        <v>0</v>
      </c>
      <c r="G41" s="97">
        <v>0</v>
      </c>
      <c r="H41" s="97">
        <v>0</v>
      </c>
      <c r="I41" s="97">
        <v>0</v>
      </c>
      <c r="J41" s="97">
        <v>0</v>
      </c>
      <c r="K41" s="97">
        <v>0</v>
      </c>
      <c r="L41" s="97">
        <v>0</v>
      </c>
      <c r="M41" s="97">
        <v>0</v>
      </c>
      <c r="N41" s="97">
        <v>0</v>
      </c>
      <c r="O41" s="154">
        <v>-14182183.960000001</v>
      </c>
      <c r="P41" s="97">
        <v>0</v>
      </c>
      <c r="Q41" s="97">
        <v>0</v>
      </c>
      <c r="R41" s="97">
        <v>0</v>
      </c>
      <c r="S41" s="97">
        <v>0</v>
      </c>
      <c r="T41" s="97">
        <v>0</v>
      </c>
      <c r="U41" s="97">
        <v>0</v>
      </c>
      <c r="V41" s="97">
        <v>0</v>
      </c>
      <c r="W41" s="97">
        <v>0</v>
      </c>
      <c r="X41" s="97">
        <v>0</v>
      </c>
      <c r="Y41" s="97">
        <v>0</v>
      </c>
      <c r="Z41" s="97">
        <v>0</v>
      </c>
      <c r="AA41" s="154">
        <v>-14771212.550000001</v>
      </c>
      <c r="AB41" s="97">
        <v>0</v>
      </c>
      <c r="AC41" s="97">
        <v>0</v>
      </c>
      <c r="AD41" s="97">
        <v>0</v>
      </c>
      <c r="AE41" s="97">
        <v>0</v>
      </c>
      <c r="AF41" s="97">
        <v>0</v>
      </c>
      <c r="AG41" s="97">
        <v>0</v>
      </c>
      <c r="AH41" s="97">
        <v>0</v>
      </c>
      <c r="AI41" s="97">
        <v>0</v>
      </c>
      <c r="AJ41" s="97">
        <v>0</v>
      </c>
      <c r="AK41" s="97">
        <v>0</v>
      </c>
      <c r="AL41" s="97">
        <v>0</v>
      </c>
      <c r="AM41" s="97">
        <f>-15619860.03</f>
        <v>-15619860.029999999</v>
      </c>
      <c r="AN41" s="97">
        <v>0</v>
      </c>
      <c r="AO41" s="97">
        <v>0</v>
      </c>
      <c r="AP41" s="97">
        <v>0</v>
      </c>
      <c r="AQ41" s="97">
        <v>0</v>
      </c>
      <c r="AR41" s="97">
        <v>0</v>
      </c>
      <c r="AS41" s="97">
        <v>0</v>
      </c>
      <c r="AT41" s="97">
        <v>0</v>
      </c>
      <c r="AU41" s="97">
        <v>0</v>
      </c>
      <c r="AV41" s="97">
        <v>0</v>
      </c>
      <c r="AW41" s="35"/>
      <c r="AX41" s="111"/>
      <c r="AY41" s="30"/>
      <c r="AZ41" s="30"/>
      <c r="BA41" s="30" t="s">
        <v>94</v>
      </c>
      <c r="BB41" s="148">
        <f>SUM(BA35:BA40)-SUM(BB35:BB40)</f>
        <v>0</v>
      </c>
      <c r="BJ41" s="9"/>
      <c r="BK41" s="9"/>
      <c r="BL41" s="9"/>
      <c r="BM41" s="9"/>
      <c r="BN41" s="9"/>
      <c r="BO41" s="9"/>
      <c r="BP41" s="9"/>
      <c r="BQ41" s="9"/>
    </row>
    <row r="42" spans="1:69">
      <c r="B42" s="12" t="s">
        <v>87</v>
      </c>
      <c r="C42" s="97">
        <f t="shared" si="133"/>
        <v>130571.12</v>
      </c>
      <c r="D42" s="153">
        <f>SUM(E42:AB42)</f>
        <v>320004.39</v>
      </c>
      <c r="E42" s="97">
        <v>0</v>
      </c>
      <c r="F42" s="97">
        <v>0</v>
      </c>
      <c r="G42" s="97">
        <v>0</v>
      </c>
      <c r="H42" s="97">
        <v>0</v>
      </c>
      <c r="I42" s="97">
        <v>0</v>
      </c>
      <c r="J42" s="97">
        <v>0</v>
      </c>
      <c r="K42" s="97">
        <v>0</v>
      </c>
      <c r="L42" s="97">
        <v>0</v>
      </c>
      <c r="M42" s="97">
        <v>0</v>
      </c>
      <c r="N42" s="97">
        <v>0</v>
      </c>
      <c r="O42" s="97">
        <v>189433.27</v>
      </c>
      <c r="P42" s="97">
        <v>0</v>
      </c>
      <c r="Q42" s="97">
        <v>0</v>
      </c>
      <c r="R42" s="97">
        <v>0</v>
      </c>
      <c r="S42" s="97">
        <v>0</v>
      </c>
      <c r="T42" s="97">
        <v>0</v>
      </c>
      <c r="U42" s="97">
        <v>0</v>
      </c>
      <c r="V42" s="97">
        <v>0</v>
      </c>
      <c r="W42" s="97">
        <v>0</v>
      </c>
      <c r="X42" s="97">
        <v>0</v>
      </c>
      <c r="Y42" s="97">
        <v>0</v>
      </c>
      <c r="Z42" s="97">
        <v>0</v>
      </c>
      <c r="AA42" s="97">
        <v>0</v>
      </c>
      <c r="AB42" s="97">
        <v>130571.12</v>
      </c>
      <c r="AC42" s="97">
        <v>0</v>
      </c>
      <c r="AD42" s="97">
        <f>-158.62-25.94-185.95</f>
        <v>-370.51</v>
      </c>
      <c r="AE42" s="97">
        <v>0</v>
      </c>
      <c r="AF42" s="97">
        <v>0</v>
      </c>
      <c r="AG42" s="97">
        <v>0</v>
      </c>
      <c r="AH42" s="97">
        <v>0</v>
      </c>
      <c r="AI42" s="97">
        <v>0</v>
      </c>
      <c r="AJ42" s="97">
        <v>0</v>
      </c>
      <c r="AK42" s="97">
        <v>0</v>
      </c>
      <c r="AL42" s="97">
        <v>0</v>
      </c>
      <c r="AM42" s="97">
        <f>(20527.62+70176.6+102744.67)</f>
        <v>193448.89</v>
      </c>
      <c r="AN42" s="97">
        <v>0</v>
      </c>
      <c r="AO42" s="97">
        <v>0</v>
      </c>
      <c r="AP42" s="97">
        <v>0</v>
      </c>
      <c r="AQ42" s="97">
        <v>0</v>
      </c>
      <c r="AR42" s="97">
        <v>0</v>
      </c>
      <c r="AS42" s="97">
        <v>0</v>
      </c>
      <c r="AT42" s="97">
        <v>0</v>
      </c>
      <c r="AU42" s="97">
        <v>0</v>
      </c>
      <c r="AV42" s="97">
        <v>0</v>
      </c>
    </row>
    <row r="43" spans="1:69" ht="16.5" thickBot="1">
      <c r="B43" s="12" t="s">
        <v>25</v>
      </c>
      <c r="C43" s="121">
        <f>SUM(C39:C42)</f>
        <v>1217063.29529675</v>
      </c>
      <c r="D43" s="121">
        <f>SUM(D38:D42)</f>
        <v>-8772939.4477731958</v>
      </c>
      <c r="E43" s="121">
        <v>-1799942.4443073752</v>
      </c>
      <c r="F43" s="121">
        <f t="shared" ref="F43:P43" si="134">SUM(F38:F42)</f>
        <v>-1367080.388300563</v>
      </c>
      <c r="G43" s="121">
        <f t="shared" si="134"/>
        <v>-991269.16134300514</v>
      </c>
      <c r="H43" s="121">
        <f t="shared" si="134"/>
        <v>-820633.96798459429</v>
      </c>
      <c r="I43" s="121">
        <f t="shared" si="134"/>
        <v>-706831.28344430251</v>
      </c>
      <c r="J43" s="121">
        <f t="shared" si="134"/>
        <v>-615740.82707996247</v>
      </c>
      <c r="K43" s="121">
        <f>SUM(K38:K42)</f>
        <v>-539081.43298013532</v>
      </c>
      <c r="L43" s="121">
        <f t="shared" si="134"/>
        <v>-459570.5002163836</v>
      </c>
      <c r="M43" s="121">
        <f t="shared" si="134"/>
        <v>-353667.8760235564</v>
      </c>
      <c r="N43" s="121">
        <f t="shared" si="134"/>
        <v>-123445.19123732927</v>
      </c>
      <c r="O43" s="121">
        <f>SUM(O38:O42)</f>
        <v>-12794629.54065969</v>
      </c>
      <c r="P43" s="121">
        <f t="shared" si="134"/>
        <v>-9990002.7430699486</v>
      </c>
      <c r="Q43" s="121">
        <f>SUM(Q38:Q42)</f>
        <v>-6863930.3518781429</v>
      </c>
      <c r="R43" s="121">
        <f t="shared" ref="R43:V43" si="135">SUM(R38:R42)</f>
        <v>-4576506.6383892084</v>
      </c>
      <c r="S43" s="121">
        <f>SUM(S38:S42)</f>
        <v>-2850780.7220049934</v>
      </c>
      <c r="T43" s="121">
        <f t="shared" si="135"/>
        <v>-1667508.1164393995</v>
      </c>
      <c r="U43" s="121">
        <f t="shared" si="135"/>
        <v>-1028322.8285985981</v>
      </c>
      <c r="V43" s="121">
        <f t="shared" si="135"/>
        <v>-648348.69566836057</v>
      </c>
      <c r="W43" s="121">
        <f>SUM(W38:W42)</f>
        <v>-342730.3402196177</v>
      </c>
      <c r="X43" s="121">
        <f t="shared" ref="X43:Z43" si="136">SUM(X38:X42)</f>
        <v>-33149.237686728884</v>
      </c>
      <c r="Y43" s="121">
        <f t="shared" si="136"/>
        <v>429057.38532247738</v>
      </c>
      <c r="Z43" s="121">
        <f t="shared" si="136"/>
        <v>1518525.1996199901</v>
      </c>
      <c r="AA43" s="121">
        <f t="shared" ref="AA43:AE43" si="137">SUM(AA38:AA42)</f>
        <v>-11530857.691050928</v>
      </c>
      <c r="AB43" s="121">
        <f t="shared" si="137"/>
        <v>-8772939.4477731995</v>
      </c>
      <c r="AC43" s="121">
        <f t="shared" si="137"/>
        <v>-6449815.9068760211</v>
      </c>
      <c r="AD43" s="121">
        <f t="shared" si="137"/>
        <v>-4259121.6475951439</v>
      </c>
      <c r="AE43" s="121">
        <f t="shared" si="137"/>
        <v>-2403721.0782025773</v>
      </c>
      <c r="AF43" s="121">
        <f>SUM(AF38:AF42)</f>
        <v>-1190951.9274032866</v>
      </c>
      <c r="AG43" s="121">
        <f t="shared" ref="AG43" si="138">SUM(AG38:AG42)</f>
        <v>-719753.16900029394</v>
      </c>
      <c r="AH43" s="121">
        <f t="shared" ref="AH43:AK43" si="139">SUM(AH38:AH42)</f>
        <v>-324062.29737981706</v>
      </c>
      <c r="AI43" s="121">
        <f t="shared" si="139"/>
        <v>6085.9211845684895</v>
      </c>
      <c r="AJ43" s="121">
        <f t="shared" si="139"/>
        <v>340942.68942091474</v>
      </c>
      <c r="AK43" s="121">
        <f t="shared" si="139"/>
        <v>782436.83885088074</v>
      </c>
      <c r="AL43" s="121">
        <f t="shared" ref="AL43:AQ43" si="140">SUM(AL38:AL42)</f>
        <v>1843136.8387223349</v>
      </c>
      <c r="AM43" s="121">
        <f t="shared" si="140"/>
        <v>-11755837.766428944</v>
      </c>
      <c r="AN43" s="121">
        <f t="shared" si="140"/>
        <v>-9086016.0967968497</v>
      </c>
      <c r="AO43" s="121">
        <f t="shared" si="140"/>
        <v>-6674123.8801444955</v>
      </c>
      <c r="AP43" s="121">
        <f t="shared" si="140"/>
        <v>-3857211.0440841522</v>
      </c>
      <c r="AQ43" s="121">
        <f t="shared" si="140"/>
        <v>-1647698.9578796327</v>
      </c>
      <c r="AR43" s="121">
        <f>SUM(AR38:AR42)</f>
        <v>-505685.64744582976</v>
      </c>
      <c r="AS43" s="121">
        <f>SUM(AS38:AS42)</f>
        <v>76360.607610460313</v>
      </c>
      <c r="AT43" s="121">
        <f>SUM(AT38:AT42)</f>
        <v>76360.607610460313</v>
      </c>
      <c r="AU43" s="121">
        <f>SUM(AU38:AU42)</f>
        <v>486224.88023644633</v>
      </c>
      <c r="AV43" s="121">
        <f>SUM(AV38:AV42)</f>
        <v>853656.92098084267</v>
      </c>
      <c r="AW43" s="1"/>
      <c r="AX43" s="78"/>
      <c r="AY43" s="1"/>
      <c r="AZ43" s="1"/>
      <c r="BA43" s="106"/>
      <c r="BB43" s="106"/>
      <c r="BC43" s="1"/>
      <c r="BD43" s="1"/>
      <c r="BE43" s="1"/>
      <c r="BF43" s="1"/>
    </row>
    <row r="44" spans="1:69" ht="15.75" thickTop="1">
      <c r="B44" s="12" t="s">
        <v>131</v>
      </c>
      <c r="D44" s="97">
        <f>_xll.Get_Balance(AB36,"YTD","USD","Total","A","","001",$A$36,"GD","WA","DL")</f>
        <v>-8772480.3499999996</v>
      </c>
      <c r="E44" s="97">
        <v>-1799942.22</v>
      </c>
      <c r="F44" s="97">
        <f>_xll.Get_Balance(F36,"YTD","USD","Total","A","","001",$A$36,"GD","WA","DL")</f>
        <v>-1367080.17</v>
      </c>
      <c r="G44" s="97">
        <f>_xll.Get_Balance(G36,"YTD","USD","Total","A","","001",$A$36,"GD","WA","DL")</f>
        <v>-991268.94</v>
      </c>
      <c r="H44" s="97">
        <f>_xll.Get_Balance(H36,"YTD","USD","Total","A","","001",$A$36,"GD","WA","DL")</f>
        <v>-820633.75</v>
      </c>
      <c r="I44" s="97">
        <f>_xll.Get_Balance(I36,"YTD","USD","Total","A","","001",$A$36,"GD","WA","DL")</f>
        <v>-706831.07</v>
      </c>
      <c r="J44" s="97">
        <f>_xll.Get_Balance(J36,"YTD","USD","Total","A","","001",$A$36,"GD","WA","DL")</f>
        <v>-615740.61</v>
      </c>
      <c r="K44" s="97">
        <f>_xll.Get_Balance(K36,"YTD","USD","Total","A","","001",$A$36,"GD","WA","DL")</f>
        <v>-539081.21</v>
      </c>
      <c r="L44" s="97">
        <f>_xll.Get_Balance(L36,"YTD","USD","Total","A","","001",$A$36,"GD","WA","DL")</f>
        <v>-459570.28</v>
      </c>
      <c r="M44" s="97">
        <f>_xll.Get_Balance(M36,"YTD","USD","Total","A","","001",$A$36,"GD","WA","DL")</f>
        <v>-353667.66</v>
      </c>
      <c r="N44" s="97">
        <f>_xll.Get_Balance(N36,"YTD","USD","Total","A","","001",$A$36,"GD","WA","DL")</f>
        <v>-123444.98</v>
      </c>
      <c r="O44" s="97">
        <f>_xll.Get_Balance(O36,"YTD","USD","Total","A","","001",$A$36,"GD","WA","DL")</f>
        <v>-12794629.33</v>
      </c>
      <c r="P44" s="97">
        <f>_xll.Get_Balance(P36,"YTD","USD","Total","A","","001",$A$36,"GD","WA","DL")</f>
        <v>-9990002.5299999993</v>
      </c>
      <c r="Q44" s="97">
        <f>_xll.Get_Balance(Q36,"YTD","USD","Total","A","","001",$A$36,"GD","WA","DL")</f>
        <v>-6863930.1399999997</v>
      </c>
      <c r="R44" s="97">
        <f>_xll.Get_Balance(R36,"YTD","USD","Total","A","","001",$A$36,"GD","WA","DL")</f>
        <v>-4576506.43</v>
      </c>
      <c r="S44" s="97">
        <f>_xll.Get_Balance(S36,"YTD","USD","Total","A","","001",$A$36,"GD","WA","DL")</f>
        <v>-2850780.51</v>
      </c>
      <c r="T44" s="97">
        <f>_xll.Get_Balance(T36,"YTD","USD","Total","A","","001",$A$36,"GD","WA","DL")</f>
        <v>-1667507.9</v>
      </c>
      <c r="U44" s="97">
        <f>_xll.Get_Balance(U36,"YTD","USD","Total","A","","001",$A$36,"GD","WA","DL")</f>
        <v>-1028322.61</v>
      </c>
      <c r="V44" s="97">
        <f>_xll.Get_Balance(V36,"YTD","USD","Total","A","","001",$A$36,"GD","WA","DL")</f>
        <v>-648348.48</v>
      </c>
      <c r="W44" s="97">
        <f>_xll.Get_Balance(W36,"YTD","USD","Total","A","","001",$A$36,"GD","WA","DL")</f>
        <v>-342730.12</v>
      </c>
      <c r="X44" s="97">
        <f>_xll.Get_Balance(X36,"YTD","USD","Total","A","","001",$A$36,"GD","WA","DL")</f>
        <v>-33149.019999999997</v>
      </c>
      <c r="Y44" s="97">
        <f>_xll.Get_Balance(Y36,"YTD","USD","Total","A","","001",$A$36,"GD","WA","DL")</f>
        <v>429057.6</v>
      </c>
      <c r="Z44" s="97">
        <f>_xll.Get_Balance(Z36,"YTD","USD","Total","A","","001",$A$36,"GD","WA","DL")</f>
        <v>1518525.41</v>
      </c>
      <c r="AA44" s="97">
        <f>_xll.Get_Balance(AA36,"YTD","USD","Total","A","","001",$A$36,"GD","WA","DL")</f>
        <v>-11530628.439999999</v>
      </c>
      <c r="AB44" s="97">
        <f>_xll.Get_Balance(AB36,"YTD","USD","Total","A","","001",$A$36,"GD","WA","DL")</f>
        <v>-8772480.3499999996</v>
      </c>
      <c r="AC44" s="97">
        <f>_xll.Get_Balance(AC36,"YTD","USD","Total","A","","001",$A$36,"GD","WA","DL")</f>
        <v>-6449815.9100000001</v>
      </c>
      <c r="AD44" s="97">
        <f>_xll.Get_Balance(AD36,"YTD","USD","Total","A","","001",$A$36,"GD","WA","DL")</f>
        <v>-4259121.6500000004</v>
      </c>
      <c r="AE44" s="97">
        <f>_xll.Get_Balance(AE36,"YTD","USD","Total","A","","001",$A$36,"GD","WA","DL")</f>
        <v>-2403721.08</v>
      </c>
      <c r="AF44" s="97">
        <f>_xll.Get_Balance(AF36,"YTD","USD","Total","A","","001",$A$36,"GD","WA","DL")</f>
        <v>-1190951.93</v>
      </c>
      <c r="AG44" s="97">
        <f>_xll.Get_Balance(AG36,"YTD","USD","Total","A","","001",$A$36,"GD","WA","DL")</f>
        <v>-719753.17</v>
      </c>
      <c r="AH44" s="97">
        <f>_xll.Get_Balance(AH36,"YTD","USD","Total","A","","001",$A$36,"GD","WA","DL")</f>
        <v>-324062.3</v>
      </c>
      <c r="AI44" s="97">
        <f>_xll.Get_Balance(AI36,"YTD","USD","Total","A","","001",$A$36,"GD","WA","DL")</f>
        <v>6085.92</v>
      </c>
      <c r="AJ44" s="97">
        <f>_xll.Get_Balance(AJ36,"YTD","USD","Total","A","","001",$A$36,"GD","WA","DL")</f>
        <v>340942.69</v>
      </c>
      <c r="AK44" s="97">
        <f>_xll.Get_Balance(AK36,"YTD","USD","Total","A","","001",$A$36,"GD","WA","DL")</f>
        <v>782436.84</v>
      </c>
      <c r="AL44" s="97">
        <f>_xll.Get_Balance(AL36,"YTD","USD","Total","A","","001",$A$36,"GD","WA","DL")</f>
        <v>1843136.84</v>
      </c>
      <c r="AM44" s="97">
        <f>_xll.Get_Balance(AM36,"YTD","USD","Total","A","","001",$A$36,"GD","WA","DL")</f>
        <v>-11755837.77</v>
      </c>
      <c r="AN44" s="97">
        <f>_xll.Get_Balance(AN36,"YTD","USD","Total","A","","001",$A$36,"GD","WA","DL")</f>
        <v>-9086016.0999999996</v>
      </c>
      <c r="AO44" s="97">
        <f>_xll.Get_Balance(AO36,"YTD","USD","Total","A","","001",$A$36,"GD","WA","DL")</f>
        <v>-6674123.8799999999</v>
      </c>
      <c r="AP44" s="97">
        <f>_xll.Get_Balance(AP36,"YTD","USD","Total","A","","001",$A$36,"GD","WA","DL")</f>
        <v>-3857211.04</v>
      </c>
      <c r="AQ44" s="97">
        <f>_xll.Get_Balance(AQ36,"YTD","USD","Total","A","","001",$A$36,"GD","WA","DL")</f>
        <v>-1647698.95</v>
      </c>
      <c r="AR44" s="97">
        <f>_xll.Get_Balance(AR36,"YTD","USD","Total","A","","001",$A$36,"GD","WA","DL")</f>
        <v>-505685.64</v>
      </c>
      <c r="AS44" s="97">
        <f>_xll.Get_Balance(AS36,"YTD","USD","Total","A","","001",$A$36,"GD","WA","DL")</f>
        <v>76360.62</v>
      </c>
      <c r="AT44" s="97">
        <f>_xll.Get_Balance(AS36,"YTD","USD","Total","A","","001",$A$36,"GD","WA","DL")</f>
        <v>76360.62</v>
      </c>
      <c r="AU44" s="97">
        <f>_xll.Get_Balance(AU36,"YTD","USD","Total","A","","001",$A$36,"GD","WA","DL")</f>
        <v>486224.89</v>
      </c>
      <c r="AV44" s="97">
        <f>_xll.Get_Balance(AV36,"YTD","USD","Total","A","","001",$A$36,"GD","WA","DL")</f>
        <v>486224.89</v>
      </c>
      <c r="AW44" s="1"/>
      <c r="AX44" s="78"/>
      <c r="AY44" s="1"/>
      <c r="AZ44" s="1"/>
      <c r="BA44" s="106"/>
      <c r="BB44" s="106"/>
      <c r="BC44" s="1"/>
      <c r="BD44" s="1"/>
      <c r="BE44" s="1"/>
      <c r="BF44" s="1"/>
    </row>
    <row r="45" spans="1:69">
      <c r="B45" s="12" t="s">
        <v>122</v>
      </c>
      <c r="E45" s="97">
        <v>-0.22430737526156008</v>
      </c>
      <c r="F45" s="97">
        <f t="shared" ref="F45:M45" si="141">F43-F44</f>
        <v>-0.21830056305043399</v>
      </c>
      <c r="G45" s="97">
        <f t="shared" si="141"/>
        <v>-0.22134300519246608</v>
      </c>
      <c r="H45" s="97">
        <f t="shared" si="141"/>
        <v>-0.2179845942882821</v>
      </c>
      <c r="I45" s="97">
        <f>I43-I44</f>
        <v>-0.21344430255703628</v>
      </c>
      <c r="J45" s="97">
        <f t="shared" si="141"/>
        <v>-0.21707996248733252</v>
      </c>
      <c r="K45" s="97">
        <f>K43-K44</f>
        <v>-0.22298013535328209</v>
      </c>
      <c r="L45" s="97">
        <f>L43-L44</f>
        <v>-0.2202163835754618</v>
      </c>
      <c r="M45" s="97">
        <f t="shared" si="141"/>
        <v>-0.2160235564224422</v>
      </c>
      <c r="N45" s="97">
        <f>N43-N44</f>
        <v>-0.21123732927662786</v>
      </c>
      <c r="O45" s="97">
        <f>O43-O44</f>
        <v>-0.2106596902012825</v>
      </c>
      <c r="P45" s="97">
        <f>P43-P44</f>
        <v>-0.21306994929909706</v>
      </c>
      <c r="Q45" s="97">
        <f>Q43-Q44</f>
        <v>-0.21187814325094223</v>
      </c>
      <c r="R45" s="97">
        <f t="shared" ref="R45:T45" si="142">R43-R44</f>
        <v>-0.20838920865207911</v>
      </c>
      <c r="S45" s="97">
        <f>S43-S44</f>
        <v>-0.21200499357655644</v>
      </c>
      <c r="T45" s="97">
        <f t="shared" si="142"/>
        <v>-0.21643939963541925</v>
      </c>
      <c r="U45" s="97">
        <f>U43-U44</f>
        <v>-0.21859859814867377</v>
      </c>
      <c r="V45" s="97">
        <f t="shared" ref="V45" si="143">V43-V44</f>
        <v>-0.21566836058627814</v>
      </c>
      <c r="W45" s="97">
        <f>W43-W44</f>
        <v>-0.22021961770951748</v>
      </c>
      <c r="X45" s="97">
        <f>X43-X44</f>
        <v>-0.21768672888720175</v>
      </c>
      <c r="Y45" s="97">
        <f t="shared" ref="Y45" si="144">Y43-Y44</f>
        <v>-0.21467752259923145</v>
      </c>
      <c r="Z45" s="97">
        <f t="shared" ref="Z45:AE45" si="145">Z43-Z44</f>
        <v>-0.21038000984117389</v>
      </c>
      <c r="AA45" s="97">
        <f t="shared" si="145"/>
        <v>-229.25105092860758</v>
      </c>
      <c r="AB45" s="97">
        <f t="shared" si="145"/>
        <v>-459.09777319990098</v>
      </c>
      <c r="AC45" s="97">
        <f t="shared" si="145"/>
        <v>3.1239790841937065E-3</v>
      </c>
      <c r="AD45" s="97">
        <f t="shared" si="145"/>
        <v>2.4048564955592155E-3</v>
      </c>
      <c r="AE45" s="97">
        <f t="shared" si="145"/>
        <v>1.7974227666854858E-3</v>
      </c>
      <c r="AF45" s="97">
        <f>AF43-AF44</f>
        <v>2.5967133697122335E-3</v>
      </c>
      <c r="AG45" s="97">
        <f>AG43-AG44</f>
        <v>9.9970609880983829E-4</v>
      </c>
      <c r="AH45" s="97">
        <f>AH43-AH44</f>
        <v>2.6201829314231873E-3</v>
      </c>
      <c r="AI45" s="97">
        <f>AI43-AI44</f>
        <v>1.1845684894069564E-3</v>
      </c>
      <c r="AJ45" s="97">
        <f>AJ43-AJ44</f>
        <v>-5.7908525923267007E-4</v>
      </c>
      <c r="AK45" s="97">
        <f t="shared" ref="AK45:AL45" si="146">AK43-AK44</f>
        <v>-1.149119227193296E-3</v>
      </c>
      <c r="AL45" s="97">
        <f t="shared" si="146"/>
        <v>-1.2776651419699192E-3</v>
      </c>
      <c r="AM45" s="97">
        <f t="shared" ref="AM45:AR45" si="147">AM43-AM44</f>
        <v>3.5710558295249939E-3</v>
      </c>
      <c r="AN45" s="97">
        <f t="shared" si="147"/>
        <v>3.2031498849391937E-3</v>
      </c>
      <c r="AO45" s="97">
        <f t="shared" si="147"/>
        <v>-1.4449562877416611E-4</v>
      </c>
      <c r="AP45" s="97">
        <f t="shared" si="147"/>
        <v>-4.0841521695256233E-3</v>
      </c>
      <c r="AQ45" s="97">
        <f t="shared" si="147"/>
        <v>-7.8796327579766512E-3</v>
      </c>
      <c r="AR45" s="97">
        <f t="shared" si="147"/>
        <v>-7.4458297458477318E-3</v>
      </c>
      <c r="AS45" s="97">
        <f>AS43-AS44</f>
        <v>-1.2389539682772011E-2</v>
      </c>
      <c r="AT45" s="97">
        <f>AT43-AT44</f>
        <v>-1.2389539682772011E-2</v>
      </c>
      <c r="AU45" s="97">
        <f>AU43-AU44</f>
        <v>-9.7635536803863943E-3</v>
      </c>
      <c r="AV45" s="97">
        <f>AV43-AV44</f>
        <v>367432.03098084265</v>
      </c>
    </row>
    <row r="47" spans="1:69" ht="15.75" hidden="1" outlineLevel="1">
      <c r="A47" s="9" t="s">
        <v>164</v>
      </c>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row>
    <row r="48" spans="1:69" ht="15.75" hidden="1" outlineLevel="1">
      <c r="A48" s="123">
        <v>191025</v>
      </c>
      <c r="B48" s="29" t="s">
        <v>127</v>
      </c>
      <c r="C48" s="138" t="s">
        <v>123</v>
      </c>
      <c r="D48" s="138" t="s">
        <v>124</v>
      </c>
      <c r="E48" s="123">
        <v>201601</v>
      </c>
      <c r="F48" s="123">
        <f>E48+1</f>
        <v>201602</v>
      </c>
      <c r="G48" s="123">
        <f t="shared" ref="G48:P48" si="148">F48+1</f>
        <v>201603</v>
      </c>
      <c r="H48" s="123">
        <f t="shared" si="148"/>
        <v>201604</v>
      </c>
      <c r="I48" s="123">
        <f t="shared" si="148"/>
        <v>201605</v>
      </c>
      <c r="J48" s="123">
        <f t="shared" si="148"/>
        <v>201606</v>
      </c>
      <c r="K48" s="123">
        <f t="shared" si="148"/>
        <v>201607</v>
      </c>
      <c r="L48" s="123">
        <f t="shared" si="148"/>
        <v>201608</v>
      </c>
      <c r="M48" s="123">
        <f t="shared" si="148"/>
        <v>201609</v>
      </c>
      <c r="N48" s="123">
        <f t="shared" si="148"/>
        <v>201610</v>
      </c>
      <c r="O48" s="123">
        <f t="shared" si="148"/>
        <v>201611</v>
      </c>
      <c r="P48" s="123">
        <f t="shared" si="148"/>
        <v>201612</v>
      </c>
      <c r="Q48" s="123">
        <f>Q3</f>
        <v>201701</v>
      </c>
      <c r="R48" s="123">
        <f>Q48+1</f>
        <v>201702</v>
      </c>
      <c r="S48" s="123">
        <f t="shared" ref="S48" si="149">R48+1</f>
        <v>201703</v>
      </c>
      <c r="T48" s="123">
        <f t="shared" ref="T48" si="150">S48+1</f>
        <v>201704</v>
      </c>
      <c r="U48" s="123">
        <f t="shared" ref="U48" si="151">T48+1</f>
        <v>201705</v>
      </c>
      <c r="V48" s="123">
        <f t="shared" ref="V48" si="152">U48+1</f>
        <v>201706</v>
      </c>
      <c r="W48" s="123">
        <f t="shared" ref="W48" si="153">V48+1</f>
        <v>201707</v>
      </c>
      <c r="X48" s="123">
        <f t="shared" ref="X48" si="154">W48+1</f>
        <v>201708</v>
      </c>
      <c r="Y48" s="123">
        <f t="shared" ref="Y48" si="155">X48+1</f>
        <v>201709</v>
      </c>
      <c r="Z48" s="123">
        <f t="shared" ref="Z48" si="156">Y48+1</f>
        <v>201710</v>
      </c>
      <c r="AA48" s="123">
        <f t="shared" ref="AA48" si="157">Z48+1</f>
        <v>201711</v>
      </c>
      <c r="AB48" s="123">
        <f t="shared" ref="AB48" si="158">AA48+1</f>
        <v>201712</v>
      </c>
      <c r="AC48" s="123">
        <f t="shared" ref="AC48:AG48" si="159">AC3</f>
        <v>201801</v>
      </c>
      <c r="AD48" s="123">
        <f t="shared" si="159"/>
        <v>201802</v>
      </c>
      <c r="AE48" s="123">
        <f t="shared" si="159"/>
        <v>201803</v>
      </c>
      <c r="AF48" s="123">
        <f t="shared" si="159"/>
        <v>201804</v>
      </c>
      <c r="AG48" s="123">
        <f t="shared" si="159"/>
        <v>201805</v>
      </c>
      <c r="AH48" s="123">
        <f t="shared" ref="AH48:AL48" si="160">AH3</f>
        <v>201806</v>
      </c>
      <c r="AI48" s="123">
        <f t="shared" si="160"/>
        <v>201807</v>
      </c>
      <c r="AJ48" s="123">
        <f t="shared" si="160"/>
        <v>201808</v>
      </c>
      <c r="AK48" s="123">
        <f t="shared" si="160"/>
        <v>201809</v>
      </c>
      <c r="AL48" s="123">
        <f t="shared" si="160"/>
        <v>201810</v>
      </c>
      <c r="AM48" s="123">
        <f>AM3</f>
        <v>201811</v>
      </c>
      <c r="AN48" s="123">
        <f t="shared" ref="AN48:AO48" si="161">AN3</f>
        <v>201812</v>
      </c>
      <c r="AO48" s="123">
        <f t="shared" si="161"/>
        <v>201901</v>
      </c>
      <c r="AP48" s="123">
        <f t="shared" ref="AP48:AQ48" si="162">AP3</f>
        <v>201902</v>
      </c>
      <c r="AQ48" s="123">
        <f t="shared" si="162"/>
        <v>201903</v>
      </c>
      <c r="AR48" s="123">
        <f t="shared" ref="AR48:AS48" si="163">AR3</f>
        <v>201904</v>
      </c>
      <c r="AS48" s="123">
        <f t="shared" si="163"/>
        <v>201905</v>
      </c>
      <c r="AT48" s="123" t="str">
        <f t="shared" ref="AT48:AU48" si="164">AT3</f>
        <v>201905 Revised</v>
      </c>
      <c r="AU48" s="123">
        <f t="shared" si="164"/>
        <v>201906</v>
      </c>
      <c r="AV48" s="123">
        <f t="shared" ref="AV48" si="165">AV3</f>
        <v>201907</v>
      </c>
    </row>
    <row r="49" spans="1:50" ht="15.75" hidden="1" outlineLevel="1">
      <c r="A49" s="9"/>
      <c r="B49" s="12" t="s">
        <v>16</v>
      </c>
      <c r="C49" s="125" t="e">
        <f>SUM(Q49:AB49)</f>
        <v>#REF!</v>
      </c>
      <c r="D49" s="125" t="e">
        <f t="shared" ref="D49:D57" si="166">SUM(E49:AB49)</f>
        <v>#REF!</v>
      </c>
      <c r="E49" s="127">
        <v>20140968</v>
      </c>
      <c r="F49" s="127">
        <v>14297044</v>
      </c>
      <c r="G49" s="127">
        <v>12238194</v>
      </c>
      <c r="H49" s="127">
        <v>5348802</v>
      </c>
      <c r="I49" s="127">
        <v>3384728</v>
      </c>
      <c r="J49" s="127">
        <v>2765049</v>
      </c>
      <c r="K49" s="127">
        <v>2292583</v>
      </c>
      <c r="L49" s="127">
        <v>2354714</v>
      </c>
      <c r="M49" s="127">
        <v>3123052</v>
      </c>
      <c r="N49" s="127">
        <v>7137333</v>
      </c>
      <c r="O49" s="127">
        <v>11352396</v>
      </c>
      <c r="P49" s="127">
        <v>24209007</v>
      </c>
      <c r="Q49" s="127">
        <v>27259641</v>
      </c>
      <c r="R49" s="127">
        <f>Feb!$G23</f>
        <v>23394682</v>
      </c>
      <c r="S49" s="127">
        <f>Mar!$G23</f>
        <v>18476572</v>
      </c>
      <c r="T49" s="127">
        <f>Apr!$G23</f>
        <v>8678511</v>
      </c>
      <c r="U49" s="127">
        <f>May!$G23</f>
        <v>4312435</v>
      </c>
      <c r="V49" s="127">
        <f>Jun!$G23</f>
        <v>2497712</v>
      </c>
      <c r="W49" s="127">
        <f>Jul!$G23</f>
        <v>2393172</v>
      </c>
      <c r="X49" s="127" t="e">
        <f>#REF!</f>
        <v>#REF!</v>
      </c>
      <c r="Y49" s="127" t="e">
        <f>#REF!</f>
        <v>#REF!</v>
      </c>
      <c r="Z49" s="127" t="e">
        <f>#REF!</f>
        <v>#REF!</v>
      </c>
      <c r="AA49" s="127" t="e">
        <f>#REF!</f>
        <v>#REF!</v>
      </c>
      <c r="AB49" s="127" t="e">
        <f>#REF!</f>
        <v>#REF!</v>
      </c>
      <c r="AC49" s="127">
        <f>Jan!G23</f>
        <v>21076213</v>
      </c>
      <c r="AD49" s="127">
        <f>Feb!G23</f>
        <v>23394682</v>
      </c>
      <c r="AE49" s="127">
        <f>Feb!H23</f>
        <v>0.10238999999999999</v>
      </c>
      <c r="AF49" s="127">
        <f>Feb!I23</f>
        <v>2395381.4899800001</v>
      </c>
      <c r="AG49" s="127">
        <f>Feb!G23</f>
        <v>23394682</v>
      </c>
      <c r="AH49" s="127">
        <f>Feb!G23</f>
        <v>23394682</v>
      </c>
      <c r="AI49" s="127">
        <f>Feb!D23</f>
        <v>0</v>
      </c>
      <c r="AJ49" s="127">
        <f>Feb!E23</f>
        <v>0</v>
      </c>
      <c r="AK49" s="127" t="str">
        <f>Feb!F23</f>
        <v>Schedule 101</v>
      </c>
      <c r="AL49" s="127">
        <f>Feb!G23</f>
        <v>23394682</v>
      </c>
      <c r="AM49" s="127">
        <f>Feb!H23</f>
        <v>0.10238999999999999</v>
      </c>
      <c r="AN49" s="127">
        <f>Feb!H23</f>
        <v>0.10238999999999999</v>
      </c>
      <c r="AO49" s="127">
        <f>Feb!I23</f>
        <v>2395381.4899800001</v>
      </c>
      <c r="AP49" s="127">
        <f>Feb!I23</f>
        <v>2395381.4899800001</v>
      </c>
      <c r="AQ49" s="127" t="str">
        <f>Feb!J23</f>
        <v>Schedule 101</v>
      </c>
      <c r="AR49" s="127">
        <f>Feb!K23</f>
        <v>11758433</v>
      </c>
      <c r="AS49" s="127">
        <f>Feb!L23</f>
        <v>9.5839999999999995E-2</v>
      </c>
      <c r="AT49" s="127">
        <f>Feb!M23</f>
        <v>1126928.21872</v>
      </c>
      <c r="AU49" s="127">
        <f>Feb!N23</f>
        <v>0</v>
      </c>
      <c r="AV49" s="127">
        <f>Feb!O23</f>
        <v>0</v>
      </c>
    </row>
    <row r="50" spans="1:50" ht="15.75" hidden="1" outlineLevel="1">
      <c r="A50" s="9"/>
      <c r="B50" s="12" t="s">
        <v>159</v>
      </c>
      <c r="C50" s="125" t="e">
        <f t="shared" ref="C50:C57" si="167">SUM(Q50:AB50)</f>
        <v>#REF!</v>
      </c>
      <c r="D50" s="125" t="e">
        <f t="shared" si="166"/>
        <v>#REF!</v>
      </c>
      <c r="E50" s="127">
        <v>17893</v>
      </c>
      <c r="F50" s="127">
        <v>14593</v>
      </c>
      <c r="G50" s="127">
        <v>18603</v>
      </c>
      <c r="H50" s="127">
        <v>12171</v>
      </c>
      <c r="I50" s="127">
        <v>5734</v>
      </c>
      <c r="J50" s="127">
        <v>4482</v>
      </c>
      <c r="K50" s="127">
        <v>3610</v>
      </c>
      <c r="L50" s="127">
        <v>2820</v>
      </c>
      <c r="M50" s="127">
        <v>4729</v>
      </c>
      <c r="N50" s="127">
        <v>12809</v>
      </c>
      <c r="O50" s="127">
        <v>19581</v>
      </c>
      <c r="P50" s="127">
        <v>35292</v>
      </c>
      <c r="Q50" s="127">
        <v>40615</v>
      </c>
      <c r="R50" s="127">
        <f>Feb!$G24</f>
        <v>23936</v>
      </c>
      <c r="S50" s="127">
        <f>Mar!$G24</f>
        <v>18913</v>
      </c>
      <c r="T50" s="127">
        <f>Apr!$G24</f>
        <v>9640</v>
      </c>
      <c r="U50" s="127">
        <f>May!$G24</f>
        <v>4874</v>
      </c>
      <c r="V50" s="127">
        <f>Jun!$G24</f>
        <v>2253</v>
      </c>
      <c r="W50" s="127">
        <f>Jul!$G24</f>
        <v>1928</v>
      </c>
      <c r="X50" s="127" t="e">
        <f>#REF!</f>
        <v>#REF!</v>
      </c>
      <c r="Y50" s="127" t="e">
        <f>#REF!</f>
        <v>#REF!</v>
      </c>
      <c r="Z50" s="127" t="e">
        <f>#REF!</f>
        <v>#REF!</v>
      </c>
      <c r="AA50" s="127" t="e">
        <f>#REF!</f>
        <v>#REF!</v>
      </c>
      <c r="AB50" s="127" t="e">
        <f>#REF!</f>
        <v>#REF!</v>
      </c>
      <c r="AC50" s="127">
        <f>Jan!G24</f>
        <v>21566</v>
      </c>
      <c r="AD50" s="127">
        <f>Feb!G24</f>
        <v>23936</v>
      </c>
      <c r="AE50" s="127">
        <f>Feb!H24</f>
        <v>0.10238999999999999</v>
      </c>
      <c r="AF50" s="127">
        <f>Feb!I24</f>
        <v>2450.8070399999997</v>
      </c>
      <c r="AG50" s="127">
        <f>Feb!G24</f>
        <v>23936</v>
      </c>
      <c r="AH50" s="127">
        <f>Feb!G24</f>
        <v>23936</v>
      </c>
      <c r="AI50" s="127">
        <f>Feb!D24</f>
        <v>0</v>
      </c>
      <c r="AJ50" s="127">
        <f>Feb!E24</f>
        <v>0</v>
      </c>
      <c r="AK50" s="127" t="str">
        <f>Feb!F24</f>
        <v>Schedule 102</v>
      </c>
      <c r="AL50" s="127">
        <f>Feb!G24</f>
        <v>23936</v>
      </c>
      <c r="AM50" s="127">
        <f>Feb!H24</f>
        <v>0.10238999999999999</v>
      </c>
      <c r="AN50" s="127">
        <f>Feb!H24</f>
        <v>0.10238999999999999</v>
      </c>
      <c r="AO50" s="127">
        <f>Feb!I24</f>
        <v>2450.8070399999997</v>
      </c>
      <c r="AP50" s="127">
        <f>Feb!I24</f>
        <v>2450.8070399999997</v>
      </c>
      <c r="AQ50" s="127" t="str">
        <f>Feb!J24</f>
        <v>Schedule 111</v>
      </c>
      <c r="AR50" s="127">
        <f>Feb!K24</f>
        <v>3777850</v>
      </c>
      <c r="AS50" s="127">
        <f>Feb!L24</f>
        <v>9.5839999999999995E-2</v>
      </c>
      <c r="AT50" s="127">
        <f>Feb!M24</f>
        <v>362069.14399999997</v>
      </c>
      <c r="AU50" s="127">
        <f>Feb!N24</f>
        <v>0</v>
      </c>
      <c r="AV50" s="127">
        <f>Feb!O24</f>
        <v>0</v>
      </c>
    </row>
    <row r="51" spans="1:50" ht="15.75" hidden="1" outlineLevel="1">
      <c r="A51" s="9"/>
      <c r="B51" s="12" t="s">
        <v>17</v>
      </c>
      <c r="C51" s="125" t="e">
        <f t="shared" si="167"/>
        <v>#REF!</v>
      </c>
      <c r="D51" s="125" t="e">
        <f t="shared" si="166"/>
        <v>#REF!</v>
      </c>
      <c r="E51" s="127">
        <v>6568112</v>
      </c>
      <c r="F51" s="127">
        <v>5200734</v>
      </c>
      <c r="G51" s="127">
        <v>4795258</v>
      </c>
      <c r="H51" s="127">
        <v>2668983</v>
      </c>
      <c r="I51" s="127">
        <v>2221542</v>
      </c>
      <c r="J51" s="127">
        <v>1675034</v>
      </c>
      <c r="K51" s="127">
        <v>1510014</v>
      </c>
      <c r="L51" s="127">
        <v>1583471</v>
      </c>
      <c r="M51" s="127">
        <v>2056535</v>
      </c>
      <c r="N51" s="127">
        <v>3586972</v>
      </c>
      <c r="O51" s="127">
        <v>4116109</v>
      </c>
      <c r="P51" s="127">
        <v>8576537</v>
      </c>
      <c r="Q51" s="127">
        <v>8738107</v>
      </c>
      <c r="R51" s="127">
        <f>Feb!$G25</f>
        <v>8977809</v>
      </c>
      <c r="S51" s="127">
        <f>Mar!$G25</f>
        <v>6826624</v>
      </c>
      <c r="T51" s="127">
        <f>Apr!$G25</f>
        <v>4528915</v>
      </c>
      <c r="U51" s="127">
        <f>May!$G25</f>
        <v>2394969</v>
      </c>
      <c r="V51" s="127">
        <f>Jun!$G25</f>
        <v>2410231</v>
      </c>
      <c r="W51" s="127">
        <f>Jul!$G25</f>
        <v>1815710</v>
      </c>
      <c r="X51" s="127" t="e">
        <f>#REF!</f>
        <v>#REF!</v>
      </c>
      <c r="Y51" s="127" t="e">
        <f>#REF!</f>
        <v>#REF!</v>
      </c>
      <c r="Z51" s="127" t="e">
        <f>#REF!</f>
        <v>#REF!</v>
      </c>
      <c r="AA51" s="127" t="e">
        <f>#REF!</f>
        <v>#REF!</v>
      </c>
      <c r="AB51" s="127" t="e">
        <f>#REF!</f>
        <v>#REF!</v>
      </c>
      <c r="AC51" s="127">
        <f>Jan!G25</f>
        <v>4326716</v>
      </c>
      <c r="AD51" s="127">
        <f>Feb!G25</f>
        <v>8977809</v>
      </c>
      <c r="AE51" s="127">
        <f>Feb!H25</f>
        <v>9.239E-2</v>
      </c>
      <c r="AF51" s="127">
        <f>Feb!I25</f>
        <v>829459.77350999997</v>
      </c>
      <c r="AG51" s="127">
        <f>Feb!G25</f>
        <v>8977809</v>
      </c>
      <c r="AH51" s="127">
        <f>Feb!G25</f>
        <v>8977809</v>
      </c>
      <c r="AI51" s="127">
        <f>Feb!D25</f>
        <v>0</v>
      </c>
      <c r="AJ51" s="127">
        <f>Feb!E25</f>
        <v>0</v>
      </c>
      <c r="AK51" s="127" t="str">
        <f>Feb!F25</f>
        <v>Schedule 111</v>
      </c>
      <c r="AL51" s="127">
        <f>Feb!G25</f>
        <v>8977809</v>
      </c>
      <c r="AM51" s="127">
        <f>Feb!H25</f>
        <v>9.239E-2</v>
      </c>
      <c r="AN51" s="127">
        <f>Feb!H25</f>
        <v>9.239E-2</v>
      </c>
      <c r="AO51" s="127">
        <f>Feb!I25</f>
        <v>829459.77350999997</v>
      </c>
      <c r="AP51" s="127">
        <f>Feb!I25</f>
        <v>829459.77350999997</v>
      </c>
      <c r="AQ51" s="127" t="str">
        <f>Feb!J25</f>
        <v>Schedule 112</v>
      </c>
      <c r="AR51" s="127">
        <f>Feb!K25</f>
        <v>974</v>
      </c>
      <c r="AS51" s="127">
        <f>Feb!L25</f>
        <v>9.5839999999999995E-2</v>
      </c>
      <c r="AT51" s="127">
        <f>Feb!M25</f>
        <v>93.348159999999993</v>
      </c>
      <c r="AU51" s="127">
        <f>Feb!N25</f>
        <v>0</v>
      </c>
      <c r="AV51" s="127">
        <f>Feb!O25</f>
        <v>0</v>
      </c>
    </row>
    <row r="52" spans="1:50" ht="15.75" hidden="1" outlineLevel="1">
      <c r="A52" s="9"/>
      <c r="B52" s="12" t="s">
        <v>18</v>
      </c>
      <c r="C52" s="125" t="e">
        <f t="shared" si="167"/>
        <v>#REF!</v>
      </c>
      <c r="D52" s="125" t="e">
        <f t="shared" si="166"/>
        <v>#REF!</v>
      </c>
      <c r="E52" s="127">
        <v>0</v>
      </c>
      <c r="F52" s="127">
        <v>0</v>
      </c>
      <c r="G52" s="127">
        <v>0</v>
      </c>
      <c r="H52" s="127">
        <v>0</v>
      </c>
      <c r="I52" s="127">
        <v>0</v>
      </c>
      <c r="J52" s="127">
        <v>0</v>
      </c>
      <c r="K52" s="127">
        <v>0</v>
      </c>
      <c r="L52" s="127">
        <v>0</v>
      </c>
      <c r="M52" s="127">
        <v>0</v>
      </c>
      <c r="N52" s="127">
        <v>0</v>
      </c>
      <c r="O52" s="127">
        <v>0</v>
      </c>
      <c r="P52" s="127">
        <v>0</v>
      </c>
      <c r="Q52" s="127">
        <v>0</v>
      </c>
      <c r="R52" s="127">
        <f>Feb!$G26</f>
        <v>26218</v>
      </c>
      <c r="S52" s="127">
        <f>Mar!$G26</f>
        <v>9819</v>
      </c>
      <c r="T52" s="127">
        <f>Apr!$G26</f>
        <v>11138</v>
      </c>
      <c r="U52" s="127">
        <f>May!$G26</f>
        <v>7673</v>
      </c>
      <c r="V52" s="127">
        <f>Jun!$G26</f>
        <v>5783</v>
      </c>
      <c r="W52" s="127">
        <f>Jul!$G26</f>
        <v>5596</v>
      </c>
      <c r="X52" s="127" t="e">
        <f>#REF!</f>
        <v>#REF!</v>
      </c>
      <c r="Y52" s="127" t="e">
        <f>#REF!</f>
        <v>#REF!</v>
      </c>
      <c r="Z52" s="127" t="e">
        <f>#REF!</f>
        <v>#REF!</v>
      </c>
      <c r="AA52" s="127" t="e">
        <f>#REF!</f>
        <v>#REF!</v>
      </c>
      <c r="AB52" s="127" t="e">
        <f>#REF!</f>
        <v>#REF!</v>
      </c>
      <c r="AC52" s="127">
        <f>Jan!G26</f>
        <v>16283</v>
      </c>
      <c r="AD52" s="127">
        <f>Feb!G26</f>
        <v>26218</v>
      </c>
      <c r="AE52" s="127">
        <f>Feb!H26</f>
        <v>9.239E-2</v>
      </c>
      <c r="AF52" s="127">
        <f>Feb!I26</f>
        <v>2422.2810199999999</v>
      </c>
      <c r="AG52" s="127">
        <f>Feb!G26</f>
        <v>26218</v>
      </c>
      <c r="AH52" s="127">
        <f>Feb!G26</f>
        <v>26218</v>
      </c>
      <c r="AI52" s="127">
        <f>Feb!D26</f>
        <v>0</v>
      </c>
      <c r="AJ52" s="127">
        <f>Feb!E26</f>
        <v>0</v>
      </c>
      <c r="AK52" s="127" t="str">
        <f>Feb!F26</f>
        <v>Schedule 112</v>
      </c>
      <c r="AL52" s="127">
        <f>Feb!G26</f>
        <v>26218</v>
      </c>
      <c r="AM52" s="127">
        <f>Feb!H26</f>
        <v>9.239E-2</v>
      </c>
      <c r="AN52" s="127">
        <f>Feb!H26</f>
        <v>9.239E-2</v>
      </c>
      <c r="AO52" s="127">
        <f>Feb!I26</f>
        <v>2422.2810199999999</v>
      </c>
      <c r="AP52" s="127">
        <f>Feb!I26</f>
        <v>2422.2810199999999</v>
      </c>
      <c r="AQ52" s="127" t="str">
        <f>Feb!J26</f>
        <v>Schedule 121</v>
      </c>
      <c r="AR52" s="127">
        <f>Feb!K26</f>
        <v>0</v>
      </c>
      <c r="AS52" s="127">
        <f>Feb!L26</f>
        <v>9.5839999999999995E-2</v>
      </c>
      <c r="AT52" s="127">
        <f>Feb!M26</f>
        <v>0</v>
      </c>
      <c r="AU52" s="127">
        <f>Feb!N26</f>
        <v>0</v>
      </c>
      <c r="AV52" s="127">
        <f>Feb!O26</f>
        <v>0</v>
      </c>
    </row>
    <row r="53" spans="1:50" ht="15.75" hidden="1" outlineLevel="1">
      <c r="A53" s="9"/>
      <c r="B53" s="12" t="s">
        <v>19</v>
      </c>
      <c r="C53" s="125" t="e">
        <f t="shared" si="167"/>
        <v>#REF!</v>
      </c>
      <c r="D53" s="125" t="e">
        <f t="shared" si="166"/>
        <v>#REF!</v>
      </c>
      <c r="E53" s="127">
        <v>345863</v>
      </c>
      <c r="F53" s="127">
        <v>408568</v>
      </c>
      <c r="G53" s="127">
        <v>361566</v>
      </c>
      <c r="H53" s="127">
        <v>227877</v>
      </c>
      <c r="I53" s="127">
        <v>311290</v>
      </c>
      <c r="J53" s="127">
        <v>225272</v>
      </c>
      <c r="K53" s="127">
        <v>266816</v>
      </c>
      <c r="L53" s="127">
        <v>259403</v>
      </c>
      <c r="M53" s="127">
        <v>291879</v>
      </c>
      <c r="N53" s="127">
        <v>401880</v>
      </c>
      <c r="O53" s="127">
        <v>314956</v>
      </c>
      <c r="P53" s="127">
        <v>234225</v>
      </c>
      <c r="Q53" s="127">
        <v>284721</v>
      </c>
      <c r="R53" s="127">
        <f>Feb!$G27</f>
        <v>177522</v>
      </c>
      <c r="S53" s="127">
        <f>Mar!$G27</f>
        <v>115935</v>
      </c>
      <c r="T53" s="127">
        <f>Apr!$G27</f>
        <v>108923</v>
      </c>
      <c r="U53" s="127">
        <f>May!$G27</f>
        <v>97867</v>
      </c>
      <c r="V53" s="127">
        <f>Jun!$G27</f>
        <v>-90738</v>
      </c>
      <c r="W53" s="127">
        <f>Jul!$G27</f>
        <v>133593</v>
      </c>
      <c r="X53" s="127" t="e">
        <f>#REF!</f>
        <v>#REF!</v>
      </c>
      <c r="Y53" s="127" t="e">
        <f>#REF!</f>
        <v>#REF!</v>
      </c>
      <c r="Z53" s="127" t="e">
        <f>#REF!</f>
        <v>#REF!</v>
      </c>
      <c r="AA53" s="127" t="e">
        <f>#REF!</f>
        <v>#REF!</v>
      </c>
      <c r="AB53" s="127" t="e">
        <f>#REF!</f>
        <v>#REF!</v>
      </c>
      <c r="AC53" s="127">
        <f>Jan!G27</f>
        <v>3809625</v>
      </c>
      <c r="AD53" s="127">
        <f>Feb!G27</f>
        <v>177522</v>
      </c>
      <c r="AE53" s="127">
        <f>Feb!H27</f>
        <v>9.2249999999999999E-2</v>
      </c>
      <c r="AF53" s="127">
        <f>Feb!I27</f>
        <v>16376.404500000001</v>
      </c>
      <c r="AG53" s="127">
        <f>Feb!G27</f>
        <v>177522</v>
      </c>
      <c r="AH53" s="127">
        <f>Feb!G27</f>
        <v>177522</v>
      </c>
      <c r="AI53" s="127">
        <f>Feb!D27</f>
        <v>0</v>
      </c>
      <c r="AJ53" s="127">
        <f>Feb!E27</f>
        <v>0</v>
      </c>
      <c r="AK53" s="127" t="str">
        <f>Feb!F27</f>
        <v>Schedule 121</v>
      </c>
      <c r="AL53" s="127">
        <f>Feb!G27</f>
        <v>177522</v>
      </c>
      <c r="AM53" s="127">
        <f>Feb!H27</f>
        <v>9.2249999999999999E-2</v>
      </c>
      <c r="AN53" s="127">
        <f>Feb!H27</f>
        <v>9.2249999999999999E-2</v>
      </c>
      <c r="AO53" s="127">
        <f>Feb!I27</f>
        <v>16376.404500000001</v>
      </c>
      <c r="AP53" s="127">
        <f>Feb!I27</f>
        <v>16376.404500000001</v>
      </c>
      <c r="AQ53" s="127" t="str">
        <f>Feb!J27</f>
        <v>Schedule 122</v>
      </c>
      <c r="AR53" s="127">
        <f>Feb!K27</f>
        <v>0</v>
      </c>
      <c r="AS53" s="127">
        <f>Feb!L27</f>
        <v>9.5839999999999995E-2</v>
      </c>
      <c r="AT53" s="127">
        <f>Feb!M27</f>
        <v>0</v>
      </c>
      <c r="AU53" s="127">
        <f>Feb!N27</f>
        <v>0</v>
      </c>
      <c r="AV53" s="127">
        <f>Feb!O27</f>
        <v>0</v>
      </c>
    </row>
    <row r="54" spans="1:50" ht="15.75" hidden="1" outlineLevel="1">
      <c r="A54" s="9"/>
      <c r="B54" s="12" t="s">
        <v>20</v>
      </c>
      <c r="C54" s="125" t="e">
        <f t="shared" si="167"/>
        <v>#REF!</v>
      </c>
      <c r="D54" s="125" t="e">
        <f t="shared" si="166"/>
        <v>#REF!</v>
      </c>
      <c r="E54" s="127">
        <v>83853</v>
      </c>
      <c r="F54" s="127">
        <v>67179</v>
      </c>
      <c r="G54" s="127">
        <v>59583</v>
      </c>
      <c r="H54" s="127">
        <v>54523</v>
      </c>
      <c r="I54" s="127">
        <v>42598</v>
      </c>
      <c r="J54" s="127">
        <v>35139</v>
      </c>
      <c r="K54" s="127">
        <v>27605</v>
      </c>
      <c r="L54" s="127">
        <v>25524</v>
      </c>
      <c r="M54" s="127">
        <v>26763</v>
      </c>
      <c r="N54" s="127">
        <v>37231</v>
      </c>
      <c r="O54" s="127">
        <v>51431</v>
      </c>
      <c r="P54" s="127">
        <v>69958</v>
      </c>
      <c r="Q54" s="127">
        <v>64203</v>
      </c>
      <c r="R54" s="127">
        <f>Feb!$G28</f>
        <v>56745</v>
      </c>
      <c r="S54" s="127">
        <f>Mar!$G28</f>
        <v>58316</v>
      </c>
      <c r="T54" s="127">
        <f>Apr!$G28</f>
        <v>42472</v>
      </c>
      <c r="U54" s="127">
        <f>May!$G28</f>
        <v>35233</v>
      </c>
      <c r="V54" s="127">
        <f>Jun!$G28</f>
        <v>25730</v>
      </c>
      <c r="W54" s="127">
        <f>Jul!$G28</f>
        <v>31604</v>
      </c>
      <c r="X54" s="127" t="e">
        <f>#REF!</f>
        <v>#REF!</v>
      </c>
      <c r="Y54" s="127" t="e">
        <f>#REF!</f>
        <v>#REF!</v>
      </c>
      <c r="Z54" s="127" t="e">
        <f>#REF!</f>
        <v>#REF!</v>
      </c>
      <c r="AA54" s="127" t="e">
        <f>#REF!</f>
        <v>#REF!</v>
      </c>
      <c r="AB54" s="127" t="e">
        <f>#REF!</f>
        <v>#REF!</v>
      </c>
      <c r="AC54" s="127">
        <f>Jan!G28</f>
        <v>57768</v>
      </c>
      <c r="AD54" s="127">
        <f>Feb!G28</f>
        <v>56745</v>
      </c>
      <c r="AE54" s="127">
        <f>Feb!H28</f>
        <v>9.2249999999999999E-2</v>
      </c>
      <c r="AF54" s="127">
        <f>Feb!I28</f>
        <v>5234.7262499999997</v>
      </c>
      <c r="AG54" s="127">
        <f>Feb!G28</f>
        <v>56745</v>
      </c>
      <c r="AH54" s="127">
        <f>Feb!G28</f>
        <v>56745</v>
      </c>
      <c r="AI54" s="127">
        <f>Feb!D28</f>
        <v>0</v>
      </c>
      <c r="AJ54" s="127">
        <f>Feb!E28</f>
        <v>0</v>
      </c>
      <c r="AK54" s="127" t="str">
        <f>Feb!F28</f>
        <v>Schedule 122</v>
      </c>
      <c r="AL54" s="127">
        <f>Feb!G28</f>
        <v>56745</v>
      </c>
      <c r="AM54" s="127">
        <f>Feb!H28</f>
        <v>9.2249999999999999E-2</v>
      </c>
      <c r="AN54" s="127">
        <f>Feb!H28</f>
        <v>9.2249999999999999E-2</v>
      </c>
      <c r="AO54" s="127">
        <f>Feb!I28</f>
        <v>5234.7262499999997</v>
      </c>
      <c r="AP54" s="127">
        <f>Feb!I28</f>
        <v>5234.7262499999997</v>
      </c>
      <c r="AQ54" s="127" t="str">
        <f>Feb!J28</f>
        <v xml:space="preserve">Total Demand </v>
      </c>
      <c r="AR54" s="127">
        <f>Feb!K28</f>
        <v>15537257</v>
      </c>
      <c r="AS54" s="127">
        <f>Feb!L28</f>
        <v>0</v>
      </c>
      <c r="AT54" s="127">
        <f>Feb!M28</f>
        <v>1489090.7108800001</v>
      </c>
      <c r="AU54" s="127">
        <f>Feb!N28</f>
        <v>0</v>
      </c>
      <c r="AV54" s="127">
        <f>Feb!O28</f>
        <v>0</v>
      </c>
    </row>
    <row r="55" spans="1:50" ht="15.75" hidden="1" outlineLevel="1">
      <c r="A55" s="9"/>
      <c r="B55" s="12" t="s">
        <v>21</v>
      </c>
      <c r="C55" s="125" t="e">
        <f t="shared" si="167"/>
        <v>#REF!</v>
      </c>
      <c r="D55" s="125" t="e">
        <f t="shared" si="166"/>
        <v>#REF!</v>
      </c>
      <c r="E55" s="127">
        <v>0</v>
      </c>
      <c r="F55" s="127">
        <v>0</v>
      </c>
      <c r="G55" s="127">
        <v>0</v>
      </c>
      <c r="H55" s="127">
        <v>0</v>
      </c>
      <c r="I55" s="127">
        <v>0</v>
      </c>
      <c r="J55" s="127">
        <v>0</v>
      </c>
      <c r="K55" s="127">
        <v>0</v>
      </c>
      <c r="L55" s="127">
        <v>0</v>
      </c>
      <c r="M55" s="127">
        <v>0</v>
      </c>
      <c r="N55" s="127">
        <v>0</v>
      </c>
      <c r="O55" s="127">
        <v>0</v>
      </c>
      <c r="P55" s="127">
        <v>0</v>
      </c>
      <c r="Q55" s="127">
        <v>0</v>
      </c>
      <c r="R55" s="127">
        <f>Feb!$G29</f>
        <v>0</v>
      </c>
      <c r="S55" s="127">
        <f>Mar!$G29</f>
        <v>0</v>
      </c>
      <c r="T55" s="127">
        <f>Apr!$G29</f>
        <v>0</v>
      </c>
      <c r="U55" s="127">
        <f>May!$G29</f>
        <v>0</v>
      </c>
      <c r="V55" s="127">
        <f>Jun!$G29</f>
        <v>0</v>
      </c>
      <c r="W55" s="127">
        <f>Jul!$G29</f>
        <v>0</v>
      </c>
      <c r="X55" s="127" t="e">
        <f>#REF!</f>
        <v>#REF!</v>
      </c>
      <c r="Y55" s="127" t="e">
        <f>#REF!</f>
        <v>#REF!</v>
      </c>
      <c r="Z55" s="127" t="e">
        <f>#REF!</f>
        <v>#REF!</v>
      </c>
      <c r="AA55" s="127" t="e">
        <f>#REF!</f>
        <v>#REF!</v>
      </c>
      <c r="AB55" s="127" t="e">
        <f>#REF!</f>
        <v>#REF!</v>
      </c>
      <c r="AC55" s="127">
        <f>Jan!G29</f>
        <v>0</v>
      </c>
      <c r="AD55" s="127">
        <f>Feb!G29</f>
        <v>0</v>
      </c>
      <c r="AE55" s="127">
        <f>Feb!H29</f>
        <v>5.9499999999999997E-2</v>
      </c>
      <c r="AF55" s="127">
        <f>Feb!I29</f>
        <v>0</v>
      </c>
      <c r="AG55" s="127">
        <f>Feb!G29</f>
        <v>0</v>
      </c>
      <c r="AH55" s="127">
        <f>Feb!G29</f>
        <v>0</v>
      </c>
      <c r="AI55" s="127">
        <f>Feb!D29</f>
        <v>0</v>
      </c>
      <c r="AJ55" s="127">
        <f>Feb!E29</f>
        <v>0</v>
      </c>
      <c r="AK55" s="127" t="str">
        <f>Feb!F29</f>
        <v>Schedule 131</v>
      </c>
      <c r="AL55" s="127">
        <f>Feb!G29</f>
        <v>0</v>
      </c>
      <c r="AM55" s="127">
        <f>Feb!H29</f>
        <v>5.9499999999999997E-2</v>
      </c>
      <c r="AN55" s="127">
        <f>Feb!H29</f>
        <v>5.9499999999999997E-2</v>
      </c>
      <c r="AO55" s="127">
        <f>Feb!I29</f>
        <v>0</v>
      </c>
      <c r="AP55" s="127">
        <f>Feb!I29</f>
        <v>0</v>
      </c>
      <c r="AQ55" s="127">
        <f>Feb!J29</f>
        <v>0</v>
      </c>
      <c r="AR55" s="127">
        <f>Feb!K29</f>
        <v>15537257</v>
      </c>
      <c r="AS55" s="127" t="str">
        <f>Feb!L29</f>
        <v>check</v>
      </c>
      <c r="AT55" s="127">
        <f>Feb!M29</f>
        <v>9.5840000000000009E-2</v>
      </c>
      <c r="AU55" s="127">
        <f>Feb!N29</f>
        <v>0</v>
      </c>
      <c r="AV55" s="127">
        <f>Feb!O29</f>
        <v>0</v>
      </c>
    </row>
    <row r="56" spans="1:50" ht="15.75" hidden="1" outlineLevel="1">
      <c r="A56" s="9"/>
      <c r="B56" s="12" t="s">
        <v>22</v>
      </c>
      <c r="C56" s="125" t="e">
        <f t="shared" si="167"/>
        <v>#REF!</v>
      </c>
      <c r="D56" s="125" t="e">
        <f t="shared" si="166"/>
        <v>#REF!</v>
      </c>
      <c r="E56" s="127">
        <v>203731</v>
      </c>
      <c r="F56" s="127">
        <v>102322</v>
      </c>
      <c r="G56" s="127">
        <v>89942</v>
      </c>
      <c r="H56" s="127">
        <v>82073</v>
      </c>
      <c r="I56" s="127">
        <v>57685</v>
      </c>
      <c r="J56" s="127">
        <v>51713</v>
      </c>
      <c r="K56" s="127">
        <v>45567</v>
      </c>
      <c r="L56" s="127">
        <v>37963</v>
      </c>
      <c r="M56" s="127">
        <v>46700</v>
      </c>
      <c r="N56" s="127">
        <v>59610</v>
      </c>
      <c r="O56" s="127">
        <v>85100</v>
      </c>
      <c r="P56" s="127">
        <v>111788</v>
      </c>
      <c r="Q56" s="127">
        <v>160387</v>
      </c>
      <c r="R56" s="127">
        <f>Feb!$G30</f>
        <v>142096</v>
      </c>
      <c r="S56" s="127">
        <f>Mar!$G30</f>
        <v>133435</v>
      </c>
      <c r="T56" s="127">
        <f>Apr!$G30</f>
        <v>97799</v>
      </c>
      <c r="U56" s="127">
        <f>May!$G30</f>
        <v>74295</v>
      </c>
      <c r="V56" s="127">
        <f>Jun!$G30</f>
        <v>52474</v>
      </c>
      <c r="W56" s="127">
        <f>Jul!$G30</f>
        <v>38600</v>
      </c>
      <c r="X56" s="127" t="e">
        <f>#REF!</f>
        <v>#REF!</v>
      </c>
      <c r="Y56" s="127" t="e">
        <f>#REF!</f>
        <v>#REF!</v>
      </c>
      <c r="Z56" s="127" t="e">
        <f>#REF!</f>
        <v>#REF!</v>
      </c>
      <c r="AA56" s="127" t="e">
        <f>#REF!</f>
        <v>#REF!</v>
      </c>
      <c r="AB56" s="127" t="e">
        <f>#REF!</f>
        <v>#REF!</v>
      </c>
      <c r="AC56" s="127">
        <f>Jan!G30</f>
        <v>141224</v>
      </c>
      <c r="AD56" s="127">
        <f>Feb!G30</f>
        <v>142096</v>
      </c>
      <c r="AE56" s="127">
        <f>Feb!H30</f>
        <v>5.9499999999999997E-2</v>
      </c>
      <c r="AF56" s="127">
        <f>Feb!I30</f>
        <v>8454.7119999999995</v>
      </c>
      <c r="AG56" s="127">
        <f>Feb!G30</f>
        <v>142096</v>
      </c>
      <c r="AH56" s="127">
        <f>Feb!G30</f>
        <v>142096</v>
      </c>
      <c r="AI56" s="127">
        <f>Feb!D30</f>
        <v>0</v>
      </c>
      <c r="AJ56" s="127">
        <f>Feb!E30</f>
        <v>0</v>
      </c>
      <c r="AK56" s="127" t="str">
        <f>Feb!F30</f>
        <v>Schedule 132</v>
      </c>
      <c r="AL56" s="127">
        <f>Feb!G30</f>
        <v>142096</v>
      </c>
      <c r="AM56" s="127">
        <f>Feb!H30</f>
        <v>5.9499999999999997E-2</v>
      </c>
      <c r="AN56" s="127">
        <f>Feb!H30</f>
        <v>5.9499999999999997E-2</v>
      </c>
      <c r="AO56" s="127">
        <f>Feb!I30</f>
        <v>8454.7119999999995</v>
      </c>
      <c r="AP56" s="127">
        <f>Feb!I30</f>
        <v>8454.7119999999995</v>
      </c>
      <c r="AQ56" s="127">
        <f>Feb!J30</f>
        <v>0</v>
      </c>
      <c r="AR56" s="127">
        <f>Feb!K30</f>
        <v>0</v>
      </c>
      <c r="AS56" s="127">
        <f>Feb!L30</f>
        <v>0</v>
      </c>
      <c r="AT56" s="127">
        <f>Feb!M30</f>
        <v>0</v>
      </c>
      <c r="AU56" s="127">
        <f>Feb!N30</f>
        <v>0</v>
      </c>
      <c r="AV56" s="127">
        <f>Feb!O30</f>
        <v>0</v>
      </c>
    </row>
    <row r="57" spans="1:50" ht="15.75" hidden="1" outlineLevel="1">
      <c r="A57" s="9"/>
      <c r="B57" s="12" t="s">
        <v>37</v>
      </c>
      <c r="C57" s="125" t="e">
        <f t="shared" si="167"/>
        <v>#REF!</v>
      </c>
      <c r="D57" s="125" t="e">
        <f t="shared" si="166"/>
        <v>#REF!</v>
      </c>
      <c r="E57" s="127">
        <v>3346687</v>
      </c>
      <c r="F57" s="127">
        <v>2956295</v>
      </c>
      <c r="G57" s="127">
        <v>2822744</v>
      </c>
      <c r="H57" s="127">
        <v>2379815</v>
      </c>
      <c r="I57" s="127">
        <v>2359261</v>
      </c>
      <c r="J57" s="127">
        <v>2149880</v>
      </c>
      <c r="K57" s="127">
        <v>1956378</v>
      </c>
      <c r="L57" s="127">
        <v>1966117</v>
      </c>
      <c r="M57" s="127">
        <v>1915306</v>
      </c>
      <c r="N57" s="127">
        <v>2505633</v>
      </c>
      <c r="O57" s="127">
        <v>2750386</v>
      </c>
      <c r="P57" s="127">
        <v>3806098</v>
      </c>
      <c r="Q57" s="127">
        <v>4261630</v>
      </c>
      <c r="R57" s="127">
        <f>Feb!$G31</f>
        <v>3900873</v>
      </c>
      <c r="S57" s="127">
        <f>Mar!$G31</f>
        <v>3846520</v>
      </c>
      <c r="T57" s="127">
        <f>Apr!$G31</f>
        <v>3113093</v>
      </c>
      <c r="U57" s="127">
        <f>May!$G31</f>
        <v>2599421</v>
      </c>
      <c r="V57" s="127">
        <f>Jun!$G31</f>
        <v>2420689</v>
      </c>
      <c r="W57" s="127">
        <f>Jul!$G31</f>
        <v>2422953</v>
      </c>
      <c r="X57" s="127" t="e">
        <f>#REF!</f>
        <v>#REF!</v>
      </c>
      <c r="Y57" s="127" t="e">
        <f>#REF!</f>
        <v>#REF!</v>
      </c>
      <c r="Z57" s="127" t="e">
        <f>#REF!</f>
        <v>#REF!</v>
      </c>
      <c r="AA57" s="127" t="e">
        <f>#REF!</f>
        <v>#REF!</v>
      </c>
      <c r="AB57" s="127" t="e">
        <f>#REF!</f>
        <v>#REF!</v>
      </c>
      <c r="AC57" s="127">
        <f>Jan!G31</f>
        <v>3921073</v>
      </c>
      <c r="AD57" s="127">
        <f>Feb!G31</f>
        <v>3900873</v>
      </c>
      <c r="AE57" s="127">
        <f>Feb!H31</f>
        <v>5.4000000000000001E-4</v>
      </c>
      <c r="AF57" s="127">
        <f>Feb!I31</f>
        <v>2106.4714199999999</v>
      </c>
      <c r="AG57" s="127">
        <f>Feb!G31</f>
        <v>3900873</v>
      </c>
      <c r="AH57" s="127">
        <f>Feb!G31</f>
        <v>3900873</v>
      </c>
      <c r="AI57" s="127">
        <f>Feb!D31</f>
        <v>0</v>
      </c>
      <c r="AJ57" s="127">
        <f>Feb!E31</f>
        <v>0</v>
      </c>
      <c r="AK57" s="127" t="str">
        <f>Feb!F31</f>
        <v>Schedule 146</v>
      </c>
      <c r="AL57" s="127">
        <f>Feb!G31</f>
        <v>3900873</v>
      </c>
      <c r="AM57" s="127">
        <f>Feb!H31</f>
        <v>5.4000000000000001E-4</v>
      </c>
      <c r="AN57" s="127">
        <f>Feb!H31</f>
        <v>5.4000000000000001E-4</v>
      </c>
      <c r="AO57" s="127">
        <f>Feb!I31</f>
        <v>2106.4714199999999</v>
      </c>
      <c r="AP57" s="127">
        <f>Feb!I31</f>
        <v>2106.4714199999999</v>
      </c>
      <c r="AQ57" s="127">
        <f>Feb!J31</f>
        <v>0</v>
      </c>
      <c r="AR57" s="127">
        <f>Feb!K31</f>
        <v>0</v>
      </c>
      <c r="AS57" s="127">
        <f>Feb!L31</f>
        <v>0</v>
      </c>
      <c r="AT57" s="127">
        <f>Feb!M31</f>
        <v>0</v>
      </c>
      <c r="AU57" s="127">
        <f>Feb!N31</f>
        <v>0</v>
      </c>
      <c r="AV57" s="127">
        <f>Feb!O31</f>
        <v>0</v>
      </c>
    </row>
    <row r="58" spans="1:50" ht="16.5" hidden="1" outlineLevel="1" thickBot="1">
      <c r="A58" s="9"/>
      <c r="B58" s="12" t="s">
        <v>6</v>
      </c>
      <c r="C58" s="124" t="e">
        <f>SUM(C49:C57)</f>
        <v>#REF!</v>
      </c>
      <c r="D58" s="124" t="e">
        <f>SUM(D49:D57)</f>
        <v>#REF!</v>
      </c>
      <c r="E58" s="124">
        <v>30707107</v>
      </c>
      <c r="F58" s="124">
        <f t="shared" ref="F58:P58" si="168">SUM(F49:F57)</f>
        <v>23046735</v>
      </c>
      <c r="G58" s="124">
        <f t="shared" si="168"/>
        <v>20385890</v>
      </c>
      <c r="H58" s="124">
        <f t="shared" si="168"/>
        <v>10774244</v>
      </c>
      <c r="I58" s="124">
        <f t="shared" si="168"/>
        <v>8382838</v>
      </c>
      <c r="J58" s="124">
        <f t="shared" si="168"/>
        <v>6906569</v>
      </c>
      <c r="K58" s="124">
        <f>SUM(K49:K57)</f>
        <v>6102573</v>
      </c>
      <c r="L58" s="124">
        <f t="shared" si="168"/>
        <v>6230012</v>
      </c>
      <c r="M58" s="124">
        <f t="shared" si="168"/>
        <v>7464964</v>
      </c>
      <c r="N58" s="124">
        <f>SUM(N49:N57)</f>
        <v>13741468</v>
      </c>
      <c r="O58" s="124">
        <f t="shared" si="168"/>
        <v>18689959</v>
      </c>
      <c r="P58" s="124">
        <f t="shared" si="168"/>
        <v>37042905</v>
      </c>
      <c r="Q58" s="124">
        <f t="shared" ref="Q58:V58" si="169">SUM(Q49:Q57)</f>
        <v>40809304</v>
      </c>
      <c r="R58" s="124">
        <f t="shared" si="169"/>
        <v>36699881</v>
      </c>
      <c r="S58" s="124">
        <f t="shared" si="169"/>
        <v>29486134</v>
      </c>
      <c r="T58" s="124">
        <f t="shared" si="169"/>
        <v>16590491</v>
      </c>
      <c r="U58" s="124">
        <f t="shared" si="169"/>
        <v>9526767</v>
      </c>
      <c r="V58" s="124">
        <f t="shared" si="169"/>
        <v>7324134</v>
      </c>
      <c r="W58" s="124">
        <f>SUM(W49:W57)</f>
        <v>6843156</v>
      </c>
      <c r="X58" s="124" t="e">
        <f t="shared" ref="X58:Y58" si="170">SUM(X49:X57)</f>
        <v>#REF!</v>
      </c>
      <c r="Y58" s="124" t="e">
        <f t="shared" si="170"/>
        <v>#REF!</v>
      </c>
      <c r="Z58" s="124" t="e">
        <f>SUM(Z49:Z57)</f>
        <v>#REF!</v>
      </c>
      <c r="AA58" s="124" t="e">
        <f t="shared" ref="AA58:AB58" si="171">SUM(AA49:AA57)</f>
        <v>#REF!</v>
      </c>
      <c r="AB58" s="124" t="e">
        <f t="shared" si="171"/>
        <v>#REF!</v>
      </c>
      <c r="AC58" s="124">
        <f t="shared" ref="AC58" si="172">SUM(AC49:AC57)</f>
        <v>33370468</v>
      </c>
      <c r="AD58" s="124">
        <f t="shared" ref="AD58:AH58" si="173">SUM(AD49:AD57)</f>
        <v>36699881</v>
      </c>
      <c r="AE58" s="124">
        <f t="shared" si="173"/>
        <v>0.69359999999999999</v>
      </c>
      <c r="AF58" s="124">
        <f t="shared" si="173"/>
        <v>3261886.6657199999</v>
      </c>
      <c r="AG58" s="124">
        <f t="shared" si="173"/>
        <v>36699881</v>
      </c>
      <c r="AH58" s="124">
        <f t="shared" si="173"/>
        <v>36699881</v>
      </c>
      <c r="AI58" s="124">
        <f t="shared" ref="AI58" si="174">SUM(AI49:AI57)</f>
        <v>0</v>
      </c>
      <c r="AJ58" s="124">
        <f t="shared" ref="AJ58:AL58" si="175">SUM(AJ49:AJ57)</f>
        <v>0</v>
      </c>
      <c r="AK58" s="124">
        <f t="shared" si="175"/>
        <v>0</v>
      </c>
      <c r="AL58" s="124">
        <f t="shared" si="175"/>
        <v>36699881</v>
      </c>
      <c r="AM58" s="124">
        <f>SUM(AM49:AM57)</f>
        <v>0.69359999999999999</v>
      </c>
      <c r="AN58" s="124">
        <f t="shared" ref="AN58:AO58" si="176">SUM(AN49:AN57)</f>
        <v>0.69359999999999999</v>
      </c>
      <c r="AO58" s="124">
        <f t="shared" si="176"/>
        <v>3261886.6657199999</v>
      </c>
      <c r="AP58" s="124">
        <f t="shared" ref="AP58:AQ58" si="177">SUM(AP49:AP57)</f>
        <v>3261886.6657199999</v>
      </c>
      <c r="AQ58" s="124">
        <f t="shared" si="177"/>
        <v>0</v>
      </c>
      <c r="AR58" s="124">
        <f t="shared" ref="AR58:AS58" si="178">SUM(AR49:AR57)</f>
        <v>46611771</v>
      </c>
      <c r="AS58" s="124">
        <f t="shared" si="178"/>
        <v>0.47919999999999996</v>
      </c>
      <c r="AT58" s="124">
        <f t="shared" ref="AT58:AU58" si="179">SUM(AT49:AT57)</f>
        <v>2978181.5176000004</v>
      </c>
      <c r="AU58" s="124">
        <f t="shared" si="179"/>
        <v>0</v>
      </c>
      <c r="AV58" s="124">
        <f t="shared" ref="AV58" si="180">SUM(AV49:AV57)</f>
        <v>0</v>
      </c>
    </row>
    <row r="59" spans="1:50" ht="16.5" hidden="1" outlineLevel="1" thickTop="1">
      <c r="A59" s="9"/>
      <c r="B59" s="12" t="s">
        <v>139</v>
      </c>
      <c r="C59" s="125">
        <f>SUM(Q59:AB59)</f>
        <v>225197372</v>
      </c>
      <c r="D59" s="125">
        <f>SUM(E59:AB59)</f>
        <v>414672636</v>
      </c>
      <c r="E59" s="125">
        <v>30707107</v>
      </c>
      <c r="F59" s="125">
        <v>23046735</v>
      </c>
      <c r="G59" s="125">
        <v>20385890</v>
      </c>
      <c r="H59" s="125">
        <v>10774244</v>
      </c>
      <c r="I59" s="125">
        <v>8382838</v>
      </c>
      <c r="J59" s="125">
        <v>6906569</v>
      </c>
      <c r="K59" s="125">
        <v>6102573</v>
      </c>
      <c r="L59" s="125">
        <v>6230012</v>
      </c>
      <c r="M59" s="125">
        <v>7464964</v>
      </c>
      <c r="N59" s="125">
        <v>13741468</v>
      </c>
      <c r="O59" s="125">
        <v>18689959</v>
      </c>
      <c r="P59" s="125">
        <v>37042905</v>
      </c>
      <c r="Q59" s="125">
        <v>40809304</v>
      </c>
      <c r="R59" s="125">
        <v>30544975</v>
      </c>
      <c r="S59" s="125">
        <v>23815117</v>
      </c>
      <c r="T59" s="125">
        <v>16958956</v>
      </c>
      <c r="U59" s="125">
        <v>10280221</v>
      </c>
      <c r="V59" s="125">
        <v>7316509</v>
      </c>
      <c r="W59" s="125">
        <v>6050612</v>
      </c>
      <c r="X59" s="125">
        <v>6226148</v>
      </c>
      <c r="Y59" s="125">
        <v>7933229</v>
      </c>
      <c r="Z59" s="125">
        <v>15888438</v>
      </c>
      <c r="AA59" s="125">
        <v>24226314</v>
      </c>
      <c r="AB59" s="125">
        <v>35147549</v>
      </c>
      <c r="AC59" s="125">
        <v>31096459</v>
      </c>
      <c r="AD59" s="125">
        <v>31096459</v>
      </c>
      <c r="AE59" s="125">
        <v>31096459</v>
      </c>
      <c r="AF59" s="125">
        <v>31096459</v>
      </c>
      <c r="AG59" s="125">
        <v>31096459</v>
      </c>
      <c r="AH59" s="125">
        <v>31096459</v>
      </c>
      <c r="AI59" s="125">
        <v>31096459</v>
      </c>
      <c r="AJ59" s="125">
        <v>31096459</v>
      </c>
      <c r="AK59" s="125">
        <v>31096459</v>
      </c>
      <c r="AL59" s="125">
        <v>31096459</v>
      </c>
      <c r="AM59" s="125">
        <v>31096459</v>
      </c>
      <c r="AN59" s="125">
        <v>31096459</v>
      </c>
      <c r="AO59" s="125">
        <v>31096459</v>
      </c>
      <c r="AP59" s="125">
        <v>31096459</v>
      </c>
      <c r="AQ59" s="125">
        <v>31096459</v>
      </c>
      <c r="AR59" s="125">
        <v>31096459</v>
      </c>
      <c r="AS59" s="125">
        <v>31096459</v>
      </c>
      <c r="AT59" s="125">
        <v>31096459</v>
      </c>
      <c r="AU59" s="125">
        <v>31096459</v>
      </c>
      <c r="AV59" s="125">
        <v>31096459</v>
      </c>
    </row>
    <row r="60" spans="1:50" ht="15.75" hidden="1" outlineLevel="1">
      <c r="A60" s="9" t="s">
        <v>7</v>
      </c>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X60" s="155"/>
    </row>
    <row r="61" spans="1:50" ht="15.75" hidden="1" outlineLevel="1">
      <c r="A61" s="123">
        <v>191025</v>
      </c>
      <c r="B61" s="29" t="s">
        <v>127</v>
      </c>
      <c r="E61" s="123">
        <v>201601</v>
      </c>
      <c r="F61" s="123">
        <f>E61+1</f>
        <v>201602</v>
      </c>
      <c r="G61" s="123">
        <f t="shared" ref="G61:P61" si="181">F61+1</f>
        <v>201603</v>
      </c>
      <c r="H61" s="123">
        <f t="shared" si="181"/>
        <v>201604</v>
      </c>
      <c r="I61" s="123">
        <f t="shared" si="181"/>
        <v>201605</v>
      </c>
      <c r="J61" s="123">
        <f t="shared" si="181"/>
        <v>201606</v>
      </c>
      <c r="K61" s="123">
        <f t="shared" si="181"/>
        <v>201607</v>
      </c>
      <c r="L61" s="123">
        <f t="shared" si="181"/>
        <v>201608</v>
      </c>
      <c r="M61" s="123">
        <f t="shared" si="181"/>
        <v>201609</v>
      </c>
      <c r="N61" s="123">
        <f t="shared" si="181"/>
        <v>201610</v>
      </c>
      <c r="O61" s="123">
        <f t="shared" si="181"/>
        <v>201611</v>
      </c>
      <c r="P61" s="123">
        <f t="shared" si="181"/>
        <v>201612</v>
      </c>
      <c r="Q61" s="123">
        <f>Q3</f>
        <v>201701</v>
      </c>
      <c r="R61" s="123">
        <f>Q61+1</f>
        <v>201702</v>
      </c>
      <c r="S61" s="123">
        <f t="shared" ref="S61" si="182">R61+1</f>
        <v>201703</v>
      </c>
      <c r="T61" s="123">
        <f t="shared" ref="T61" si="183">S61+1</f>
        <v>201704</v>
      </c>
      <c r="U61" s="123">
        <f t="shared" ref="U61" si="184">T61+1</f>
        <v>201705</v>
      </c>
      <c r="V61" s="123">
        <f t="shared" ref="V61" si="185">U61+1</f>
        <v>201706</v>
      </c>
      <c r="W61" s="123">
        <f t="shared" ref="W61" si="186">V61+1</f>
        <v>201707</v>
      </c>
      <c r="X61" s="123">
        <f t="shared" ref="X61" si="187">W61+1</f>
        <v>201708</v>
      </c>
      <c r="Y61" s="123">
        <f t="shared" ref="Y61" si="188">X61+1</f>
        <v>201709</v>
      </c>
      <c r="Z61" s="123">
        <f t="shared" ref="Z61" si="189">Y61+1</f>
        <v>201710</v>
      </c>
      <c r="AA61" s="123">
        <f t="shared" ref="AA61" si="190">Z61+1</f>
        <v>201711</v>
      </c>
      <c r="AB61" s="123">
        <f t="shared" ref="AB61" si="191">AA61+1</f>
        <v>201712</v>
      </c>
      <c r="AC61" s="123">
        <f t="shared" ref="AC61:AG61" si="192">AC3</f>
        <v>201801</v>
      </c>
      <c r="AD61" s="123">
        <f t="shared" si="192"/>
        <v>201802</v>
      </c>
      <c r="AE61" s="123">
        <f t="shared" si="192"/>
        <v>201803</v>
      </c>
      <c r="AF61" s="123">
        <f t="shared" si="192"/>
        <v>201804</v>
      </c>
      <c r="AG61" s="123">
        <f t="shared" si="192"/>
        <v>201805</v>
      </c>
      <c r="AH61" s="123">
        <f t="shared" ref="AH61:AL61" si="193">AH3</f>
        <v>201806</v>
      </c>
      <c r="AI61" s="123">
        <f t="shared" si="193"/>
        <v>201807</v>
      </c>
      <c r="AJ61" s="123">
        <f t="shared" si="193"/>
        <v>201808</v>
      </c>
      <c r="AK61" s="123">
        <f t="shared" si="193"/>
        <v>201809</v>
      </c>
      <c r="AL61" s="123">
        <f t="shared" si="193"/>
        <v>201810</v>
      </c>
      <c r="AM61" s="123">
        <f>AM3</f>
        <v>201811</v>
      </c>
      <c r="AN61" s="123">
        <f t="shared" ref="AN61:AO61" si="194">AN3</f>
        <v>201812</v>
      </c>
      <c r="AO61" s="123">
        <f t="shared" si="194"/>
        <v>201901</v>
      </c>
      <c r="AP61" s="123">
        <f t="shared" ref="AP61:AQ61" si="195">AP3</f>
        <v>201902</v>
      </c>
      <c r="AQ61" s="123">
        <f t="shared" si="195"/>
        <v>201903</v>
      </c>
      <c r="AR61" s="123">
        <f t="shared" ref="AR61:AS61" si="196">AR3</f>
        <v>201904</v>
      </c>
      <c r="AS61" s="123">
        <f t="shared" si="196"/>
        <v>201905</v>
      </c>
      <c r="AT61" s="123" t="str">
        <f t="shared" ref="AT61:AU61" si="197">AT3</f>
        <v>201905 Revised</v>
      </c>
      <c r="AU61" s="123">
        <f t="shared" si="197"/>
        <v>201906</v>
      </c>
      <c r="AV61" s="123">
        <f t="shared" ref="AV61" si="198">AV3</f>
        <v>201907</v>
      </c>
    </row>
    <row r="62" spans="1:50" ht="15.75" hidden="1" outlineLevel="1">
      <c r="A62" s="9"/>
      <c r="B62" s="12" t="s">
        <v>16</v>
      </c>
      <c r="E62" s="151">
        <v>1.2999999999999999E-4</v>
      </c>
      <c r="F62" s="151">
        <v>1.2999999999999999E-4</v>
      </c>
      <c r="G62" s="151">
        <v>1.2999999999999999E-4</v>
      </c>
      <c r="H62" s="151">
        <v>1.2999999999999999E-4</v>
      </c>
      <c r="I62" s="151">
        <v>1.2999999999999999E-4</v>
      </c>
      <c r="J62" s="151">
        <v>1.2999999999999999E-4</v>
      </c>
      <c r="K62" s="151">
        <v>1.2999999999999999E-4</v>
      </c>
      <c r="L62" s="151">
        <v>1.2999999999999999E-4</v>
      </c>
      <c r="M62" s="151">
        <v>1.2999999999999999E-4</v>
      </c>
      <c r="N62" s="151">
        <v>1.2999999999999999E-4</v>
      </c>
      <c r="O62" s="151" t="s">
        <v>160</v>
      </c>
      <c r="P62" s="151" t="s">
        <v>160</v>
      </c>
      <c r="Q62" s="151">
        <v>1.0000000000000001E-5</v>
      </c>
      <c r="R62" s="151">
        <v>1.0000000000000001E-5</v>
      </c>
      <c r="S62" s="151">
        <v>1.0000000000000001E-5</v>
      </c>
      <c r="T62" s="151">
        <v>1.0000000000000001E-5</v>
      </c>
      <c r="U62" s="151">
        <v>1.0000000000000001E-5</v>
      </c>
      <c r="V62" s="151">
        <v>1.0000000000000001E-5</v>
      </c>
      <c r="W62" s="151">
        <v>1.0000000000000001E-5</v>
      </c>
      <c r="X62" s="151">
        <v>1.0000000000000001E-5</v>
      </c>
      <c r="Y62" s="151">
        <v>1.0000000000000001E-5</v>
      </c>
      <c r="Z62" s="151">
        <v>1.0000000000000001E-5</v>
      </c>
      <c r="AA62" s="128" t="s">
        <v>160</v>
      </c>
      <c r="AB62" s="128" t="s">
        <v>160</v>
      </c>
      <c r="AC62" s="128" t="s">
        <v>172</v>
      </c>
      <c r="AD62" s="128" t="s">
        <v>172</v>
      </c>
      <c r="AE62" s="128" t="s">
        <v>172</v>
      </c>
      <c r="AF62" s="128" t="s">
        <v>172</v>
      </c>
      <c r="AG62" s="128" t="s">
        <v>172</v>
      </c>
      <c r="AH62" s="128" t="s">
        <v>172</v>
      </c>
      <c r="AI62" s="128" t="s">
        <v>172</v>
      </c>
      <c r="AJ62" s="128" t="s">
        <v>172</v>
      </c>
      <c r="AK62" s="128" t="s">
        <v>172</v>
      </c>
      <c r="AL62" s="128" t="s">
        <v>172</v>
      </c>
      <c r="AM62" s="128" t="s">
        <v>172</v>
      </c>
      <c r="AN62" s="128" t="s">
        <v>172</v>
      </c>
      <c r="AO62" s="128" t="s">
        <v>172</v>
      </c>
      <c r="AP62" s="128" t="s">
        <v>172</v>
      </c>
      <c r="AQ62" s="128" t="s">
        <v>172</v>
      </c>
      <c r="AR62" s="128" t="s">
        <v>172</v>
      </c>
      <c r="AS62" s="128" t="s">
        <v>172</v>
      </c>
      <c r="AT62" s="128" t="s">
        <v>172</v>
      </c>
      <c r="AU62" s="128" t="s">
        <v>172</v>
      </c>
      <c r="AV62" s="128" t="s">
        <v>172</v>
      </c>
    </row>
    <row r="63" spans="1:50" ht="15.75" hidden="1" outlineLevel="1">
      <c r="A63" s="9"/>
      <c r="B63" s="12" t="s">
        <v>159</v>
      </c>
      <c r="E63" s="151">
        <v>1.2999999999999999E-4</v>
      </c>
      <c r="F63" s="151">
        <v>1.2999999999999999E-4</v>
      </c>
      <c r="G63" s="151">
        <v>1.2999999999999999E-4</v>
      </c>
      <c r="H63" s="151">
        <v>1.2999999999999999E-4</v>
      </c>
      <c r="I63" s="151">
        <v>1.2999999999999999E-4</v>
      </c>
      <c r="J63" s="151">
        <v>1.2999999999999999E-4</v>
      </c>
      <c r="K63" s="151">
        <v>1.2999999999999999E-4</v>
      </c>
      <c r="L63" s="151">
        <v>1.2999999999999999E-4</v>
      </c>
      <c r="M63" s="151">
        <v>1.2999999999999999E-4</v>
      </c>
      <c r="N63" s="151">
        <v>1.2999999999999999E-4</v>
      </c>
      <c r="O63" s="151" t="s">
        <v>160</v>
      </c>
      <c r="P63" s="151" t="s">
        <v>160</v>
      </c>
      <c r="Q63" s="151">
        <v>1.0000000000000001E-5</v>
      </c>
      <c r="R63" s="151">
        <v>1.0000000000000001E-5</v>
      </c>
      <c r="S63" s="151">
        <v>1.0000000000000001E-5</v>
      </c>
      <c r="T63" s="151">
        <v>1.0000000000000001E-5</v>
      </c>
      <c r="U63" s="151">
        <v>1.0000000000000001E-5</v>
      </c>
      <c r="V63" s="151">
        <v>1.0000000000000001E-5</v>
      </c>
      <c r="W63" s="151">
        <v>1.0000000000000001E-5</v>
      </c>
      <c r="X63" s="151">
        <v>1.0000000000000001E-5</v>
      </c>
      <c r="Y63" s="151">
        <v>1.0000000000000001E-5</v>
      </c>
      <c r="Z63" s="151">
        <v>1.0000000000000001E-5</v>
      </c>
      <c r="AA63" s="128" t="s">
        <v>160</v>
      </c>
      <c r="AB63" s="128" t="s">
        <v>160</v>
      </c>
      <c r="AC63" s="128" t="s">
        <v>172</v>
      </c>
      <c r="AD63" s="128" t="s">
        <v>172</v>
      </c>
      <c r="AE63" s="128" t="s">
        <v>172</v>
      </c>
      <c r="AF63" s="128" t="s">
        <v>172</v>
      </c>
      <c r="AG63" s="128" t="s">
        <v>172</v>
      </c>
      <c r="AH63" s="128" t="s">
        <v>172</v>
      </c>
      <c r="AI63" s="128" t="s">
        <v>172</v>
      </c>
      <c r="AJ63" s="128" t="s">
        <v>172</v>
      </c>
      <c r="AK63" s="128" t="s">
        <v>172</v>
      </c>
      <c r="AL63" s="128" t="s">
        <v>172</v>
      </c>
      <c r="AM63" s="128" t="s">
        <v>172</v>
      </c>
      <c r="AN63" s="128" t="s">
        <v>172</v>
      </c>
      <c r="AO63" s="128" t="s">
        <v>172</v>
      </c>
      <c r="AP63" s="128" t="s">
        <v>172</v>
      </c>
      <c r="AQ63" s="128" t="s">
        <v>172</v>
      </c>
      <c r="AR63" s="128" t="s">
        <v>172</v>
      </c>
      <c r="AS63" s="128" t="s">
        <v>172</v>
      </c>
      <c r="AT63" s="128" t="s">
        <v>172</v>
      </c>
      <c r="AU63" s="128" t="s">
        <v>172</v>
      </c>
      <c r="AV63" s="128" t="s">
        <v>172</v>
      </c>
    </row>
    <row r="64" spans="1:50" ht="15.75" hidden="1" outlineLevel="1">
      <c r="A64" s="9"/>
      <c r="B64" s="12" t="s">
        <v>17</v>
      </c>
      <c r="E64" s="151">
        <v>1.2999999999999999E-4</v>
      </c>
      <c r="F64" s="151">
        <v>1.2999999999999999E-4</v>
      </c>
      <c r="G64" s="151">
        <v>1.2999999999999999E-4</v>
      </c>
      <c r="H64" s="151">
        <v>1.2999999999999999E-4</v>
      </c>
      <c r="I64" s="151">
        <v>1.2999999999999999E-4</v>
      </c>
      <c r="J64" s="151">
        <v>1.2999999999999999E-4</v>
      </c>
      <c r="K64" s="151">
        <v>1.2999999999999999E-4</v>
      </c>
      <c r="L64" s="151">
        <v>1.2999999999999999E-4</v>
      </c>
      <c r="M64" s="151">
        <v>1.2999999999999999E-4</v>
      </c>
      <c r="N64" s="151">
        <v>1.2999999999999999E-4</v>
      </c>
      <c r="O64" s="151" t="s">
        <v>160</v>
      </c>
      <c r="P64" s="151" t="s">
        <v>160</v>
      </c>
      <c r="Q64" s="151">
        <v>1.0000000000000001E-5</v>
      </c>
      <c r="R64" s="151">
        <v>1.0000000000000001E-5</v>
      </c>
      <c r="S64" s="151">
        <v>1.0000000000000001E-5</v>
      </c>
      <c r="T64" s="151">
        <v>1.0000000000000001E-5</v>
      </c>
      <c r="U64" s="151">
        <v>1.0000000000000001E-5</v>
      </c>
      <c r="V64" s="151">
        <v>1.0000000000000001E-5</v>
      </c>
      <c r="W64" s="151">
        <v>1.0000000000000001E-5</v>
      </c>
      <c r="X64" s="151">
        <v>1.0000000000000001E-5</v>
      </c>
      <c r="Y64" s="151">
        <v>1.0000000000000001E-5</v>
      </c>
      <c r="Z64" s="151">
        <v>1.0000000000000001E-5</v>
      </c>
      <c r="AA64" s="128" t="s">
        <v>160</v>
      </c>
      <c r="AB64" s="128" t="s">
        <v>160</v>
      </c>
      <c r="AC64" s="128" t="s">
        <v>172</v>
      </c>
      <c r="AD64" s="128" t="s">
        <v>172</v>
      </c>
      <c r="AE64" s="128" t="s">
        <v>172</v>
      </c>
      <c r="AF64" s="128" t="s">
        <v>172</v>
      </c>
      <c r="AG64" s="128" t="s">
        <v>172</v>
      </c>
      <c r="AH64" s="128" t="s">
        <v>172</v>
      </c>
      <c r="AI64" s="128" t="s">
        <v>172</v>
      </c>
      <c r="AJ64" s="128" t="s">
        <v>172</v>
      </c>
      <c r="AK64" s="128" t="s">
        <v>172</v>
      </c>
      <c r="AL64" s="128" t="s">
        <v>172</v>
      </c>
      <c r="AM64" s="128" t="s">
        <v>172</v>
      </c>
      <c r="AN64" s="128" t="s">
        <v>172</v>
      </c>
      <c r="AO64" s="128" t="s">
        <v>172</v>
      </c>
      <c r="AP64" s="128" t="s">
        <v>172</v>
      </c>
      <c r="AQ64" s="128" t="s">
        <v>172</v>
      </c>
      <c r="AR64" s="128" t="s">
        <v>172</v>
      </c>
      <c r="AS64" s="128" t="s">
        <v>172</v>
      </c>
      <c r="AT64" s="128" t="s">
        <v>172</v>
      </c>
      <c r="AU64" s="128" t="s">
        <v>172</v>
      </c>
      <c r="AV64" s="128" t="s">
        <v>172</v>
      </c>
    </row>
    <row r="65" spans="1:56" ht="15.75" hidden="1" outlineLevel="1">
      <c r="A65" s="9"/>
      <c r="B65" s="12" t="s">
        <v>18</v>
      </c>
      <c r="E65" s="151">
        <v>1.2999999999999999E-4</v>
      </c>
      <c r="F65" s="151">
        <v>1.2999999999999999E-4</v>
      </c>
      <c r="G65" s="151">
        <v>1.2999999999999999E-4</v>
      </c>
      <c r="H65" s="151">
        <v>1.2999999999999999E-4</v>
      </c>
      <c r="I65" s="151">
        <v>1.2999999999999999E-4</v>
      </c>
      <c r="J65" s="151">
        <v>1.2999999999999999E-4</v>
      </c>
      <c r="K65" s="151">
        <v>1.2999999999999999E-4</v>
      </c>
      <c r="L65" s="151">
        <v>1.2999999999999999E-4</v>
      </c>
      <c r="M65" s="151">
        <v>1.2999999999999999E-4</v>
      </c>
      <c r="N65" s="151">
        <v>1.2999999999999999E-4</v>
      </c>
      <c r="O65" s="151" t="s">
        <v>160</v>
      </c>
      <c r="P65" s="151" t="s">
        <v>160</v>
      </c>
      <c r="Q65" s="151">
        <v>1.0000000000000001E-5</v>
      </c>
      <c r="R65" s="151">
        <v>1.0000000000000001E-5</v>
      </c>
      <c r="S65" s="151">
        <v>1.0000000000000001E-5</v>
      </c>
      <c r="T65" s="151">
        <v>1.0000000000000001E-5</v>
      </c>
      <c r="U65" s="151">
        <v>1.0000000000000001E-5</v>
      </c>
      <c r="V65" s="151">
        <v>1.0000000000000001E-5</v>
      </c>
      <c r="W65" s="151">
        <v>1.0000000000000001E-5</v>
      </c>
      <c r="X65" s="151">
        <v>1.0000000000000001E-5</v>
      </c>
      <c r="Y65" s="151">
        <v>1.0000000000000001E-5</v>
      </c>
      <c r="Z65" s="151">
        <v>1.0000000000000001E-5</v>
      </c>
      <c r="AA65" s="128" t="s">
        <v>160</v>
      </c>
      <c r="AB65" s="128" t="s">
        <v>160</v>
      </c>
      <c r="AC65" s="128" t="s">
        <v>172</v>
      </c>
      <c r="AD65" s="128" t="s">
        <v>172</v>
      </c>
      <c r="AE65" s="128" t="s">
        <v>172</v>
      </c>
      <c r="AF65" s="128" t="s">
        <v>172</v>
      </c>
      <c r="AG65" s="128" t="s">
        <v>172</v>
      </c>
      <c r="AH65" s="128" t="s">
        <v>172</v>
      </c>
      <c r="AI65" s="128" t="s">
        <v>172</v>
      </c>
      <c r="AJ65" s="128" t="s">
        <v>172</v>
      </c>
      <c r="AK65" s="128" t="s">
        <v>172</v>
      </c>
      <c r="AL65" s="128" t="s">
        <v>172</v>
      </c>
      <c r="AM65" s="128" t="s">
        <v>172</v>
      </c>
      <c r="AN65" s="128" t="s">
        <v>172</v>
      </c>
      <c r="AO65" s="128" t="s">
        <v>172</v>
      </c>
      <c r="AP65" s="128" t="s">
        <v>172</v>
      </c>
      <c r="AQ65" s="128" t="s">
        <v>172</v>
      </c>
      <c r="AR65" s="128" t="s">
        <v>172</v>
      </c>
      <c r="AS65" s="128" t="s">
        <v>172</v>
      </c>
      <c r="AT65" s="128" t="s">
        <v>172</v>
      </c>
      <c r="AU65" s="128" t="s">
        <v>172</v>
      </c>
      <c r="AV65" s="128" t="s">
        <v>172</v>
      </c>
    </row>
    <row r="66" spans="1:56" ht="15.75" hidden="1" outlineLevel="1">
      <c r="A66" s="9"/>
      <c r="B66" s="12" t="s">
        <v>19</v>
      </c>
      <c r="E66" s="151">
        <v>1.2999999999999999E-4</v>
      </c>
      <c r="F66" s="151">
        <v>1.2999999999999999E-4</v>
      </c>
      <c r="G66" s="151">
        <v>1.2999999999999999E-4</v>
      </c>
      <c r="H66" s="151">
        <v>1.2999999999999999E-4</v>
      </c>
      <c r="I66" s="151">
        <v>1.2999999999999999E-4</v>
      </c>
      <c r="J66" s="151">
        <v>1.2999999999999999E-4</v>
      </c>
      <c r="K66" s="151">
        <v>1.2999999999999999E-4</v>
      </c>
      <c r="L66" s="151">
        <v>1.2999999999999999E-4</v>
      </c>
      <c r="M66" s="151">
        <v>1.2999999999999999E-4</v>
      </c>
      <c r="N66" s="151">
        <v>1.2999999999999999E-4</v>
      </c>
      <c r="O66" s="151" t="s">
        <v>160</v>
      </c>
      <c r="P66" s="151" t="s">
        <v>160</v>
      </c>
      <c r="Q66" s="151">
        <v>1.0000000000000001E-5</v>
      </c>
      <c r="R66" s="151">
        <v>1.0000000000000001E-5</v>
      </c>
      <c r="S66" s="151">
        <v>1.0000000000000001E-5</v>
      </c>
      <c r="T66" s="151">
        <v>1.0000000000000001E-5</v>
      </c>
      <c r="U66" s="151">
        <v>1.0000000000000001E-5</v>
      </c>
      <c r="V66" s="151">
        <v>1.0000000000000001E-5</v>
      </c>
      <c r="W66" s="151">
        <v>1.0000000000000001E-5</v>
      </c>
      <c r="X66" s="151">
        <v>1.0000000000000001E-5</v>
      </c>
      <c r="Y66" s="151">
        <v>1.0000000000000001E-5</v>
      </c>
      <c r="Z66" s="151">
        <v>1.0000000000000001E-5</v>
      </c>
      <c r="AA66" s="128" t="s">
        <v>160</v>
      </c>
      <c r="AB66" s="128" t="s">
        <v>160</v>
      </c>
      <c r="AC66" s="128" t="s">
        <v>172</v>
      </c>
      <c r="AD66" s="128" t="s">
        <v>172</v>
      </c>
      <c r="AE66" s="128" t="s">
        <v>172</v>
      </c>
      <c r="AF66" s="128" t="s">
        <v>172</v>
      </c>
      <c r="AG66" s="128" t="s">
        <v>172</v>
      </c>
      <c r="AH66" s="128" t="s">
        <v>172</v>
      </c>
      <c r="AI66" s="128" t="s">
        <v>172</v>
      </c>
      <c r="AJ66" s="128" t="s">
        <v>172</v>
      </c>
      <c r="AK66" s="128" t="s">
        <v>172</v>
      </c>
      <c r="AL66" s="128" t="s">
        <v>172</v>
      </c>
      <c r="AM66" s="128" t="s">
        <v>172</v>
      </c>
      <c r="AN66" s="128" t="s">
        <v>172</v>
      </c>
      <c r="AO66" s="128" t="s">
        <v>172</v>
      </c>
      <c r="AP66" s="128" t="s">
        <v>172</v>
      </c>
      <c r="AQ66" s="128" t="s">
        <v>172</v>
      </c>
      <c r="AR66" s="128" t="s">
        <v>172</v>
      </c>
      <c r="AS66" s="128" t="s">
        <v>172</v>
      </c>
      <c r="AT66" s="128" t="s">
        <v>172</v>
      </c>
      <c r="AU66" s="128" t="s">
        <v>172</v>
      </c>
      <c r="AV66" s="128" t="s">
        <v>172</v>
      </c>
    </row>
    <row r="67" spans="1:56" ht="15.75" hidden="1" outlineLevel="1">
      <c r="A67" s="9"/>
      <c r="B67" s="12" t="s">
        <v>20</v>
      </c>
      <c r="E67" s="151">
        <v>1.2999999999999999E-4</v>
      </c>
      <c r="F67" s="151">
        <v>1.2999999999999999E-4</v>
      </c>
      <c r="G67" s="151">
        <v>1.2999999999999999E-4</v>
      </c>
      <c r="H67" s="151">
        <v>1.2999999999999999E-4</v>
      </c>
      <c r="I67" s="151">
        <v>1.2999999999999999E-4</v>
      </c>
      <c r="J67" s="151">
        <v>1.2999999999999999E-4</v>
      </c>
      <c r="K67" s="151">
        <v>1.2999999999999999E-4</v>
      </c>
      <c r="L67" s="151">
        <v>1.2999999999999999E-4</v>
      </c>
      <c r="M67" s="151">
        <v>1.2999999999999999E-4</v>
      </c>
      <c r="N67" s="151">
        <v>1.2999999999999999E-4</v>
      </c>
      <c r="O67" s="151" t="s">
        <v>160</v>
      </c>
      <c r="P67" s="151" t="s">
        <v>160</v>
      </c>
      <c r="Q67" s="151">
        <v>1.0000000000000001E-5</v>
      </c>
      <c r="R67" s="151">
        <v>1.0000000000000001E-5</v>
      </c>
      <c r="S67" s="151">
        <v>1.0000000000000001E-5</v>
      </c>
      <c r="T67" s="151">
        <v>1.0000000000000001E-5</v>
      </c>
      <c r="U67" s="151">
        <v>1.0000000000000001E-5</v>
      </c>
      <c r="V67" s="151">
        <v>1.0000000000000001E-5</v>
      </c>
      <c r="W67" s="151">
        <v>1.0000000000000001E-5</v>
      </c>
      <c r="X67" s="151">
        <v>1.0000000000000001E-5</v>
      </c>
      <c r="Y67" s="151">
        <v>1.0000000000000001E-5</v>
      </c>
      <c r="Z67" s="151">
        <v>1.0000000000000001E-5</v>
      </c>
      <c r="AA67" s="128" t="s">
        <v>160</v>
      </c>
      <c r="AB67" s="128" t="s">
        <v>160</v>
      </c>
      <c r="AC67" s="128" t="s">
        <v>172</v>
      </c>
      <c r="AD67" s="128" t="s">
        <v>172</v>
      </c>
      <c r="AE67" s="128" t="s">
        <v>172</v>
      </c>
      <c r="AF67" s="128" t="s">
        <v>172</v>
      </c>
      <c r="AG67" s="128" t="s">
        <v>172</v>
      </c>
      <c r="AH67" s="128" t="s">
        <v>172</v>
      </c>
      <c r="AI67" s="128" t="s">
        <v>172</v>
      </c>
      <c r="AJ67" s="128" t="s">
        <v>172</v>
      </c>
      <c r="AK67" s="128" t="s">
        <v>172</v>
      </c>
      <c r="AL67" s="128" t="s">
        <v>172</v>
      </c>
      <c r="AM67" s="128" t="s">
        <v>172</v>
      </c>
      <c r="AN67" s="128" t="s">
        <v>172</v>
      </c>
      <c r="AO67" s="128" t="s">
        <v>172</v>
      </c>
      <c r="AP67" s="128" t="s">
        <v>172</v>
      </c>
      <c r="AQ67" s="128" t="s">
        <v>172</v>
      </c>
      <c r="AR67" s="128" t="s">
        <v>172</v>
      </c>
      <c r="AS67" s="128" t="s">
        <v>172</v>
      </c>
      <c r="AT67" s="128" t="s">
        <v>172</v>
      </c>
      <c r="AU67" s="128" t="s">
        <v>172</v>
      </c>
      <c r="AV67" s="128" t="s">
        <v>172</v>
      </c>
    </row>
    <row r="68" spans="1:56" ht="16.5" hidden="1" outlineLevel="1" thickBot="1">
      <c r="A68" s="9"/>
      <c r="B68" s="12" t="s">
        <v>21</v>
      </c>
      <c r="E68" s="151">
        <v>1.2999999999999999E-4</v>
      </c>
      <c r="F68" s="151">
        <v>1.2999999999999999E-4</v>
      </c>
      <c r="G68" s="151">
        <v>1.2999999999999999E-4</v>
      </c>
      <c r="H68" s="151">
        <v>1.2999999999999999E-4</v>
      </c>
      <c r="I68" s="151">
        <v>1.2999999999999999E-4</v>
      </c>
      <c r="J68" s="151">
        <v>1.2999999999999999E-4</v>
      </c>
      <c r="K68" s="151">
        <v>1.2999999999999999E-4</v>
      </c>
      <c r="L68" s="151">
        <v>1.2999999999999999E-4</v>
      </c>
      <c r="M68" s="151">
        <v>1.2999999999999999E-4</v>
      </c>
      <c r="N68" s="151">
        <v>1.2999999999999999E-4</v>
      </c>
      <c r="O68" s="151" t="s">
        <v>160</v>
      </c>
      <c r="P68" s="151" t="s">
        <v>160</v>
      </c>
      <c r="Q68" s="151">
        <v>1.0000000000000001E-5</v>
      </c>
      <c r="R68" s="151">
        <v>1.0000000000000001E-5</v>
      </c>
      <c r="S68" s="151">
        <v>1.0000000000000001E-5</v>
      </c>
      <c r="T68" s="151">
        <v>1.0000000000000001E-5</v>
      </c>
      <c r="U68" s="151">
        <v>1.0000000000000001E-5</v>
      </c>
      <c r="V68" s="151">
        <v>1.0000000000000001E-5</v>
      </c>
      <c r="W68" s="151">
        <v>1.0000000000000001E-5</v>
      </c>
      <c r="X68" s="151">
        <v>1.0000000000000001E-5</v>
      </c>
      <c r="Y68" s="151">
        <v>1.0000000000000001E-5</v>
      </c>
      <c r="Z68" s="151">
        <v>1.0000000000000001E-5</v>
      </c>
      <c r="AA68" s="128" t="s">
        <v>160</v>
      </c>
      <c r="AB68" s="128" t="s">
        <v>160</v>
      </c>
      <c r="AC68" s="128" t="s">
        <v>172</v>
      </c>
      <c r="AD68" s="128" t="s">
        <v>172</v>
      </c>
      <c r="AE68" s="128" t="s">
        <v>172</v>
      </c>
      <c r="AF68" s="128" t="s">
        <v>172</v>
      </c>
      <c r="AG68" s="128" t="s">
        <v>172</v>
      </c>
      <c r="AH68" s="128" t="s">
        <v>172</v>
      </c>
      <c r="AI68" s="128" t="s">
        <v>172</v>
      </c>
      <c r="AJ68" s="128" t="s">
        <v>172</v>
      </c>
      <c r="AK68" s="128" t="s">
        <v>172</v>
      </c>
      <c r="AL68" s="128" t="s">
        <v>172</v>
      </c>
      <c r="AM68" s="128" t="s">
        <v>172</v>
      </c>
      <c r="AN68" s="128" t="s">
        <v>172</v>
      </c>
      <c r="AO68" s="128" t="s">
        <v>172</v>
      </c>
      <c r="AP68" s="128" t="s">
        <v>172</v>
      </c>
      <c r="AQ68" s="128" t="s">
        <v>172</v>
      </c>
      <c r="AR68" s="128" t="s">
        <v>172</v>
      </c>
      <c r="AS68" s="128" t="s">
        <v>172</v>
      </c>
      <c r="AT68" s="128" t="s">
        <v>172</v>
      </c>
      <c r="AU68" s="128" t="s">
        <v>172</v>
      </c>
      <c r="AV68" s="128" t="s">
        <v>172</v>
      </c>
    </row>
    <row r="69" spans="1:56" ht="16.5" hidden="1" outlineLevel="1" thickBot="1">
      <c r="A69" s="9"/>
      <c r="B69" s="12" t="s">
        <v>22</v>
      </c>
      <c r="E69" s="151">
        <v>1.2999999999999999E-4</v>
      </c>
      <c r="F69" s="151">
        <v>1.2999999999999999E-4</v>
      </c>
      <c r="G69" s="151">
        <v>1.2999999999999999E-4</v>
      </c>
      <c r="H69" s="151">
        <v>1.2999999999999999E-4</v>
      </c>
      <c r="I69" s="151">
        <v>1.2999999999999999E-4</v>
      </c>
      <c r="J69" s="151">
        <v>1.2999999999999999E-4</v>
      </c>
      <c r="K69" s="151">
        <v>1.2999999999999999E-4</v>
      </c>
      <c r="L69" s="151">
        <v>1.2999999999999999E-4</v>
      </c>
      <c r="M69" s="151">
        <v>1.2999999999999999E-4</v>
      </c>
      <c r="N69" s="151">
        <v>1.2999999999999999E-4</v>
      </c>
      <c r="O69" s="151" t="s">
        <v>160</v>
      </c>
      <c r="P69" s="151" t="s">
        <v>160</v>
      </c>
      <c r="Q69" s="151">
        <v>1.0000000000000001E-5</v>
      </c>
      <c r="R69" s="151">
        <v>1.0000000000000001E-5</v>
      </c>
      <c r="S69" s="151">
        <v>1.0000000000000001E-5</v>
      </c>
      <c r="T69" s="151">
        <v>1.0000000000000001E-5</v>
      </c>
      <c r="U69" s="151">
        <v>1.0000000000000001E-5</v>
      </c>
      <c r="V69" s="151">
        <v>1.0000000000000001E-5</v>
      </c>
      <c r="W69" s="151">
        <v>1.0000000000000001E-5</v>
      </c>
      <c r="X69" s="151">
        <v>1.0000000000000001E-5</v>
      </c>
      <c r="Y69" s="151">
        <v>1.0000000000000001E-5</v>
      </c>
      <c r="Z69" s="151">
        <v>1.0000000000000001E-5</v>
      </c>
      <c r="AA69" s="128" t="s">
        <v>160</v>
      </c>
      <c r="AB69" s="128" t="s">
        <v>160</v>
      </c>
      <c r="AC69" s="128" t="s">
        <v>172</v>
      </c>
      <c r="AD69" s="128" t="s">
        <v>172</v>
      </c>
      <c r="AE69" s="128" t="s">
        <v>172</v>
      </c>
      <c r="AF69" s="128" t="s">
        <v>172</v>
      </c>
      <c r="AG69" s="128" t="s">
        <v>172</v>
      </c>
      <c r="AH69" s="128" t="s">
        <v>172</v>
      </c>
      <c r="AI69" s="128" t="s">
        <v>172</v>
      </c>
      <c r="AJ69" s="128" t="s">
        <v>172</v>
      </c>
      <c r="AK69" s="128" t="s">
        <v>172</v>
      </c>
      <c r="AL69" s="128" t="s">
        <v>172</v>
      </c>
      <c r="AM69" s="128" t="s">
        <v>172</v>
      </c>
      <c r="AN69" s="128" t="s">
        <v>172</v>
      </c>
      <c r="AO69" s="128" t="s">
        <v>172</v>
      </c>
      <c r="AP69" s="128" t="s">
        <v>172</v>
      </c>
      <c r="AQ69" s="128" t="s">
        <v>172</v>
      </c>
      <c r="AR69" s="128" t="s">
        <v>172</v>
      </c>
      <c r="AS69" s="128" t="s">
        <v>172</v>
      </c>
      <c r="AT69" s="128" t="s">
        <v>172</v>
      </c>
      <c r="AU69" s="128" t="s">
        <v>172</v>
      </c>
      <c r="AV69" s="128" t="s">
        <v>172</v>
      </c>
      <c r="AW69" s="130">
        <f>AW4</f>
        <v>201907</v>
      </c>
      <c r="AX69" s="156"/>
      <c r="AY69" s="31"/>
      <c r="AZ69" s="157" t="s">
        <v>171</v>
      </c>
      <c r="BA69" s="31"/>
      <c r="BB69" s="142"/>
    </row>
    <row r="70" spans="1:56" ht="15.75" hidden="1" outlineLevel="1">
      <c r="A70" s="9"/>
      <c r="B70" s="12" t="s">
        <v>37</v>
      </c>
      <c r="E70" s="151">
        <v>2.0000000000000002E-5</v>
      </c>
      <c r="F70" s="151">
        <v>2.0000000000000002E-5</v>
      </c>
      <c r="G70" s="151">
        <v>2.0000000000000002E-5</v>
      </c>
      <c r="H70" s="151">
        <v>2.0000000000000002E-5</v>
      </c>
      <c r="I70" s="151">
        <v>2.0000000000000002E-5</v>
      </c>
      <c r="J70" s="151">
        <v>2.0000000000000002E-5</v>
      </c>
      <c r="K70" s="151">
        <v>2.0000000000000002E-5</v>
      </c>
      <c r="L70" s="151">
        <v>2.0000000000000002E-5</v>
      </c>
      <c r="M70" s="151">
        <v>2.0000000000000002E-5</v>
      </c>
      <c r="N70" s="151">
        <v>2.0000000000000002E-5</v>
      </c>
      <c r="O70" s="151" t="s">
        <v>160</v>
      </c>
      <c r="P70" s="151" t="s">
        <v>160</v>
      </c>
      <c r="Q70" s="151">
        <v>0</v>
      </c>
      <c r="R70" s="151">
        <v>0</v>
      </c>
      <c r="S70" s="151">
        <v>0</v>
      </c>
      <c r="T70" s="151">
        <v>0</v>
      </c>
      <c r="U70" s="151">
        <v>0</v>
      </c>
      <c r="V70" s="151">
        <v>0</v>
      </c>
      <c r="W70" s="151">
        <v>0</v>
      </c>
      <c r="X70" s="151">
        <v>0</v>
      </c>
      <c r="Y70" s="151">
        <v>0</v>
      </c>
      <c r="Z70" s="151">
        <v>0</v>
      </c>
      <c r="AA70" s="128" t="s">
        <v>160</v>
      </c>
      <c r="AB70" s="128" t="s">
        <v>160</v>
      </c>
      <c r="AC70" s="128" t="s">
        <v>172</v>
      </c>
      <c r="AD70" s="128" t="s">
        <v>172</v>
      </c>
      <c r="AE70" s="128" t="s">
        <v>172</v>
      </c>
      <c r="AF70" s="128" t="s">
        <v>172</v>
      </c>
      <c r="AG70" s="128" t="s">
        <v>172</v>
      </c>
      <c r="AH70" s="128" t="s">
        <v>172</v>
      </c>
      <c r="AI70" s="128" t="s">
        <v>172</v>
      </c>
      <c r="AJ70" s="128" t="s">
        <v>172</v>
      </c>
      <c r="AK70" s="128" t="s">
        <v>172</v>
      </c>
      <c r="AL70" s="128" t="s">
        <v>172</v>
      </c>
      <c r="AM70" s="128" t="s">
        <v>172</v>
      </c>
      <c r="AN70" s="128" t="s">
        <v>172</v>
      </c>
      <c r="AO70" s="128" t="s">
        <v>172</v>
      </c>
      <c r="AP70" s="128" t="s">
        <v>172</v>
      </c>
      <c r="AQ70" s="128" t="s">
        <v>172</v>
      </c>
      <c r="AR70" s="128" t="s">
        <v>172</v>
      </c>
      <c r="AS70" s="128" t="s">
        <v>172</v>
      </c>
      <c r="AT70" s="128" t="s">
        <v>172</v>
      </c>
      <c r="AU70" s="128" t="s">
        <v>172</v>
      </c>
      <c r="AV70" s="128" t="s">
        <v>172</v>
      </c>
      <c r="AW70" s="34" t="s">
        <v>152</v>
      </c>
      <c r="AX70" s="78">
        <v>191025</v>
      </c>
      <c r="AY70" s="1" t="s">
        <v>141</v>
      </c>
      <c r="AZ70" s="1" t="s">
        <v>142</v>
      </c>
      <c r="BA70" s="106">
        <v>0</v>
      </c>
      <c r="BB70" s="101">
        <f>IF((SUMIF(E72:AB72,AW69,E74:AB74))&lt;0,-(SUMIF(E72:AB72,AW69,E74:AB74)),0)</f>
        <v>0</v>
      </c>
      <c r="BD70" s="97" t="str">
        <f>_xll.GLW_Segment_Description(AX70,2,2)</f>
        <v>WA GRC JACKSON PRAIRIE DEFERRAL</v>
      </c>
    </row>
    <row r="71" spans="1:56" ht="15.75" hidden="1" outlineLevel="1">
      <c r="A71" s="9" t="s">
        <v>143</v>
      </c>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34" t="s">
        <v>153</v>
      </c>
      <c r="AX71" s="78">
        <v>805110</v>
      </c>
      <c r="AY71" s="1" t="s">
        <v>141</v>
      </c>
      <c r="AZ71" s="1" t="s">
        <v>142</v>
      </c>
      <c r="BA71" s="106">
        <f>IF((SUMIF(E72:AB72,AW69,E74:AB74))&lt;0,-(SUMIF(E72:AB72,AW69,E74:AB74)),0)</f>
        <v>0</v>
      </c>
      <c r="BB71" s="101">
        <f>BA70</f>
        <v>0</v>
      </c>
      <c r="BD71" s="97" t="str">
        <f>_xll.GLW_Segment_Description(AX71,2,2)</f>
        <v>AMORTIZE RECOVERABLE GAS COSTS</v>
      </c>
    </row>
    <row r="72" spans="1:56" s="9" customFormat="1" ht="15.75" hidden="1" outlineLevel="1">
      <c r="A72" s="123">
        <v>191025</v>
      </c>
      <c r="B72" s="29" t="s">
        <v>127</v>
      </c>
      <c r="C72" s="138" t="s">
        <v>123</v>
      </c>
      <c r="D72" s="139" t="s">
        <v>124</v>
      </c>
      <c r="E72" s="123">
        <v>201601</v>
      </c>
      <c r="F72" s="123">
        <f>E72+1</f>
        <v>201602</v>
      </c>
      <c r="G72" s="123">
        <f t="shared" ref="G72:P72" si="199">F72+1</f>
        <v>201603</v>
      </c>
      <c r="H72" s="123">
        <f t="shared" si="199"/>
        <v>201604</v>
      </c>
      <c r="I72" s="123">
        <f t="shared" si="199"/>
        <v>201605</v>
      </c>
      <c r="J72" s="123">
        <f t="shared" si="199"/>
        <v>201606</v>
      </c>
      <c r="K72" s="123">
        <f t="shared" si="199"/>
        <v>201607</v>
      </c>
      <c r="L72" s="123">
        <f t="shared" si="199"/>
        <v>201608</v>
      </c>
      <c r="M72" s="123">
        <f t="shared" si="199"/>
        <v>201609</v>
      </c>
      <c r="N72" s="123">
        <f t="shared" si="199"/>
        <v>201610</v>
      </c>
      <c r="O72" s="123">
        <f t="shared" si="199"/>
        <v>201611</v>
      </c>
      <c r="P72" s="123">
        <f t="shared" si="199"/>
        <v>201612</v>
      </c>
      <c r="Q72" s="123">
        <f>Q3</f>
        <v>201701</v>
      </c>
      <c r="R72" s="123">
        <f>Q72+1</f>
        <v>201702</v>
      </c>
      <c r="S72" s="123">
        <f t="shared" ref="S72" si="200">R72+1</f>
        <v>201703</v>
      </c>
      <c r="T72" s="123">
        <f t="shared" ref="T72" si="201">S72+1</f>
        <v>201704</v>
      </c>
      <c r="U72" s="123">
        <f t="shared" ref="U72" si="202">T72+1</f>
        <v>201705</v>
      </c>
      <c r="V72" s="123">
        <f t="shared" ref="V72" si="203">U72+1</f>
        <v>201706</v>
      </c>
      <c r="W72" s="123">
        <f t="shared" ref="W72" si="204">V72+1</f>
        <v>201707</v>
      </c>
      <c r="X72" s="123">
        <f t="shared" ref="X72" si="205">W72+1</f>
        <v>201708</v>
      </c>
      <c r="Y72" s="123">
        <f t="shared" ref="Y72" si="206">X72+1</f>
        <v>201709</v>
      </c>
      <c r="Z72" s="123">
        <f t="shared" ref="Z72" si="207">Y72+1</f>
        <v>201710</v>
      </c>
      <c r="AA72" s="123">
        <f t="shared" ref="AA72" si="208">Z72+1</f>
        <v>201711</v>
      </c>
      <c r="AB72" s="123">
        <f t="shared" ref="AB72" si="209">AA72+1</f>
        <v>201712</v>
      </c>
      <c r="AC72" s="123">
        <f t="shared" ref="AC72:AG72" si="210">AC3</f>
        <v>201801</v>
      </c>
      <c r="AD72" s="123">
        <f t="shared" si="210"/>
        <v>201802</v>
      </c>
      <c r="AE72" s="123">
        <f t="shared" si="210"/>
        <v>201803</v>
      </c>
      <c r="AF72" s="123">
        <f t="shared" si="210"/>
        <v>201804</v>
      </c>
      <c r="AG72" s="123">
        <f t="shared" si="210"/>
        <v>201805</v>
      </c>
      <c r="AH72" s="123">
        <f t="shared" ref="AH72:AL72" si="211">AH3</f>
        <v>201806</v>
      </c>
      <c r="AI72" s="123">
        <f t="shared" si="211"/>
        <v>201807</v>
      </c>
      <c r="AJ72" s="123">
        <f t="shared" si="211"/>
        <v>201808</v>
      </c>
      <c r="AK72" s="123">
        <f t="shared" si="211"/>
        <v>201809</v>
      </c>
      <c r="AL72" s="123">
        <f t="shared" si="211"/>
        <v>201810</v>
      </c>
      <c r="AM72" s="123">
        <f>AM3</f>
        <v>201811</v>
      </c>
      <c r="AN72" s="123">
        <f t="shared" ref="AN72:AO72" si="212">AN3</f>
        <v>201812</v>
      </c>
      <c r="AO72" s="123">
        <f t="shared" si="212"/>
        <v>201901</v>
      </c>
      <c r="AP72" s="123">
        <f t="shared" ref="AP72:AQ72" si="213">AP3</f>
        <v>201902</v>
      </c>
      <c r="AQ72" s="123">
        <f t="shared" si="213"/>
        <v>201903</v>
      </c>
      <c r="AR72" s="123">
        <f t="shared" ref="AR72:AS72" si="214">AR3</f>
        <v>201904</v>
      </c>
      <c r="AS72" s="123">
        <f t="shared" si="214"/>
        <v>201905</v>
      </c>
      <c r="AT72" s="123" t="str">
        <f t="shared" ref="AT72:AU72" si="215">AT3</f>
        <v>201905 Revised</v>
      </c>
      <c r="AU72" s="123">
        <f t="shared" si="215"/>
        <v>201906</v>
      </c>
      <c r="AV72" s="123">
        <f t="shared" ref="AV72" si="216">AV3</f>
        <v>201907</v>
      </c>
      <c r="AW72" s="34" t="s">
        <v>140</v>
      </c>
      <c r="AX72" s="78">
        <v>191025</v>
      </c>
      <c r="AY72" s="1" t="s">
        <v>141</v>
      </c>
      <c r="AZ72" s="1" t="s">
        <v>142</v>
      </c>
      <c r="BA72" s="106">
        <f>IF((SUMIF(E72:AB72,AW69,E75:AB75))&gt;0,(SUMIF(E72:AB72,AW69,E75:AB75)),0)</f>
        <v>0</v>
      </c>
      <c r="BB72" s="101">
        <v>0</v>
      </c>
      <c r="BD72" s="97" t="str">
        <f>_xll.GLW_Segment_Description(AX72,2,2)</f>
        <v>WA GRC JACKSON PRAIRIE DEFERRAL</v>
      </c>
    </row>
    <row r="73" spans="1:56" ht="15.75" hidden="1" outlineLevel="1" thickBot="1">
      <c r="A73" s="117"/>
      <c r="B73" s="12" t="s">
        <v>125</v>
      </c>
      <c r="D73" s="97">
        <f>E73</f>
        <v>-18146.93566000001</v>
      </c>
      <c r="E73" s="97">
        <v>-18146.93566000001</v>
      </c>
      <c r="F73" s="97">
        <f t="shared" ref="F73:M73" si="217">E76</f>
        <v>-14523.147320000011</v>
      </c>
      <c r="G73" s="97">
        <f t="shared" si="217"/>
        <v>-11852.264220000012</v>
      </c>
      <c r="H73" s="97">
        <f t="shared" si="217"/>
        <v>-9512.6003600000113</v>
      </c>
      <c r="I73" s="97">
        <f t="shared" si="217"/>
        <v>-8373.7282900000118</v>
      </c>
      <c r="J73" s="97">
        <f t="shared" si="217"/>
        <v>-7543.4780600000122</v>
      </c>
      <c r="K73" s="97">
        <f t="shared" si="217"/>
        <v>-6882.1108900000127</v>
      </c>
      <c r="L73" s="97">
        <f t="shared" si="217"/>
        <v>-6303.9779800000124</v>
      </c>
      <c r="M73" s="97">
        <f t="shared" si="217"/>
        <v>-5710.3492900000119</v>
      </c>
      <c r="N73" s="97">
        <f>M76</f>
        <v>-4950.5876300000118</v>
      </c>
      <c r="O73" s="97">
        <f>N76</f>
        <v>-3439.8164200000119</v>
      </c>
      <c r="P73" s="97">
        <f>O76</f>
        <v>-4198.8164200000119</v>
      </c>
      <c r="Q73" s="97">
        <f>P76</f>
        <v>-4496.8164200000119</v>
      </c>
      <c r="R73" s="97">
        <f>Q76</f>
        <v>-3535.3396800000119</v>
      </c>
      <c r="S73" s="97">
        <f t="shared" ref="S73" si="218">R76</f>
        <v>-3207.3496000000118</v>
      </c>
      <c r="T73" s="97">
        <f t="shared" ref="T73" si="219">S76</f>
        <v>-2950.953460000012</v>
      </c>
      <c r="U73" s="97">
        <f t="shared" ref="U73" si="220">T76</f>
        <v>-2816.1794800000121</v>
      </c>
      <c r="V73" s="97">
        <f t="shared" ref="V73" si="221">U76</f>
        <v>-2746.9060200000122</v>
      </c>
      <c r="W73" s="97">
        <f t="shared" ref="W73" si="222">V76</f>
        <v>-2697.8715700000121</v>
      </c>
      <c r="X73" s="97">
        <f t="shared" ref="X73" si="223">W76</f>
        <v>-2653.6695400000121</v>
      </c>
      <c r="Y73" s="97" t="e">
        <f t="shared" ref="Y73" si="224">X76</f>
        <v>#REF!</v>
      </c>
      <c r="Z73" s="97" t="e">
        <f>Y76</f>
        <v>#REF!</v>
      </c>
      <c r="AA73" s="97" t="e">
        <f>Z76</f>
        <v>#REF!</v>
      </c>
      <c r="AB73" s="97" t="e">
        <f>AA76</f>
        <v>#REF!</v>
      </c>
      <c r="AC73" s="97" t="e">
        <f>AA76</f>
        <v>#REF!</v>
      </c>
      <c r="AD73" s="97" t="e">
        <f>AB76</f>
        <v>#REF!</v>
      </c>
      <c r="AE73" s="97" t="e">
        <f>AC76</f>
        <v>#REF!</v>
      </c>
      <c r="AF73" s="97" t="e">
        <f>AD76</f>
        <v>#REF!</v>
      </c>
      <c r="AG73" s="97" t="e">
        <f>AB76</f>
        <v>#REF!</v>
      </c>
      <c r="AH73" s="97" t="e">
        <f>AB76</f>
        <v>#REF!</v>
      </c>
      <c r="AI73" s="97" t="e">
        <f>Y76</f>
        <v>#REF!</v>
      </c>
      <c r="AJ73" s="97" t="e">
        <f t="shared" ref="AJ73:AL73" si="225">Z76</f>
        <v>#REF!</v>
      </c>
      <c r="AK73" s="97" t="e">
        <f t="shared" si="225"/>
        <v>#REF!</v>
      </c>
      <c r="AL73" s="97" t="e">
        <f t="shared" si="225"/>
        <v>#REF!</v>
      </c>
      <c r="AM73" s="97" t="e">
        <f>AC76</f>
        <v>#REF!</v>
      </c>
      <c r="AN73" s="97" t="e">
        <f>AC76</f>
        <v>#REF!</v>
      </c>
      <c r="AO73" s="97" t="e">
        <f>AD76</f>
        <v>#REF!</v>
      </c>
      <c r="AP73" s="97" t="e">
        <f t="shared" ref="AP73:AV73" si="226">AD76</f>
        <v>#REF!</v>
      </c>
      <c r="AQ73" s="97" t="e">
        <f t="shared" si="226"/>
        <v>#REF!</v>
      </c>
      <c r="AR73" s="97" t="e">
        <f t="shared" si="226"/>
        <v>#REF!</v>
      </c>
      <c r="AS73" s="97" t="e">
        <f t="shared" si="226"/>
        <v>#REF!</v>
      </c>
      <c r="AT73" s="97" t="e">
        <f t="shared" si="226"/>
        <v>#REF!</v>
      </c>
      <c r="AU73" s="97" t="e">
        <f t="shared" si="226"/>
        <v>#REF!</v>
      </c>
      <c r="AV73" s="97" t="e">
        <f t="shared" si="226"/>
        <v>#REF!</v>
      </c>
      <c r="AW73" s="34" t="s">
        <v>140</v>
      </c>
      <c r="AX73" s="78">
        <v>426500</v>
      </c>
      <c r="AY73" s="1" t="s">
        <v>170</v>
      </c>
      <c r="AZ73" s="1" t="s">
        <v>170</v>
      </c>
      <c r="BA73" s="106">
        <v>0</v>
      </c>
      <c r="BB73" s="101">
        <f>BA72</f>
        <v>0</v>
      </c>
      <c r="BD73" s="97" t="str">
        <f>_xll.GLW_Segment_Description(AX73,2,2)</f>
        <v>MISC INCOME DEDUCTIONS-OTHER DEDUCT</v>
      </c>
    </row>
    <row r="74" spans="1:56" ht="15.75" hidden="1" outlineLevel="1" thickBot="1">
      <c r="B74" s="12" t="s">
        <v>8</v>
      </c>
      <c r="C74" s="97" t="e">
        <f>SUM(Q74:AB74)</f>
        <v>#REF!</v>
      </c>
      <c r="D74" s="97" t="e">
        <f>SUM(E74:AB74)</f>
        <v>#REF!</v>
      </c>
      <c r="E74" s="97">
        <v>3623.7883399999996</v>
      </c>
      <c r="F74" s="97">
        <v>2670.8831</v>
      </c>
      <c r="G74" s="97">
        <v>2339.6638599999997</v>
      </c>
      <c r="H74" s="97">
        <v>1138.8720699999999</v>
      </c>
      <c r="I74" s="97">
        <v>830.25022999999999</v>
      </c>
      <c r="J74" s="97">
        <v>661.36716999999987</v>
      </c>
      <c r="K74" s="97">
        <v>578.13290999999992</v>
      </c>
      <c r="L74" s="97">
        <v>593.62869000000012</v>
      </c>
      <c r="M74" s="97">
        <v>759.76165999999989</v>
      </c>
      <c r="N74" s="97">
        <v>1510.7712100000001</v>
      </c>
      <c r="O74" s="97">
        <v>-759</v>
      </c>
      <c r="P74" s="97">
        <v>-298</v>
      </c>
      <c r="Q74" s="97">
        <f>SUMPRODUCT(Q49:Q57,Q62:Q70)</f>
        <v>365.47674000000006</v>
      </c>
      <c r="R74" s="97">
        <f>SUMPRODUCT(R49:R57,R62:R70)</f>
        <v>327.99008000000003</v>
      </c>
      <c r="S74" s="97">
        <f>SUMPRODUCT(S49:S57,S62:S70)</f>
        <v>256.39614</v>
      </c>
      <c r="T74" s="97">
        <f>SUMPRODUCT(T49:T57,T62:T70)</f>
        <v>134.77397999999999</v>
      </c>
      <c r="U74" s="97">
        <f t="shared" ref="U74" si="227">SUMPRODUCT(U49:U57,U62:U70)</f>
        <v>69.273459999999986</v>
      </c>
      <c r="V74" s="97">
        <f>SUMPRODUCT(V49:V57,V62:V70)</f>
        <v>49.034450000000007</v>
      </c>
      <c r="W74" s="97">
        <f>SUMPRODUCT(W49:W57,W62:W70)</f>
        <v>44.202030000000001</v>
      </c>
      <c r="X74" s="97" t="e">
        <f>SUMPRODUCT(X49:X57,X62:X70)</f>
        <v>#REF!</v>
      </c>
      <c r="Y74" s="97" t="e">
        <f>SUMPRODUCT(Y49:Y57,Y62:Y70)</f>
        <v>#REF!</v>
      </c>
      <c r="Z74" s="97" t="e">
        <f>SUMPRODUCT(Z49:Z57,Z62:Z70)</f>
        <v>#REF!</v>
      </c>
      <c r="AA74" s="12">
        <v>-83</v>
      </c>
      <c r="AB74" s="97">
        <v>0</v>
      </c>
      <c r="AC74" s="97">
        <v>0</v>
      </c>
      <c r="AD74" s="97">
        <v>0</v>
      </c>
      <c r="AE74" s="97">
        <v>0</v>
      </c>
      <c r="AF74" s="97">
        <v>0</v>
      </c>
      <c r="AG74" s="97">
        <v>0</v>
      </c>
      <c r="AH74" s="97">
        <v>0</v>
      </c>
      <c r="AI74" s="97">
        <v>0</v>
      </c>
      <c r="AJ74" s="97">
        <v>0</v>
      </c>
      <c r="AK74" s="97">
        <v>0</v>
      </c>
      <c r="AL74" s="97">
        <v>0</v>
      </c>
      <c r="AM74" s="97">
        <v>0</v>
      </c>
      <c r="AN74" s="97">
        <v>0</v>
      </c>
      <c r="AO74" s="97">
        <v>0</v>
      </c>
      <c r="AP74" s="97">
        <v>0</v>
      </c>
      <c r="AQ74" s="97">
        <v>0</v>
      </c>
      <c r="AR74" s="97">
        <v>0</v>
      </c>
      <c r="AS74" s="97">
        <v>0</v>
      </c>
      <c r="AT74" s="97">
        <v>0</v>
      </c>
      <c r="AU74" s="97">
        <v>0</v>
      </c>
      <c r="AV74" s="97">
        <v>0</v>
      </c>
      <c r="AW74" s="158"/>
      <c r="AX74" s="156"/>
      <c r="AY74" s="31"/>
      <c r="AZ74" s="31"/>
      <c r="BA74" s="31" t="s">
        <v>94</v>
      </c>
      <c r="BB74" s="142">
        <f>SUM(BA70:BA73)-SUM(BB70:BB73)</f>
        <v>0</v>
      </c>
    </row>
    <row r="75" spans="1:56" hidden="1" outlineLevel="1">
      <c r="B75" s="12" t="s">
        <v>87</v>
      </c>
      <c r="C75" s="97">
        <f>SUM(Q75:AB75)</f>
        <v>3209.97</v>
      </c>
      <c r="D75" s="153">
        <f>SUM(E75:AB75)</f>
        <v>3209.97</v>
      </c>
      <c r="E75" s="97">
        <v>0</v>
      </c>
      <c r="F75" s="97">
        <v>0</v>
      </c>
      <c r="G75" s="97">
        <v>0</v>
      </c>
      <c r="H75" s="97">
        <v>0</v>
      </c>
      <c r="I75" s="97">
        <v>0</v>
      </c>
      <c r="J75" s="97">
        <v>0</v>
      </c>
      <c r="K75" s="97">
        <v>0</v>
      </c>
      <c r="L75" s="97">
        <v>0</v>
      </c>
      <c r="M75" s="97">
        <v>0</v>
      </c>
      <c r="N75" s="97">
        <v>0</v>
      </c>
      <c r="O75" s="97">
        <v>0</v>
      </c>
      <c r="P75" s="97">
        <v>0</v>
      </c>
      <c r="Q75" s="97">
        <f>298+298</f>
        <v>596</v>
      </c>
      <c r="R75" s="97">
        <v>0</v>
      </c>
      <c r="S75" s="97">
        <v>0</v>
      </c>
      <c r="T75" s="97">
        <v>0</v>
      </c>
      <c r="U75" s="97">
        <v>0</v>
      </c>
      <c r="V75" s="97">
        <v>0</v>
      </c>
      <c r="W75" s="97">
        <v>0</v>
      </c>
      <c r="X75" s="97">
        <v>0</v>
      </c>
      <c r="Y75" s="97">
        <v>0</v>
      </c>
      <c r="Z75" s="97">
        <v>0</v>
      </c>
      <c r="AA75" s="97">
        <v>2613.9699999999998</v>
      </c>
      <c r="AB75" s="97">
        <v>0</v>
      </c>
      <c r="AC75" s="97">
        <v>0</v>
      </c>
      <c r="AD75" s="97">
        <v>0</v>
      </c>
      <c r="AE75" s="97">
        <v>0</v>
      </c>
      <c r="AF75" s="97">
        <v>0</v>
      </c>
      <c r="AG75" s="97">
        <v>0</v>
      </c>
      <c r="AH75" s="97">
        <v>0</v>
      </c>
      <c r="AI75" s="97">
        <v>0</v>
      </c>
      <c r="AJ75" s="97">
        <v>0</v>
      </c>
      <c r="AK75" s="97">
        <v>0</v>
      </c>
      <c r="AL75" s="97">
        <v>0</v>
      </c>
      <c r="AM75" s="97">
        <v>0</v>
      </c>
      <c r="AN75" s="97">
        <v>0</v>
      </c>
      <c r="AO75" s="97">
        <v>0</v>
      </c>
      <c r="AP75" s="97">
        <v>0</v>
      </c>
      <c r="AQ75" s="97">
        <v>0</v>
      </c>
      <c r="AR75" s="97">
        <v>0</v>
      </c>
      <c r="AS75" s="97">
        <v>0</v>
      </c>
      <c r="AT75" s="97">
        <v>0</v>
      </c>
      <c r="AU75" s="97">
        <v>0</v>
      </c>
      <c r="AV75" s="97">
        <v>0</v>
      </c>
    </row>
    <row r="76" spans="1:56" ht="16.5" hidden="1" outlineLevel="1" thickBot="1">
      <c r="B76" s="12" t="s">
        <v>25</v>
      </c>
      <c r="C76" s="121" t="e">
        <f>SUM(C74:C75)</f>
        <v>#REF!</v>
      </c>
      <c r="D76" s="121" t="e">
        <f>SUM(D73:D75)</f>
        <v>#REF!</v>
      </c>
      <c r="E76" s="121">
        <v>-14523.147320000011</v>
      </c>
      <c r="F76" s="121">
        <f t="shared" ref="F76:P76" si="228">SUM(F73:F75)</f>
        <v>-11852.264220000012</v>
      </c>
      <c r="G76" s="121">
        <f t="shared" si="228"/>
        <v>-9512.6003600000113</v>
      </c>
      <c r="H76" s="121">
        <f t="shared" si="228"/>
        <v>-8373.7282900000118</v>
      </c>
      <c r="I76" s="121">
        <f t="shared" si="228"/>
        <v>-7543.4780600000122</v>
      </c>
      <c r="J76" s="121">
        <f t="shared" si="228"/>
        <v>-6882.1108900000127</v>
      </c>
      <c r="K76" s="121">
        <f t="shared" si="228"/>
        <v>-6303.9779800000124</v>
      </c>
      <c r="L76" s="121">
        <f t="shared" si="228"/>
        <v>-5710.3492900000119</v>
      </c>
      <c r="M76" s="121">
        <f t="shared" si="228"/>
        <v>-4950.5876300000118</v>
      </c>
      <c r="N76" s="121">
        <f t="shared" si="228"/>
        <v>-3439.8164200000119</v>
      </c>
      <c r="O76" s="121">
        <f t="shared" si="228"/>
        <v>-4198.8164200000119</v>
      </c>
      <c r="P76" s="121">
        <f t="shared" si="228"/>
        <v>-4496.8164200000119</v>
      </c>
      <c r="Q76" s="121">
        <f>SUM(Q73:Q75)</f>
        <v>-3535.3396800000119</v>
      </c>
      <c r="R76" s="121">
        <f>SUM(R73:R75)</f>
        <v>-3207.3496000000118</v>
      </c>
      <c r="S76" s="121">
        <f t="shared" ref="S76:AB76" si="229">SUM(S73:S75)</f>
        <v>-2950.953460000012</v>
      </c>
      <c r="T76" s="121">
        <f t="shared" si="229"/>
        <v>-2816.1794800000121</v>
      </c>
      <c r="U76" s="121">
        <f t="shared" si="229"/>
        <v>-2746.9060200000122</v>
      </c>
      <c r="V76" s="121">
        <f t="shared" si="229"/>
        <v>-2697.8715700000121</v>
      </c>
      <c r="W76" s="121">
        <f t="shared" si="229"/>
        <v>-2653.6695400000121</v>
      </c>
      <c r="X76" s="121" t="e">
        <f t="shared" si="229"/>
        <v>#REF!</v>
      </c>
      <c r="Y76" s="121" t="e">
        <f t="shared" si="229"/>
        <v>#REF!</v>
      </c>
      <c r="Z76" s="121" t="e">
        <f t="shared" si="229"/>
        <v>#REF!</v>
      </c>
      <c r="AA76" s="121" t="e">
        <f t="shared" si="229"/>
        <v>#REF!</v>
      </c>
      <c r="AB76" s="121" t="e">
        <f t="shared" si="229"/>
        <v>#REF!</v>
      </c>
      <c r="AC76" s="121" t="e">
        <f t="shared" ref="AC76:AD76" si="230">SUM(AC73:AC75)</f>
        <v>#REF!</v>
      </c>
      <c r="AD76" s="121" t="e">
        <f t="shared" si="230"/>
        <v>#REF!</v>
      </c>
      <c r="AE76" s="121" t="e">
        <f t="shared" ref="AE76" si="231">SUM(AE73:AE75)</f>
        <v>#REF!</v>
      </c>
      <c r="AF76" s="121" t="e">
        <f>SUM(AF73:AF75)</f>
        <v>#REF!</v>
      </c>
      <c r="AG76" s="121" t="e">
        <f t="shared" ref="AG76" si="232">SUM(AG73:AG75)</f>
        <v>#REF!</v>
      </c>
      <c r="AH76" s="121" t="e">
        <f t="shared" ref="AH76:AL76" si="233">SUM(AH73:AH75)</f>
        <v>#REF!</v>
      </c>
      <c r="AI76" s="121" t="e">
        <f t="shared" si="233"/>
        <v>#REF!</v>
      </c>
      <c r="AJ76" s="121" t="e">
        <f t="shared" si="233"/>
        <v>#REF!</v>
      </c>
      <c r="AK76" s="121" t="e">
        <f t="shared" si="233"/>
        <v>#REF!</v>
      </c>
      <c r="AL76" s="121" t="e">
        <f t="shared" si="233"/>
        <v>#REF!</v>
      </c>
      <c r="AM76" s="121" t="e">
        <f>SUM(AM73:AM75)</f>
        <v>#REF!</v>
      </c>
      <c r="AN76" s="121" t="e">
        <f t="shared" ref="AN76:AO76" si="234">SUM(AN73:AN75)</f>
        <v>#REF!</v>
      </c>
      <c r="AO76" s="121" t="e">
        <f t="shared" si="234"/>
        <v>#REF!</v>
      </c>
      <c r="AP76" s="121" t="e">
        <f t="shared" ref="AP76:AQ76" si="235">SUM(AP73:AP75)</f>
        <v>#REF!</v>
      </c>
      <c r="AQ76" s="121" t="e">
        <f t="shared" si="235"/>
        <v>#REF!</v>
      </c>
      <c r="AR76" s="121" t="e">
        <f t="shared" ref="AR76:AS76" si="236">SUM(AR73:AR75)</f>
        <v>#REF!</v>
      </c>
      <c r="AS76" s="121" t="e">
        <f t="shared" si="236"/>
        <v>#REF!</v>
      </c>
      <c r="AT76" s="121" t="e">
        <f t="shared" ref="AT76:AU76" si="237">SUM(AT73:AT75)</f>
        <v>#REF!</v>
      </c>
      <c r="AU76" s="121" t="e">
        <f t="shared" si="237"/>
        <v>#REF!</v>
      </c>
      <c r="AV76" s="121" t="e">
        <f t="shared" ref="AV76" si="238">SUM(AV73:AV75)</f>
        <v>#REF!</v>
      </c>
    </row>
    <row r="77" spans="1:56" ht="15.75" hidden="1" outlineLevel="1" thickTop="1">
      <c r="B77" s="12" t="s">
        <v>131</v>
      </c>
      <c r="D77" s="97">
        <f>_xll.Get_Balance(AB72,"YTD","USD","Total","A","","001",$A$72,"GD","WA","DL")</f>
        <v>0</v>
      </c>
      <c r="E77" s="97">
        <v>-14523.15</v>
      </c>
      <c r="F77" s="97">
        <f>_xll.Get_Balance(F72,"YTD","USD","Total","A","","001",$A$72,"GD","WA","DL")</f>
        <v>-11852.27</v>
      </c>
      <c r="G77" s="97">
        <f>_xll.Get_Balance(G72,"YTD","USD","Total","A","","001",$A$72,"GD","WA","DL")</f>
        <v>-9512.61</v>
      </c>
      <c r="H77" s="97">
        <f>_xll.Get_Balance(H72,"YTD","USD","Total","A","","001",$A$72,"GD","WA","DL")</f>
        <v>-8373.74</v>
      </c>
      <c r="I77" s="97">
        <f>_xll.Get_Balance(I72,"YTD","USD","Total","A","","001",$A$72,"GD","WA","DL")</f>
        <v>-7543.49</v>
      </c>
      <c r="J77" s="97">
        <f>_xll.Get_Balance(J72,"YTD","USD","Total","A","","001",$A$72,"GD","WA","DL")</f>
        <v>-6882.12</v>
      </c>
      <c r="K77" s="97">
        <f>_xll.Get_Balance(K72,"YTD","USD","Total","A","","001",$A$72,"GD","WA","DL")</f>
        <v>-6303.99</v>
      </c>
      <c r="L77" s="97">
        <f>_xll.Get_Balance(L72,"YTD","USD","Total","A","","001",$A$72,"GD","WA","DL")</f>
        <v>-5710.36</v>
      </c>
      <c r="M77" s="97">
        <f>_xll.Get_Balance(M72,"YTD","USD","Total","A","","001",$A$72,"GD","WA","DL")</f>
        <v>-4950.6000000000004</v>
      </c>
      <c r="N77" s="97">
        <f>_xll.Get_Balance(N72,"YTD","USD","Total","A","","001",$A$72,"GD","WA","DL")</f>
        <v>-3439.83</v>
      </c>
      <c r="O77" s="97">
        <f>_xll.Get_Balance(O72,"YTD","USD","Total","A","","001",$A$72,"GD","WA","DL")</f>
        <v>-4198.83</v>
      </c>
      <c r="P77" s="97">
        <f>_xll.Get_Balance(P72,"YTD","USD","Total","A","","001",$A$72,"GD","WA","DL")</f>
        <v>-4496.83</v>
      </c>
      <c r="Q77" s="97">
        <f>_xll.Get_Balance(Q72,"YTD","USD","Total","A","","001",$A$72,"GD","WA","DL")</f>
        <v>-3535.35</v>
      </c>
      <c r="R77" s="97">
        <f>_xll.Get_Balance(R72,"YTD","USD","Total","A","","001",$A$72,"GD","WA","DL")</f>
        <v>-3265.04</v>
      </c>
      <c r="S77" s="97">
        <f>_xll.Get_Balance(S72,"YTD","USD","Total","A","","001",$A$72,"GD","WA","DL")</f>
        <v>-3060.71</v>
      </c>
      <c r="T77" s="97">
        <f>_xll.Get_Balance(T72,"YTD","USD","Total","A","","001",$A$72,"GD","WA","DL")</f>
        <v>-2919.81</v>
      </c>
      <c r="U77" s="97">
        <f>_xll.Get_Balance(U72,"YTD","USD","Total","A","","001",$A$72,"GD","WA","DL")</f>
        <v>-2842.03</v>
      </c>
      <c r="V77" s="97">
        <f>_xll.Get_Balance(V72,"YTD","USD","Total","A","","001",$A$72,"GD","WA","DL")</f>
        <v>-2794.18</v>
      </c>
      <c r="W77" s="97">
        <f>_xll.Get_Balance(W72,"YTD","USD","Total","A","","001",$A$72,"GD","WA","DL")</f>
        <v>-2755.12</v>
      </c>
      <c r="X77" s="97">
        <f>_xll.Get_Balance(X72,"YTD","USD","Total","A","","001",$A$72,"GD","WA","DL")</f>
        <v>-2716.25</v>
      </c>
      <c r="Y77" s="97">
        <f>_xll.Get_Balance(Y72,"YTD","USD","Total","A","","001",$A$72,"GD","WA","DL")</f>
        <v>-2659.02</v>
      </c>
      <c r="Z77" s="97">
        <f>_xll.Get_Balance(Z72,"YTD","USD","Total","A","","001",$A$72,"GD","WA","DL")</f>
        <v>-2530.9899999999998</v>
      </c>
      <c r="AA77" s="97">
        <f>_xll.Get_Balance(AA72,"YTD","USD","Total","A","","001",$A$72,"GD","WA","DL")</f>
        <v>0</v>
      </c>
      <c r="AB77" s="97">
        <f>_xll.Get_Balance(AB72,"YTD","USD","Total","A","","001",$A$72,"GD","WA","DL")</f>
        <v>0</v>
      </c>
      <c r="AC77" s="97">
        <f>_xll.Get_Balance(AC72,"YTD","USD","Total","A","","001",$A$72,"GD","WA","DL")</f>
        <v>0</v>
      </c>
      <c r="AD77" s="97">
        <f>_xll.Get_Balance(AD72,"YTD","USD","Total","A","","001",$A$72,"GD","WA","DL")</f>
        <v>0</v>
      </c>
      <c r="AE77" s="97">
        <f>_xll.Get_Balance(AE72,"YTD","USD","Total","A","","001",$A$72,"GD","WA","DL")</f>
        <v>0</v>
      </c>
      <c r="AF77" s="97">
        <f>_xll.Get_Balance(AF72,"YTD","USD","Total","A","","001",$A$72,"GD","WA","DL")</f>
        <v>0</v>
      </c>
      <c r="AG77" s="97">
        <f>_xll.Get_Balance(AG72,"YTD","USD","Total","A","","001",$A$72,"GD","WA","DL")</f>
        <v>0</v>
      </c>
      <c r="AH77" s="97">
        <f>_xll.Get_Balance(AH72,"YTD","USD","Total","A","","001",$A$72,"GD","WA","DL")</f>
        <v>0</v>
      </c>
      <c r="AI77" s="97">
        <f>_xll.Get_Balance(AI72,"YTD","USD","Total","A","","001",$A$72,"GD","WA","DL")</f>
        <v>0</v>
      </c>
      <c r="AJ77" s="97">
        <f>_xll.Get_Balance(AJ72,"YTD","USD","Total","A","","001",$A$72,"GD","WA","DL")</f>
        <v>0</v>
      </c>
      <c r="AK77" s="97">
        <f>_xll.Get_Balance(AK72,"YTD","USD","Total","A","","001",$A$72,"GD","WA","DL")</f>
        <v>0</v>
      </c>
      <c r="AL77" s="97">
        <f>_xll.Get_Balance(AL72,"YTD","USD","Total","A","","001",$A$72,"GD","WA","DL")</f>
        <v>0</v>
      </c>
      <c r="AM77" s="97">
        <f>_xll.Get_Balance(AM72,"YTD","USD","Total","A","","001",$A$72,"GD","WA","DL")</f>
        <v>0</v>
      </c>
      <c r="AN77" s="97">
        <f>_xll.Get_Balance(AN72,"YTD","USD","Total","A","","001",$A$72,"GD","WA","DL")</f>
        <v>0</v>
      </c>
      <c r="AO77" s="97">
        <f>_xll.Get_Balance(AO72,"YTD","USD","Total","A","","001",$A$72,"GD","WA","DL")</f>
        <v>0</v>
      </c>
      <c r="AP77" s="97">
        <f>_xll.Get_Balance(AP72,"YTD","USD","Total","A","","001",$A$72,"GD","WA","DL")</f>
        <v>0</v>
      </c>
      <c r="AQ77" s="97">
        <f>_xll.Get_Balance(AQ72,"YTD","USD","Total","A","","001",$A$72,"GD","WA","DL")</f>
        <v>0</v>
      </c>
      <c r="AR77" s="97">
        <f>_xll.Get_Balance(AR72,"YTD","USD","Total","A","","001",$A$72,"GD","WA","DL")</f>
        <v>0</v>
      </c>
      <c r="AS77" s="97">
        <f>_xll.Get_Balance(AS72,"YTD","USD","Total","A","","001",$A$72,"GD","WA","DL")</f>
        <v>0</v>
      </c>
      <c r="AT77" s="97" t="str">
        <f>_xll.Get_Balance(AT72,"YTD","USD","Total","A","","001",$A$72,"GD","WA","DL")</f>
        <v>Error (Period)</v>
      </c>
      <c r="AU77" s="97">
        <f>_xll.Get_Balance(AU72,"YTD","USD","Total","A","","001",$A$72,"GD","WA","DL")</f>
        <v>0</v>
      </c>
      <c r="AV77" s="97">
        <f>_xll.Get_Balance(AV72,"YTD","USD","Total","A","","001",$A$72,"GD","WA","DL")</f>
        <v>0</v>
      </c>
    </row>
    <row r="78" spans="1:56" hidden="1" outlineLevel="1">
      <c r="B78" s="12" t="s">
        <v>122</v>
      </c>
      <c r="E78" s="97">
        <v>2.6799999886861769E-3</v>
      </c>
      <c r="F78" s="97">
        <f t="shared" ref="F78:P78" si="239">F76-F77</f>
        <v>5.7799999885901343E-3</v>
      </c>
      <c r="G78" s="97">
        <f t="shared" si="239"/>
        <v>9.6399999893037602E-3</v>
      </c>
      <c r="H78" s="97">
        <f t="shared" si="239"/>
        <v>1.1709999987942865E-2</v>
      </c>
      <c r="I78" s="97">
        <f t="shared" si="239"/>
        <v>1.1939999987589545E-2</v>
      </c>
      <c r="J78" s="97">
        <f t="shared" si="239"/>
        <v>9.1099999872312765E-3</v>
      </c>
      <c r="K78" s="97">
        <f t="shared" si="239"/>
        <v>1.2019999987387564E-2</v>
      </c>
      <c r="L78" s="97">
        <f t="shared" si="239"/>
        <v>1.0709999987739138E-2</v>
      </c>
      <c r="M78" s="97">
        <f t="shared" si="239"/>
        <v>1.2369999988550262E-2</v>
      </c>
      <c r="N78" s="97">
        <f t="shared" si="239"/>
        <v>1.3579999987996416E-2</v>
      </c>
      <c r="O78" s="97">
        <f t="shared" si="239"/>
        <v>1.3579999987996416E-2</v>
      </c>
      <c r="P78" s="97">
        <f t="shared" si="239"/>
        <v>1.3579999987996416E-2</v>
      </c>
      <c r="Q78" s="97">
        <f>Q76-Q77</f>
        <v>1.0319999988041673E-2</v>
      </c>
      <c r="R78" s="97">
        <f t="shared" ref="R78:AB78" si="240">R76-R77</f>
        <v>57.690399999988131</v>
      </c>
      <c r="S78" s="97">
        <f t="shared" si="240"/>
        <v>109.75653999998804</v>
      </c>
      <c r="T78" s="97">
        <f t="shared" si="240"/>
        <v>103.63051999998788</v>
      </c>
      <c r="U78" s="97">
        <f t="shared" si="240"/>
        <v>95.123979999988023</v>
      </c>
      <c r="V78" s="97">
        <f t="shared" si="240"/>
        <v>96.308429999987766</v>
      </c>
      <c r="W78" s="97">
        <f>W76-W77</f>
        <v>101.45045999998774</v>
      </c>
      <c r="X78" s="97" t="e">
        <f t="shared" si="240"/>
        <v>#REF!</v>
      </c>
      <c r="Y78" s="97" t="e">
        <f t="shared" si="240"/>
        <v>#REF!</v>
      </c>
      <c r="Z78" s="97" t="e">
        <f t="shared" si="240"/>
        <v>#REF!</v>
      </c>
      <c r="AA78" s="97" t="e">
        <f t="shared" si="240"/>
        <v>#REF!</v>
      </c>
      <c r="AB78" s="97" t="e">
        <f t="shared" si="240"/>
        <v>#REF!</v>
      </c>
      <c r="AC78" s="97" t="e">
        <f t="shared" ref="AC78:AD78" si="241">AC76-AC77</f>
        <v>#REF!</v>
      </c>
      <c r="AD78" s="97" t="e">
        <f t="shared" si="241"/>
        <v>#REF!</v>
      </c>
      <c r="AE78" s="97" t="e">
        <f t="shared" ref="AE78" si="242">AE76-AE77</f>
        <v>#REF!</v>
      </c>
      <c r="AF78" s="97" t="e">
        <f>AF76-AF77</f>
        <v>#REF!</v>
      </c>
      <c r="AG78" s="97" t="e">
        <f t="shared" ref="AG78" si="243">AG76-AG77</f>
        <v>#REF!</v>
      </c>
      <c r="AH78" s="97" t="e">
        <f t="shared" ref="AH78:AL78" si="244">AH76-AH77</f>
        <v>#REF!</v>
      </c>
      <c r="AI78" s="97" t="e">
        <f t="shared" si="244"/>
        <v>#REF!</v>
      </c>
      <c r="AJ78" s="97" t="e">
        <f t="shared" si="244"/>
        <v>#REF!</v>
      </c>
      <c r="AK78" s="97" t="e">
        <f t="shared" si="244"/>
        <v>#REF!</v>
      </c>
      <c r="AL78" s="97" t="e">
        <f t="shared" si="244"/>
        <v>#REF!</v>
      </c>
      <c r="AM78" s="97" t="e">
        <f>AM76-AM77</f>
        <v>#REF!</v>
      </c>
      <c r="AN78" s="97" t="e">
        <f t="shared" ref="AN78:AO78" si="245">AN76-AN77</f>
        <v>#REF!</v>
      </c>
      <c r="AO78" s="97" t="e">
        <f t="shared" si="245"/>
        <v>#REF!</v>
      </c>
      <c r="AP78" s="97" t="e">
        <f t="shared" ref="AP78:AQ78" si="246">AP76-AP77</f>
        <v>#REF!</v>
      </c>
      <c r="AQ78" s="97" t="e">
        <f t="shared" si="246"/>
        <v>#REF!</v>
      </c>
      <c r="AR78" s="97" t="e">
        <f t="shared" ref="AR78:AS78" si="247">AR76-AR77</f>
        <v>#REF!</v>
      </c>
      <c r="AS78" s="97" t="e">
        <f t="shared" si="247"/>
        <v>#REF!</v>
      </c>
      <c r="AT78" s="97" t="e">
        <f t="shared" ref="AT78:AU78" si="248">AT76-AT77</f>
        <v>#REF!</v>
      </c>
      <c r="AU78" s="97" t="e">
        <f t="shared" si="248"/>
        <v>#REF!</v>
      </c>
      <c r="AV78" s="97" t="e">
        <f t="shared" ref="AV78" si="249">AV76-AV77</f>
        <v>#REF!</v>
      </c>
    </row>
    <row r="79" spans="1:56" collapsed="1"/>
    <row r="80" spans="1:56" ht="15.75">
      <c r="A80" s="9"/>
    </row>
    <row r="81" spans="1:48" ht="15.75">
      <c r="A81" s="9"/>
    </row>
    <row r="82" spans="1:48" ht="15.75">
      <c r="A82" s="123"/>
      <c r="B82" s="29"/>
      <c r="C82" s="138"/>
      <c r="D82" s="138"/>
      <c r="AM82" s="123"/>
      <c r="AN82" s="123"/>
      <c r="AO82" s="123"/>
      <c r="AP82" s="123"/>
      <c r="AQ82" s="123"/>
      <c r="AR82" s="123"/>
      <c r="AS82" s="123"/>
      <c r="AT82" s="123"/>
      <c r="AU82" s="123"/>
      <c r="AV82" s="123"/>
    </row>
    <row r="83" spans="1:48" ht="15.75">
      <c r="A83" s="9"/>
      <c r="D83" s="125"/>
      <c r="AM83" s="123"/>
      <c r="AN83" s="123"/>
      <c r="AO83" s="123"/>
      <c r="AP83" s="123"/>
      <c r="AQ83" s="123"/>
      <c r="AR83" s="123"/>
      <c r="AS83" s="123"/>
      <c r="AT83" s="123"/>
      <c r="AU83" s="123"/>
      <c r="AV83" s="123"/>
    </row>
    <row r="84" spans="1:48" ht="15.75">
      <c r="A84" s="9"/>
      <c r="D84" s="125"/>
      <c r="AM84" s="123"/>
      <c r="AN84" s="123"/>
      <c r="AO84" s="123"/>
      <c r="AP84" s="123"/>
      <c r="AQ84" s="123"/>
      <c r="AR84" s="123"/>
      <c r="AS84" s="123"/>
      <c r="AT84" s="123"/>
      <c r="AU84" s="123"/>
      <c r="AV84" s="123"/>
    </row>
    <row r="85" spans="1:48" ht="15.75">
      <c r="A85" s="9"/>
      <c r="D85" s="125"/>
      <c r="AM85" s="123"/>
      <c r="AN85" s="123"/>
      <c r="AO85" s="123"/>
      <c r="AP85" s="123"/>
      <c r="AQ85" s="123"/>
      <c r="AR85" s="123"/>
      <c r="AS85" s="123"/>
      <c r="AT85" s="123"/>
      <c r="AU85" s="123"/>
      <c r="AV85" s="123"/>
    </row>
    <row r="86" spans="1:48" ht="15.75">
      <c r="A86" s="9"/>
      <c r="D86" s="125"/>
      <c r="AM86" s="123"/>
      <c r="AN86" s="123"/>
      <c r="AO86" s="123"/>
      <c r="AP86" s="123"/>
      <c r="AQ86" s="123"/>
      <c r="AR86" s="123"/>
      <c r="AS86" s="123"/>
      <c r="AT86" s="123"/>
      <c r="AU86" s="123"/>
      <c r="AV86" s="123"/>
    </row>
    <row r="87" spans="1:48" ht="15.75">
      <c r="A87" s="9"/>
      <c r="D87" s="125"/>
      <c r="AM87" s="123"/>
      <c r="AN87" s="123"/>
      <c r="AO87" s="123"/>
      <c r="AP87" s="123"/>
      <c r="AQ87" s="123"/>
      <c r="AR87" s="123"/>
      <c r="AS87" s="123"/>
      <c r="AT87" s="123"/>
      <c r="AU87" s="123"/>
      <c r="AV87" s="123"/>
    </row>
    <row r="88" spans="1:48" ht="15.75">
      <c r="A88" s="9"/>
      <c r="D88" s="125"/>
      <c r="AM88" s="123"/>
      <c r="AN88" s="123"/>
      <c r="AO88" s="123"/>
      <c r="AP88" s="123"/>
      <c r="AQ88" s="123"/>
      <c r="AR88" s="123"/>
      <c r="AS88" s="123"/>
      <c r="AT88" s="123"/>
      <c r="AU88" s="123"/>
      <c r="AV88" s="123"/>
    </row>
    <row r="89" spans="1:48" ht="15.75">
      <c r="A89" s="9"/>
      <c r="C89" s="125"/>
      <c r="D89" s="125"/>
      <c r="AM89" s="123"/>
      <c r="AN89" s="123"/>
      <c r="AO89" s="123"/>
      <c r="AP89" s="123"/>
      <c r="AQ89" s="123"/>
      <c r="AR89" s="123"/>
      <c r="AS89" s="123"/>
      <c r="AT89" s="123"/>
      <c r="AU89" s="123"/>
      <c r="AV89" s="123"/>
    </row>
    <row r="90" spans="1:48" ht="15.75">
      <c r="A90" s="9"/>
      <c r="AM90" s="123"/>
      <c r="AN90" s="123"/>
      <c r="AO90" s="123"/>
      <c r="AP90" s="123"/>
      <c r="AQ90" s="123"/>
      <c r="AR90" s="123"/>
      <c r="AS90" s="123"/>
      <c r="AT90" s="123"/>
      <c r="AU90" s="123"/>
      <c r="AV90" s="123"/>
    </row>
    <row r="91" spans="1:48" ht="15.75">
      <c r="A91" s="123"/>
      <c r="B91" s="29"/>
      <c r="AM91" s="123"/>
      <c r="AN91" s="123"/>
      <c r="AO91" s="123"/>
      <c r="AP91" s="123"/>
      <c r="AQ91" s="123"/>
      <c r="AR91" s="123"/>
      <c r="AS91" s="123"/>
      <c r="AT91" s="123"/>
      <c r="AU91" s="123"/>
      <c r="AV91" s="123"/>
    </row>
    <row r="92" spans="1:48" ht="15.75">
      <c r="A92" s="9"/>
      <c r="AM92" s="123"/>
      <c r="AN92" s="123"/>
      <c r="AO92" s="123"/>
      <c r="AP92" s="123"/>
      <c r="AQ92" s="123"/>
      <c r="AR92" s="123"/>
      <c r="AS92" s="123"/>
      <c r="AT92" s="123"/>
      <c r="AU92" s="123"/>
      <c r="AV92" s="123"/>
    </row>
    <row r="93" spans="1:48" ht="15.75">
      <c r="A93" s="9"/>
      <c r="AM93" s="123"/>
      <c r="AN93" s="123"/>
      <c r="AO93" s="123"/>
      <c r="AP93" s="123"/>
      <c r="AQ93" s="123"/>
      <c r="AR93" s="123"/>
      <c r="AS93" s="123"/>
      <c r="AT93" s="123"/>
      <c r="AU93" s="123"/>
      <c r="AV93" s="123"/>
    </row>
    <row r="94" spans="1:48" ht="15.75">
      <c r="A94" s="9"/>
      <c r="AM94" s="123"/>
      <c r="AN94" s="123"/>
      <c r="AO94" s="123"/>
      <c r="AP94" s="123"/>
      <c r="AQ94" s="123"/>
      <c r="AR94" s="123"/>
      <c r="AS94" s="123"/>
      <c r="AT94" s="123"/>
      <c r="AU94" s="123"/>
      <c r="AV94" s="123"/>
    </row>
    <row r="95" spans="1:48" ht="15.75">
      <c r="A95" s="9"/>
      <c r="AM95" s="123"/>
      <c r="AN95" s="123"/>
      <c r="AO95" s="123"/>
      <c r="AP95" s="123"/>
      <c r="AQ95" s="123"/>
      <c r="AR95" s="123"/>
      <c r="AS95" s="123"/>
      <c r="AT95" s="123"/>
      <c r="AU95" s="123"/>
      <c r="AV95" s="123"/>
    </row>
    <row r="96" spans="1:48" ht="15.75">
      <c r="A96" s="9"/>
      <c r="AM96" s="123"/>
      <c r="AN96" s="123"/>
      <c r="AO96" s="123"/>
      <c r="AP96" s="123"/>
      <c r="AQ96" s="123"/>
      <c r="AR96" s="123"/>
      <c r="AS96" s="123"/>
      <c r="AT96" s="123"/>
      <c r="AU96" s="123"/>
      <c r="AV96" s="123"/>
    </row>
    <row r="97" spans="1:48" ht="15.75">
      <c r="A97" s="9"/>
      <c r="AM97" s="123"/>
      <c r="AN97" s="123"/>
      <c r="AO97" s="123"/>
      <c r="AP97" s="123"/>
      <c r="AQ97" s="123"/>
      <c r="AR97" s="123"/>
      <c r="AS97" s="123"/>
      <c r="AT97" s="123"/>
      <c r="AU97" s="123"/>
      <c r="AV97" s="123"/>
    </row>
    <row r="98" spans="1:48" ht="15.75">
      <c r="A98" s="9"/>
      <c r="AM98" s="123"/>
      <c r="AN98" s="123"/>
      <c r="AO98" s="123"/>
      <c r="AP98" s="123"/>
      <c r="AQ98" s="123"/>
      <c r="AR98" s="123"/>
      <c r="AS98" s="123"/>
      <c r="AT98" s="123"/>
      <c r="AU98" s="123"/>
      <c r="AV98" s="123"/>
    </row>
    <row r="99" spans="1:48" ht="15.75">
      <c r="A99" s="123"/>
      <c r="B99" s="29"/>
      <c r="C99" s="138"/>
      <c r="D99" s="139"/>
      <c r="AM99" s="123"/>
      <c r="AN99" s="123"/>
      <c r="AO99" s="123"/>
      <c r="AP99" s="123"/>
      <c r="AQ99" s="123"/>
      <c r="AR99" s="123"/>
      <c r="AS99" s="123"/>
      <c r="AT99" s="123"/>
      <c r="AU99" s="123"/>
      <c r="AV99" s="123"/>
    </row>
    <row r="100" spans="1:48" ht="15.75">
      <c r="A100" s="9"/>
      <c r="B100" s="29"/>
      <c r="D100" s="9"/>
      <c r="AM100" s="123"/>
      <c r="AN100" s="123"/>
      <c r="AO100" s="123"/>
      <c r="AP100" s="123"/>
      <c r="AQ100" s="123"/>
      <c r="AR100" s="123"/>
      <c r="AS100" s="123"/>
      <c r="AT100" s="123"/>
      <c r="AU100" s="123"/>
      <c r="AV100" s="123"/>
    </row>
    <row r="101" spans="1:48" ht="15.75">
      <c r="A101" s="117"/>
      <c r="AM101" s="123"/>
      <c r="AN101" s="123"/>
      <c r="AO101" s="123"/>
      <c r="AP101" s="123"/>
      <c r="AQ101" s="123"/>
      <c r="AR101" s="123"/>
      <c r="AS101" s="123"/>
      <c r="AT101" s="123"/>
      <c r="AU101" s="123"/>
      <c r="AV101" s="123"/>
    </row>
    <row r="102" spans="1:48" ht="15.75">
      <c r="D102" s="153"/>
      <c r="AM102" s="123"/>
      <c r="AN102" s="123"/>
      <c r="AO102" s="123"/>
      <c r="AP102" s="123"/>
      <c r="AQ102" s="123"/>
      <c r="AR102" s="123"/>
      <c r="AS102" s="123"/>
      <c r="AT102" s="123"/>
      <c r="AU102" s="123"/>
      <c r="AV102" s="123"/>
    </row>
    <row r="103" spans="1:48" ht="15.75">
      <c r="AM103" s="123"/>
      <c r="AN103" s="123"/>
      <c r="AO103" s="123"/>
      <c r="AP103" s="123"/>
      <c r="AQ103" s="123"/>
      <c r="AR103" s="123"/>
      <c r="AS103" s="123"/>
      <c r="AT103" s="123"/>
      <c r="AU103" s="123"/>
      <c r="AV103" s="123"/>
    </row>
    <row r="104" spans="1:48" ht="15.75">
      <c r="AM104" s="123"/>
      <c r="AN104" s="123"/>
      <c r="AO104" s="123"/>
      <c r="AP104" s="123"/>
      <c r="AQ104" s="123"/>
      <c r="AR104" s="123"/>
      <c r="AS104" s="123"/>
      <c r="AT104" s="123"/>
      <c r="AU104" s="123"/>
      <c r="AV104" s="123"/>
    </row>
    <row r="105" spans="1:48" ht="15.75">
      <c r="D105" s="153"/>
      <c r="AM105" s="123"/>
      <c r="AN105" s="123"/>
      <c r="AO105" s="123"/>
      <c r="AP105" s="123"/>
      <c r="AQ105" s="123"/>
      <c r="AR105" s="123"/>
      <c r="AS105" s="123"/>
      <c r="AT105" s="123"/>
      <c r="AU105" s="123"/>
      <c r="AV105" s="123"/>
    </row>
    <row r="106" spans="1:48" ht="16.5" thickBot="1">
      <c r="C106" s="121"/>
      <c r="D106" s="121"/>
      <c r="AM106" s="123"/>
      <c r="AN106" s="123"/>
      <c r="AO106" s="123"/>
      <c r="AP106" s="123"/>
      <c r="AQ106" s="123"/>
      <c r="AR106" s="123"/>
      <c r="AS106" s="123"/>
      <c r="AT106" s="123"/>
      <c r="AU106" s="123"/>
      <c r="AV106" s="123"/>
    </row>
    <row r="107" spans="1:48" ht="16.5" thickTop="1">
      <c r="AM107" s="123"/>
      <c r="AN107" s="123"/>
      <c r="AO107" s="123"/>
      <c r="AP107" s="123"/>
      <c r="AQ107" s="123"/>
      <c r="AR107" s="123"/>
      <c r="AS107" s="123"/>
      <c r="AT107" s="123"/>
      <c r="AU107" s="123"/>
      <c r="AV107" s="123"/>
    </row>
    <row r="108" spans="1:48" ht="15.75">
      <c r="AM108" s="123"/>
      <c r="AN108" s="123"/>
      <c r="AO108" s="123"/>
      <c r="AP108" s="123"/>
      <c r="AQ108" s="123"/>
      <c r="AR108" s="123"/>
      <c r="AS108" s="123"/>
      <c r="AT108" s="123"/>
      <c r="AU108" s="123"/>
      <c r="AV108" s="123"/>
    </row>
    <row r="109" spans="1:48" ht="15.75">
      <c r="AM109" s="123"/>
      <c r="AN109" s="123"/>
      <c r="AO109" s="123"/>
      <c r="AP109" s="123"/>
      <c r="AQ109" s="123"/>
      <c r="AR109" s="123"/>
      <c r="AS109" s="123"/>
      <c r="AT109" s="123"/>
      <c r="AU109" s="123"/>
      <c r="AV109" s="123"/>
    </row>
    <row r="110" spans="1:48" ht="15.75">
      <c r="AM110" s="123"/>
      <c r="AN110" s="123"/>
      <c r="AO110" s="123"/>
      <c r="AP110" s="123"/>
      <c r="AQ110" s="123"/>
      <c r="AR110" s="123"/>
      <c r="AS110" s="123"/>
      <c r="AT110" s="123"/>
      <c r="AU110" s="123"/>
      <c r="AV110" s="123"/>
    </row>
    <row r="111" spans="1:48" ht="15.75">
      <c r="AM111" s="123"/>
      <c r="AN111" s="123"/>
      <c r="AO111" s="123"/>
      <c r="AP111" s="123"/>
      <c r="AQ111" s="123"/>
      <c r="AR111" s="123"/>
      <c r="AS111" s="123"/>
      <c r="AT111" s="123"/>
      <c r="AU111" s="123"/>
      <c r="AV111" s="123"/>
    </row>
  </sheetData>
  <conditionalFormatting sqref="L26:P26 E59:P59 E26:I26">
    <cfRule type="cellIs" dxfId="36" priority="78" operator="notEqual">
      <formula>E25</formula>
    </cfRule>
  </conditionalFormatting>
  <conditionalFormatting sqref="BB74 BB41 BB11">
    <cfRule type="cellIs" dxfId="35" priority="66" operator="notEqual">
      <formula>0</formula>
    </cfRule>
  </conditionalFormatting>
  <conditionalFormatting sqref="D59">
    <cfRule type="cellIs" dxfId="34" priority="62" operator="notEqual">
      <formula>D58</formula>
    </cfRule>
  </conditionalFormatting>
  <conditionalFormatting sqref="C59">
    <cfRule type="cellIs" dxfId="33" priority="61" operator="notEqual">
      <formula>C58</formula>
    </cfRule>
  </conditionalFormatting>
  <conditionalFormatting sqref="D26">
    <cfRule type="cellIs" dxfId="32" priority="60" operator="notEqual">
      <formula>D25</formula>
    </cfRule>
  </conditionalFormatting>
  <conditionalFormatting sqref="C26">
    <cfRule type="cellIs" dxfId="31" priority="59" operator="notEqual">
      <formula>C25</formula>
    </cfRule>
  </conditionalFormatting>
  <conditionalFormatting sqref="J26">
    <cfRule type="cellIs" dxfId="30" priority="44" operator="notEqual">
      <formula>J25</formula>
    </cfRule>
  </conditionalFormatting>
  <conditionalFormatting sqref="K26">
    <cfRule type="cellIs" dxfId="29" priority="43" operator="notEqual">
      <formula>K25</formula>
    </cfRule>
  </conditionalFormatting>
  <conditionalFormatting sqref="Q59:U59 Q26:U26 X26:AB26 X59:Y59 AA59:AB59">
    <cfRule type="cellIs" dxfId="28" priority="42" operator="notEqual">
      <formula>Q25</formula>
    </cfRule>
  </conditionalFormatting>
  <conditionalFormatting sqref="V26">
    <cfRule type="cellIs" dxfId="27" priority="41" operator="notEqual">
      <formula>V25</formula>
    </cfRule>
  </conditionalFormatting>
  <conditionalFormatting sqref="V59">
    <cfRule type="cellIs" dxfId="26" priority="39" operator="notEqual">
      <formula>V58</formula>
    </cfRule>
  </conditionalFormatting>
  <conditionalFormatting sqref="W26">
    <cfRule type="cellIs" dxfId="25" priority="38" operator="notEqual">
      <formula>W25</formula>
    </cfRule>
  </conditionalFormatting>
  <conditionalFormatting sqref="W59">
    <cfRule type="cellIs" dxfId="24" priority="37" operator="notEqual">
      <formula>W58</formula>
    </cfRule>
  </conditionalFormatting>
  <conditionalFormatting sqref="Z59">
    <cfRule type="cellIs" dxfId="23" priority="36" operator="notEqual">
      <formula>Z58</formula>
    </cfRule>
  </conditionalFormatting>
  <conditionalFormatting sqref="AD26 AD59">
    <cfRule type="cellIs" dxfId="22" priority="35" operator="notEqual">
      <formula>AD25</formula>
    </cfRule>
  </conditionalFormatting>
  <conditionalFormatting sqref="AC26">
    <cfRule type="cellIs" dxfId="21" priority="33" operator="notEqual">
      <formula>AC25</formula>
    </cfRule>
  </conditionalFormatting>
  <conditionalFormatting sqref="AC59">
    <cfRule type="cellIs" dxfId="20" priority="32" operator="notEqual">
      <formula>AC58</formula>
    </cfRule>
  </conditionalFormatting>
  <conditionalFormatting sqref="AE26 AE59">
    <cfRule type="cellIs" dxfId="19" priority="31" operator="notEqual">
      <formula>AE25</formula>
    </cfRule>
  </conditionalFormatting>
  <conditionalFormatting sqref="BB30">
    <cfRule type="cellIs" dxfId="18" priority="29" operator="notEqual">
      <formula>0</formula>
    </cfRule>
  </conditionalFormatting>
  <conditionalFormatting sqref="AF26 AF59">
    <cfRule type="cellIs" dxfId="17" priority="24" operator="notEqual">
      <formula>AF25</formula>
    </cfRule>
  </conditionalFormatting>
  <conditionalFormatting sqref="AM26 AM59">
    <cfRule type="cellIs" dxfId="16" priority="23" operator="notEqual">
      <formula>AM25</formula>
    </cfRule>
  </conditionalFormatting>
  <conditionalFormatting sqref="AG26 AG59">
    <cfRule type="cellIs" dxfId="15" priority="22" operator="notEqual">
      <formula>AG25</formula>
    </cfRule>
  </conditionalFormatting>
  <conditionalFormatting sqref="AH26 AH59">
    <cfRule type="cellIs" dxfId="14" priority="21" operator="notEqual">
      <formula>AH25</formula>
    </cfRule>
  </conditionalFormatting>
  <conditionalFormatting sqref="AJ26 AJ59:AL59 AL26">
    <cfRule type="cellIs" dxfId="13" priority="20" operator="notEqual">
      <formula>AJ25</formula>
    </cfRule>
  </conditionalFormatting>
  <conditionalFormatting sqref="AI26 AI59">
    <cfRule type="cellIs" dxfId="12" priority="19" operator="notEqual">
      <formula>AI25</formula>
    </cfRule>
  </conditionalFormatting>
  <conditionalFormatting sqref="AK26">
    <cfRule type="cellIs" dxfId="11" priority="18" operator="notEqual">
      <formula>AK25</formula>
    </cfRule>
  </conditionalFormatting>
  <conditionalFormatting sqref="D89">
    <cfRule type="cellIs" dxfId="10" priority="15" operator="notEqual">
      <formula>#REF!</formula>
    </cfRule>
  </conditionalFormatting>
  <conditionalFormatting sqref="C89">
    <cfRule type="cellIs" dxfId="9" priority="14" operator="notEqual">
      <formula>#REF!</formula>
    </cfRule>
  </conditionalFormatting>
  <conditionalFormatting sqref="AN26 AN59">
    <cfRule type="cellIs" dxfId="8" priority="9" operator="notEqual">
      <formula>AN25</formula>
    </cfRule>
  </conditionalFormatting>
  <conditionalFormatting sqref="AO26 AO59">
    <cfRule type="cellIs" dxfId="7" priority="8" operator="notEqual">
      <formula>AO25</formula>
    </cfRule>
  </conditionalFormatting>
  <conditionalFormatting sqref="AQ26 AQ59">
    <cfRule type="cellIs" dxfId="6" priority="7" operator="notEqual">
      <formula>AQ25</formula>
    </cfRule>
  </conditionalFormatting>
  <conditionalFormatting sqref="AP26 AP59">
    <cfRule type="cellIs" dxfId="5" priority="6" operator="notEqual">
      <formula>AP25</formula>
    </cfRule>
  </conditionalFormatting>
  <conditionalFormatting sqref="AR26 AR59">
    <cfRule type="cellIs" dxfId="4" priority="5" operator="notEqual">
      <formula>AR25</formula>
    </cfRule>
  </conditionalFormatting>
  <conditionalFormatting sqref="AS26 AS59">
    <cfRule type="cellIs" dxfId="3" priority="4" operator="notEqual">
      <formula>AS25</formula>
    </cfRule>
  </conditionalFormatting>
  <conditionalFormatting sqref="AT26 AT59">
    <cfRule type="cellIs" dxfId="2" priority="3" operator="notEqual">
      <formula>AT25</formula>
    </cfRule>
  </conditionalFormatting>
  <conditionalFormatting sqref="AU26 AU59">
    <cfRule type="cellIs" dxfId="1" priority="2" operator="notEqual">
      <formula>AU25</formula>
    </cfRule>
  </conditionalFormatting>
  <conditionalFormatting sqref="AV26 AV59">
    <cfRule type="cellIs" dxfId="0" priority="1" operator="notEqual">
      <formula>AV25</formula>
    </cfRule>
  </conditionalFormatting>
  <pageMargins left="0" right="0" top="0.75" bottom="0.75" header="0.3" footer="0.3"/>
  <pageSetup scale="50" orientation="landscape"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7C8840655DF834D9146E3231B1BC14A" ma:contentTypeVersion="76" ma:contentTypeDescription="" ma:contentTypeScope="" ma:versionID="76b820c8eb875b714a0a368c59c6e24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2018-08-17T07:00:00+00:00</OpenedDate>
    <SignificantOrder xmlns="dc463f71-b30c-4ab2-9473-d307f9d35888">false</SignificantOrder>
    <Date1 xmlns="dc463f71-b30c-4ab2-9473-d307f9d35888">2019-08-15T07:00:00+00:00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180700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7F26B21-7182-4311-B421-11066280E41E}"/>
</file>

<file path=customXml/itemProps2.xml><?xml version="1.0" encoding="utf-8"?>
<ds:datastoreItem xmlns:ds="http://schemas.openxmlformats.org/officeDocument/2006/customXml" ds:itemID="{573E14B0-D7A4-46CB-AC19-1D713FEA2EBF}"/>
</file>

<file path=customXml/itemProps3.xml><?xml version="1.0" encoding="utf-8"?>
<ds:datastoreItem xmlns:ds="http://schemas.openxmlformats.org/officeDocument/2006/customXml" ds:itemID="{854479E2-7DA2-4132-AAAF-FB1C43798636}"/>
</file>

<file path=customXml/itemProps4.xml><?xml version="1.0" encoding="utf-8"?>
<ds:datastoreItem xmlns:ds="http://schemas.openxmlformats.org/officeDocument/2006/customXml" ds:itemID="{029AF6FD-A736-481D-ACEB-2C9A4164E4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Jan</vt:lpstr>
      <vt:lpstr>Feb</vt:lpstr>
      <vt:lpstr>Mar</vt:lpstr>
      <vt:lpstr>Apr</vt:lpstr>
      <vt:lpstr>May</vt:lpstr>
      <vt:lpstr>May Revised</vt:lpstr>
      <vt:lpstr>Jun</vt:lpstr>
      <vt:lpstr>Jul</vt:lpstr>
      <vt:lpstr>WA - Def-Amtz (current)</vt:lpstr>
      <vt:lpstr>201905 WA_ID reclass Entry</vt:lpstr>
      <vt:lpstr>'201905 WA_ID reclass Entry'!Print_Area</vt:lpstr>
      <vt:lpstr>Apr!Print_Area</vt:lpstr>
      <vt:lpstr>Feb!Print_Area</vt:lpstr>
      <vt:lpstr>Jan!Print_Area</vt:lpstr>
      <vt:lpstr>Jul!Print_Area</vt:lpstr>
      <vt:lpstr>Jun!Print_Area</vt:lpstr>
      <vt:lpstr>Mar!Print_Area</vt:lpstr>
      <vt:lpstr>May!Print_Area</vt:lpstr>
      <vt:lpstr>'May Revised'!Print_Area</vt:lpstr>
      <vt:lpstr>'WA - Def-Amtz (current)'!Print_Area</vt:lpstr>
      <vt:lpstr>Apr!Print_Titles</vt:lpstr>
      <vt:lpstr>Feb!Print_Titles</vt:lpstr>
      <vt:lpstr>Jan!Print_Titles</vt:lpstr>
      <vt:lpstr>Jul!Print_Titles</vt:lpstr>
      <vt:lpstr>Jun!Print_Titles</vt:lpstr>
      <vt:lpstr>Mar!Print_Titles</vt:lpstr>
      <vt:lpstr>May!Print_Titles</vt:lpstr>
      <vt:lpstr>'May Revised'!Print_Titles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Kaylene Schultz</cp:lastModifiedBy>
  <cp:lastPrinted>2019-08-05T18:15:39Z</cp:lastPrinted>
  <dcterms:created xsi:type="dcterms:W3CDTF">2003-05-01T14:02:57Z</dcterms:created>
  <dcterms:modified xsi:type="dcterms:W3CDTF">2019-08-09T20:03:22Z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0x0101006E56B4D1795A2E4DB2F0B01679ED314A0057C8840655DF834D9146E3231B1BC14A</vt:lpwstr>
  </property>
  <property fmtid="{D5CDD505-2E9C-101B-9397-08002B2CF9AE}" pid="5" name="_docset_NoMedatataSyncRequired">
    <vt:lpwstr>False</vt:lpwstr>
  </property>
  <property fmtid="{D5CDD505-2E9C-101B-9397-08002B2CF9AE}" pid="6" name="IsEFSEC">
    <vt:bool>false</vt:bool>
  </property>
</Properties>
</file>