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worksheets/sheet14.xml" ContentType="application/vnd.openxmlformats-officedocument.spreadsheetml.worksheet+xml"/>
  <Override PartName="/xl/worksheets/sheet11.xml" ContentType="application/vnd.openxmlformats-officedocument.spreadsheetml.worksheet+xml"/>
  <Override PartName="/xl/styles.xml" ContentType="application/vnd.openxmlformats-officedocument.spreadsheetml.styles+xml"/>
  <Override PartName="/xl/worksheets/sheet12.xml" ContentType="application/vnd.openxmlformats-officedocument.spreadsheetml.worksheet+xml"/>
  <Override PartName="/xl/worksheets/sheet13.xml" ContentType="application/vnd.openxmlformats-officedocument.spreadsheetml.worksheet+xml"/>
  <Override PartName="/xl/worksheets/sheet10.xml" ContentType="application/vnd.openxmlformats-officedocument.spreadsheetml.worksheet+xml"/>
  <Override PartName="/xl/worksheets/sheet9.xml" ContentType="application/vnd.openxmlformats-officedocument.spreadsheetml.worksheet+xml"/>
  <Override PartName="/xl/worksheets/sheet8.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haredStrings.xml" ContentType="application/vnd.openxmlformats-officedocument.spreadsheetml.sharedStrings+xml"/>
  <Override PartName="/xl/worksheets/sheet7.xml" ContentType="application/vnd.openxmlformats-officedocument.spreadsheetml.worksheet+xml"/>
  <Override PartName="/xl/worksheets/sheet6.xml" ContentType="application/vnd.openxmlformats-officedocument.spreadsheetml.worksheet+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455" yWindow="375" windowWidth="15450" windowHeight="11385"/>
  </bookViews>
  <sheets>
    <sheet name="WAID Act vs Budget savings" sheetId="12" r:id="rId1"/>
    <sheet name="WA-Sch91 Bal Projection" sheetId="21" state="hidden" r:id="rId2"/>
    <sheet name="WA-Sch91 Rider Balance" sheetId="9" r:id="rId3"/>
    <sheet name="WA-Sch91 Budget-Act Exp" sheetId="10" r:id="rId4"/>
    <sheet name="WA-Sch191 Bal Projection " sheetId="22" state="hidden" r:id="rId5"/>
    <sheet name="WA-Sch191 Rider Balance" sheetId="3" r:id="rId6"/>
    <sheet name="WA-Sch191 Budget-Act Exp " sheetId="11" r:id="rId7"/>
    <sheet name="ID-Sch91 Bal Projection " sheetId="23" state="hidden" r:id="rId8"/>
    <sheet name="ID-Sch91 Rider Balance" sheetId="2" r:id="rId9"/>
    <sheet name="ID-Sch91 Budget-Act Exp" sheetId="19" r:id="rId10"/>
    <sheet name="ID-Sch191 Bal Projection" sheetId="24" state="hidden" r:id="rId11"/>
    <sheet name="ID-Sch191 Rider Balance" sheetId="4" r:id="rId12"/>
    <sheet name="ID-Sch191 Budget-Act Exp" sheetId="14" r:id="rId13"/>
    <sheet name="Sheet1" sheetId="25" r:id="rId14"/>
  </sheets>
  <definedNames>
    <definedName name="DSMFlag" localSheetId="9">'ID-Sch91 Budget-Act Exp'!#REF!</definedName>
    <definedName name="DSMFlag" localSheetId="6">'WA-Sch191 Budget-Act Exp '!#REF!</definedName>
    <definedName name="DSMFlag" localSheetId="3">'WA-Sch91 Budget-Act Exp'!#REF!</definedName>
    <definedName name="DSMFlag" localSheetId="2">'WA-Sch91 Rider Balance'!$F$30</definedName>
    <definedName name="DSMFlag">#REF!</definedName>
    <definedName name="_xlnm.Print_Area" localSheetId="3">'WA-Sch91 Budget-Act Exp'!$B$1:$O$81</definedName>
    <definedName name="_xlnm.Print_Titles" localSheetId="11">'ID-Sch191 Rider Balance'!$A:$B</definedName>
    <definedName name="_xlnm.Print_Titles" localSheetId="8">'ID-Sch91 Rider Balance'!$A:$B</definedName>
    <definedName name="_xlnm.Print_Titles" localSheetId="5">'WA-Sch191 Rider Balance'!$A:$B</definedName>
    <definedName name="_xlnm.Print_Titles" localSheetId="2">'WA-Sch91 Rider Balance'!$A:$B</definedName>
  </definedNames>
  <calcPr calcId="125725"/>
</workbook>
</file>

<file path=xl/calcChain.xml><?xml version="1.0" encoding="utf-8"?>
<calcChain xmlns="http://schemas.openxmlformats.org/spreadsheetml/2006/main">
  <c r="K41" i="19"/>
  <c r="N61" i="10" l="1"/>
  <c r="M61"/>
  <c r="L61"/>
  <c r="N72"/>
  <c r="M72"/>
  <c r="L72"/>
  <c r="K72"/>
  <c r="K61"/>
  <c r="G27" i="12"/>
  <c r="G22"/>
  <c r="G20"/>
  <c r="G25"/>
  <c r="G32"/>
  <c r="G31"/>
  <c r="G34" s="1"/>
  <c r="J61" i="10"/>
  <c r="J72"/>
  <c r="J41" i="19"/>
  <c r="I61" i="10" l="1"/>
  <c r="I72"/>
  <c r="H9" i="12" l="1"/>
  <c r="H61" i="10"/>
  <c r="H72"/>
  <c r="G72" l="1"/>
  <c r="G61"/>
  <c r="F9" i="12"/>
  <c r="F72" i="10"/>
  <c r="F61"/>
  <c r="F30"/>
  <c r="G17" i="12" l="1"/>
  <c r="N56" i="11"/>
  <c r="M56"/>
  <c r="L56"/>
  <c r="N55"/>
  <c r="M55"/>
  <c r="L55"/>
  <c r="E56"/>
  <c r="E55"/>
  <c r="E54"/>
  <c r="N74" i="14" l="1"/>
  <c r="M74"/>
  <c r="L74"/>
  <c r="N72"/>
  <c r="M72"/>
  <c r="L72"/>
  <c r="N71"/>
  <c r="M71"/>
  <c r="L71"/>
  <c r="N70"/>
  <c r="M70"/>
  <c r="L70"/>
  <c r="N69"/>
  <c r="M69"/>
  <c r="L69"/>
  <c r="N67"/>
  <c r="M67"/>
  <c r="L67"/>
  <c r="K67"/>
  <c r="J67"/>
  <c r="I67"/>
  <c r="H67"/>
  <c r="G67"/>
  <c r="F67"/>
  <c r="E67"/>
  <c r="N66"/>
  <c r="M66"/>
  <c r="L66"/>
  <c r="N65"/>
  <c r="M65"/>
  <c r="L65"/>
  <c r="N64"/>
  <c r="M64"/>
  <c r="L64"/>
  <c r="N61"/>
  <c r="M61"/>
  <c r="L61"/>
  <c r="N60"/>
  <c r="M60"/>
  <c r="L60"/>
  <c r="K60"/>
  <c r="J60"/>
  <c r="I60"/>
  <c r="H60"/>
  <c r="G60"/>
  <c r="F60"/>
  <c r="E60"/>
  <c r="N59"/>
  <c r="M59"/>
  <c r="L59"/>
  <c r="K59"/>
  <c r="J59"/>
  <c r="I59"/>
  <c r="H59"/>
  <c r="G59"/>
  <c r="F59"/>
  <c r="E59"/>
  <c r="N58"/>
  <c r="M58"/>
  <c r="L58"/>
  <c r="K58"/>
  <c r="J58"/>
  <c r="I58"/>
  <c r="H58"/>
  <c r="G58"/>
  <c r="F58"/>
  <c r="E58"/>
  <c r="N57"/>
  <c r="M57"/>
  <c r="L57"/>
  <c r="K57"/>
  <c r="J57"/>
  <c r="I57"/>
  <c r="H57"/>
  <c r="G57"/>
  <c r="F57"/>
  <c r="E57"/>
  <c r="N56"/>
  <c r="M56"/>
  <c r="L56"/>
  <c r="N55"/>
  <c r="M55"/>
  <c r="L55"/>
  <c r="N54"/>
  <c r="N68" s="1"/>
  <c r="M54"/>
  <c r="M68" s="1"/>
  <c r="L54"/>
  <c r="L68" s="1"/>
  <c r="D67"/>
  <c r="N74" i="19"/>
  <c r="M74"/>
  <c r="L74"/>
  <c r="N72"/>
  <c r="M72"/>
  <c r="L72"/>
  <c r="N71"/>
  <c r="M71"/>
  <c r="L71"/>
  <c r="N70"/>
  <c r="M70"/>
  <c r="L70"/>
  <c r="N69"/>
  <c r="M69"/>
  <c r="L69"/>
  <c r="N67"/>
  <c r="M67"/>
  <c r="L67"/>
  <c r="K67"/>
  <c r="J67"/>
  <c r="I67"/>
  <c r="H67"/>
  <c r="G67"/>
  <c r="F67"/>
  <c r="E67"/>
  <c r="N66"/>
  <c r="M66"/>
  <c r="L66"/>
  <c r="N65"/>
  <c r="M65"/>
  <c r="L65"/>
  <c r="N64"/>
  <c r="M64"/>
  <c r="L64"/>
  <c r="N61"/>
  <c r="M61"/>
  <c r="L61"/>
  <c r="N60"/>
  <c r="M60"/>
  <c r="L60"/>
  <c r="K60"/>
  <c r="J60"/>
  <c r="I60"/>
  <c r="H60"/>
  <c r="G60"/>
  <c r="F60"/>
  <c r="E60"/>
  <c r="N59"/>
  <c r="M59"/>
  <c r="L59"/>
  <c r="K59"/>
  <c r="J59"/>
  <c r="I59"/>
  <c r="H59"/>
  <c r="G59"/>
  <c r="F59"/>
  <c r="E59"/>
  <c r="N58"/>
  <c r="M58"/>
  <c r="L58"/>
  <c r="K58"/>
  <c r="J58"/>
  <c r="I58"/>
  <c r="H58"/>
  <c r="G58"/>
  <c r="F58"/>
  <c r="E58"/>
  <c r="N57"/>
  <c r="M57"/>
  <c r="L57"/>
  <c r="K57"/>
  <c r="J57"/>
  <c r="I57"/>
  <c r="H57"/>
  <c r="G57"/>
  <c r="F57"/>
  <c r="E57"/>
  <c r="N56"/>
  <c r="M56"/>
  <c r="L56"/>
  <c r="N55"/>
  <c r="M55"/>
  <c r="L55"/>
  <c r="N54"/>
  <c r="N68" s="1"/>
  <c r="M54"/>
  <c r="M68" s="1"/>
  <c r="L54"/>
  <c r="L68" s="1"/>
  <c r="D67"/>
  <c r="N74" i="11"/>
  <c r="M74"/>
  <c r="L74"/>
  <c r="N72"/>
  <c r="M72"/>
  <c r="L72"/>
  <c r="N71"/>
  <c r="M71"/>
  <c r="L71"/>
  <c r="N70"/>
  <c r="M70"/>
  <c r="L70"/>
  <c r="N69"/>
  <c r="M69"/>
  <c r="L69"/>
  <c r="N68"/>
  <c r="M68"/>
  <c r="L68"/>
  <c r="N67"/>
  <c r="M67"/>
  <c r="L67"/>
  <c r="K67"/>
  <c r="J67"/>
  <c r="I67"/>
  <c r="H67"/>
  <c r="G67"/>
  <c r="F67"/>
  <c r="E67"/>
  <c r="N66"/>
  <c r="M66"/>
  <c r="L66"/>
  <c r="N65"/>
  <c r="M65"/>
  <c r="L65"/>
  <c r="N64"/>
  <c r="M64"/>
  <c r="L64"/>
  <c r="D67"/>
  <c r="N61"/>
  <c r="M61"/>
  <c r="L61"/>
  <c r="N60"/>
  <c r="M60"/>
  <c r="L60"/>
  <c r="K60"/>
  <c r="J60"/>
  <c r="I60"/>
  <c r="H60"/>
  <c r="G60"/>
  <c r="F60"/>
  <c r="E60"/>
  <c r="N59"/>
  <c r="M59"/>
  <c r="L59"/>
  <c r="K59"/>
  <c r="J59"/>
  <c r="I59"/>
  <c r="H59"/>
  <c r="G59"/>
  <c r="F59"/>
  <c r="E59"/>
  <c r="N58"/>
  <c r="M58"/>
  <c r="L58"/>
  <c r="K58"/>
  <c r="J58"/>
  <c r="I58"/>
  <c r="H58"/>
  <c r="G58"/>
  <c r="F58"/>
  <c r="E58"/>
  <c r="N57"/>
  <c r="M57"/>
  <c r="L57"/>
  <c r="K57"/>
  <c r="J57"/>
  <c r="I57"/>
  <c r="H57"/>
  <c r="G57"/>
  <c r="F57"/>
  <c r="E57"/>
  <c r="N54"/>
  <c r="M54"/>
  <c r="L54"/>
  <c r="N74" i="10"/>
  <c r="M74"/>
  <c r="L74"/>
  <c r="N71"/>
  <c r="M71"/>
  <c r="L71"/>
  <c r="N70"/>
  <c r="M70"/>
  <c r="L70"/>
  <c r="N69"/>
  <c r="M69"/>
  <c r="L69"/>
  <c r="N68"/>
  <c r="M68"/>
  <c r="L68"/>
  <c r="N65"/>
  <c r="M65"/>
  <c r="L65"/>
  <c r="N64"/>
  <c r="M64"/>
  <c r="L64"/>
  <c r="N60"/>
  <c r="M60"/>
  <c r="L60"/>
  <c r="K60"/>
  <c r="J60"/>
  <c r="I60"/>
  <c r="H60"/>
  <c r="G60"/>
  <c r="F60"/>
  <c r="E60"/>
  <c r="N59"/>
  <c r="M59"/>
  <c r="L59"/>
  <c r="K59"/>
  <c r="J59"/>
  <c r="I59"/>
  <c r="H59"/>
  <c r="G59"/>
  <c r="F59"/>
  <c r="E59"/>
  <c r="N58"/>
  <c r="M58"/>
  <c r="L58"/>
  <c r="K58"/>
  <c r="J58"/>
  <c r="I58"/>
  <c r="H58"/>
  <c r="G58"/>
  <c r="F58"/>
  <c r="E58"/>
  <c r="N57"/>
  <c r="M57"/>
  <c r="L57"/>
  <c r="K57"/>
  <c r="J57"/>
  <c r="I57"/>
  <c r="H57"/>
  <c r="G57"/>
  <c r="F57"/>
  <c r="E57"/>
  <c r="N56"/>
  <c r="M56"/>
  <c r="L56"/>
  <c r="N55"/>
  <c r="M55"/>
  <c r="L55"/>
  <c r="N54"/>
  <c r="M54"/>
  <c r="L54"/>
  <c r="C15" i="12"/>
  <c r="C26"/>
  <c r="C21"/>
  <c r="C16"/>
  <c r="C22"/>
  <c r="C19" i="14" l="1"/>
  <c r="C24"/>
  <c r="C23"/>
  <c r="C22"/>
  <c r="C18"/>
  <c r="C17"/>
  <c r="C9"/>
  <c r="C8"/>
  <c r="C7"/>
  <c r="C23" i="19"/>
  <c r="C24"/>
  <c r="C22"/>
  <c r="C19"/>
  <c r="C18"/>
  <c r="C17"/>
  <c r="C9"/>
  <c r="C8"/>
  <c r="C7"/>
  <c r="C23" i="11"/>
  <c r="C24"/>
  <c r="C22"/>
  <c r="C19"/>
  <c r="C18"/>
  <c r="C17"/>
  <c r="C9"/>
  <c r="C8"/>
  <c r="C7"/>
  <c r="C24" i="10"/>
  <c r="C23"/>
  <c r="C22"/>
  <c r="C19" l="1"/>
  <c r="C18"/>
  <c r="C17"/>
  <c r="C9"/>
  <c r="C8"/>
  <c r="C7"/>
  <c r="C28" i="12" l="1"/>
  <c r="D16" l="1"/>
  <c r="D8" i="14" l="1"/>
  <c r="E8" s="1"/>
  <c r="F8" s="1"/>
  <c r="G8" s="1"/>
  <c r="H8" s="1"/>
  <c r="I8" s="1"/>
  <c r="J8" s="1"/>
  <c r="K8" s="1"/>
  <c r="L8" s="1"/>
  <c r="M8" s="1"/>
  <c r="N8" s="1"/>
  <c r="D24"/>
  <c r="E24" s="1"/>
  <c r="F24" s="1"/>
  <c r="G24" s="1"/>
  <c r="H24" s="1"/>
  <c r="I24" s="1"/>
  <c r="J24" s="1"/>
  <c r="K24" s="1"/>
  <c r="L24" s="1"/>
  <c r="M24" s="1"/>
  <c r="N24" s="1"/>
  <c r="D23"/>
  <c r="E23" s="1"/>
  <c r="F23" s="1"/>
  <c r="G23" s="1"/>
  <c r="H23" s="1"/>
  <c r="I23" s="1"/>
  <c r="J23" s="1"/>
  <c r="K23" s="1"/>
  <c r="L23" s="1"/>
  <c r="M23" s="1"/>
  <c r="N23" s="1"/>
  <c r="D22"/>
  <c r="E22" s="1"/>
  <c r="F22" s="1"/>
  <c r="G22" s="1"/>
  <c r="H22" s="1"/>
  <c r="I22" s="1"/>
  <c r="J22" s="1"/>
  <c r="K22" s="1"/>
  <c r="L22" s="1"/>
  <c r="M22" s="1"/>
  <c r="N22" s="1"/>
  <c r="D21"/>
  <c r="E21" s="1"/>
  <c r="F21" s="1"/>
  <c r="G21" s="1"/>
  <c r="H21" s="1"/>
  <c r="I21" s="1"/>
  <c r="J21" s="1"/>
  <c r="K21" s="1"/>
  <c r="L21" s="1"/>
  <c r="M21" s="1"/>
  <c r="N21" s="1"/>
  <c r="D20"/>
  <c r="E20" s="1"/>
  <c r="F20" s="1"/>
  <c r="G20" s="1"/>
  <c r="H20" s="1"/>
  <c r="I20" s="1"/>
  <c r="J20" s="1"/>
  <c r="K20" s="1"/>
  <c r="L20" s="1"/>
  <c r="M20" s="1"/>
  <c r="N20" s="1"/>
  <c r="D19"/>
  <c r="E19" s="1"/>
  <c r="F19" s="1"/>
  <c r="G19" s="1"/>
  <c r="H19" s="1"/>
  <c r="I19" s="1"/>
  <c r="J19" s="1"/>
  <c r="K19" s="1"/>
  <c r="L19" s="1"/>
  <c r="M19" s="1"/>
  <c r="N19" s="1"/>
  <c r="D18"/>
  <c r="E18" s="1"/>
  <c r="F18" s="1"/>
  <c r="G18" s="1"/>
  <c r="H18" s="1"/>
  <c r="I18" s="1"/>
  <c r="J18" s="1"/>
  <c r="K18" s="1"/>
  <c r="L18" s="1"/>
  <c r="M18" s="1"/>
  <c r="N18" s="1"/>
  <c r="D17"/>
  <c r="E17" s="1"/>
  <c r="F17" s="1"/>
  <c r="G17" s="1"/>
  <c r="H17" s="1"/>
  <c r="I17" s="1"/>
  <c r="J17" s="1"/>
  <c r="K17" s="1"/>
  <c r="L17" s="1"/>
  <c r="M17" s="1"/>
  <c r="N17" s="1"/>
  <c r="D9"/>
  <c r="E9" s="1"/>
  <c r="F9" s="1"/>
  <c r="G9" s="1"/>
  <c r="H9" s="1"/>
  <c r="I9" s="1"/>
  <c r="J9" s="1"/>
  <c r="K9" s="1"/>
  <c r="L9" s="1"/>
  <c r="M9" s="1"/>
  <c r="N9" s="1"/>
  <c r="D7"/>
  <c r="E7" s="1"/>
  <c r="F7" s="1"/>
  <c r="G7" s="1"/>
  <c r="H7" s="1"/>
  <c r="I7" s="1"/>
  <c r="J7" s="1"/>
  <c r="K7" s="1"/>
  <c r="L7" s="1"/>
  <c r="M7" s="1"/>
  <c r="N7" s="1"/>
  <c r="C70" l="1"/>
  <c r="O47"/>
  <c r="O46"/>
  <c r="O45"/>
  <c r="O44"/>
  <c r="O43"/>
  <c r="O42"/>
  <c r="O41"/>
  <c r="O40"/>
  <c r="O32"/>
  <c r="O31"/>
  <c r="O30"/>
  <c r="O23"/>
  <c r="D3"/>
  <c r="E3" s="1"/>
  <c r="F3" s="1"/>
  <c r="G3" s="1"/>
  <c r="H3" s="1"/>
  <c r="I3" s="1"/>
  <c r="J3" s="1"/>
  <c r="K3" s="1"/>
  <c r="L3" s="1"/>
  <c r="M3" s="1"/>
  <c r="N3" s="1"/>
  <c r="C70" i="19"/>
  <c r="O46"/>
  <c r="D23" l="1"/>
  <c r="D24"/>
  <c r="E24" s="1"/>
  <c r="F24" s="1"/>
  <c r="G24" s="1"/>
  <c r="H24" s="1"/>
  <c r="I24" s="1"/>
  <c r="J24" s="1"/>
  <c r="K24" s="1"/>
  <c r="L24" s="1"/>
  <c r="M24" s="1"/>
  <c r="N24" s="1"/>
  <c r="D22"/>
  <c r="E22" s="1"/>
  <c r="F22" s="1"/>
  <c r="G22" s="1"/>
  <c r="H22" s="1"/>
  <c r="I22" s="1"/>
  <c r="J22" s="1"/>
  <c r="K22" s="1"/>
  <c r="L22" s="1"/>
  <c r="M22" s="1"/>
  <c r="N22" s="1"/>
  <c r="D21"/>
  <c r="E21" s="1"/>
  <c r="F21" s="1"/>
  <c r="G21" s="1"/>
  <c r="H21" s="1"/>
  <c r="I21" s="1"/>
  <c r="J21" s="1"/>
  <c r="K21" s="1"/>
  <c r="L21" s="1"/>
  <c r="M21" s="1"/>
  <c r="N21" s="1"/>
  <c r="D20"/>
  <c r="E20" s="1"/>
  <c r="F20" s="1"/>
  <c r="G20" s="1"/>
  <c r="H20" s="1"/>
  <c r="I20" s="1"/>
  <c r="J20" s="1"/>
  <c r="K20" s="1"/>
  <c r="L20" s="1"/>
  <c r="M20" s="1"/>
  <c r="N20" s="1"/>
  <c r="D19"/>
  <c r="E19" s="1"/>
  <c r="F19" s="1"/>
  <c r="G19" s="1"/>
  <c r="H19" s="1"/>
  <c r="I19" s="1"/>
  <c r="J19" s="1"/>
  <c r="K19" s="1"/>
  <c r="L19" s="1"/>
  <c r="M19" s="1"/>
  <c r="N19" s="1"/>
  <c r="D18"/>
  <c r="E18" s="1"/>
  <c r="F18" s="1"/>
  <c r="G18" s="1"/>
  <c r="H18" s="1"/>
  <c r="I18" s="1"/>
  <c r="J18" s="1"/>
  <c r="K18" s="1"/>
  <c r="L18" s="1"/>
  <c r="M18" s="1"/>
  <c r="N18" s="1"/>
  <c r="D17"/>
  <c r="E17" s="1"/>
  <c r="F17" s="1"/>
  <c r="G17" s="1"/>
  <c r="H17" s="1"/>
  <c r="I17" s="1"/>
  <c r="J17" s="1"/>
  <c r="K17" s="1"/>
  <c r="L17" s="1"/>
  <c r="M17" s="1"/>
  <c r="N17" s="1"/>
  <c r="D9"/>
  <c r="E9" s="1"/>
  <c r="F9" s="1"/>
  <c r="G9" s="1"/>
  <c r="H9" s="1"/>
  <c r="I9" s="1"/>
  <c r="J9" s="1"/>
  <c r="K9" s="1"/>
  <c r="L9" s="1"/>
  <c r="M9" s="1"/>
  <c r="N9" s="1"/>
  <c r="D8"/>
  <c r="E8" s="1"/>
  <c r="F8" s="1"/>
  <c r="G8" s="1"/>
  <c r="H8" s="1"/>
  <c r="I8" s="1"/>
  <c r="J8" s="1"/>
  <c r="K8" s="1"/>
  <c r="L8" s="1"/>
  <c r="M8" s="1"/>
  <c r="N8" s="1"/>
  <c r="D7"/>
  <c r="E7" s="1"/>
  <c r="F7" s="1"/>
  <c r="G7" s="1"/>
  <c r="H7" s="1"/>
  <c r="I7" s="1"/>
  <c r="J7" s="1"/>
  <c r="K7" s="1"/>
  <c r="L7" s="1"/>
  <c r="M7" s="1"/>
  <c r="N7" s="1"/>
  <c r="D3"/>
  <c r="E3" s="1"/>
  <c r="F3" s="1"/>
  <c r="G3" s="1"/>
  <c r="H3" s="1"/>
  <c r="C70" i="11"/>
  <c r="O46"/>
  <c r="D23"/>
  <c r="D9"/>
  <c r="E9" s="1"/>
  <c r="F9" s="1"/>
  <c r="G9" s="1"/>
  <c r="D8"/>
  <c r="E8" s="1"/>
  <c r="F8" s="1"/>
  <c r="G8" s="1"/>
  <c r="D7"/>
  <c r="E7" s="1"/>
  <c r="F7" s="1"/>
  <c r="G7" s="1"/>
  <c r="H7" s="1"/>
  <c r="D24"/>
  <c r="E24" s="1"/>
  <c r="F24" s="1"/>
  <c r="G24" s="1"/>
  <c r="H24" s="1"/>
  <c r="I24" s="1"/>
  <c r="J24" s="1"/>
  <c r="K24" s="1"/>
  <c r="L24" s="1"/>
  <c r="M24" s="1"/>
  <c r="N24" s="1"/>
  <c r="D22"/>
  <c r="E22" s="1"/>
  <c r="F22" s="1"/>
  <c r="G22" s="1"/>
  <c r="H22" s="1"/>
  <c r="I22" s="1"/>
  <c r="J22" s="1"/>
  <c r="K22" s="1"/>
  <c r="L22" s="1"/>
  <c r="M22" s="1"/>
  <c r="N22" s="1"/>
  <c r="D19"/>
  <c r="E19" s="1"/>
  <c r="F19" s="1"/>
  <c r="G19" s="1"/>
  <c r="H19" s="1"/>
  <c r="I19" s="1"/>
  <c r="J19" s="1"/>
  <c r="K19" s="1"/>
  <c r="L19" s="1"/>
  <c r="M19" s="1"/>
  <c r="N19" s="1"/>
  <c r="D18"/>
  <c r="E18" s="1"/>
  <c r="F18" s="1"/>
  <c r="G18" s="1"/>
  <c r="H18" s="1"/>
  <c r="I18" s="1"/>
  <c r="J18" s="1"/>
  <c r="K18" s="1"/>
  <c r="L18" s="1"/>
  <c r="M18" s="1"/>
  <c r="N18" s="1"/>
  <c r="D17"/>
  <c r="E17" s="1"/>
  <c r="F17" s="1"/>
  <c r="G17" s="1"/>
  <c r="H17" s="1"/>
  <c r="I17" s="1"/>
  <c r="J17" s="1"/>
  <c r="K17" s="1"/>
  <c r="L17" s="1"/>
  <c r="M17" s="1"/>
  <c r="N17" s="1"/>
  <c r="D3"/>
  <c r="E3" s="1"/>
  <c r="F3" s="1"/>
  <c r="G3" s="1"/>
  <c r="H3" s="1"/>
  <c r="I3" s="1"/>
  <c r="J3" s="1"/>
  <c r="K3" s="1"/>
  <c r="L3" s="1"/>
  <c r="M3" s="1"/>
  <c r="N3" s="1"/>
  <c r="D22" i="10"/>
  <c r="E22" s="1"/>
  <c r="F22" s="1"/>
  <c r="G22" s="1"/>
  <c r="H22" s="1"/>
  <c r="I22" s="1"/>
  <c r="J22" s="1"/>
  <c r="K22" s="1"/>
  <c r="L22" s="1"/>
  <c r="M22" s="1"/>
  <c r="N22" s="1"/>
  <c r="D24"/>
  <c r="E24" s="1"/>
  <c r="F24" s="1"/>
  <c r="G24" s="1"/>
  <c r="H24" s="1"/>
  <c r="I24" s="1"/>
  <c r="J24" s="1"/>
  <c r="K24" s="1"/>
  <c r="L24" s="1"/>
  <c r="M24" s="1"/>
  <c r="N24" s="1"/>
  <c r="D23"/>
  <c r="E23" s="1"/>
  <c r="D21"/>
  <c r="E21" s="1"/>
  <c r="F21" s="1"/>
  <c r="G21" s="1"/>
  <c r="H21" s="1"/>
  <c r="I21" s="1"/>
  <c r="J21" s="1"/>
  <c r="K21" s="1"/>
  <c r="L21" s="1"/>
  <c r="M21" s="1"/>
  <c r="N21" s="1"/>
  <c r="D20"/>
  <c r="E20" s="1"/>
  <c r="F20" s="1"/>
  <c r="G20" s="1"/>
  <c r="H20" s="1"/>
  <c r="I20" s="1"/>
  <c r="J20" s="1"/>
  <c r="K20" s="1"/>
  <c r="L20" s="1"/>
  <c r="M20" s="1"/>
  <c r="N20" s="1"/>
  <c r="D19"/>
  <c r="D17"/>
  <c r="E17" s="1"/>
  <c r="F17" s="1"/>
  <c r="G17" s="1"/>
  <c r="H17" s="1"/>
  <c r="I17" s="1"/>
  <c r="J17" s="1"/>
  <c r="K17" s="1"/>
  <c r="L17" s="1"/>
  <c r="M17" s="1"/>
  <c r="N17" s="1"/>
  <c r="D18"/>
  <c r="E18" s="1"/>
  <c r="F18" s="1"/>
  <c r="G18" s="1"/>
  <c r="H18" s="1"/>
  <c r="I18" s="1"/>
  <c r="J18" s="1"/>
  <c r="K18" s="1"/>
  <c r="L18" s="1"/>
  <c r="M18" s="1"/>
  <c r="N18" s="1"/>
  <c r="D7"/>
  <c r="E7" s="1"/>
  <c r="F7" s="1"/>
  <c r="G7" s="1"/>
  <c r="H7" s="1"/>
  <c r="I7" s="1"/>
  <c r="J7" s="1"/>
  <c r="K7" s="1"/>
  <c r="L7" s="1"/>
  <c r="M7" s="1"/>
  <c r="N7" s="1"/>
  <c r="D9"/>
  <c r="E9" s="1"/>
  <c r="F9" s="1"/>
  <c r="G9" s="1"/>
  <c r="H9" s="1"/>
  <c r="I9" s="1"/>
  <c r="J9" s="1"/>
  <c r="K9" s="1"/>
  <c r="L9" s="1"/>
  <c r="M9" s="1"/>
  <c r="N9" s="1"/>
  <c r="D8"/>
  <c r="E8" s="1"/>
  <c r="F8" s="1"/>
  <c r="G8" s="1"/>
  <c r="H8" s="1"/>
  <c r="I8" s="1"/>
  <c r="J8" s="1"/>
  <c r="K8" s="1"/>
  <c r="L8" s="1"/>
  <c r="M8" s="1"/>
  <c r="N8" s="1"/>
  <c r="D3"/>
  <c r="E3" s="1"/>
  <c r="F3" s="1"/>
  <c r="G3" s="1"/>
  <c r="H3" s="1"/>
  <c r="I3" s="1"/>
  <c r="J3" s="1"/>
  <c r="K3" s="1"/>
  <c r="L3" s="1"/>
  <c r="M3" s="1"/>
  <c r="N3" s="1"/>
  <c r="C68"/>
  <c r="O46"/>
  <c r="D2" i="12"/>
  <c r="E2" s="1"/>
  <c r="F2" s="1"/>
  <c r="G2" s="1"/>
  <c r="H2" s="1"/>
  <c r="I2" s="1"/>
  <c r="J2" s="1"/>
  <c r="K2" s="1"/>
  <c r="L2" s="1"/>
  <c r="M2" s="1"/>
  <c r="N2" s="1"/>
  <c r="I3" i="19" l="1"/>
  <c r="J3" s="1"/>
  <c r="K3" s="1"/>
  <c r="L3" s="1"/>
  <c r="M3" s="1"/>
  <c r="N3" s="1"/>
  <c r="E23"/>
  <c r="E23" i="11"/>
  <c r="H9"/>
  <c r="I9" s="1"/>
  <c r="J9" s="1"/>
  <c r="K9" s="1"/>
  <c r="L9" s="1"/>
  <c r="M9" s="1"/>
  <c r="N9" s="1"/>
  <c r="H8"/>
  <c r="I8" s="1"/>
  <c r="J8" s="1"/>
  <c r="K8" s="1"/>
  <c r="L8" s="1"/>
  <c r="M8" s="1"/>
  <c r="N8" s="1"/>
  <c r="I7"/>
  <c r="J7" s="1"/>
  <c r="K7" s="1"/>
  <c r="L7" s="1"/>
  <c r="M7" s="1"/>
  <c r="N7" s="1"/>
  <c r="F23" i="10"/>
  <c r="E19"/>
  <c r="C70"/>
  <c r="G23" l="1"/>
  <c r="F23" i="19"/>
  <c r="F23" i="11"/>
  <c r="F19" i="10"/>
  <c r="H23" l="1"/>
  <c r="I23" s="1"/>
  <c r="G23" i="19"/>
  <c r="G23" i="11"/>
  <c r="G19" i="10"/>
  <c r="H23" i="19" l="1"/>
  <c r="H23" i="11"/>
  <c r="H19" i="10"/>
  <c r="J23"/>
  <c r="B12" i="24"/>
  <c r="B5" i="23"/>
  <c r="B6" s="1"/>
  <c r="B12"/>
  <c r="I23" i="19" l="1"/>
  <c r="I23" i="11"/>
  <c r="I19" i="10"/>
  <c r="K23"/>
  <c r="B5" i="22"/>
  <c r="B6" s="1"/>
  <c r="B12"/>
  <c r="B12" i="21"/>
  <c r="G21" i="12"/>
  <c r="G23"/>
  <c r="G26"/>
  <c r="G28"/>
  <c r="J23" i="19" l="1"/>
  <c r="J23" i="11"/>
  <c r="J19" i="10"/>
  <c r="L23"/>
  <c r="K23" i="19" l="1"/>
  <c r="K23" i="11"/>
  <c r="K19" i="10"/>
  <c r="M23"/>
  <c r="L23" i="19" l="1"/>
  <c r="L23" i="11"/>
  <c r="L19" i="10"/>
  <c r="N23"/>
  <c r="M23" i="19" l="1"/>
  <c r="M23" i="11"/>
  <c r="M19" i="10"/>
  <c r="O23"/>
  <c r="N23" i="19" l="1"/>
  <c r="N23" i="11"/>
  <c r="N19" i="10"/>
  <c r="O23" i="19" l="1"/>
  <c r="O23" i="11"/>
  <c r="F48" i="19" l="1"/>
  <c r="F37"/>
  <c r="F50" l="1"/>
  <c r="I32" i="12"/>
  <c r="I31"/>
  <c r="I28"/>
  <c r="I26"/>
  <c r="I23"/>
  <c r="I22"/>
  <c r="I21"/>
  <c r="G16"/>
  <c r="I16" s="1"/>
  <c r="I17"/>
  <c r="G18"/>
  <c r="I18" s="1"/>
  <c r="G15"/>
  <c r="E34"/>
  <c r="C27"/>
  <c r="I27" s="1"/>
  <c r="E28"/>
  <c r="E26"/>
  <c r="E16"/>
  <c r="E17"/>
  <c r="E18"/>
  <c r="E21"/>
  <c r="E22"/>
  <c r="E23"/>
  <c r="F72" i="19" l="1"/>
  <c r="F64"/>
  <c r="F54"/>
  <c r="F68" s="1"/>
  <c r="F74"/>
  <c r="F69"/>
  <c r="F65"/>
  <c r="F55"/>
  <c r="F70"/>
  <c r="F66"/>
  <c r="F56"/>
  <c r="F71"/>
  <c r="F61"/>
  <c r="I34" i="12"/>
  <c r="E27"/>
  <c r="C68" i="19" l="1"/>
  <c r="C67"/>
  <c r="C66"/>
  <c r="D60"/>
  <c r="C60"/>
  <c r="D59"/>
  <c r="C59"/>
  <c r="D58"/>
  <c r="C58"/>
  <c r="D57"/>
  <c r="C57"/>
  <c r="N48"/>
  <c r="M48"/>
  <c r="L48"/>
  <c r="K48"/>
  <c r="J48"/>
  <c r="I48"/>
  <c r="H48"/>
  <c r="G48"/>
  <c r="E48"/>
  <c r="D48"/>
  <c r="C48"/>
  <c r="O47"/>
  <c r="P47" s="1"/>
  <c r="O45"/>
  <c r="P45" s="1"/>
  <c r="O44"/>
  <c r="P44" s="1"/>
  <c r="O43"/>
  <c r="P43" s="1"/>
  <c r="O42"/>
  <c r="P42" s="1"/>
  <c r="O41"/>
  <c r="P41" s="1"/>
  <c r="O40"/>
  <c r="N37"/>
  <c r="M37"/>
  <c r="L37"/>
  <c r="K37"/>
  <c r="J37"/>
  <c r="I37"/>
  <c r="H37"/>
  <c r="G37"/>
  <c r="E37"/>
  <c r="D37"/>
  <c r="C37"/>
  <c r="O36"/>
  <c r="P36" s="1"/>
  <c r="O35"/>
  <c r="P35" s="1"/>
  <c r="O34"/>
  <c r="P34" s="1"/>
  <c r="O33"/>
  <c r="P33" s="1"/>
  <c r="O32"/>
  <c r="P32" s="1"/>
  <c r="O31"/>
  <c r="P31" s="1"/>
  <c r="O30"/>
  <c r="C71"/>
  <c r="C69"/>
  <c r="O21"/>
  <c r="O20"/>
  <c r="O19"/>
  <c r="C65"/>
  <c r="N25"/>
  <c r="M25"/>
  <c r="L25"/>
  <c r="K25"/>
  <c r="J25"/>
  <c r="I25"/>
  <c r="H25"/>
  <c r="G25"/>
  <c r="F25"/>
  <c r="C64"/>
  <c r="O13"/>
  <c r="O12"/>
  <c r="O11"/>
  <c r="O10"/>
  <c r="C56"/>
  <c r="C55"/>
  <c r="N14"/>
  <c r="M14"/>
  <c r="L14"/>
  <c r="K14"/>
  <c r="J14"/>
  <c r="I14"/>
  <c r="H14"/>
  <c r="G14"/>
  <c r="F14"/>
  <c r="C54"/>
  <c r="G27" l="1"/>
  <c r="G50"/>
  <c r="K50"/>
  <c r="L27"/>
  <c r="C50"/>
  <c r="H50"/>
  <c r="L50"/>
  <c r="E50"/>
  <c r="J50"/>
  <c r="N50"/>
  <c r="D50"/>
  <c r="I50"/>
  <c r="M50"/>
  <c r="I27"/>
  <c r="M27"/>
  <c r="H27"/>
  <c r="K27"/>
  <c r="F27"/>
  <c r="J27"/>
  <c r="N27"/>
  <c r="O60"/>
  <c r="O58"/>
  <c r="O67"/>
  <c r="O48"/>
  <c r="O37"/>
  <c r="P40"/>
  <c r="P48" s="1"/>
  <c r="O57"/>
  <c r="O59"/>
  <c r="O7"/>
  <c r="O9"/>
  <c r="D14"/>
  <c r="O17"/>
  <c r="O24"/>
  <c r="D25"/>
  <c r="P30"/>
  <c r="P37" s="1"/>
  <c r="O8"/>
  <c r="C14"/>
  <c r="C61" s="1"/>
  <c r="E14"/>
  <c r="O18"/>
  <c r="O22"/>
  <c r="C25"/>
  <c r="E25"/>
  <c r="K74" l="1"/>
  <c r="K72"/>
  <c r="K71"/>
  <c r="K70"/>
  <c r="K69"/>
  <c r="K66"/>
  <c r="K65"/>
  <c r="K64"/>
  <c r="K61"/>
  <c r="K56"/>
  <c r="K55"/>
  <c r="K54"/>
  <c r="K68" s="1"/>
  <c r="J72"/>
  <c r="J64"/>
  <c r="J54"/>
  <c r="J68" s="1"/>
  <c r="J70"/>
  <c r="J56"/>
  <c r="J74"/>
  <c r="J69"/>
  <c r="J65"/>
  <c r="J55"/>
  <c r="J71"/>
  <c r="J61"/>
  <c r="J66"/>
  <c r="I74"/>
  <c r="I71"/>
  <c r="I69"/>
  <c r="I66"/>
  <c r="I64"/>
  <c r="I56"/>
  <c r="I54"/>
  <c r="I68" s="1"/>
  <c r="I72"/>
  <c r="I70"/>
  <c r="I65"/>
  <c r="I61"/>
  <c r="I55"/>
  <c r="H72"/>
  <c r="H64"/>
  <c r="H54"/>
  <c r="H68" s="1"/>
  <c r="H71"/>
  <c r="H61"/>
  <c r="H70"/>
  <c r="H66"/>
  <c r="H56"/>
  <c r="H74"/>
  <c r="H69"/>
  <c r="H65"/>
  <c r="H55"/>
  <c r="G74"/>
  <c r="G72"/>
  <c r="G71"/>
  <c r="G70"/>
  <c r="G69"/>
  <c r="G66"/>
  <c r="G65"/>
  <c r="G64"/>
  <c r="G61"/>
  <c r="G56"/>
  <c r="G55"/>
  <c r="G54"/>
  <c r="G68" s="1"/>
  <c r="E72"/>
  <c r="E70"/>
  <c r="E65"/>
  <c r="E61"/>
  <c r="E55"/>
  <c r="E74"/>
  <c r="E71"/>
  <c r="E69"/>
  <c r="E66"/>
  <c r="E64"/>
  <c r="E56"/>
  <c r="E54"/>
  <c r="E68" s="1"/>
  <c r="D72"/>
  <c r="D66"/>
  <c r="D64"/>
  <c r="D54"/>
  <c r="D65"/>
  <c r="D74"/>
  <c r="D69"/>
  <c r="D55"/>
  <c r="D71"/>
  <c r="D70"/>
  <c r="D56"/>
  <c r="D61"/>
  <c r="O50"/>
  <c r="C72"/>
  <c r="C27"/>
  <c r="C74" s="1"/>
  <c r="E27"/>
  <c r="D27"/>
  <c r="P50"/>
  <c r="O14"/>
  <c r="O25"/>
  <c r="O70" l="1"/>
  <c r="O66"/>
  <c r="O55"/>
  <c r="O56"/>
  <c r="O69"/>
  <c r="O71"/>
  <c r="O65"/>
  <c r="O64"/>
  <c r="D68"/>
  <c r="O68" s="1"/>
  <c r="O54"/>
  <c r="O27"/>
  <c r="O61" l="1"/>
  <c r="O72"/>
  <c r="C69" i="14"/>
  <c r="C68"/>
  <c r="C67"/>
  <c r="C66"/>
  <c r="D60"/>
  <c r="C60"/>
  <c r="D59"/>
  <c r="C59"/>
  <c r="D58"/>
  <c r="C58"/>
  <c r="D57"/>
  <c r="C57"/>
  <c r="C69" i="11"/>
  <c r="C68"/>
  <c r="C67"/>
  <c r="C66"/>
  <c r="D60"/>
  <c r="C60"/>
  <c r="D59"/>
  <c r="C59"/>
  <c r="D58"/>
  <c r="C58"/>
  <c r="D57"/>
  <c r="C57"/>
  <c r="O47" i="10"/>
  <c r="P47" s="1"/>
  <c r="O45"/>
  <c r="P45" s="1"/>
  <c r="O44"/>
  <c r="P44" s="1"/>
  <c r="O43"/>
  <c r="P43" s="1"/>
  <c r="O42"/>
  <c r="P42" s="1"/>
  <c r="O41"/>
  <c r="P41" s="1"/>
  <c r="O40"/>
  <c r="P40" s="1"/>
  <c r="O36"/>
  <c r="O35"/>
  <c r="O34"/>
  <c r="O33"/>
  <c r="P33" s="1"/>
  <c r="O32"/>
  <c r="P32" s="1"/>
  <c r="O31"/>
  <c r="P31" s="1"/>
  <c r="O30"/>
  <c r="C67"/>
  <c r="C66"/>
  <c r="D60"/>
  <c r="D59"/>
  <c r="D58"/>
  <c r="D57"/>
  <c r="C57"/>
  <c r="C58"/>
  <c r="C59"/>
  <c r="O59" s="1"/>
  <c r="C60"/>
  <c r="C71" i="14"/>
  <c r="C65"/>
  <c r="C64"/>
  <c r="C56"/>
  <c r="C55"/>
  <c r="C54"/>
  <c r="O48"/>
  <c r="N48"/>
  <c r="M48"/>
  <c r="L48"/>
  <c r="K48"/>
  <c r="J48"/>
  <c r="I48"/>
  <c r="H48"/>
  <c r="G48"/>
  <c r="F48"/>
  <c r="E48"/>
  <c r="D48"/>
  <c r="C48"/>
  <c r="P47"/>
  <c r="P45"/>
  <c r="P44"/>
  <c r="P43"/>
  <c r="P42"/>
  <c r="P41"/>
  <c r="P40"/>
  <c r="O37"/>
  <c r="N37"/>
  <c r="M37"/>
  <c r="L37"/>
  <c r="K37"/>
  <c r="J37"/>
  <c r="I37"/>
  <c r="H37"/>
  <c r="G37"/>
  <c r="F37"/>
  <c r="E37"/>
  <c r="D37"/>
  <c r="C37"/>
  <c r="P36"/>
  <c r="P35"/>
  <c r="P34"/>
  <c r="P33"/>
  <c r="P32"/>
  <c r="P31"/>
  <c r="P30"/>
  <c r="O21"/>
  <c r="O19"/>
  <c r="M25"/>
  <c r="K25"/>
  <c r="I25"/>
  <c r="G25"/>
  <c r="E25"/>
  <c r="C25"/>
  <c r="O13"/>
  <c r="O12"/>
  <c r="O11"/>
  <c r="O10"/>
  <c r="M14"/>
  <c r="K14"/>
  <c r="I14"/>
  <c r="G14"/>
  <c r="E14"/>
  <c r="C14"/>
  <c r="E48" i="10"/>
  <c r="D48"/>
  <c r="C48"/>
  <c r="E37"/>
  <c r="D37"/>
  <c r="C37"/>
  <c r="N48"/>
  <c r="M48"/>
  <c r="L48"/>
  <c r="K48"/>
  <c r="J48"/>
  <c r="I48"/>
  <c r="H48"/>
  <c r="G48"/>
  <c r="F48"/>
  <c r="N37"/>
  <c r="M37"/>
  <c r="L37"/>
  <c r="K37"/>
  <c r="J37"/>
  <c r="I37"/>
  <c r="H37"/>
  <c r="G37"/>
  <c r="F37"/>
  <c r="P36"/>
  <c r="P35"/>
  <c r="P34"/>
  <c r="P30"/>
  <c r="O47" i="11"/>
  <c r="O45"/>
  <c r="O44"/>
  <c r="O43"/>
  <c r="O42"/>
  <c r="O41"/>
  <c r="O40"/>
  <c r="N48"/>
  <c r="M48"/>
  <c r="L48"/>
  <c r="K48"/>
  <c r="J48"/>
  <c r="I48"/>
  <c r="H48"/>
  <c r="G48"/>
  <c r="F48"/>
  <c r="E48"/>
  <c r="D48"/>
  <c r="C48"/>
  <c r="O36"/>
  <c r="O35"/>
  <c r="O34"/>
  <c r="O33"/>
  <c r="O32"/>
  <c r="O31"/>
  <c r="O30"/>
  <c r="N37"/>
  <c r="M37"/>
  <c r="L37"/>
  <c r="K37"/>
  <c r="J37"/>
  <c r="I37"/>
  <c r="H37"/>
  <c r="G37"/>
  <c r="F37"/>
  <c r="E37"/>
  <c r="D37"/>
  <c r="C37"/>
  <c r="O74" i="19" l="1"/>
  <c r="E50" i="10"/>
  <c r="F50"/>
  <c r="J50"/>
  <c r="N50"/>
  <c r="C50" i="11"/>
  <c r="G50"/>
  <c r="K50"/>
  <c r="C27" i="14"/>
  <c r="K27"/>
  <c r="D50"/>
  <c r="H50"/>
  <c r="L50"/>
  <c r="I27"/>
  <c r="C50"/>
  <c r="G50"/>
  <c r="K50"/>
  <c r="O50"/>
  <c r="F50"/>
  <c r="J50"/>
  <c r="N50"/>
  <c r="E50"/>
  <c r="I50"/>
  <c r="M50"/>
  <c r="G27"/>
  <c r="E27"/>
  <c r="M27"/>
  <c r="F50" i="11"/>
  <c r="E50"/>
  <c r="I50"/>
  <c r="M50"/>
  <c r="D50"/>
  <c r="H50"/>
  <c r="L50"/>
  <c r="J50"/>
  <c r="N50"/>
  <c r="O58"/>
  <c r="I50" i="10"/>
  <c r="M50"/>
  <c r="H50"/>
  <c r="L50"/>
  <c r="G50"/>
  <c r="K50"/>
  <c r="D50"/>
  <c r="C50"/>
  <c r="C72" i="14"/>
  <c r="C61"/>
  <c r="O60"/>
  <c r="O58"/>
  <c r="O60" i="11"/>
  <c r="O57" i="10"/>
  <c r="O58"/>
  <c r="O60"/>
  <c r="O48"/>
  <c r="O37"/>
  <c r="P37" i="14"/>
  <c r="O57"/>
  <c r="O59"/>
  <c r="O67"/>
  <c r="O57" i="11"/>
  <c r="O59"/>
  <c r="O67"/>
  <c r="P37" i="10"/>
  <c r="P48" i="14"/>
  <c r="O7"/>
  <c r="O9"/>
  <c r="D14"/>
  <c r="F14"/>
  <c r="H14"/>
  <c r="J14"/>
  <c r="L14"/>
  <c r="N14"/>
  <c r="O17"/>
  <c r="O24"/>
  <c r="D25"/>
  <c r="F25"/>
  <c r="H25"/>
  <c r="J25"/>
  <c r="L25"/>
  <c r="N25"/>
  <c r="O8"/>
  <c r="O18"/>
  <c r="O20"/>
  <c r="O22"/>
  <c r="P48" i="10"/>
  <c r="O48" i="11"/>
  <c r="O37"/>
  <c r="K66" i="14" l="1"/>
  <c r="K65"/>
  <c r="K64"/>
  <c r="K61"/>
  <c r="K56"/>
  <c r="K55"/>
  <c r="K54"/>
  <c r="K68" s="1"/>
  <c r="K74"/>
  <c r="K72"/>
  <c r="K71"/>
  <c r="K70"/>
  <c r="K69"/>
  <c r="K56" i="11"/>
  <c r="K55"/>
  <c r="K74"/>
  <c r="K72"/>
  <c r="K71"/>
  <c r="K70"/>
  <c r="K69"/>
  <c r="K61"/>
  <c r="K54"/>
  <c r="K68" s="1"/>
  <c r="K66"/>
  <c r="K65"/>
  <c r="K64"/>
  <c r="K69" i="10"/>
  <c r="K70"/>
  <c r="K55"/>
  <c r="K74"/>
  <c r="K71"/>
  <c r="K68"/>
  <c r="K65"/>
  <c r="K64"/>
  <c r="K56"/>
  <c r="K54"/>
  <c r="J74" i="14"/>
  <c r="J69"/>
  <c r="J65"/>
  <c r="J55"/>
  <c r="J70"/>
  <c r="J66"/>
  <c r="J56"/>
  <c r="J71"/>
  <c r="J61"/>
  <c r="J72"/>
  <c r="J64"/>
  <c r="J54"/>
  <c r="J68" s="1"/>
  <c r="J55" i="11"/>
  <c r="J56"/>
  <c r="J71"/>
  <c r="J64"/>
  <c r="J72"/>
  <c r="J65"/>
  <c r="J54"/>
  <c r="J68" s="1"/>
  <c r="J74"/>
  <c r="J69"/>
  <c r="J66"/>
  <c r="J61"/>
  <c r="J70"/>
  <c r="J74" i="10"/>
  <c r="J69"/>
  <c r="J70"/>
  <c r="J64"/>
  <c r="J54"/>
  <c r="J68"/>
  <c r="J56"/>
  <c r="J71"/>
  <c r="J65"/>
  <c r="J55"/>
  <c r="I72" i="14"/>
  <c r="I70"/>
  <c r="I65"/>
  <c r="I61"/>
  <c r="I55"/>
  <c r="I74"/>
  <c r="I71"/>
  <c r="I69"/>
  <c r="I66"/>
  <c r="I64"/>
  <c r="I56"/>
  <c r="I54"/>
  <c r="I68" s="1"/>
  <c r="I56" i="11"/>
  <c r="I55"/>
  <c r="I61"/>
  <c r="I74"/>
  <c r="I71"/>
  <c r="I69"/>
  <c r="I65"/>
  <c r="I54"/>
  <c r="I68" s="1"/>
  <c r="I72"/>
  <c r="I70"/>
  <c r="I66"/>
  <c r="I64"/>
  <c r="I74" i="10"/>
  <c r="I69"/>
  <c r="I65"/>
  <c r="I70"/>
  <c r="I68"/>
  <c r="I64"/>
  <c r="I56"/>
  <c r="I54"/>
  <c r="I55"/>
  <c r="I71"/>
  <c r="H71" i="14"/>
  <c r="H61"/>
  <c r="H70"/>
  <c r="H66"/>
  <c r="H56"/>
  <c r="H74"/>
  <c r="H69"/>
  <c r="H65"/>
  <c r="H55"/>
  <c r="H72"/>
  <c r="H64"/>
  <c r="H54"/>
  <c r="H68" s="1"/>
  <c r="H56" i="11"/>
  <c r="H55"/>
  <c r="H74"/>
  <c r="H69"/>
  <c r="H66"/>
  <c r="H72"/>
  <c r="H65"/>
  <c r="H71"/>
  <c r="H64"/>
  <c r="H61"/>
  <c r="H70"/>
  <c r="H54"/>
  <c r="H68" s="1"/>
  <c r="H74" i="10"/>
  <c r="H69"/>
  <c r="H68"/>
  <c r="H56"/>
  <c r="H65"/>
  <c r="H55"/>
  <c r="H64"/>
  <c r="H54"/>
  <c r="H71"/>
  <c r="H70"/>
  <c r="G66" i="14"/>
  <c r="G65"/>
  <c r="G64"/>
  <c r="G61"/>
  <c r="G56"/>
  <c r="G55"/>
  <c r="G54"/>
  <c r="G68" s="1"/>
  <c r="G74"/>
  <c r="G72"/>
  <c r="G71"/>
  <c r="G70"/>
  <c r="G69"/>
  <c r="G56" i="11"/>
  <c r="G55"/>
  <c r="G74"/>
  <c r="G72"/>
  <c r="G71"/>
  <c r="G70"/>
  <c r="G69"/>
  <c r="G61"/>
  <c r="G54"/>
  <c r="G68" s="1"/>
  <c r="G66"/>
  <c r="G65"/>
  <c r="G64"/>
  <c r="G70" i="10"/>
  <c r="G69"/>
  <c r="G65"/>
  <c r="G64"/>
  <c r="G55"/>
  <c r="G74"/>
  <c r="G68"/>
  <c r="G56"/>
  <c r="G71"/>
  <c r="G54"/>
  <c r="F74" i="14"/>
  <c r="F69"/>
  <c r="F65"/>
  <c r="F55"/>
  <c r="F70"/>
  <c r="F66"/>
  <c r="F56"/>
  <c r="F72"/>
  <c r="F64"/>
  <c r="F54"/>
  <c r="F68" s="1"/>
  <c r="F71"/>
  <c r="F61"/>
  <c r="F55" i="11"/>
  <c r="F56"/>
  <c r="F71"/>
  <c r="F64"/>
  <c r="F72"/>
  <c r="F65"/>
  <c r="F54"/>
  <c r="F68" s="1"/>
  <c r="F74"/>
  <c r="F69"/>
  <c r="F66"/>
  <c r="F61"/>
  <c r="F70"/>
  <c r="F74" i="10"/>
  <c r="F69"/>
  <c r="F70"/>
  <c r="F64"/>
  <c r="F54"/>
  <c r="F71"/>
  <c r="F65"/>
  <c r="F55"/>
  <c r="F68"/>
  <c r="F56"/>
  <c r="E74" i="14"/>
  <c r="E71"/>
  <c r="E69"/>
  <c r="E66"/>
  <c r="E64"/>
  <c r="E56"/>
  <c r="E54"/>
  <c r="E68" s="1"/>
  <c r="E72"/>
  <c r="E70"/>
  <c r="E65"/>
  <c r="E61"/>
  <c r="E55"/>
  <c r="E68" i="11"/>
  <c r="E72"/>
  <c r="E70"/>
  <c r="E66"/>
  <c r="E64"/>
  <c r="E61"/>
  <c r="E74"/>
  <c r="E71"/>
  <c r="E69"/>
  <c r="E65"/>
  <c r="E72" i="10"/>
  <c r="E68"/>
  <c r="E64"/>
  <c r="E56"/>
  <c r="E71"/>
  <c r="E69"/>
  <c r="E65"/>
  <c r="E61"/>
  <c r="E55"/>
  <c r="E54"/>
  <c r="E74"/>
  <c r="E70"/>
  <c r="D72" i="14"/>
  <c r="D66"/>
  <c r="D64"/>
  <c r="D54"/>
  <c r="D74"/>
  <c r="D69"/>
  <c r="D55"/>
  <c r="D70"/>
  <c r="D56"/>
  <c r="D71"/>
  <c r="D65"/>
  <c r="D61"/>
  <c r="D54" i="11"/>
  <c r="D68" s="1"/>
  <c r="D70"/>
  <c r="O70" s="1"/>
  <c r="D64"/>
  <c r="D66"/>
  <c r="D71"/>
  <c r="D65"/>
  <c r="D55"/>
  <c r="D72"/>
  <c r="D74"/>
  <c r="D69"/>
  <c r="O69" s="1"/>
  <c r="D61"/>
  <c r="D56"/>
  <c r="D74" i="10"/>
  <c r="M67"/>
  <c r="I67"/>
  <c r="E67"/>
  <c r="K66"/>
  <c r="G66"/>
  <c r="D70"/>
  <c r="D64"/>
  <c r="D72"/>
  <c r="N67"/>
  <c r="J67"/>
  <c r="F67"/>
  <c r="L66"/>
  <c r="H66"/>
  <c r="D71"/>
  <c r="D65"/>
  <c r="D54"/>
  <c r="D61"/>
  <c r="K67"/>
  <c r="G67"/>
  <c r="M66"/>
  <c r="I66"/>
  <c r="E66"/>
  <c r="D68"/>
  <c r="O68" s="1"/>
  <c r="D55"/>
  <c r="D66"/>
  <c r="L67"/>
  <c r="H67"/>
  <c r="N66"/>
  <c r="J66"/>
  <c r="F66"/>
  <c r="D69"/>
  <c r="D56"/>
  <c r="D67"/>
  <c r="O50"/>
  <c r="O50" i="11"/>
  <c r="L27" i="14"/>
  <c r="N27"/>
  <c r="H27"/>
  <c r="J27"/>
  <c r="D27"/>
  <c r="F27"/>
  <c r="P50"/>
  <c r="C74"/>
  <c r="P50" i="10"/>
  <c r="O25" i="14"/>
  <c r="O14"/>
  <c r="N4" i="12"/>
  <c r="M4"/>
  <c r="L4"/>
  <c r="K4"/>
  <c r="J4"/>
  <c r="I4"/>
  <c r="H4"/>
  <c r="G4"/>
  <c r="F4"/>
  <c r="E4"/>
  <c r="D4"/>
  <c r="C4"/>
  <c r="O9"/>
  <c r="O5"/>
  <c r="O6" s="1"/>
  <c r="C71" i="11"/>
  <c r="C65"/>
  <c r="C64"/>
  <c r="C56"/>
  <c r="C55"/>
  <c r="C54"/>
  <c r="N6" i="12"/>
  <c r="M6"/>
  <c r="L6"/>
  <c r="K6"/>
  <c r="J6"/>
  <c r="I6"/>
  <c r="H6"/>
  <c r="G6"/>
  <c r="F6"/>
  <c r="E6"/>
  <c r="D6"/>
  <c r="C6"/>
  <c r="O24" i="11"/>
  <c r="O22"/>
  <c r="O21"/>
  <c r="O20"/>
  <c r="O19"/>
  <c r="O18"/>
  <c r="N25"/>
  <c r="M25"/>
  <c r="L25"/>
  <c r="K25"/>
  <c r="J25"/>
  <c r="I25"/>
  <c r="H25"/>
  <c r="G25"/>
  <c r="F25"/>
  <c r="E25"/>
  <c r="D25"/>
  <c r="C25"/>
  <c r="O13"/>
  <c r="O12"/>
  <c r="O11"/>
  <c r="O10"/>
  <c r="O8"/>
  <c r="N14"/>
  <c r="M14"/>
  <c r="L14"/>
  <c r="K14"/>
  <c r="J14"/>
  <c r="I14"/>
  <c r="H14"/>
  <c r="G14"/>
  <c r="F14"/>
  <c r="E14"/>
  <c r="D14"/>
  <c r="O55" i="14" l="1"/>
  <c r="O70" i="10"/>
  <c r="O69" i="14"/>
  <c r="O66"/>
  <c r="O56"/>
  <c r="O71"/>
  <c r="O64"/>
  <c r="O70"/>
  <c r="O68" i="11"/>
  <c r="O65" i="14"/>
  <c r="O66" i="11"/>
  <c r="D68" i="14"/>
  <c r="O68" s="1"/>
  <c r="O54"/>
  <c r="O67" i="10"/>
  <c r="O66"/>
  <c r="O27" i="14"/>
  <c r="G27" i="11"/>
  <c r="I27"/>
  <c r="C72"/>
  <c r="E27"/>
  <c r="M27"/>
  <c r="D27"/>
  <c r="H27"/>
  <c r="L27"/>
  <c r="K27"/>
  <c r="F27"/>
  <c r="J27"/>
  <c r="N27"/>
  <c r="O64"/>
  <c r="O54"/>
  <c r="O56"/>
  <c r="O71"/>
  <c r="O55"/>
  <c r="O65"/>
  <c r="O9"/>
  <c r="C14"/>
  <c r="C61" s="1"/>
  <c r="O7"/>
  <c r="O17"/>
  <c r="O25" s="1"/>
  <c r="O61" i="14" l="1"/>
  <c r="O72"/>
  <c r="C27" i="11"/>
  <c r="O14"/>
  <c r="O27" s="1"/>
  <c r="C74"/>
  <c r="O61"/>
  <c r="O72"/>
  <c r="O74" i="14" l="1"/>
  <c r="O74" i="11"/>
  <c r="C71" i="10" l="1"/>
  <c r="C69"/>
  <c r="C65"/>
  <c r="O21"/>
  <c r="O20"/>
  <c r="O19"/>
  <c r="C25"/>
  <c r="M25"/>
  <c r="K25"/>
  <c r="I25"/>
  <c r="E25"/>
  <c r="C56"/>
  <c r="O13"/>
  <c r="O12"/>
  <c r="O11"/>
  <c r="O10"/>
  <c r="C55"/>
  <c r="B5" i="24" l="1"/>
  <c r="B6" s="1"/>
  <c r="C72" i="10"/>
  <c r="O22"/>
  <c r="O65"/>
  <c r="G14"/>
  <c r="I14"/>
  <c r="N14"/>
  <c r="O55"/>
  <c r="G25"/>
  <c r="K14"/>
  <c r="F25"/>
  <c r="J25"/>
  <c r="N25"/>
  <c r="O56"/>
  <c r="O18"/>
  <c r="M14"/>
  <c r="H25"/>
  <c r="L25"/>
  <c r="C14"/>
  <c r="C61" s="1"/>
  <c r="C54"/>
  <c r="E14"/>
  <c r="O17"/>
  <c r="C64"/>
  <c r="O64" s="1"/>
  <c r="D14"/>
  <c r="O8"/>
  <c r="F14"/>
  <c r="H14"/>
  <c r="J14"/>
  <c r="L14"/>
  <c r="O9"/>
  <c r="D25"/>
  <c r="O24"/>
  <c r="O71"/>
  <c r="O7"/>
  <c r="L27" l="1"/>
  <c r="N27"/>
  <c r="J27"/>
  <c r="D27"/>
  <c r="K27"/>
  <c r="C27"/>
  <c r="I27"/>
  <c r="H27"/>
  <c r="F27"/>
  <c r="G27"/>
  <c r="M27"/>
  <c r="E27"/>
  <c r="O25"/>
  <c r="O14"/>
  <c r="O69"/>
  <c r="O72" s="1"/>
  <c r="O54"/>
  <c r="O61" s="1"/>
  <c r="O74" l="1"/>
  <c r="O27"/>
  <c r="C74"/>
  <c r="B5" i="21" l="1"/>
  <c r="B6" s="1"/>
  <c r="B2" i="24" l="1"/>
  <c r="B8" s="1"/>
  <c r="B14" s="1"/>
  <c r="B2" i="22"/>
  <c r="B8" s="1"/>
  <c r="B14" s="1"/>
  <c r="B2" i="21"/>
  <c r="B8" s="1"/>
  <c r="B14" s="1"/>
  <c r="B2" i="23" l="1"/>
  <c r="B8" s="1"/>
  <c r="B14" s="1"/>
  <c r="O10" i="12" l="1"/>
  <c r="M8"/>
  <c r="M10" s="1"/>
  <c r="K8"/>
  <c r="K10" s="1"/>
  <c r="I8"/>
  <c r="I10" s="1"/>
  <c r="G8"/>
  <c r="G10" s="1"/>
  <c r="E8"/>
  <c r="E10" s="1"/>
  <c r="N8"/>
  <c r="N10" s="1"/>
  <c r="L8"/>
  <c r="L10" s="1"/>
  <c r="J8"/>
  <c r="J10" s="1"/>
  <c r="H8"/>
  <c r="H10" s="1"/>
  <c r="F8"/>
  <c r="F10" s="1"/>
  <c r="C8"/>
  <c r="C10" s="1"/>
  <c r="D8"/>
  <c r="D10" s="1"/>
  <c r="I15" l="1"/>
  <c r="E15"/>
  <c r="I20"/>
  <c r="I25" l="1"/>
  <c r="E25"/>
  <c r="E20"/>
</calcChain>
</file>

<file path=xl/comments1.xml><?xml version="1.0" encoding="utf-8"?>
<comments xmlns="http://schemas.openxmlformats.org/spreadsheetml/2006/main">
  <authors>
    <author>bz4j93</author>
  </authors>
  <commentList>
    <comment ref="C15" authorId="0">
      <text>
        <r>
          <rPr>
            <sz val="8"/>
            <color indexed="81"/>
            <rFont val="Tahoma"/>
            <family val="2"/>
          </rPr>
          <t>2012 Business Plan
p. 55</t>
        </r>
      </text>
    </comment>
    <comment ref="C16" authorId="0">
      <text>
        <r>
          <rPr>
            <sz val="8"/>
            <color indexed="81"/>
            <rFont val="Tahoma"/>
            <family val="2"/>
          </rPr>
          <t>total kWH for WA &amp; ID - NEAA kWh for WA &amp; ID
Business Plan</t>
        </r>
      </text>
    </comment>
    <comment ref="D16" authorId="0">
      <text>
        <r>
          <rPr>
            <sz val="8"/>
            <color indexed="81"/>
            <rFont val="Tahoma"/>
            <family val="2"/>
          </rPr>
          <t>business plan</t>
        </r>
      </text>
    </comment>
    <comment ref="C17" authorId="0">
      <text>
        <r>
          <rPr>
            <sz val="8"/>
            <color indexed="81"/>
            <rFont val="Tahoma"/>
            <family val="2"/>
          </rPr>
          <t>2009 Gas IRP
Chpt 4 page 9</t>
        </r>
      </text>
    </comment>
    <comment ref="C18" authorId="0">
      <text>
        <r>
          <rPr>
            <sz val="8"/>
            <color indexed="81"/>
            <rFont val="Tahoma"/>
            <family val="2"/>
          </rPr>
          <t>business plan</t>
        </r>
      </text>
    </comment>
    <comment ref="G20" authorId="0">
      <text>
        <r>
          <rPr>
            <sz val="8"/>
            <color indexed="81"/>
            <rFont val="Tahoma"/>
            <family val="2"/>
          </rPr>
          <t>YTD thru 9/30/12 WA kWh
low income 317168
nonres 27599223
res 2456178
CFL res 68310
2nd refrig res 460616
simple steps res 4204781
Home Energy Audits 96660</t>
        </r>
      </text>
    </comment>
    <comment ref="C21" authorId="0">
      <text>
        <r>
          <rPr>
            <sz val="8"/>
            <color indexed="81"/>
            <rFont val="Tahoma"/>
            <family val="2"/>
          </rPr>
          <t>total WA kWH - NEAA kWH
Business Plan</t>
        </r>
      </text>
    </comment>
    <comment ref="D21" authorId="0">
      <text>
        <r>
          <rPr>
            <sz val="8"/>
            <color indexed="81"/>
            <rFont val="Tahoma"/>
            <family val="2"/>
          </rPr>
          <t>business plan</t>
        </r>
      </text>
    </comment>
    <comment ref="C22" authorId="0">
      <text>
        <r>
          <rPr>
            <sz val="8"/>
            <color indexed="81"/>
            <rFont val="Tahoma"/>
            <family val="2"/>
          </rPr>
          <t>% from 2009 IRP plan for the year 2012.
Gas sales forecast (Randy Barcus)
WA 187,570,017
ID 80,857,820
WA % =
187,570,017(187,570,017+80,857,820)
= 69.8773%</t>
        </r>
      </text>
    </comment>
    <comment ref="G22" authorId="0">
      <text>
        <r>
          <rPr>
            <sz val="8"/>
            <color indexed="81"/>
            <rFont val="Tahoma"/>
            <family val="2"/>
          </rPr>
          <t xml:space="preserve">YTD thru 9/30/12 WA therm
low income 25214
nonres 207448
res 210309
simple steps 1600
</t>
        </r>
      </text>
    </comment>
    <comment ref="C23" authorId="0">
      <text>
        <r>
          <rPr>
            <sz val="8"/>
            <color indexed="81"/>
            <rFont val="Tahoma"/>
            <family val="2"/>
          </rPr>
          <t>business plan</t>
        </r>
      </text>
    </comment>
    <comment ref="G25" authorId="0">
      <text>
        <r>
          <rPr>
            <sz val="8"/>
            <color indexed="81"/>
            <rFont val="Tahoma"/>
            <family val="2"/>
          </rPr>
          <t xml:space="preserve">YTD thru 9/30/12 ID kWh
low income 160410
nonres 11355539
res 1301979
CFL res 7470
2nd refrig res 198120
simple steps res 1802049
</t>
        </r>
      </text>
    </comment>
    <comment ref="C26" authorId="0">
      <text>
        <r>
          <rPr>
            <sz val="8"/>
            <color indexed="81"/>
            <rFont val="Tahoma"/>
            <family val="2"/>
          </rPr>
          <t>total ID kWH - NEAA kWH
Business Plan</t>
        </r>
      </text>
    </comment>
    <comment ref="G27" authorId="0">
      <text>
        <r>
          <rPr>
            <sz val="8"/>
            <color indexed="81"/>
            <rFont val="Tahoma"/>
            <family val="2"/>
          </rPr>
          <t xml:space="preserve">YTD thru 9/30/12 ID therm
low income 16689
nonres 63878
res 102353
simple steps 686
</t>
        </r>
      </text>
    </comment>
    <comment ref="G32" authorId="0">
      <text>
        <r>
          <rPr>
            <sz val="8"/>
            <color indexed="81"/>
            <rFont val="Tahoma"/>
            <family val="2"/>
          </rPr>
          <t>WA 9/30/12
res 207563+436872
LI 153180+73163</t>
        </r>
      </text>
    </comment>
    <comment ref="G33" authorId="0">
      <text>
        <r>
          <rPr>
            <sz val="8"/>
            <color indexed="81"/>
            <rFont val="Tahoma"/>
            <family val="2"/>
          </rPr>
          <t xml:space="preserve">WA 9/30/12
nonres 28,160 </t>
        </r>
      </text>
    </comment>
  </commentList>
</comments>
</file>

<file path=xl/comments2.xml><?xml version="1.0" encoding="utf-8"?>
<comments xmlns="http://schemas.openxmlformats.org/spreadsheetml/2006/main">
  <authors>
    <author>Energy Section</author>
  </authors>
  <commentList>
    <comment ref="B11" authorId="0">
      <text>
        <r>
          <rPr>
            <b/>
            <sz val="8"/>
            <color indexed="81"/>
            <rFont val="Tahoma"/>
            <family val="2"/>
          </rPr>
          <t>Energy Section:</t>
        </r>
        <r>
          <rPr>
            <sz val="8"/>
            <color indexed="81"/>
            <rFont val="Tahoma"/>
            <family val="2"/>
          </rPr>
          <t xml:space="preserve">
from sheet "WA(E)-Budget Exp"
</t>
        </r>
      </text>
    </comment>
  </commentList>
</comments>
</file>

<file path=xl/comments3.xml><?xml version="1.0" encoding="utf-8"?>
<comments xmlns="http://schemas.openxmlformats.org/spreadsheetml/2006/main">
  <authors>
    <author>bz4j93</author>
  </authors>
  <commentList>
    <comment ref="K41" authorId="0">
      <text>
        <r>
          <rPr>
            <sz val="8"/>
            <color indexed="81"/>
            <rFont val="Tahoma"/>
          </rPr>
          <t>999.90 already listeded Aug so not to double count need to subtract out in Sep.
Annette Brandon correction from Aug
interest was listed as task 242609 in Aug and now correct to 242696 in Sep</t>
        </r>
      </text>
    </comment>
  </commentList>
</comments>
</file>

<file path=xl/sharedStrings.xml><?xml version="1.0" encoding="utf-8"?>
<sst xmlns="http://schemas.openxmlformats.org/spreadsheetml/2006/main" count="805" uniqueCount="180">
  <si>
    <t>Jan</t>
  </si>
  <si>
    <t>Feb</t>
  </si>
  <si>
    <t>Mar</t>
  </si>
  <si>
    <t>Apr</t>
  </si>
  <si>
    <t>May</t>
  </si>
  <si>
    <t>Jun</t>
  </si>
  <si>
    <t>Jul</t>
  </si>
  <si>
    <t>Aug</t>
  </si>
  <si>
    <t>Sep</t>
  </si>
  <si>
    <t>Oct</t>
  </si>
  <si>
    <t>Nov</t>
  </si>
  <si>
    <t>Dec</t>
  </si>
  <si>
    <t xml:space="preserve">Washington Electric Schedule 91 </t>
  </si>
  <si>
    <t>Tariff Rider Balance</t>
  </si>
  <si>
    <t>Forecasted tariff rider collections</t>
  </si>
  <si>
    <t>Actual tariff rider collections</t>
  </si>
  <si>
    <t>Favorable (Unfavorble) Variance</t>
  </si>
  <si>
    <t>Actual expenditures</t>
  </si>
  <si>
    <t>Budgeted expenditures</t>
  </si>
  <si>
    <t>Favorable (Unfavorable) Variance</t>
  </si>
  <si>
    <t>[c]</t>
  </si>
  <si>
    <t>[b]</t>
  </si>
  <si>
    <t>[a]</t>
  </si>
  <si>
    <t>Favorable (Unfavorable) Net monthly activity ([b]-[c])</t>
  </si>
  <si>
    <t>[d]</t>
  </si>
  <si>
    <t>Tariff Rider Ending Balance ([a]-[d])</t>
  </si>
  <si>
    <t>Variance Explanations:</t>
  </si>
  <si>
    <t xml:space="preserve">Idaho Electric Schedule 91 </t>
  </si>
  <si>
    <t>Projected Tariff Rider Balance</t>
  </si>
  <si>
    <t>Total 2011</t>
  </si>
  <si>
    <t>Projected and Actual kWh</t>
  </si>
  <si>
    <t>Non-residential</t>
  </si>
  <si>
    <t>Residential</t>
  </si>
  <si>
    <t>Demand Response</t>
  </si>
  <si>
    <t>Distributed Gen</t>
  </si>
  <si>
    <t>Regional</t>
  </si>
  <si>
    <t>Common</t>
  </si>
  <si>
    <t>Total Budget-Direct Customer Incentives</t>
  </si>
  <si>
    <t>Total Actual-Direct Customer Incentives</t>
  </si>
  <si>
    <t>Budget-Actual Variance</t>
  </si>
  <si>
    <t>Total Variance</t>
  </si>
  <si>
    <t>DSM Functional Categories</t>
  </si>
  <si>
    <t>kWh Savings-Forecasted</t>
  </si>
  <si>
    <t>kWh Savings-Actual</t>
  </si>
  <si>
    <t>Variance (%)</t>
  </si>
  <si>
    <t>Therm Savings-Actual</t>
  </si>
  <si>
    <t>Therm Savings-Forecasted</t>
  </si>
  <si>
    <t xml:space="preserve">Washington Natural Gas Schedule 191 </t>
  </si>
  <si>
    <t>Local Savings</t>
  </si>
  <si>
    <t>Notes:</t>
  </si>
  <si>
    <t xml:space="preserve">Idaho Natural Gas Schedule 191 </t>
  </si>
  <si>
    <t>Variance explanations:</t>
  </si>
  <si>
    <t xml:space="preserve"> </t>
  </si>
  <si>
    <t>1st Qtr</t>
  </si>
  <si>
    <t>2nd Qtr</t>
  </si>
  <si>
    <t>3rd Qtr</t>
  </si>
  <si>
    <t>4th Qtr</t>
  </si>
  <si>
    <t>DSM Budget-Direct Customer Incentives:</t>
  </si>
  <si>
    <t>DSM Actual-Direct Customer Incentives:</t>
  </si>
  <si>
    <t>Direct Customer Incentives:</t>
  </si>
  <si>
    <t>kWh</t>
  </si>
  <si>
    <t>therms</t>
  </si>
  <si>
    <t>regional prg</t>
  </si>
  <si>
    <t>total</t>
  </si>
  <si>
    <t>local prg</t>
  </si>
  <si>
    <t>E to G Conversions</t>
  </si>
  <si>
    <t>ytd local savings</t>
  </si>
  <si>
    <t>Pct ach'd as compared with local targets</t>
  </si>
  <si>
    <t>Current balance as of 8/31/10</t>
  </si>
  <si>
    <t>Forecasted funding to be collected Sep-Dec 2010</t>
  </si>
  <si>
    <t>Budgeted expenditures for Sep-Dec 2010</t>
  </si>
  <si>
    <t>Updated projection of 2010 year-end tariff rider balance</t>
  </si>
  <si>
    <t>Forecasted funding to be collected 2011</t>
  </si>
  <si>
    <t>Budgeted expenditures from 2011 Business Plan</t>
  </si>
  <si>
    <t>Projection of 2011 year-end tariff rider balance</t>
  </si>
  <si>
    <t>Low Income</t>
  </si>
  <si>
    <t>Progress toward various targets:</t>
  </si>
  <si>
    <t>EMV</t>
  </si>
  <si>
    <t>DSM Budget-Non-Incentive Funding:</t>
  </si>
  <si>
    <t>Total Budget-Non-incentive Funding</t>
  </si>
  <si>
    <t>[a]+[b]</t>
  </si>
  <si>
    <t>[c]+[d]</t>
  </si>
  <si>
    <t>DSM Actual-Non-Incentive Funding:</t>
  </si>
  <si>
    <t>DSM Actual-Non-Incentive Funding</t>
  </si>
  <si>
    <t>[a]-[c]</t>
  </si>
  <si>
    <t>[b]-[d]</t>
  </si>
  <si>
    <t>Non-Incentive Funding:</t>
  </si>
  <si>
    <t>Total Budget-Non-Incentive Funding</t>
  </si>
  <si>
    <t>1) DSM expenditures are budgeted on a annual basis and spread monthly on an equal basis.  This timing difference between budget vs actual could attribute to some variances</t>
  </si>
  <si>
    <t xml:space="preserve">  </t>
  </si>
  <si>
    <t>Total 2012</t>
  </si>
  <si>
    <t xml:space="preserve">2012 I-937 electric target (WA) </t>
  </si>
  <si>
    <t>2012 IRP natural gas target (ID</t>
  </si>
  <si>
    <t>2012 IRP natural gas target (WA)</t>
  </si>
  <si>
    <t>2012 IRP natural gas target</t>
  </si>
  <si>
    <t>2012 business plan electric target</t>
  </si>
  <si>
    <t>2012 b-plan electric target (WA)</t>
  </si>
  <si>
    <t>2012 b-plan electric target (ID)</t>
  </si>
  <si>
    <t>2012 business plan natural gas target</t>
  </si>
  <si>
    <t>2012 b-plan natural gas target (WA)</t>
  </si>
  <si>
    <t>2012 b-plan natural gas target (ID)</t>
  </si>
  <si>
    <t>2012 IRP electric target</t>
  </si>
  <si>
    <t>2012 IRP electric target (WA)</t>
  </si>
  <si>
    <t>2012 IRP electric target (ID)</t>
  </si>
  <si>
    <t>Jan - $99k unfavorable variance due to processing more rebates</t>
  </si>
  <si>
    <t>Jan - $55k favorable variance due to processing less rebates</t>
  </si>
  <si>
    <t>Jan - $85k favorable variance primarily due to less implementation costs than budgeted</t>
  </si>
  <si>
    <t>Jan - $23k favorable variance due to less rebates</t>
  </si>
  <si>
    <t>Jan - Revenue was significantly higher than expenditures.</t>
  </si>
  <si>
    <t>Jan - Expenses were significantly lower than budgeted.</t>
  </si>
  <si>
    <t>Feb - $83k unfavorable variance due to more implementation costs (mostly regional)</t>
  </si>
  <si>
    <t>Feb - $141k favorable variance due to processing less rebates</t>
  </si>
  <si>
    <t>Feb - $235k unfavorable variance due to processing more rebates and more implementation costs than budgeted</t>
  </si>
  <si>
    <t>Feb - $61k favorable variance due to less rebates</t>
  </si>
  <si>
    <t>Feb - Revenue continues to be significantly higher than expenditures.</t>
  </si>
  <si>
    <t>Feb - Revenue is higher than expenses and now it is over funded.</t>
  </si>
  <si>
    <t>Jan - Revenue is higher than expenses but the balance is now closer to zero.</t>
  </si>
  <si>
    <t>Feb - Revenue and expenses were close this month with revenue slightly higher resulting in an increase to the balance.</t>
  </si>
  <si>
    <t>Mar - $183k favorable variance due less implementation costs</t>
  </si>
  <si>
    <t>Mar - $33k favorable variance due to processing less rebates</t>
  </si>
  <si>
    <t>Mar - $44k unfavorable variance due to processing more rebates than budgeted</t>
  </si>
  <si>
    <t>Mar - $5k favorable variance due to less rebates</t>
  </si>
  <si>
    <t>Mar - Revenue continues to be higher than expenditures and expenditures are below budget.</t>
  </si>
  <si>
    <t>Mar - Revenue is higher than expenses and expenditures are below budget.</t>
  </si>
  <si>
    <t>Mar - Revenue was higher than expenses.</t>
  </si>
  <si>
    <t>Feb - Expenses were significantly lower than revenue resulting in an increase to the balance.</t>
  </si>
  <si>
    <t>Mar - Expenses were lower than revenue.</t>
  </si>
  <si>
    <t>Apr - $26k unfavorable variance due to more implementation costs</t>
  </si>
  <si>
    <t>Apr - $254k unfavorable variance due primarily to more implementation costs than budgeted</t>
  </si>
  <si>
    <t>Apr - $51k favorable variance due to less rebates</t>
  </si>
  <si>
    <t>Apr - Expenditures are above budget, primarily implementation expenses.</t>
  </si>
  <si>
    <t>Apr - Revenue, with more heating days than average, is higher than expenses and expenditures are below budget.</t>
  </si>
  <si>
    <t>Apr - Expenses were slightly higher than revenue.</t>
  </si>
  <si>
    <t>Apr - Expenses were significantly lower than budgeted.</t>
  </si>
  <si>
    <t>Apr - $679k unfavorable variance due primarily to processing more rebates and NEEA Dues</t>
  </si>
  <si>
    <t>2012 Aggregate DSM Budget</t>
  </si>
  <si>
    <t>2012 Aggregate DSM Actual</t>
  </si>
  <si>
    <t>May - $283k unfavorable variance due primarily to processing more rebates.</t>
  </si>
  <si>
    <t>May - $197k unfavorable variance due to processing more rebates than budgeted</t>
  </si>
  <si>
    <t>May - $33k favorable variance due to less rebates</t>
  </si>
  <si>
    <t>May - Expenditures are above budget, primarily rebate expenses.</t>
  </si>
  <si>
    <t>May - Revenue is higher than expenses and expenditures are below budget, primarily less rebates.</t>
  </si>
  <si>
    <t>May - Expenses were slightly higher than revenue, with rebate expenses higher than budgeted.</t>
  </si>
  <si>
    <t>May - Expenses were slightly higher than revenue.</t>
  </si>
  <si>
    <t>May - $150k favorable variance due to processing less rebates</t>
  </si>
  <si>
    <t>Jun - $267k unfavorable variance due primarily to implementation costs including NEEA Dues</t>
  </si>
  <si>
    <t>Jun - $7k favorable variance due to processing less rebates</t>
  </si>
  <si>
    <t>Jun - $496k unfavorable variance due to processing more rebates than budgeted and NEEA dues</t>
  </si>
  <si>
    <t>Jun - $18k unfavorable variance due to processing more rebates and implementation costs higher than budgeted</t>
  </si>
  <si>
    <t>Jun - Expenditures are above budget, primarily implementation expenses.</t>
  </si>
  <si>
    <t>Jun - Revenue is lower than expenses.</t>
  </si>
  <si>
    <t>Jun - Expenses were higher than revenue, primarily due to implementation costs.</t>
  </si>
  <si>
    <t>Jun - Expenses were higher than revenue.</t>
  </si>
  <si>
    <t>2012 I-937 electric target (WA) BCP</t>
  </si>
  <si>
    <t>Biennial Conservation Plan</t>
  </si>
  <si>
    <t>Jul - $5k unfavorable variance due primarily to processing more rebates</t>
  </si>
  <si>
    <t>Jul - Revenue continues to be higher than expenditures.</t>
  </si>
  <si>
    <t>Jul - $181k favorable variance due to processing less rebates</t>
  </si>
  <si>
    <t>Jul - Revenue is lower than expenses.</t>
  </si>
  <si>
    <t>Jul - $8k unfavorable variance due to processing more rebates than budgeted</t>
  </si>
  <si>
    <t>Jul - Revenue was higher than expenses.</t>
  </si>
  <si>
    <t>Jul - $31k favorable variance due to less rebates</t>
  </si>
  <si>
    <t>Jul - Expenses were higher than revenue.</t>
  </si>
  <si>
    <t>Aug - Expenditures are above budget, primarily incentive expenses.</t>
  </si>
  <si>
    <t>Aug - $968k unfavorable variance due primarily to processing more nonresidential rebates</t>
  </si>
  <si>
    <t>Aug - Revenue significantly lower with fewer heating degree days than normal.</t>
  </si>
  <si>
    <t>Aug - $64k favorable variance due to processing less rebates</t>
  </si>
  <si>
    <t>Aug - Revenue was higher than expenses with both revenue and expenses close to budget.</t>
  </si>
  <si>
    <t>Aug - $23k unfavorable variance due to processing more rebates than budgeted</t>
  </si>
  <si>
    <t>Aug - Expenses were higher than revenue.</t>
  </si>
  <si>
    <t>Aug - $52k favorable variance due to less rebates</t>
  </si>
  <si>
    <t>Renewables</t>
  </si>
  <si>
    <t>Sep - $371k favorable variance due primarily to less implementation costs</t>
  </si>
  <si>
    <t>Sep - $71k favorable variance due to processing less rebates</t>
  </si>
  <si>
    <t>Sep - $42k favorable variance due to less rebates</t>
  </si>
  <si>
    <t>Sep - Expenditures are below budget, primarily implementation expenses.</t>
  </si>
  <si>
    <t>Sep - Revenue significantly lower with fewer heating degree days than normal.</t>
  </si>
  <si>
    <t>Sep - Expenses were lower than revenue, primarily due to implementation costs.</t>
  </si>
  <si>
    <t>Sep - Expenses were higher than revenue and revenue is low due to above average temperatures.</t>
  </si>
  <si>
    <t>Sep - $68k favorable variance primarily due to less implementation costs</t>
  </si>
</sst>
</file>

<file path=xl/styles.xml><?xml version="1.0" encoding="utf-8"?>
<styleSheet xmlns="http://schemas.openxmlformats.org/spreadsheetml/2006/main">
  <numFmts count="4">
    <numFmt numFmtId="44" formatCode="_(&quot;$&quot;* #,##0.00_);_(&quot;$&quot;* \(#,##0.00\);_(&quot;$&quot;* &quot;-&quot;??_);_(@_)"/>
    <numFmt numFmtId="43" formatCode="_(* #,##0.00_);_(* \(#,##0.00\);_(* &quot;-&quot;??_);_(@_)"/>
    <numFmt numFmtId="164" formatCode="_(* #,##0_);_(* \(#,##0\);_(* &quot;-&quot;??_);_(@_)"/>
    <numFmt numFmtId="165" formatCode="_(&quot;$&quot;* #,##0_);_(&quot;$&quot;* \(#,##0\);_(&quot;$&quot;* &quot;-&quot;??_);_(@_)"/>
  </numFmts>
  <fonts count="22">
    <font>
      <sz val="11"/>
      <color theme="1"/>
      <name val="Calibri"/>
      <family val="2"/>
      <scheme val="minor"/>
    </font>
    <font>
      <sz val="11"/>
      <color theme="1"/>
      <name val="Calibri"/>
      <family val="2"/>
      <scheme val="minor"/>
    </font>
    <font>
      <sz val="11"/>
      <color rgb="FFFF0000"/>
      <name val="Calibri"/>
      <family val="2"/>
      <scheme val="minor"/>
    </font>
    <font>
      <sz val="11"/>
      <color theme="3" tint="0.39997558519241921"/>
      <name val="Calibri"/>
      <family val="2"/>
      <scheme val="minor"/>
    </font>
    <font>
      <sz val="8"/>
      <color indexed="81"/>
      <name val="Tahoma"/>
      <family val="2"/>
    </font>
    <font>
      <b/>
      <sz val="8"/>
      <color indexed="81"/>
      <name val="Tahoma"/>
      <family val="2"/>
    </font>
    <font>
      <b/>
      <sz val="11"/>
      <color rgb="FFFF0000"/>
      <name val="Calibri"/>
      <family val="2"/>
      <scheme val="minor"/>
    </font>
    <font>
      <b/>
      <sz val="11"/>
      <color theme="3" tint="0.39997558519241921"/>
      <name val="Calibri"/>
      <family val="2"/>
      <scheme val="minor"/>
    </font>
    <font>
      <b/>
      <sz val="11"/>
      <color rgb="FF00B050"/>
      <name val="Calibri"/>
      <family val="2"/>
      <scheme val="minor"/>
    </font>
    <font>
      <sz val="11"/>
      <color rgb="FF00B050"/>
      <name val="Calibri"/>
      <family val="2"/>
      <scheme val="minor"/>
    </font>
    <font>
      <sz val="9"/>
      <color theme="1"/>
      <name val="Calibri"/>
      <family val="2"/>
      <scheme val="minor"/>
    </font>
    <font>
      <sz val="9"/>
      <color rgb="FFFF0000"/>
      <name val="Calibri"/>
      <family val="2"/>
      <scheme val="minor"/>
    </font>
    <font>
      <b/>
      <sz val="9"/>
      <color theme="1"/>
      <name val="Calibri"/>
      <family val="2"/>
      <scheme val="minor"/>
    </font>
    <font>
      <b/>
      <sz val="11"/>
      <color theme="1"/>
      <name val="Calibri"/>
      <family val="2"/>
      <scheme val="minor"/>
    </font>
    <font>
      <sz val="11"/>
      <name val="Calibri"/>
      <family val="2"/>
      <scheme val="minor"/>
    </font>
    <font>
      <b/>
      <sz val="11"/>
      <name val="Calibri"/>
      <family val="2"/>
      <scheme val="minor"/>
    </font>
    <font>
      <b/>
      <u/>
      <sz val="11"/>
      <color theme="1"/>
      <name val="Calibri"/>
      <family val="2"/>
      <scheme val="minor"/>
    </font>
    <font>
      <sz val="9"/>
      <name val="Calibri"/>
      <family val="2"/>
      <scheme val="minor"/>
    </font>
    <font>
      <b/>
      <sz val="9"/>
      <name val="Calibri"/>
      <family val="2"/>
      <scheme val="minor"/>
    </font>
    <font>
      <b/>
      <u/>
      <sz val="11"/>
      <name val="Calibri"/>
      <family val="2"/>
      <scheme val="minor"/>
    </font>
    <font>
      <sz val="11"/>
      <color theme="4"/>
      <name val="Calibri"/>
      <family val="2"/>
      <scheme val="minor"/>
    </font>
    <font>
      <sz val="8"/>
      <color indexed="81"/>
      <name val="Tahoma"/>
    </font>
  </fonts>
  <fills count="3">
    <fill>
      <patternFill patternType="none"/>
    </fill>
    <fill>
      <patternFill patternType="gray125"/>
    </fill>
    <fill>
      <patternFill patternType="solid">
        <fgColor rgb="FFFFFF00"/>
        <bgColor indexed="64"/>
      </patternFill>
    </fill>
  </fills>
  <borders count="12">
    <border>
      <left/>
      <right/>
      <top/>
      <bottom/>
      <diagonal/>
    </border>
    <border>
      <left/>
      <right/>
      <top style="thin">
        <color indexed="64"/>
      </top>
      <bottom style="thin">
        <color indexed="64"/>
      </bottom>
      <diagonal/>
    </border>
    <border>
      <left/>
      <right/>
      <top/>
      <bottom style="double">
        <color indexed="64"/>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thin">
        <color auto="1"/>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93">
    <xf numFmtId="0" fontId="0" fillId="0" borderId="0" xfId="0"/>
    <xf numFmtId="164" fontId="0" fillId="0" borderId="0" xfId="1" applyNumberFormat="1" applyFont="1"/>
    <xf numFmtId="164" fontId="0" fillId="0" borderId="0" xfId="1" applyNumberFormat="1" applyFont="1">
      <alignment readingOrder="1"/>
    </xf>
    <xf numFmtId="164" fontId="0" fillId="0" borderId="0" xfId="0" applyNumberFormat="1"/>
    <xf numFmtId="0" fontId="0" fillId="0" borderId="0" xfId="0" applyAlignment="1">
      <alignment wrapText="1"/>
    </xf>
    <xf numFmtId="0" fontId="2" fillId="0" borderId="0" xfId="0" applyFont="1"/>
    <xf numFmtId="0" fontId="3" fillId="0" borderId="0" xfId="0" applyFont="1"/>
    <xf numFmtId="0" fontId="0" fillId="0" borderId="0" xfId="0" applyFont="1"/>
    <xf numFmtId="0" fontId="2" fillId="0" borderId="0" xfId="0" applyFont="1" applyAlignment="1">
      <alignment horizontal="center"/>
    </xf>
    <xf numFmtId="0" fontId="6" fillId="0" borderId="0" xfId="0" applyFont="1"/>
    <xf numFmtId="0" fontId="7" fillId="0" borderId="0" xfId="0" applyFont="1"/>
    <xf numFmtId="0" fontId="8" fillId="0" borderId="0" xfId="0" applyFont="1"/>
    <xf numFmtId="0" fontId="9" fillId="0" borderId="0" xfId="0" applyFont="1"/>
    <xf numFmtId="0" fontId="10" fillId="0" borderId="0" xfId="0" applyFont="1"/>
    <xf numFmtId="0" fontId="11" fillId="0" borderId="0" xfId="0" applyFont="1" applyAlignment="1">
      <alignment horizontal="center"/>
    </xf>
    <xf numFmtId="164" fontId="10" fillId="0" borderId="0" xfId="0" applyNumberFormat="1" applyFont="1"/>
    <xf numFmtId="164" fontId="11" fillId="0" borderId="0" xfId="0" applyNumberFormat="1" applyFont="1"/>
    <xf numFmtId="0" fontId="10" fillId="0" borderId="0" xfId="0" applyFont="1" applyAlignment="1">
      <alignment horizontal="center"/>
    </xf>
    <xf numFmtId="164" fontId="10" fillId="0" borderId="0" xfId="1" applyNumberFormat="1" applyFont="1"/>
    <xf numFmtId="165" fontId="10" fillId="0" borderId="1" xfId="2" applyNumberFormat="1" applyFont="1" applyBorder="1"/>
    <xf numFmtId="165" fontId="10" fillId="0" borderId="0" xfId="2" applyNumberFormat="1" applyFont="1"/>
    <xf numFmtId="165" fontId="12" fillId="0" borderId="2" xfId="0" applyNumberFormat="1" applyFont="1" applyBorder="1"/>
    <xf numFmtId="164" fontId="0" fillId="0" borderId="1" xfId="0" applyNumberFormat="1" applyBorder="1"/>
    <xf numFmtId="164" fontId="0" fillId="0" borderId="1" xfId="1" applyNumberFormat="1" applyFont="1" applyBorder="1"/>
    <xf numFmtId="0" fontId="0" fillId="0" borderId="0" xfId="0" applyFont="1" applyAlignment="1">
      <alignment horizontal="center"/>
    </xf>
    <xf numFmtId="0" fontId="0" fillId="0" borderId="0" xfId="0" applyAlignment="1">
      <alignment horizontal="center"/>
    </xf>
    <xf numFmtId="3" fontId="0" fillId="0" borderId="0" xfId="0" applyNumberFormat="1">
      <alignment readingOrder="1"/>
    </xf>
    <xf numFmtId="3" fontId="0" fillId="0" borderId="0" xfId="0" applyNumberFormat="1"/>
    <xf numFmtId="10" fontId="0" fillId="0" borderId="1" xfId="3" applyNumberFormat="1" applyFont="1" applyBorder="1"/>
    <xf numFmtId="164" fontId="0" fillId="0" borderId="0" xfId="1" applyNumberFormat="1" applyFont="1" applyBorder="1"/>
    <xf numFmtId="164" fontId="7" fillId="0" borderId="0" xfId="1" applyNumberFormat="1" applyFont="1"/>
    <xf numFmtId="164" fontId="3" fillId="0" borderId="0" xfId="1" applyNumberFormat="1" applyFont="1"/>
    <xf numFmtId="164" fontId="6" fillId="0" borderId="0" xfId="1" applyNumberFormat="1" applyFont="1"/>
    <xf numFmtId="164" fontId="8" fillId="0" borderId="0" xfId="1" applyNumberFormat="1" applyFont="1"/>
    <xf numFmtId="164" fontId="9" fillId="0" borderId="0" xfId="1" applyNumberFormat="1" applyFont="1"/>
    <xf numFmtId="9" fontId="10" fillId="0" borderId="0" xfId="3" applyFont="1"/>
    <xf numFmtId="164" fontId="10" fillId="0" borderId="0" xfId="3" applyNumberFormat="1" applyFont="1"/>
    <xf numFmtId="165" fontId="10" fillId="0" borderId="0" xfId="2" applyNumberFormat="1" applyFont="1" applyAlignment="1">
      <alignment horizontal="center"/>
    </xf>
    <xf numFmtId="165" fontId="12" fillId="0" borderId="2" xfId="2" applyNumberFormat="1" applyFont="1" applyBorder="1"/>
    <xf numFmtId="0" fontId="13" fillId="0" borderId="0" xfId="0" applyFont="1"/>
    <xf numFmtId="0" fontId="14" fillId="0" borderId="0" xfId="0" applyFont="1"/>
    <xf numFmtId="0" fontId="15" fillId="0" borderId="0" xfId="0" applyFont="1"/>
    <xf numFmtId="0" fontId="14" fillId="0" borderId="0" xfId="0" applyFont="1" applyAlignment="1">
      <alignment horizontal="center"/>
    </xf>
    <xf numFmtId="165" fontId="14" fillId="0" borderId="0" xfId="2" applyNumberFormat="1" applyFont="1"/>
    <xf numFmtId="165" fontId="14" fillId="0" borderId="0" xfId="0" applyNumberFormat="1" applyFont="1"/>
    <xf numFmtId="164" fontId="14" fillId="0" borderId="0" xfId="1" applyNumberFormat="1" applyFont="1"/>
    <xf numFmtId="164" fontId="14" fillId="0" borderId="0" xfId="1" applyNumberFormat="1" applyFont="1">
      <alignment readingOrder="1"/>
    </xf>
    <xf numFmtId="164" fontId="14" fillId="0" borderId="0" xfId="0" applyNumberFormat="1" applyFont="1"/>
    <xf numFmtId="164" fontId="14" fillId="0" borderId="1" xfId="0" applyNumberFormat="1" applyFont="1" applyBorder="1"/>
    <xf numFmtId="164" fontId="14" fillId="0" borderId="1" xfId="1" applyNumberFormat="1" applyFont="1" applyBorder="1"/>
    <xf numFmtId="0" fontId="14" fillId="0" borderId="0" xfId="0" applyFont="1" applyAlignment="1">
      <alignment wrapText="1"/>
    </xf>
    <xf numFmtId="0" fontId="16" fillId="0" borderId="0" xfId="0" applyFont="1"/>
    <xf numFmtId="164" fontId="17" fillId="0" borderId="0" xfId="0" applyNumberFormat="1" applyFont="1"/>
    <xf numFmtId="165" fontId="17" fillId="0" borderId="1" xfId="2" applyNumberFormat="1" applyFont="1" applyBorder="1"/>
    <xf numFmtId="0" fontId="17" fillId="0" borderId="0" xfId="0" applyFont="1"/>
    <xf numFmtId="165" fontId="18" fillId="0" borderId="2" xfId="0" applyNumberFormat="1" applyFont="1" applyBorder="1"/>
    <xf numFmtId="164" fontId="17" fillId="0" borderId="0" xfId="1" applyNumberFormat="1" applyFont="1"/>
    <xf numFmtId="165" fontId="18" fillId="0" borderId="2" xfId="2" applyNumberFormat="1" applyFont="1" applyBorder="1"/>
    <xf numFmtId="165" fontId="17" fillId="0" borderId="0" xfId="2" applyNumberFormat="1" applyFont="1"/>
    <xf numFmtId="164" fontId="0" fillId="0" borderId="2" xfId="0" applyNumberFormat="1" applyBorder="1"/>
    <xf numFmtId="164" fontId="14" fillId="0" borderId="2" xfId="0" applyNumberFormat="1" applyFont="1" applyBorder="1"/>
    <xf numFmtId="0" fontId="19" fillId="0" borderId="0" xfId="0" applyFont="1"/>
    <xf numFmtId="165" fontId="18" fillId="0" borderId="0" xfId="2" applyNumberFormat="1" applyFont="1"/>
    <xf numFmtId="0" fontId="18" fillId="0" borderId="0" xfId="0" applyFont="1"/>
    <xf numFmtId="0" fontId="0" fillId="0" borderId="3" xfId="0" applyBorder="1"/>
    <xf numFmtId="0" fontId="0" fillId="0" borderId="4" xfId="0" applyBorder="1" applyAlignment="1">
      <alignment horizontal="center" wrapText="1"/>
    </xf>
    <xf numFmtId="0" fontId="0" fillId="0" borderId="5" xfId="0" applyBorder="1" applyAlignment="1">
      <alignment horizontal="center" wrapText="1"/>
    </xf>
    <xf numFmtId="0" fontId="0" fillId="0" borderId="6" xfId="0" applyBorder="1"/>
    <xf numFmtId="0" fontId="0" fillId="0" borderId="0" xfId="0" applyBorder="1"/>
    <xf numFmtId="9" fontId="0" fillId="0" borderId="7" xfId="3" applyFont="1" applyBorder="1"/>
    <xf numFmtId="0" fontId="0" fillId="0" borderId="6" xfId="0" applyFill="1" applyBorder="1"/>
    <xf numFmtId="164" fontId="0" fillId="0" borderId="0" xfId="1" applyNumberFormat="1" applyFont="1" applyFill="1" applyBorder="1"/>
    <xf numFmtId="0" fontId="0" fillId="0" borderId="0" xfId="0" applyFill="1" applyBorder="1"/>
    <xf numFmtId="9" fontId="0" fillId="0" borderId="7" xfId="3" applyFont="1" applyFill="1" applyBorder="1"/>
    <xf numFmtId="164" fontId="0" fillId="0" borderId="7" xfId="1" applyNumberFormat="1" applyFont="1" applyBorder="1"/>
    <xf numFmtId="0" fontId="0" fillId="0" borderId="8" xfId="0" applyBorder="1"/>
    <xf numFmtId="0" fontId="0" fillId="0" borderId="9" xfId="0" applyBorder="1"/>
    <xf numFmtId="164" fontId="0" fillId="0" borderId="9" xfId="1" applyNumberFormat="1" applyFont="1" applyBorder="1"/>
    <xf numFmtId="9" fontId="0" fillId="0" borderId="10" xfId="3" applyFont="1" applyBorder="1"/>
    <xf numFmtId="10" fontId="0" fillId="0" borderId="0" xfId="3" applyNumberFormat="1" applyFont="1" applyBorder="1"/>
    <xf numFmtId="0" fontId="0" fillId="0" borderId="0" xfId="0" applyAlignment="1">
      <alignment horizontal="left"/>
    </xf>
    <xf numFmtId="0" fontId="20" fillId="0" borderId="4" xfId="0" applyFont="1" applyBorder="1" applyAlignment="1">
      <alignment horizontal="center" wrapText="1"/>
    </xf>
    <xf numFmtId="164" fontId="20" fillId="0" borderId="0" xfId="1" applyNumberFormat="1" applyFont="1" applyBorder="1"/>
    <xf numFmtId="164" fontId="20" fillId="0" borderId="0" xfId="1" applyNumberFormat="1" applyFont="1" applyFill="1" applyBorder="1"/>
    <xf numFmtId="164" fontId="0" fillId="0" borderId="11" xfId="1" applyNumberFormat="1" applyFont="1" applyBorder="1"/>
    <xf numFmtId="0" fontId="0" fillId="2" borderId="11" xfId="0" applyFill="1" applyBorder="1"/>
    <xf numFmtId="164" fontId="14" fillId="0" borderId="0" xfId="1" applyNumberFormat="1" applyFont="1" applyBorder="1"/>
    <xf numFmtId="164" fontId="14" fillId="0" borderId="0" xfId="1" applyNumberFormat="1" applyFont="1" applyFill="1" applyBorder="1"/>
    <xf numFmtId="164" fontId="14" fillId="0" borderId="9" xfId="1" applyNumberFormat="1" applyFont="1" applyFill="1" applyBorder="1"/>
    <xf numFmtId="0" fontId="0" fillId="0" borderId="6" xfId="0" applyBorder="1" applyAlignment="1">
      <alignment horizontal="right"/>
    </xf>
    <xf numFmtId="0" fontId="15" fillId="0" borderId="0" xfId="0" applyFont="1" applyAlignment="1">
      <alignment horizontal="left"/>
    </xf>
    <xf numFmtId="0" fontId="13" fillId="0" borderId="0" xfId="0" applyFont="1" applyAlignment="1">
      <alignment horizontal="left" wrapText="1"/>
    </xf>
    <xf numFmtId="164" fontId="0" fillId="0" borderId="0" xfId="1" applyNumberFormat="1" applyFont="1" applyAlignment="1">
      <alignment horizontal="left" wrapText="1"/>
    </xf>
  </cellXfs>
  <cellStyles count="4">
    <cellStyle name="Comma" xfId="1" builtinId="3"/>
    <cellStyle name="Currency" xfId="2" builtinId="4"/>
    <cellStyle name="Normal" xfId="0" builtinId="0"/>
    <cellStyle name="Percent" xfId="3" builtinId="5"/>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tabColor theme="6" tint="0.39997558519241921"/>
    <pageSetUpPr fitToPage="1"/>
  </sheetPr>
  <dimension ref="B1:BD34"/>
  <sheetViews>
    <sheetView tabSelected="1" workbookViewId="0">
      <pane xSplit="2" ySplit="3" topLeftCell="C4" activePane="bottomRight" state="frozen"/>
      <selection pane="topRight" activeCell="C1" sqref="C1"/>
      <selection pane="bottomLeft" activeCell="A4" sqref="A4"/>
      <selection pane="bottomRight" activeCell="A3" sqref="A3"/>
    </sheetView>
  </sheetViews>
  <sheetFormatPr defaultColWidth="11.42578125" defaultRowHeight="15"/>
  <cols>
    <col min="1" max="1" width="2.42578125" customWidth="1"/>
    <col min="2" max="2" width="34" bestFit="1" customWidth="1"/>
    <col min="3" max="3" width="14.28515625" bestFit="1" customWidth="1"/>
    <col min="4" max="4" width="11.5703125" bestFit="1" customWidth="1"/>
    <col min="5" max="5" width="14.28515625" bestFit="1" customWidth="1"/>
    <col min="7" max="7" width="12.5703125" bestFit="1" customWidth="1"/>
    <col min="10" max="13" width="11.5703125" bestFit="1" customWidth="1"/>
    <col min="15" max="15" width="13.28515625" bestFit="1" customWidth="1"/>
  </cols>
  <sheetData>
    <row r="1" spans="2:56">
      <c r="B1" t="s">
        <v>48</v>
      </c>
    </row>
    <row r="2" spans="2:56">
      <c r="C2" s="8">
        <v>2012</v>
      </c>
      <c r="D2" s="8">
        <f>C2</f>
        <v>2012</v>
      </c>
      <c r="E2" s="8">
        <f t="shared" ref="E2:N2" si="0">D2</f>
        <v>2012</v>
      </c>
      <c r="F2" s="8">
        <f t="shared" si="0"/>
        <v>2012</v>
      </c>
      <c r="G2" s="8">
        <f t="shared" si="0"/>
        <v>2012</v>
      </c>
      <c r="H2" s="8">
        <f t="shared" si="0"/>
        <v>2012</v>
      </c>
      <c r="I2" s="8">
        <f t="shared" si="0"/>
        <v>2012</v>
      </c>
      <c r="J2" s="8">
        <f t="shared" si="0"/>
        <v>2012</v>
      </c>
      <c r="K2" s="8">
        <f t="shared" si="0"/>
        <v>2012</v>
      </c>
      <c r="L2" s="8">
        <f t="shared" si="0"/>
        <v>2012</v>
      </c>
      <c r="M2" s="8">
        <f t="shared" si="0"/>
        <v>2012</v>
      </c>
      <c r="N2" s="8">
        <f t="shared" si="0"/>
        <v>2012</v>
      </c>
      <c r="O2" s="8" t="s">
        <v>90</v>
      </c>
    </row>
    <row r="3" spans="2:56">
      <c r="C3" s="25" t="s">
        <v>0</v>
      </c>
      <c r="D3" s="25" t="s">
        <v>1</v>
      </c>
      <c r="E3" s="25" t="s">
        <v>2</v>
      </c>
      <c r="F3" s="25" t="s">
        <v>3</v>
      </c>
      <c r="G3" s="25" t="s">
        <v>4</v>
      </c>
      <c r="H3" s="25" t="s">
        <v>5</v>
      </c>
      <c r="I3" s="25" t="s">
        <v>6</v>
      </c>
      <c r="J3" s="25" t="s">
        <v>7</v>
      </c>
      <c r="K3" s="25" t="s">
        <v>8</v>
      </c>
      <c r="L3" s="25" t="s">
        <v>9</v>
      </c>
      <c r="M3" s="25" t="s">
        <v>10</v>
      </c>
      <c r="N3" s="25" t="s">
        <v>11</v>
      </c>
      <c r="O3" s="24"/>
    </row>
    <row r="4" spans="2:56">
      <c r="B4" s="40" t="s">
        <v>42</v>
      </c>
      <c r="C4" s="3">
        <f>$O$4/12</f>
        <v>5900235.666666667</v>
      </c>
      <c r="D4" s="3">
        <f t="shared" ref="D4:N4" si="1">$O$4/12</f>
        <v>5900235.666666667</v>
      </c>
      <c r="E4" s="3">
        <f t="shared" si="1"/>
        <v>5900235.666666667</v>
      </c>
      <c r="F4" s="3">
        <f t="shared" si="1"/>
        <v>5900235.666666667</v>
      </c>
      <c r="G4" s="3">
        <f t="shared" si="1"/>
        <v>5900235.666666667</v>
      </c>
      <c r="H4" s="3">
        <f t="shared" si="1"/>
        <v>5900235.666666667</v>
      </c>
      <c r="I4" s="3">
        <f t="shared" si="1"/>
        <v>5900235.666666667</v>
      </c>
      <c r="J4" s="3">
        <f t="shared" si="1"/>
        <v>5900235.666666667</v>
      </c>
      <c r="K4" s="3">
        <f t="shared" si="1"/>
        <v>5900235.666666667</v>
      </c>
      <c r="L4" s="3">
        <f t="shared" si="1"/>
        <v>5900235.666666667</v>
      </c>
      <c r="M4" s="3">
        <f t="shared" si="1"/>
        <v>5900235.666666667</v>
      </c>
      <c r="N4" s="3">
        <f t="shared" si="1"/>
        <v>5900235.666666667</v>
      </c>
      <c r="O4" s="3">
        <v>70802828</v>
      </c>
      <c r="P4" s="7"/>
      <c r="Q4" s="7"/>
      <c r="R4" s="7"/>
      <c r="S4" s="7"/>
      <c r="T4" s="7"/>
      <c r="U4" s="7"/>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row>
    <row r="5" spans="2:56">
      <c r="B5" s="40" t="s">
        <v>43</v>
      </c>
      <c r="C5" s="1">
        <v>5030105</v>
      </c>
      <c r="D5" s="1">
        <v>5388251</v>
      </c>
      <c r="E5" s="1">
        <v>4160880</v>
      </c>
      <c r="F5" s="1">
        <v>5328705</v>
      </c>
      <c r="G5" s="1">
        <v>5374176</v>
      </c>
      <c r="H5" s="1">
        <v>6410332</v>
      </c>
      <c r="I5" s="1">
        <v>5728790</v>
      </c>
      <c r="J5" s="1">
        <v>9426759</v>
      </c>
      <c r="K5" s="1">
        <v>3180505</v>
      </c>
      <c r="L5" s="1"/>
      <c r="M5" s="1"/>
      <c r="N5" s="1"/>
      <c r="O5" s="3">
        <f>SUM(C5:N5)</f>
        <v>50028503</v>
      </c>
      <c r="P5" s="7"/>
      <c r="Q5" s="7"/>
      <c r="R5" s="7"/>
      <c r="S5" s="7"/>
      <c r="T5" s="7"/>
      <c r="U5" s="7"/>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row>
    <row r="6" spans="2:56">
      <c r="B6" s="40" t="s">
        <v>44</v>
      </c>
      <c r="C6" s="28">
        <f>(C5-C4)/C4</f>
        <v>-0.14747388338782177</v>
      </c>
      <c r="D6" s="28">
        <f t="shared" ref="D6:O6" si="2">(D5-D4)/D4</f>
        <v>-8.6773596105511538E-2</v>
      </c>
      <c r="E6" s="28">
        <f t="shared" si="2"/>
        <v>-0.29479427008198039</v>
      </c>
      <c r="F6" s="28">
        <f t="shared" si="2"/>
        <v>-9.6865735362999958E-2</v>
      </c>
      <c r="G6" s="28">
        <f t="shared" si="2"/>
        <v>-8.9159094040707015E-2</v>
      </c>
      <c r="H6" s="28">
        <f t="shared" si="2"/>
        <v>8.6453552392003266E-2</v>
      </c>
      <c r="I6" s="28">
        <f t="shared" si="2"/>
        <v>-2.9057426915207449E-2</v>
      </c>
      <c r="J6" s="28">
        <f t="shared" si="2"/>
        <v>0.59769194529913405</v>
      </c>
      <c r="K6" s="28">
        <f t="shared" si="2"/>
        <v>-0.4609528873620698</v>
      </c>
      <c r="L6" s="28">
        <f t="shared" si="2"/>
        <v>-1</v>
      </c>
      <c r="M6" s="28">
        <f t="shared" si="2"/>
        <v>-1</v>
      </c>
      <c r="N6" s="28">
        <f t="shared" si="2"/>
        <v>-1</v>
      </c>
      <c r="O6" s="28">
        <f t="shared" si="2"/>
        <v>-0.29341094963043002</v>
      </c>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row>
    <row r="7" spans="2:56">
      <c r="B7" s="40"/>
    </row>
    <row r="8" spans="2:56">
      <c r="B8" s="40" t="s">
        <v>46</v>
      </c>
      <c r="C8" s="1">
        <f>$O$8/12</f>
        <v>101409.16666666667</v>
      </c>
      <c r="D8" s="1">
        <f t="shared" ref="D8:N8" si="3">$O$8/12</f>
        <v>101409.16666666667</v>
      </c>
      <c r="E8" s="1">
        <f t="shared" si="3"/>
        <v>101409.16666666667</v>
      </c>
      <c r="F8" s="1">
        <f t="shared" si="3"/>
        <v>101409.16666666667</v>
      </c>
      <c r="G8" s="1">
        <f t="shared" si="3"/>
        <v>101409.16666666667</v>
      </c>
      <c r="H8" s="1">
        <f t="shared" si="3"/>
        <v>101409.16666666667</v>
      </c>
      <c r="I8" s="1">
        <f t="shared" si="3"/>
        <v>101409.16666666667</v>
      </c>
      <c r="J8" s="1">
        <f t="shared" si="3"/>
        <v>101409.16666666667</v>
      </c>
      <c r="K8" s="1">
        <f t="shared" si="3"/>
        <v>101409.16666666667</v>
      </c>
      <c r="L8" s="1">
        <f t="shared" si="3"/>
        <v>101409.16666666667</v>
      </c>
      <c r="M8" s="1">
        <f t="shared" si="3"/>
        <v>101409.16666666667</v>
      </c>
      <c r="N8" s="1">
        <f t="shared" si="3"/>
        <v>101409.16666666667</v>
      </c>
      <c r="O8" s="1">
        <v>1216910</v>
      </c>
    </row>
    <row r="9" spans="2:56">
      <c r="B9" s="40" t="s">
        <v>45</v>
      </c>
      <c r="C9" s="1">
        <v>89412</v>
      </c>
      <c r="D9" s="1">
        <v>47551</v>
      </c>
      <c r="E9" s="1">
        <v>101703</v>
      </c>
      <c r="F9" s="1">
        <f>68411</f>
        <v>68411</v>
      </c>
      <c r="G9" s="1">
        <v>26449</v>
      </c>
      <c r="H9" s="1">
        <f>82966+141</f>
        <v>83107</v>
      </c>
      <c r="I9" s="1">
        <v>75295</v>
      </c>
      <c r="J9" s="1">
        <v>49120</v>
      </c>
      <c r="K9" s="1">
        <v>87129</v>
      </c>
      <c r="L9" s="1"/>
      <c r="M9" s="1"/>
      <c r="N9" s="1"/>
      <c r="O9" s="1">
        <f>SUM(C9:N9)</f>
        <v>628177</v>
      </c>
      <c r="P9" s="1"/>
    </row>
    <row r="10" spans="2:56">
      <c r="B10" s="40" t="s">
        <v>44</v>
      </c>
      <c r="C10" s="28">
        <f>(C9-C8)/C8</f>
        <v>-0.11830455826642895</v>
      </c>
      <c r="D10" s="28">
        <f t="shared" ref="D10" si="4">(D9-D8)/D8</f>
        <v>-0.5310976160932197</v>
      </c>
      <c r="E10" s="28">
        <f t="shared" ref="E10" si="5">(E9-E8)/E8</f>
        <v>2.8975026912425256E-3</v>
      </c>
      <c r="F10" s="28">
        <f t="shared" ref="F10" si="6">(F9-F8)/F8</f>
        <v>-0.32539629060489278</v>
      </c>
      <c r="G10" s="28">
        <f t="shared" ref="G10" si="7">(G9-G8)/G8</f>
        <v>-0.73918531362220707</v>
      </c>
      <c r="H10" s="28">
        <f t="shared" ref="H10" si="8">(H9-H8)/H8</f>
        <v>-0.18047842486297266</v>
      </c>
      <c r="I10" s="28">
        <f t="shared" ref="I10" si="9">(I9-I8)/I8</f>
        <v>-0.25751288098544678</v>
      </c>
      <c r="J10" s="28">
        <f t="shared" ref="J10" si="10">(J9-J8)/J8</f>
        <v>-0.51562564199488869</v>
      </c>
      <c r="K10" s="28">
        <f t="shared" ref="K10" si="11">(K9-K8)/K8</f>
        <v>-0.14081731598885708</v>
      </c>
      <c r="L10" s="28">
        <f t="shared" ref="L10" si="12">(L9-L8)/L8</f>
        <v>-1</v>
      </c>
      <c r="M10" s="28">
        <f t="shared" ref="M10" si="13">(M9-M8)/M8</f>
        <v>-1</v>
      </c>
      <c r="N10" s="28">
        <f t="shared" ref="N10" si="14">(N9-N8)/N8</f>
        <v>-1</v>
      </c>
      <c r="O10" s="28">
        <f t="shared" ref="O10" si="15">(O9-O8)/O8</f>
        <v>-0.48379337831063923</v>
      </c>
    </row>
    <row r="13" spans="2:56" ht="15.75" thickBot="1">
      <c r="B13" s="41" t="s">
        <v>76</v>
      </c>
    </row>
    <row r="14" spans="2:56" ht="60">
      <c r="B14" s="64"/>
      <c r="C14" s="65" t="s">
        <v>64</v>
      </c>
      <c r="D14" s="65" t="s">
        <v>62</v>
      </c>
      <c r="E14" s="65" t="s">
        <v>63</v>
      </c>
      <c r="F14" s="65"/>
      <c r="G14" s="81" t="s">
        <v>66</v>
      </c>
      <c r="H14" s="65"/>
      <c r="I14" s="66" t="s">
        <v>67</v>
      </c>
    </row>
    <row r="15" spans="2:56">
      <c r="B15" s="67" t="s">
        <v>101</v>
      </c>
      <c r="C15" s="29">
        <f>C20+C25</f>
        <v>49844000</v>
      </c>
      <c r="D15" s="29" t="s">
        <v>52</v>
      </c>
      <c r="E15" s="29">
        <f>SUM(C15:D15)</f>
        <v>49844000</v>
      </c>
      <c r="F15" s="68" t="s">
        <v>60</v>
      </c>
      <c r="G15" s="86">
        <f>G20+G25</f>
        <v>50028503</v>
      </c>
      <c r="H15" s="29" t="s">
        <v>60</v>
      </c>
      <c r="I15" s="69">
        <f>G15/C15</f>
        <v>1.0037016090201429</v>
      </c>
    </row>
    <row r="16" spans="2:56">
      <c r="B16" s="67" t="s">
        <v>95</v>
      </c>
      <c r="C16" s="29">
        <f>70802828-(7358400+3153600)</f>
        <v>60290828</v>
      </c>
      <c r="D16" s="29">
        <f>7358400+3153600</f>
        <v>10512000</v>
      </c>
      <c r="E16" s="29">
        <f t="shared" ref="E16:E23" si="16">SUM(C16:D16)</f>
        <v>70802828</v>
      </c>
      <c r="F16" s="68" t="s">
        <v>60</v>
      </c>
      <c r="G16" s="86">
        <f t="shared" ref="G16:G18" si="17">G21+G26</f>
        <v>50028503</v>
      </c>
      <c r="H16" s="29" t="s">
        <v>60</v>
      </c>
      <c r="I16" s="69">
        <f t="shared" ref="I16:I18" si="18">G16/C16</f>
        <v>0.82978629850630015</v>
      </c>
    </row>
    <row r="17" spans="2:9">
      <c r="B17" s="70" t="s">
        <v>94</v>
      </c>
      <c r="C17" s="71">
        <v>2489094</v>
      </c>
      <c r="D17" s="71">
        <v>0</v>
      </c>
      <c r="E17" s="71">
        <f t="shared" si="16"/>
        <v>2489094</v>
      </c>
      <c r="F17" s="72" t="s">
        <v>61</v>
      </c>
      <c r="G17" s="87">
        <f>G22+G27</f>
        <v>628177</v>
      </c>
      <c r="H17" s="71" t="s">
        <v>61</v>
      </c>
      <c r="I17" s="73">
        <f t="shared" si="18"/>
        <v>0.25237174650696198</v>
      </c>
    </row>
    <row r="18" spans="2:9">
      <c r="B18" s="70" t="s">
        <v>98</v>
      </c>
      <c r="C18" s="71">
        <v>1216910</v>
      </c>
      <c r="D18" s="71">
        <v>0</v>
      </c>
      <c r="E18" s="71">
        <f t="shared" si="16"/>
        <v>1216910</v>
      </c>
      <c r="F18" s="72" t="s">
        <v>61</v>
      </c>
      <c r="G18" s="87">
        <f t="shared" si="17"/>
        <v>628177</v>
      </c>
      <c r="H18" s="71" t="s">
        <v>61</v>
      </c>
      <c r="I18" s="73">
        <f t="shared" si="18"/>
        <v>0.51620662168936071</v>
      </c>
    </row>
    <row r="19" spans="2:9">
      <c r="B19" s="67"/>
      <c r="C19" s="29"/>
      <c r="D19" s="29"/>
      <c r="E19" s="29"/>
      <c r="F19" s="68"/>
      <c r="G19" s="82"/>
      <c r="H19" s="29"/>
      <c r="I19" s="74"/>
    </row>
    <row r="20" spans="2:9">
      <c r="B20" s="67" t="s">
        <v>102</v>
      </c>
      <c r="C20" s="29">
        <v>32762000</v>
      </c>
      <c r="D20" s="29" t="s">
        <v>52</v>
      </c>
      <c r="E20" s="29">
        <f t="shared" si="16"/>
        <v>32762000</v>
      </c>
      <c r="F20" s="68" t="s">
        <v>60</v>
      </c>
      <c r="G20" s="82">
        <f>317168+27599223+2456178+68310+460616+4204781+96660</f>
        <v>35202936</v>
      </c>
      <c r="H20" s="29" t="s">
        <v>60</v>
      </c>
      <c r="I20" s="69">
        <f>G20/C20</f>
        <v>1.074505097368903</v>
      </c>
    </row>
    <row r="21" spans="2:9">
      <c r="B21" s="67" t="s">
        <v>96</v>
      </c>
      <c r="C21" s="29">
        <f>49661908-7358400</f>
        <v>42303508</v>
      </c>
      <c r="D21" s="29">
        <v>7358400</v>
      </c>
      <c r="E21" s="29">
        <f t="shared" si="16"/>
        <v>49661908</v>
      </c>
      <c r="F21" s="68" t="s">
        <v>60</v>
      </c>
      <c r="G21" s="86">
        <f>G20</f>
        <v>35202936</v>
      </c>
      <c r="H21" s="29" t="s">
        <v>60</v>
      </c>
      <c r="I21" s="69">
        <f t="shared" ref="I21:I23" si="19">G21/C21</f>
        <v>0.83215169767954</v>
      </c>
    </row>
    <row r="22" spans="2:9">
      <c r="B22" s="70" t="s">
        <v>93</v>
      </c>
      <c r="C22" s="71">
        <f>C17*0.698773</f>
        <v>1739311.681662</v>
      </c>
      <c r="D22" s="71">
        <v>0</v>
      </c>
      <c r="E22" s="71">
        <f t="shared" si="16"/>
        <v>1739311.681662</v>
      </c>
      <c r="F22" s="72" t="s">
        <v>61</v>
      </c>
      <c r="G22" s="83">
        <f>25214+207448+210309+1600</f>
        <v>444571</v>
      </c>
      <c r="H22" s="71" t="s">
        <v>61</v>
      </c>
      <c r="I22" s="73">
        <f t="shared" si="19"/>
        <v>0.25560168697032493</v>
      </c>
    </row>
    <row r="23" spans="2:9">
      <c r="B23" s="70" t="s">
        <v>99</v>
      </c>
      <c r="C23" s="71">
        <v>853764</v>
      </c>
      <c r="D23" s="71">
        <v>0</v>
      </c>
      <c r="E23" s="71">
        <f t="shared" si="16"/>
        <v>853764</v>
      </c>
      <c r="F23" s="72" t="s">
        <v>61</v>
      </c>
      <c r="G23" s="87">
        <f>G22</f>
        <v>444571</v>
      </c>
      <c r="H23" s="71" t="s">
        <v>61</v>
      </c>
      <c r="I23" s="73">
        <f t="shared" si="19"/>
        <v>0.52071884033526827</v>
      </c>
    </row>
    <row r="24" spans="2:9">
      <c r="B24" s="67"/>
      <c r="C24" s="79"/>
      <c r="D24" s="29"/>
      <c r="E24" s="29"/>
      <c r="F24" s="68"/>
      <c r="G24" s="82"/>
      <c r="H24" s="29"/>
      <c r="I24" s="74"/>
    </row>
    <row r="25" spans="2:9">
      <c r="B25" s="67" t="s">
        <v>103</v>
      </c>
      <c r="C25" s="29">
        <v>17082000</v>
      </c>
      <c r="D25" s="29" t="s">
        <v>52</v>
      </c>
      <c r="E25" s="29">
        <f t="shared" ref="E25:E28" si="20">SUM(C25:D25)</f>
        <v>17082000</v>
      </c>
      <c r="F25" s="68" t="s">
        <v>60</v>
      </c>
      <c r="G25" s="83">
        <f>160410+11355539+1301979+7470+198120+1802049</f>
        <v>14825567</v>
      </c>
      <c r="H25" s="29" t="s">
        <v>60</v>
      </c>
      <c r="I25" s="69">
        <f>G25/C25</f>
        <v>0.86790580728251965</v>
      </c>
    </row>
    <row r="26" spans="2:9">
      <c r="B26" s="67" t="s">
        <v>97</v>
      </c>
      <c r="C26" s="29">
        <f>21140920-3153600</f>
        <v>17987320</v>
      </c>
      <c r="D26" s="29">
        <v>3153600</v>
      </c>
      <c r="E26" s="29">
        <f t="shared" si="20"/>
        <v>21140920</v>
      </c>
      <c r="F26" s="68" t="s">
        <v>60</v>
      </c>
      <c r="G26" s="87">
        <f>G25</f>
        <v>14825567</v>
      </c>
      <c r="H26" s="29" t="s">
        <v>60</v>
      </c>
      <c r="I26" s="69">
        <f t="shared" ref="I26:I28" si="21">G26/C26</f>
        <v>0.82422323058688007</v>
      </c>
    </row>
    <row r="27" spans="2:9">
      <c r="B27" s="67" t="s">
        <v>92</v>
      </c>
      <c r="C27" s="29">
        <f>C17-C22</f>
        <v>749782.31833799998</v>
      </c>
      <c r="D27" s="29">
        <v>0</v>
      </c>
      <c r="E27" s="29">
        <f t="shared" si="20"/>
        <v>749782.31833799998</v>
      </c>
      <c r="F27" s="68" t="s">
        <v>61</v>
      </c>
      <c r="G27" s="83">
        <f>16689+63878+102353+686</f>
        <v>183606</v>
      </c>
      <c r="H27" s="29" t="s">
        <v>61</v>
      </c>
      <c r="I27" s="69">
        <f t="shared" si="21"/>
        <v>0.24487907424516095</v>
      </c>
    </row>
    <row r="28" spans="2:9">
      <c r="B28" s="67" t="s">
        <v>100</v>
      </c>
      <c r="C28" s="29">
        <f>C18-C23</f>
        <v>363146</v>
      </c>
      <c r="D28" s="29">
        <v>0</v>
      </c>
      <c r="E28" s="29">
        <f t="shared" si="20"/>
        <v>363146</v>
      </c>
      <c r="F28" s="68" t="s">
        <v>61</v>
      </c>
      <c r="G28" s="86">
        <f>G27</f>
        <v>183606</v>
      </c>
      <c r="H28" s="29" t="s">
        <v>61</v>
      </c>
      <c r="I28" s="69">
        <f t="shared" si="21"/>
        <v>0.50559829930661493</v>
      </c>
    </row>
    <row r="29" spans="2:9">
      <c r="B29" s="67"/>
      <c r="C29" s="29"/>
      <c r="D29" s="29"/>
      <c r="E29" s="29"/>
      <c r="F29" s="68"/>
      <c r="G29" s="86"/>
      <c r="H29" s="29"/>
      <c r="I29" s="69"/>
    </row>
    <row r="30" spans="2:9">
      <c r="B30" s="89" t="s">
        <v>154</v>
      </c>
      <c r="C30" s="29"/>
      <c r="D30" s="68"/>
      <c r="E30" s="68"/>
      <c r="F30" s="68"/>
      <c r="G30" s="82"/>
      <c r="H30" s="29"/>
      <c r="I30" s="74"/>
    </row>
    <row r="31" spans="2:9">
      <c r="B31" s="67" t="s">
        <v>153</v>
      </c>
      <c r="C31" s="29"/>
      <c r="D31" s="68"/>
      <c r="E31" s="29">
        <v>34041000</v>
      </c>
      <c r="F31" s="68" t="s">
        <v>60</v>
      </c>
      <c r="G31" s="87">
        <f>G20-G32-G33</f>
        <v>34303998</v>
      </c>
      <c r="H31" s="29" t="s">
        <v>60</v>
      </c>
      <c r="I31" s="69">
        <f>G31/E31</f>
        <v>1.0077259187450427</v>
      </c>
    </row>
    <row r="32" spans="2:9">
      <c r="B32" s="67" t="s">
        <v>65</v>
      </c>
      <c r="C32" s="29"/>
      <c r="D32" s="68"/>
      <c r="E32" s="29">
        <v>1273447</v>
      </c>
      <c r="F32" s="68" t="s">
        <v>60</v>
      </c>
      <c r="G32" s="83">
        <f>207563+436872+153180+73163</f>
        <v>870778</v>
      </c>
      <c r="H32" s="29" t="s">
        <v>60</v>
      </c>
      <c r="I32" s="69">
        <f t="shared" ref="I32:I34" si="22">G32/E32</f>
        <v>0.68379602763208835</v>
      </c>
    </row>
    <row r="33" spans="2:9">
      <c r="B33" s="67" t="s">
        <v>171</v>
      </c>
      <c r="C33" s="29"/>
      <c r="D33" s="68"/>
      <c r="E33" s="29" t="s">
        <v>52</v>
      </c>
      <c r="F33" s="68" t="s">
        <v>52</v>
      </c>
      <c r="G33" s="83">
        <v>28160</v>
      </c>
      <c r="H33" s="29" t="s">
        <v>60</v>
      </c>
      <c r="I33" s="69" t="s">
        <v>52</v>
      </c>
    </row>
    <row r="34" spans="2:9" ht="15.75" thickBot="1">
      <c r="B34" s="75" t="s">
        <v>91</v>
      </c>
      <c r="C34" s="76"/>
      <c r="D34" s="76"/>
      <c r="E34" s="77">
        <f>SUM(E31:E32)</f>
        <v>35314447</v>
      </c>
      <c r="F34" s="76" t="s">
        <v>60</v>
      </c>
      <c r="G34" s="88">
        <f>SUM(G31:G33)</f>
        <v>35202936</v>
      </c>
      <c r="H34" s="77" t="s">
        <v>60</v>
      </c>
      <c r="I34" s="78">
        <f t="shared" si="22"/>
        <v>0.99684234047329123</v>
      </c>
    </row>
  </sheetData>
  <pageMargins left="0.7" right="0.7" top="0.75" bottom="0.75" header="0.3" footer="0.3"/>
  <pageSetup scale="62" orientation="landscape" r:id="rId1"/>
  <legacyDrawing r:id="rId2"/>
</worksheet>
</file>

<file path=xl/worksheets/sheet10.xml><?xml version="1.0" encoding="utf-8"?>
<worksheet xmlns="http://schemas.openxmlformats.org/spreadsheetml/2006/main" xmlns:r="http://schemas.openxmlformats.org/officeDocument/2006/relationships">
  <sheetPr>
    <tabColor theme="4" tint="0.39997558519241921"/>
    <pageSetUpPr fitToPage="1"/>
  </sheetPr>
  <dimension ref="A2:BD91"/>
  <sheetViews>
    <sheetView workbookViewId="0">
      <pane xSplit="2" ySplit="4" topLeftCell="C5" activePane="bottomRight" state="frozen"/>
      <selection activeCell="C34" sqref="C34"/>
      <selection pane="topRight" activeCell="C34" sqref="C34"/>
      <selection pane="bottomLeft" activeCell="C34" sqref="C34"/>
      <selection pane="bottomRight" activeCell="A4" sqref="A4"/>
    </sheetView>
  </sheetViews>
  <sheetFormatPr defaultRowHeight="15"/>
  <cols>
    <col min="1" max="1" width="10.28515625" bestFit="1" customWidth="1"/>
    <col min="2" max="2" width="43.28515625" customWidth="1"/>
    <col min="3" max="3" width="11.42578125" style="13" bestFit="1" customWidth="1"/>
    <col min="4" max="4" width="12.42578125" style="13" bestFit="1" customWidth="1"/>
    <col min="5" max="5" width="11.42578125" style="13" bestFit="1" customWidth="1"/>
    <col min="6" max="14" width="9.85546875" style="13" bestFit="1" customWidth="1"/>
    <col min="15" max="15" width="11.28515625" style="13" bestFit="1" customWidth="1"/>
    <col min="16" max="28" width="11.7109375" style="13" hidden="1" customWidth="1"/>
    <col min="29" max="34" width="11.7109375" style="13" customWidth="1"/>
    <col min="35" max="56" width="11.7109375" style="7" customWidth="1"/>
  </cols>
  <sheetData>
    <row r="2" spans="1:28">
      <c r="B2" s="39" t="s">
        <v>27</v>
      </c>
    </row>
    <row r="3" spans="1:28">
      <c r="B3" s="5" t="s">
        <v>41</v>
      </c>
      <c r="C3" s="14">
        <v>2012</v>
      </c>
      <c r="D3" s="14">
        <f>C3</f>
        <v>2012</v>
      </c>
      <c r="E3" s="14">
        <f t="shared" ref="E3:N3" si="0">D3</f>
        <v>2012</v>
      </c>
      <c r="F3" s="14">
        <f t="shared" si="0"/>
        <v>2012</v>
      </c>
      <c r="G3" s="14">
        <f t="shared" si="0"/>
        <v>2012</v>
      </c>
      <c r="H3" s="14">
        <f t="shared" si="0"/>
        <v>2012</v>
      </c>
      <c r="I3" s="14">
        <f t="shared" si="0"/>
        <v>2012</v>
      </c>
      <c r="J3" s="14">
        <f t="shared" si="0"/>
        <v>2012</v>
      </c>
      <c r="K3" s="14">
        <f t="shared" si="0"/>
        <v>2012</v>
      </c>
      <c r="L3" s="14">
        <f t="shared" si="0"/>
        <v>2012</v>
      </c>
      <c r="M3" s="14">
        <f t="shared" si="0"/>
        <v>2012</v>
      </c>
      <c r="N3" s="14">
        <f t="shared" si="0"/>
        <v>2012</v>
      </c>
      <c r="O3" s="14" t="s">
        <v>90</v>
      </c>
      <c r="P3" s="14">
        <v>2011</v>
      </c>
      <c r="Q3" s="14">
        <v>2011</v>
      </c>
      <c r="R3" s="14">
        <v>2011</v>
      </c>
      <c r="S3" s="14">
        <v>2011</v>
      </c>
      <c r="T3" s="14">
        <v>2011</v>
      </c>
      <c r="U3" s="14">
        <v>2011</v>
      </c>
      <c r="V3" s="14">
        <v>2011</v>
      </c>
      <c r="W3" s="14">
        <v>2011</v>
      </c>
      <c r="X3" s="14">
        <v>2011</v>
      </c>
      <c r="Y3" s="14">
        <v>2011</v>
      </c>
      <c r="Z3" s="14">
        <v>2011</v>
      </c>
      <c r="AA3" s="14">
        <v>2011</v>
      </c>
      <c r="AB3" s="14" t="s">
        <v>29</v>
      </c>
    </row>
    <row r="4" spans="1:28">
      <c r="C4" s="17" t="s">
        <v>0</v>
      </c>
      <c r="D4" s="17" t="s">
        <v>1</v>
      </c>
      <c r="E4" s="17" t="s">
        <v>2</v>
      </c>
      <c r="F4" s="17" t="s">
        <v>3</v>
      </c>
      <c r="G4" s="17" t="s">
        <v>4</v>
      </c>
      <c r="H4" s="17" t="s">
        <v>5</v>
      </c>
      <c r="I4" s="17" t="s">
        <v>6</v>
      </c>
      <c r="J4" s="17" t="s">
        <v>7</v>
      </c>
      <c r="K4" s="17" t="s">
        <v>8</v>
      </c>
      <c r="L4" s="17" t="s">
        <v>9</v>
      </c>
      <c r="M4" s="17" t="s">
        <v>10</v>
      </c>
      <c r="N4" s="17" t="s">
        <v>11</v>
      </c>
      <c r="O4" s="17"/>
      <c r="P4" s="14" t="s">
        <v>0</v>
      </c>
      <c r="Q4" s="14" t="s">
        <v>1</v>
      </c>
      <c r="R4" s="14" t="s">
        <v>2</v>
      </c>
      <c r="S4" s="14" t="s">
        <v>3</v>
      </c>
      <c r="T4" s="14" t="s">
        <v>4</v>
      </c>
      <c r="U4" s="14" t="s">
        <v>5</v>
      </c>
      <c r="V4" s="14" t="s">
        <v>6</v>
      </c>
      <c r="W4" s="14" t="s">
        <v>7</v>
      </c>
      <c r="X4" s="14" t="s">
        <v>8</v>
      </c>
      <c r="Y4" s="14" t="s">
        <v>9</v>
      </c>
      <c r="Z4" s="14" t="s">
        <v>10</v>
      </c>
      <c r="AA4" s="14" t="s">
        <v>11</v>
      </c>
      <c r="AB4" s="14"/>
    </row>
    <row r="5" spans="1:28">
      <c r="E5" s="15"/>
      <c r="F5" s="15"/>
      <c r="G5" s="15"/>
      <c r="H5" s="15"/>
      <c r="I5" s="15"/>
      <c r="J5" s="15"/>
      <c r="K5" s="15"/>
      <c r="L5" s="15"/>
      <c r="M5" s="15"/>
      <c r="N5" s="15"/>
    </row>
    <row r="6" spans="1:28">
      <c r="B6" s="9" t="s">
        <v>57</v>
      </c>
      <c r="E6" s="15"/>
      <c r="F6" s="15"/>
      <c r="G6" s="15"/>
      <c r="H6" s="15"/>
      <c r="I6" s="15"/>
      <c r="J6" s="15"/>
      <c r="K6" s="15"/>
      <c r="L6" s="15"/>
      <c r="M6" s="15"/>
      <c r="N6" s="15"/>
      <c r="O6" s="16"/>
    </row>
    <row r="7" spans="1:28">
      <c r="B7" s="5" t="s">
        <v>31</v>
      </c>
      <c r="C7" s="20">
        <f>1775568/12</f>
        <v>147964</v>
      </c>
      <c r="D7" s="18">
        <f>C7</f>
        <v>147964</v>
      </c>
      <c r="E7" s="18">
        <f t="shared" ref="E7:N7" si="1">D7</f>
        <v>147964</v>
      </c>
      <c r="F7" s="18">
        <f t="shared" si="1"/>
        <v>147964</v>
      </c>
      <c r="G7" s="18">
        <f t="shared" si="1"/>
        <v>147964</v>
      </c>
      <c r="H7" s="18">
        <f t="shared" si="1"/>
        <v>147964</v>
      </c>
      <c r="I7" s="18">
        <f t="shared" si="1"/>
        <v>147964</v>
      </c>
      <c r="J7" s="18">
        <f t="shared" si="1"/>
        <v>147964</v>
      </c>
      <c r="K7" s="18">
        <f t="shared" si="1"/>
        <v>147964</v>
      </c>
      <c r="L7" s="18">
        <f t="shared" si="1"/>
        <v>147964</v>
      </c>
      <c r="M7" s="18">
        <f t="shared" si="1"/>
        <v>147964</v>
      </c>
      <c r="N7" s="18">
        <f t="shared" si="1"/>
        <v>147964</v>
      </c>
      <c r="O7" s="52">
        <f t="shared" ref="O7:O13" si="2">SUM(C7:N7)</f>
        <v>1775568</v>
      </c>
    </row>
    <row r="8" spans="1:28">
      <c r="B8" s="5" t="s">
        <v>32</v>
      </c>
      <c r="C8" s="18">
        <f>528925/12</f>
        <v>44077.083333333336</v>
      </c>
      <c r="D8" s="18">
        <f t="shared" ref="D8:N9" si="3">C8</f>
        <v>44077.083333333336</v>
      </c>
      <c r="E8" s="18">
        <f t="shared" si="3"/>
        <v>44077.083333333336</v>
      </c>
      <c r="F8" s="18">
        <f t="shared" si="3"/>
        <v>44077.083333333336</v>
      </c>
      <c r="G8" s="18">
        <f t="shared" si="3"/>
        <v>44077.083333333336</v>
      </c>
      <c r="H8" s="18">
        <f t="shared" si="3"/>
        <v>44077.083333333336</v>
      </c>
      <c r="I8" s="18">
        <f t="shared" si="3"/>
        <v>44077.083333333336</v>
      </c>
      <c r="J8" s="18">
        <f t="shared" si="3"/>
        <v>44077.083333333336</v>
      </c>
      <c r="K8" s="18">
        <f t="shared" si="3"/>
        <v>44077.083333333336</v>
      </c>
      <c r="L8" s="18">
        <f t="shared" si="3"/>
        <v>44077.083333333336</v>
      </c>
      <c r="M8" s="18">
        <f t="shared" si="3"/>
        <v>44077.083333333336</v>
      </c>
      <c r="N8" s="18">
        <f t="shared" si="3"/>
        <v>44077.083333333336</v>
      </c>
      <c r="O8" s="52">
        <f t="shared" si="2"/>
        <v>528924.99999999988</v>
      </c>
    </row>
    <row r="9" spans="1:28">
      <c r="B9" s="5" t="s">
        <v>75</v>
      </c>
      <c r="C9" s="18">
        <f>475834/12</f>
        <v>39652.833333333336</v>
      </c>
      <c r="D9" s="18">
        <f t="shared" si="3"/>
        <v>39652.833333333336</v>
      </c>
      <c r="E9" s="18">
        <f t="shared" si="3"/>
        <v>39652.833333333336</v>
      </c>
      <c r="F9" s="18">
        <f t="shared" si="3"/>
        <v>39652.833333333336</v>
      </c>
      <c r="G9" s="18">
        <f t="shared" si="3"/>
        <v>39652.833333333336</v>
      </c>
      <c r="H9" s="18">
        <f t="shared" si="3"/>
        <v>39652.833333333336</v>
      </c>
      <c r="I9" s="18">
        <f t="shared" si="3"/>
        <v>39652.833333333336</v>
      </c>
      <c r="J9" s="18">
        <f t="shared" si="3"/>
        <v>39652.833333333336</v>
      </c>
      <c r="K9" s="18">
        <f t="shared" si="3"/>
        <v>39652.833333333336</v>
      </c>
      <c r="L9" s="18">
        <f t="shared" si="3"/>
        <v>39652.833333333336</v>
      </c>
      <c r="M9" s="18">
        <f t="shared" si="3"/>
        <v>39652.833333333336</v>
      </c>
      <c r="N9" s="18">
        <f t="shared" si="3"/>
        <v>39652.833333333336</v>
      </c>
      <c r="O9" s="52">
        <f t="shared" si="2"/>
        <v>475833.99999999994</v>
      </c>
    </row>
    <row r="10" spans="1:28" hidden="1">
      <c r="B10" s="5" t="s">
        <v>33</v>
      </c>
      <c r="E10" s="15"/>
      <c r="F10" s="15"/>
      <c r="G10" s="15"/>
      <c r="H10" s="15"/>
      <c r="I10" s="15"/>
      <c r="J10" s="15"/>
      <c r="K10" s="15"/>
      <c r="L10" s="15"/>
      <c r="M10" s="15"/>
      <c r="N10" s="15"/>
      <c r="O10" s="52">
        <f t="shared" si="2"/>
        <v>0</v>
      </c>
    </row>
    <row r="11" spans="1:28" hidden="1">
      <c r="B11" s="5" t="s">
        <v>34</v>
      </c>
      <c r="E11" s="15"/>
      <c r="F11" s="15"/>
      <c r="G11" s="15"/>
      <c r="H11" s="15"/>
      <c r="I11" s="15"/>
      <c r="J11" s="15"/>
      <c r="K11" s="15"/>
      <c r="L11" s="15"/>
      <c r="M11" s="15"/>
      <c r="N11" s="15"/>
      <c r="O11" s="52">
        <f t="shared" si="2"/>
        <v>0</v>
      </c>
    </row>
    <row r="12" spans="1:28" hidden="1">
      <c r="B12" s="5" t="s">
        <v>35</v>
      </c>
      <c r="E12" s="15"/>
      <c r="F12" s="15"/>
      <c r="G12" s="15"/>
      <c r="H12" s="15"/>
      <c r="I12" s="15"/>
      <c r="J12" s="15"/>
      <c r="K12" s="15"/>
      <c r="L12" s="15"/>
      <c r="M12" s="15"/>
      <c r="N12" s="15"/>
      <c r="O12" s="52">
        <f t="shared" si="2"/>
        <v>0</v>
      </c>
    </row>
    <row r="13" spans="1:28" hidden="1">
      <c r="B13" s="5" t="s">
        <v>36</v>
      </c>
      <c r="E13" s="15"/>
      <c r="F13" s="15"/>
      <c r="G13" s="15"/>
      <c r="H13" s="15"/>
      <c r="I13" s="15"/>
      <c r="J13" s="15"/>
      <c r="K13" s="15"/>
      <c r="L13" s="15"/>
      <c r="M13" s="15"/>
      <c r="N13" s="15"/>
      <c r="O13" s="52">
        <f t="shared" si="2"/>
        <v>0</v>
      </c>
    </row>
    <row r="14" spans="1:28">
      <c r="A14" t="s">
        <v>22</v>
      </c>
      <c r="B14" s="9" t="s">
        <v>37</v>
      </c>
      <c r="C14" s="19">
        <f>SUM(C7:C13)</f>
        <v>231693.91666666669</v>
      </c>
      <c r="D14" s="19">
        <f t="shared" ref="D14:N14" si="4">SUM(D7:D13)</f>
        <v>231693.91666666669</v>
      </c>
      <c r="E14" s="19">
        <f t="shared" si="4"/>
        <v>231693.91666666669</v>
      </c>
      <c r="F14" s="19">
        <f t="shared" si="4"/>
        <v>231693.91666666669</v>
      </c>
      <c r="G14" s="19">
        <f t="shared" si="4"/>
        <v>231693.91666666669</v>
      </c>
      <c r="H14" s="19">
        <f t="shared" si="4"/>
        <v>231693.91666666669</v>
      </c>
      <c r="I14" s="19">
        <f t="shared" si="4"/>
        <v>231693.91666666669</v>
      </c>
      <c r="J14" s="19">
        <f t="shared" si="4"/>
        <v>231693.91666666669</v>
      </c>
      <c r="K14" s="19">
        <f t="shared" si="4"/>
        <v>231693.91666666669</v>
      </c>
      <c r="L14" s="19">
        <f t="shared" si="4"/>
        <v>231693.91666666669</v>
      </c>
      <c r="M14" s="19">
        <f t="shared" si="4"/>
        <v>231693.91666666669</v>
      </c>
      <c r="N14" s="19">
        <f t="shared" si="4"/>
        <v>231693.91666666669</v>
      </c>
      <c r="O14" s="53">
        <f>SUM(O7:O13)</f>
        <v>2780327</v>
      </c>
    </row>
    <row r="15" spans="1:28">
      <c r="B15" s="9"/>
      <c r="E15" s="15"/>
      <c r="F15" s="15"/>
      <c r="G15" s="15"/>
      <c r="H15" s="15"/>
      <c r="I15" s="15"/>
      <c r="J15" s="15"/>
      <c r="K15" s="15"/>
      <c r="L15" s="15"/>
      <c r="M15" s="15"/>
      <c r="N15" s="15"/>
      <c r="O15" s="52"/>
    </row>
    <row r="16" spans="1:28">
      <c r="B16" s="9" t="s">
        <v>78</v>
      </c>
      <c r="E16" s="15"/>
      <c r="F16" s="15"/>
      <c r="G16" s="15"/>
      <c r="H16" s="15"/>
      <c r="I16" s="15"/>
      <c r="J16" s="15"/>
      <c r="K16" s="15"/>
      <c r="L16" s="15"/>
      <c r="M16" s="15"/>
      <c r="N16" s="15"/>
      <c r="O16" s="52"/>
    </row>
    <row r="17" spans="1:16">
      <c r="B17" s="5" t="s">
        <v>31</v>
      </c>
      <c r="C17" s="20">
        <f>(362436)/12</f>
        <v>30203</v>
      </c>
      <c r="D17" s="18">
        <f t="shared" ref="D17:N24" si="5">C17</f>
        <v>30203</v>
      </c>
      <c r="E17" s="18">
        <f t="shared" si="5"/>
        <v>30203</v>
      </c>
      <c r="F17" s="18">
        <f t="shared" si="5"/>
        <v>30203</v>
      </c>
      <c r="G17" s="18">
        <f t="shared" si="5"/>
        <v>30203</v>
      </c>
      <c r="H17" s="18">
        <f t="shared" si="5"/>
        <v>30203</v>
      </c>
      <c r="I17" s="18">
        <f t="shared" si="5"/>
        <v>30203</v>
      </c>
      <c r="J17" s="18">
        <f t="shared" si="5"/>
        <v>30203</v>
      </c>
      <c r="K17" s="18">
        <f t="shared" si="5"/>
        <v>30203</v>
      </c>
      <c r="L17" s="18">
        <f t="shared" si="5"/>
        <v>30203</v>
      </c>
      <c r="M17" s="18">
        <f t="shared" si="5"/>
        <v>30203</v>
      </c>
      <c r="N17" s="18">
        <f t="shared" si="5"/>
        <v>30203</v>
      </c>
      <c r="O17" s="52">
        <f t="shared" ref="O17:O24" si="6">SUM(C17:N17)</f>
        <v>362436</v>
      </c>
    </row>
    <row r="18" spans="1:16">
      <c r="B18" s="5" t="s">
        <v>32</v>
      </c>
      <c r="C18" s="18">
        <f>(89250+83415)/12</f>
        <v>14388.75</v>
      </c>
      <c r="D18" s="18">
        <f t="shared" si="5"/>
        <v>14388.75</v>
      </c>
      <c r="E18" s="18">
        <f t="shared" si="5"/>
        <v>14388.75</v>
      </c>
      <c r="F18" s="18">
        <f t="shared" si="5"/>
        <v>14388.75</v>
      </c>
      <c r="G18" s="18">
        <f t="shared" si="5"/>
        <v>14388.75</v>
      </c>
      <c r="H18" s="18">
        <f t="shared" si="5"/>
        <v>14388.75</v>
      </c>
      <c r="I18" s="18">
        <f t="shared" si="5"/>
        <v>14388.75</v>
      </c>
      <c r="J18" s="18">
        <f t="shared" si="5"/>
        <v>14388.75</v>
      </c>
      <c r="K18" s="18">
        <f t="shared" si="5"/>
        <v>14388.75</v>
      </c>
      <c r="L18" s="18">
        <f t="shared" si="5"/>
        <v>14388.75</v>
      </c>
      <c r="M18" s="18">
        <f t="shared" si="5"/>
        <v>14388.75</v>
      </c>
      <c r="N18" s="18">
        <f t="shared" si="5"/>
        <v>14388.75</v>
      </c>
      <c r="O18" s="52">
        <f t="shared" si="6"/>
        <v>172665</v>
      </c>
    </row>
    <row r="19" spans="1:16">
      <c r="B19" s="5" t="s">
        <v>75</v>
      </c>
      <c r="C19" s="18">
        <f>(33988+3655)/12</f>
        <v>3136.9166666666665</v>
      </c>
      <c r="D19" s="18">
        <f t="shared" si="5"/>
        <v>3136.9166666666665</v>
      </c>
      <c r="E19" s="18">
        <f t="shared" si="5"/>
        <v>3136.9166666666665</v>
      </c>
      <c r="F19" s="18">
        <f t="shared" si="5"/>
        <v>3136.9166666666665</v>
      </c>
      <c r="G19" s="18">
        <f t="shared" si="5"/>
        <v>3136.9166666666665</v>
      </c>
      <c r="H19" s="18">
        <f t="shared" si="5"/>
        <v>3136.9166666666665</v>
      </c>
      <c r="I19" s="18">
        <f t="shared" si="5"/>
        <v>3136.9166666666665</v>
      </c>
      <c r="J19" s="18">
        <f t="shared" si="5"/>
        <v>3136.9166666666665</v>
      </c>
      <c r="K19" s="18">
        <f t="shared" si="5"/>
        <v>3136.9166666666665</v>
      </c>
      <c r="L19" s="18">
        <f t="shared" si="5"/>
        <v>3136.9166666666665</v>
      </c>
      <c r="M19" s="18">
        <f t="shared" si="5"/>
        <v>3136.9166666666665</v>
      </c>
      <c r="N19" s="18">
        <f t="shared" si="5"/>
        <v>3136.9166666666665</v>
      </c>
      <c r="O19" s="52">
        <f t="shared" si="6"/>
        <v>37643</v>
      </c>
    </row>
    <row r="20" spans="1:16" hidden="1">
      <c r="B20" s="5" t="s">
        <v>33</v>
      </c>
      <c r="C20" s="18">
        <v>0</v>
      </c>
      <c r="D20" s="18">
        <f t="shared" si="5"/>
        <v>0</v>
      </c>
      <c r="E20" s="18">
        <f t="shared" si="5"/>
        <v>0</v>
      </c>
      <c r="F20" s="18">
        <f t="shared" si="5"/>
        <v>0</v>
      </c>
      <c r="G20" s="18">
        <f t="shared" si="5"/>
        <v>0</v>
      </c>
      <c r="H20" s="18">
        <f t="shared" si="5"/>
        <v>0</v>
      </c>
      <c r="I20" s="18">
        <f t="shared" si="5"/>
        <v>0</v>
      </c>
      <c r="J20" s="18">
        <f t="shared" si="5"/>
        <v>0</v>
      </c>
      <c r="K20" s="18">
        <f t="shared" si="5"/>
        <v>0</v>
      </c>
      <c r="L20" s="18">
        <f t="shared" si="5"/>
        <v>0</v>
      </c>
      <c r="M20" s="18">
        <f t="shared" si="5"/>
        <v>0</v>
      </c>
      <c r="N20" s="18">
        <f t="shared" si="5"/>
        <v>0</v>
      </c>
      <c r="O20" s="52">
        <f t="shared" si="6"/>
        <v>0</v>
      </c>
    </row>
    <row r="21" spans="1:16" hidden="1">
      <c r="B21" s="5" t="s">
        <v>34</v>
      </c>
      <c r="D21" s="18">
        <f t="shared" si="5"/>
        <v>0</v>
      </c>
      <c r="E21" s="18">
        <f t="shared" si="5"/>
        <v>0</v>
      </c>
      <c r="F21" s="18">
        <f t="shared" si="5"/>
        <v>0</v>
      </c>
      <c r="G21" s="18">
        <f t="shared" si="5"/>
        <v>0</v>
      </c>
      <c r="H21" s="18">
        <f t="shared" si="5"/>
        <v>0</v>
      </c>
      <c r="I21" s="18">
        <f t="shared" si="5"/>
        <v>0</v>
      </c>
      <c r="J21" s="18">
        <f t="shared" si="5"/>
        <v>0</v>
      </c>
      <c r="K21" s="18">
        <f t="shared" si="5"/>
        <v>0</v>
      </c>
      <c r="L21" s="18">
        <f t="shared" si="5"/>
        <v>0</v>
      </c>
      <c r="M21" s="18">
        <f t="shared" si="5"/>
        <v>0</v>
      </c>
      <c r="N21" s="18">
        <f t="shared" si="5"/>
        <v>0</v>
      </c>
      <c r="O21" s="52">
        <f t="shared" si="6"/>
        <v>0</v>
      </c>
    </row>
    <row r="22" spans="1:16">
      <c r="B22" s="5" t="s">
        <v>35</v>
      </c>
      <c r="C22" s="18">
        <f>644420/12</f>
        <v>53701.666666666664</v>
      </c>
      <c r="D22" s="18">
        <f t="shared" si="5"/>
        <v>53701.666666666664</v>
      </c>
      <c r="E22" s="18">
        <f t="shared" si="5"/>
        <v>53701.666666666664</v>
      </c>
      <c r="F22" s="18">
        <f t="shared" si="5"/>
        <v>53701.666666666664</v>
      </c>
      <c r="G22" s="18">
        <f t="shared" si="5"/>
        <v>53701.666666666664</v>
      </c>
      <c r="H22" s="18">
        <f t="shared" si="5"/>
        <v>53701.666666666664</v>
      </c>
      <c r="I22" s="18">
        <f t="shared" si="5"/>
        <v>53701.666666666664</v>
      </c>
      <c r="J22" s="18">
        <f t="shared" si="5"/>
        <v>53701.666666666664</v>
      </c>
      <c r="K22" s="18">
        <f t="shared" si="5"/>
        <v>53701.666666666664</v>
      </c>
      <c r="L22" s="18">
        <f t="shared" si="5"/>
        <v>53701.666666666664</v>
      </c>
      <c r="M22" s="18">
        <f t="shared" si="5"/>
        <v>53701.666666666664</v>
      </c>
      <c r="N22" s="18">
        <f t="shared" si="5"/>
        <v>53701.666666666664</v>
      </c>
      <c r="O22" s="52">
        <f t="shared" si="6"/>
        <v>644420</v>
      </c>
    </row>
    <row r="23" spans="1:16">
      <c r="B23" s="5" t="s">
        <v>77</v>
      </c>
      <c r="C23" s="18">
        <f>(307772)/12</f>
        <v>25647.666666666668</v>
      </c>
      <c r="D23" s="18">
        <f t="shared" si="5"/>
        <v>25647.666666666668</v>
      </c>
      <c r="E23" s="18">
        <f t="shared" si="5"/>
        <v>25647.666666666668</v>
      </c>
      <c r="F23" s="18">
        <f t="shared" si="5"/>
        <v>25647.666666666668</v>
      </c>
      <c r="G23" s="18">
        <f t="shared" si="5"/>
        <v>25647.666666666668</v>
      </c>
      <c r="H23" s="18">
        <f t="shared" si="5"/>
        <v>25647.666666666668</v>
      </c>
      <c r="I23" s="18">
        <f t="shared" si="5"/>
        <v>25647.666666666668</v>
      </c>
      <c r="J23" s="18">
        <f t="shared" si="5"/>
        <v>25647.666666666668</v>
      </c>
      <c r="K23" s="18">
        <f t="shared" si="5"/>
        <v>25647.666666666668</v>
      </c>
      <c r="L23" s="18">
        <f t="shared" si="5"/>
        <v>25647.666666666668</v>
      </c>
      <c r="M23" s="18">
        <f t="shared" si="5"/>
        <v>25647.666666666668</v>
      </c>
      <c r="N23" s="18">
        <f t="shared" si="5"/>
        <v>25647.666666666668</v>
      </c>
      <c r="O23" s="52">
        <f t="shared" ref="O23" si="7">SUM(C23:N23)</f>
        <v>307772</v>
      </c>
    </row>
    <row r="24" spans="1:16">
      <c r="B24" s="5" t="s">
        <v>36</v>
      </c>
      <c r="C24" s="18">
        <f>((24000+1920+168000+12000+12000+4800+1500+76261)+(40687+89364))/12</f>
        <v>35877.666666666664</v>
      </c>
      <c r="D24" s="18">
        <f t="shared" si="5"/>
        <v>35877.666666666664</v>
      </c>
      <c r="E24" s="18">
        <f t="shared" si="5"/>
        <v>35877.666666666664</v>
      </c>
      <c r="F24" s="18">
        <f t="shared" si="5"/>
        <v>35877.666666666664</v>
      </c>
      <c r="G24" s="18">
        <f t="shared" si="5"/>
        <v>35877.666666666664</v>
      </c>
      <c r="H24" s="18">
        <f t="shared" si="5"/>
        <v>35877.666666666664</v>
      </c>
      <c r="I24" s="18">
        <f t="shared" si="5"/>
        <v>35877.666666666664</v>
      </c>
      <c r="J24" s="18">
        <f t="shared" si="5"/>
        <v>35877.666666666664</v>
      </c>
      <c r="K24" s="18">
        <f t="shared" si="5"/>
        <v>35877.666666666664</v>
      </c>
      <c r="L24" s="18">
        <f t="shared" si="5"/>
        <v>35877.666666666664</v>
      </c>
      <c r="M24" s="18">
        <f t="shared" si="5"/>
        <v>35877.666666666664</v>
      </c>
      <c r="N24" s="18">
        <f t="shared" si="5"/>
        <v>35877.666666666664</v>
      </c>
      <c r="O24" s="52">
        <f t="shared" si="6"/>
        <v>430532.00000000006</v>
      </c>
    </row>
    <row r="25" spans="1:16">
      <c r="A25" t="s">
        <v>21</v>
      </c>
      <c r="B25" s="9" t="s">
        <v>79</v>
      </c>
      <c r="C25" s="19">
        <f t="shared" ref="C25:N25" si="8">SUM(C17:C24)</f>
        <v>162955.66666666666</v>
      </c>
      <c r="D25" s="19">
        <f t="shared" si="8"/>
        <v>162955.66666666666</v>
      </c>
      <c r="E25" s="19">
        <f t="shared" si="8"/>
        <v>162955.66666666666</v>
      </c>
      <c r="F25" s="19">
        <f t="shared" si="8"/>
        <v>162955.66666666666</v>
      </c>
      <c r="G25" s="19">
        <f t="shared" si="8"/>
        <v>162955.66666666666</v>
      </c>
      <c r="H25" s="19">
        <f t="shared" si="8"/>
        <v>162955.66666666666</v>
      </c>
      <c r="I25" s="19">
        <f t="shared" si="8"/>
        <v>162955.66666666666</v>
      </c>
      <c r="J25" s="19">
        <f t="shared" si="8"/>
        <v>162955.66666666666</v>
      </c>
      <c r="K25" s="19">
        <f t="shared" si="8"/>
        <v>162955.66666666666</v>
      </c>
      <c r="L25" s="19">
        <f t="shared" si="8"/>
        <v>162955.66666666666</v>
      </c>
      <c r="M25" s="19">
        <f t="shared" si="8"/>
        <v>162955.66666666666</v>
      </c>
      <c r="N25" s="19">
        <f t="shared" si="8"/>
        <v>162955.66666666666</v>
      </c>
      <c r="O25" s="53">
        <f>SUM(O17:O24)</f>
        <v>1955468</v>
      </c>
    </row>
    <row r="26" spans="1:16" ht="16.149999999999999" customHeight="1">
      <c r="B26" s="9"/>
      <c r="E26" s="15"/>
      <c r="F26" s="15"/>
      <c r="G26" s="15"/>
      <c r="H26" s="15"/>
      <c r="I26" s="15"/>
      <c r="J26" s="15"/>
      <c r="K26" s="15"/>
      <c r="L26" s="15"/>
      <c r="M26" s="15"/>
      <c r="N26" s="15"/>
      <c r="O26" s="52"/>
    </row>
    <row r="27" spans="1:16" ht="15.75" thickBot="1">
      <c r="A27" t="s">
        <v>80</v>
      </c>
      <c r="B27" s="9" t="s">
        <v>135</v>
      </c>
      <c r="C27" s="21">
        <f>C25+C14</f>
        <v>394649.58333333337</v>
      </c>
      <c r="D27" s="21">
        <f t="shared" ref="D27:O27" si="9">D25+D14</f>
        <v>394649.58333333337</v>
      </c>
      <c r="E27" s="21">
        <f t="shared" si="9"/>
        <v>394649.58333333337</v>
      </c>
      <c r="F27" s="21">
        <f t="shared" si="9"/>
        <v>394649.58333333337</v>
      </c>
      <c r="G27" s="21">
        <f t="shared" si="9"/>
        <v>394649.58333333337</v>
      </c>
      <c r="H27" s="21">
        <f t="shared" si="9"/>
        <v>394649.58333333337</v>
      </c>
      <c r="I27" s="21">
        <f t="shared" si="9"/>
        <v>394649.58333333337</v>
      </c>
      <c r="J27" s="21">
        <f t="shared" si="9"/>
        <v>394649.58333333337</v>
      </c>
      <c r="K27" s="21">
        <f t="shared" si="9"/>
        <v>394649.58333333337</v>
      </c>
      <c r="L27" s="21">
        <f t="shared" si="9"/>
        <v>394649.58333333337</v>
      </c>
      <c r="M27" s="21">
        <f t="shared" si="9"/>
        <v>394649.58333333337</v>
      </c>
      <c r="N27" s="21">
        <f t="shared" si="9"/>
        <v>394649.58333333337</v>
      </c>
      <c r="O27" s="21">
        <f t="shared" si="9"/>
        <v>4735795</v>
      </c>
    </row>
    <row r="28" spans="1:16" ht="15.75" thickTop="1">
      <c r="B28" s="9"/>
      <c r="O28" s="54"/>
    </row>
    <row r="29" spans="1:16">
      <c r="B29" s="10" t="s">
        <v>58</v>
      </c>
      <c r="O29" s="54"/>
    </row>
    <row r="30" spans="1:16">
      <c r="B30" s="6" t="s">
        <v>31</v>
      </c>
      <c r="C30" s="20">
        <v>132819.87</v>
      </c>
      <c r="D30" s="18">
        <v>310407.35000000003</v>
      </c>
      <c r="E30" s="18">
        <v>162410.26</v>
      </c>
      <c r="F30" s="18">
        <v>218359.58000000002</v>
      </c>
      <c r="G30" s="18">
        <v>377005.21</v>
      </c>
      <c r="H30" s="18">
        <v>491279.68</v>
      </c>
      <c r="I30" s="18">
        <v>239763.63</v>
      </c>
      <c r="J30" s="18">
        <v>314363.22000000003</v>
      </c>
      <c r="K30" s="18">
        <v>148052.29</v>
      </c>
      <c r="L30" s="18"/>
      <c r="M30" s="18"/>
      <c r="N30" s="18"/>
      <c r="O30" s="52">
        <f t="shared" ref="O30:O36" si="10">SUM(C30:N30)</f>
        <v>2394461.0900000003</v>
      </c>
      <c r="P30" s="16">
        <f t="shared" ref="P30:P36" si="11">SUM(D30:O30)</f>
        <v>4656102.3100000005</v>
      </c>
    </row>
    <row r="31" spans="1:16">
      <c r="B31" s="6" t="s">
        <v>32</v>
      </c>
      <c r="C31" s="18">
        <v>71744.44</v>
      </c>
      <c r="D31" s="18">
        <v>36408.800000000003</v>
      </c>
      <c r="E31" s="18">
        <v>116394.43000000001</v>
      </c>
      <c r="F31" s="18">
        <v>53191.12</v>
      </c>
      <c r="G31" s="18">
        <v>37084.200000000004</v>
      </c>
      <c r="H31" s="18">
        <v>28764.57</v>
      </c>
      <c r="I31" s="18">
        <v>38540.379999999997</v>
      </c>
      <c r="J31" s="18">
        <v>26040.55</v>
      </c>
      <c r="K31" s="18">
        <v>43483.200000000004</v>
      </c>
      <c r="L31" s="18"/>
      <c r="M31" s="18"/>
      <c r="N31" s="18"/>
      <c r="O31" s="52">
        <f t="shared" si="10"/>
        <v>451651.69000000006</v>
      </c>
      <c r="P31" s="16">
        <f t="shared" si="11"/>
        <v>831558.94000000006</v>
      </c>
    </row>
    <row r="32" spans="1:16">
      <c r="B32" s="6" t="s">
        <v>75</v>
      </c>
      <c r="C32" s="18"/>
      <c r="D32" s="18"/>
      <c r="E32" s="18"/>
      <c r="F32" s="18">
        <v>55623.86</v>
      </c>
      <c r="G32" s="18">
        <v>25314.83</v>
      </c>
      <c r="H32" s="18">
        <v>68441.62</v>
      </c>
      <c r="I32" s="18"/>
      <c r="J32" s="18">
        <v>18420.32</v>
      </c>
      <c r="K32" s="18">
        <v>38565.71</v>
      </c>
      <c r="L32" s="18"/>
      <c r="M32" s="18"/>
      <c r="N32" s="18"/>
      <c r="O32" s="52">
        <f t="shared" si="10"/>
        <v>206366.34</v>
      </c>
      <c r="P32" s="16">
        <f t="shared" si="11"/>
        <v>412732.68</v>
      </c>
    </row>
    <row r="33" spans="1:16" hidden="1">
      <c r="B33" s="6" t="s">
        <v>33</v>
      </c>
      <c r="C33" s="18"/>
      <c r="D33" s="18"/>
      <c r="E33" s="18"/>
      <c r="F33" s="36"/>
      <c r="G33" s="18"/>
      <c r="H33" s="18"/>
      <c r="I33" s="18"/>
      <c r="J33" s="18"/>
      <c r="K33" s="18"/>
      <c r="L33" s="18"/>
      <c r="M33" s="18"/>
      <c r="N33" s="18"/>
      <c r="O33" s="52">
        <f t="shared" si="10"/>
        <v>0</v>
      </c>
      <c r="P33" s="16">
        <f t="shared" si="11"/>
        <v>0</v>
      </c>
    </row>
    <row r="34" spans="1:16" hidden="1">
      <c r="B34" s="6" t="s">
        <v>34</v>
      </c>
      <c r="C34" s="18"/>
      <c r="D34" s="18"/>
      <c r="E34" s="18"/>
      <c r="F34" s="36"/>
      <c r="G34" s="18"/>
      <c r="H34" s="18"/>
      <c r="I34" s="18"/>
      <c r="J34" s="18"/>
      <c r="K34" s="18"/>
      <c r="L34" s="18"/>
      <c r="M34" s="18"/>
      <c r="N34" s="18"/>
      <c r="O34" s="52">
        <f t="shared" si="10"/>
        <v>0</v>
      </c>
      <c r="P34" s="16">
        <f t="shared" si="11"/>
        <v>0</v>
      </c>
    </row>
    <row r="35" spans="1:16" hidden="1">
      <c r="B35" s="6" t="s">
        <v>35</v>
      </c>
      <c r="C35" s="18"/>
      <c r="D35" s="18"/>
      <c r="E35" s="18"/>
      <c r="F35" s="36"/>
      <c r="G35" s="18"/>
      <c r="H35" s="18"/>
      <c r="I35" s="18"/>
      <c r="J35" s="18"/>
      <c r="K35" s="18"/>
      <c r="L35" s="18"/>
      <c r="M35" s="18"/>
      <c r="N35" s="18"/>
      <c r="O35" s="52">
        <f t="shared" si="10"/>
        <v>0</v>
      </c>
      <c r="P35" s="16">
        <f t="shared" si="11"/>
        <v>0</v>
      </c>
    </row>
    <row r="36" spans="1:16" hidden="1">
      <c r="B36" s="6" t="s">
        <v>36</v>
      </c>
      <c r="C36" s="18"/>
      <c r="D36" s="18"/>
      <c r="E36" s="18"/>
      <c r="F36" s="36"/>
      <c r="G36" s="18"/>
      <c r="H36" s="18"/>
      <c r="I36" s="18"/>
      <c r="J36" s="18"/>
      <c r="K36" s="18"/>
      <c r="L36" s="18"/>
      <c r="M36" s="18"/>
      <c r="N36" s="18"/>
      <c r="O36" s="52">
        <f t="shared" si="10"/>
        <v>0</v>
      </c>
      <c r="P36" s="16">
        <f t="shared" si="11"/>
        <v>0</v>
      </c>
    </row>
    <row r="37" spans="1:16">
      <c r="A37" t="s">
        <v>20</v>
      </c>
      <c r="B37" s="10" t="s">
        <v>38</v>
      </c>
      <c r="C37" s="19">
        <f>SUM(C30:C36)</f>
        <v>204564.31</v>
      </c>
      <c r="D37" s="19">
        <f t="shared" ref="D37:N37" si="12">SUM(D30:D36)</f>
        <v>346816.15</v>
      </c>
      <c r="E37" s="19">
        <f t="shared" si="12"/>
        <v>278804.69</v>
      </c>
      <c r="F37" s="19">
        <f t="shared" si="12"/>
        <v>327174.56</v>
      </c>
      <c r="G37" s="19">
        <f t="shared" si="12"/>
        <v>439404.24000000005</v>
      </c>
      <c r="H37" s="19">
        <f t="shared" si="12"/>
        <v>588485.87</v>
      </c>
      <c r="I37" s="19">
        <f t="shared" si="12"/>
        <v>278304.01</v>
      </c>
      <c r="J37" s="19">
        <f t="shared" si="12"/>
        <v>358824.09</v>
      </c>
      <c r="K37" s="19">
        <f t="shared" si="12"/>
        <v>230101.2</v>
      </c>
      <c r="L37" s="19">
        <f t="shared" si="12"/>
        <v>0</v>
      </c>
      <c r="M37" s="19">
        <f t="shared" si="12"/>
        <v>0</v>
      </c>
      <c r="N37" s="19">
        <f t="shared" si="12"/>
        <v>0</v>
      </c>
      <c r="O37" s="53">
        <f t="shared" ref="O37" si="13">SUM(O30:O36)</f>
        <v>3052479.12</v>
      </c>
      <c r="P37" s="19">
        <f>SUM(P30:P36)</f>
        <v>5900393.9300000006</v>
      </c>
    </row>
    <row r="38" spans="1:16">
      <c r="B38" s="10"/>
      <c r="C38" s="18"/>
      <c r="D38" s="18"/>
      <c r="E38" s="18"/>
      <c r="F38" s="35"/>
      <c r="G38" s="18"/>
      <c r="H38" s="18"/>
      <c r="I38" s="18"/>
      <c r="J38" s="18"/>
      <c r="K38" s="18"/>
      <c r="L38" s="18"/>
      <c r="M38" s="18"/>
      <c r="N38" s="18"/>
      <c r="O38" s="56"/>
      <c r="P38" s="18"/>
    </row>
    <row r="39" spans="1:16">
      <c r="B39" s="10" t="s">
        <v>82</v>
      </c>
      <c r="C39" s="18"/>
      <c r="D39" s="18"/>
      <c r="E39" s="18"/>
      <c r="F39" s="35"/>
      <c r="G39" s="18"/>
      <c r="H39" s="18"/>
      <c r="I39" s="18"/>
      <c r="J39" s="18"/>
      <c r="K39" s="18"/>
      <c r="L39" s="18"/>
      <c r="M39" s="18"/>
      <c r="N39" s="18"/>
      <c r="O39" s="52"/>
      <c r="P39" s="18"/>
    </row>
    <row r="40" spans="1:16">
      <c r="B40" s="6" t="s">
        <v>31</v>
      </c>
      <c r="C40" s="20">
        <v>31358.27</v>
      </c>
      <c r="D40" s="18">
        <v>37038.939999999995</v>
      </c>
      <c r="E40" s="18">
        <v>54577.77</v>
      </c>
      <c r="F40" s="18">
        <v>13647.240000000002</v>
      </c>
      <c r="G40" s="18">
        <v>13960.220000000001</v>
      </c>
      <c r="H40" s="18">
        <v>9679.23</v>
      </c>
      <c r="I40" s="18">
        <v>21274.720000000001</v>
      </c>
      <c r="J40" s="18">
        <v>5981.83</v>
      </c>
      <c r="K40" s="18">
        <v>7750.3099999999995</v>
      </c>
      <c r="L40" s="18"/>
      <c r="M40" s="18"/>
      <c r="N40" s="18"/>
      <c r="O40" s="52">
        <f t="shared" ref="O40:O47" si="14">SUM(C40:N40)</f>
        <v>195268.52999999997</v>
      </c>
      <c r="P40" s="16">
        <f t="shared" ref="P40:P47" si="15">SUM(D40:O40)</f>
        <v>359178.78999999992</v>
      </c>
    </row>
    <row r="41" spans="1:16">
      <c r="B41" s="6" t="s">
        <v>32</v>
      </c>
      <c r="C41" s="18">
        <v>8549.1</v>
      </c>
      <c r="D41" s="18">
        <v>10212.11</v>
      </c>
      <c r="E41" s="18">
        <v>33053.160000000003</v>
      </c>
      <c r="F41" s="18">
        <v>21223.56</v>
      </c>
      <c r="G41" s="18">
        <v>12037.76</v>
      </c>
      <c r="H41" s="18">
        <v>25245.25</v>
      </c>
      <c r="I41" s="18">
        <v>23644.99</v>
      </c>
      <c r="J41" s="18">
        <f>-11559.77+999.9</f>
        <v>-10559.87</v>
      </c>
      <c r="K41" s="18">
        <f>27498.44-999.9</f>
        <v>26498.539999999997</v>
      </c>
      <c r="L41" s="18"/>
      <c r="M41" s="18"/>
      <c r="N41" s="18"/>
      <c r="O41" s="52">
        <f t="shared" si="14"/>
        <v>149904.6</v>
      </c>
      <c r="P41" s="16">
        <f t="shared" si="15"/>
        <v>291260.09999999998</v>
      </c>
    </row>
    <row r="42" spans="1:16">
      <c r="B42" s="6" t="s">
        <v>75</v>
      </c>
      <c r="C42" s="18">
        <v>953.14</v>
      </c>
      <c r="D42" s="18">
        <v>9448.3799999999992</v>
      </c>
      <c r="E42" s="18">
        <v>584.15</v>
      </c>
      <c r="F42" s="18">
        <v>7852.7400000000007</v>
      </c>
      <c r="G42" s="18">
        <v>1097.97</v>
      </c>
      <c r="H42" s="18">
        <v>660.92</v>
      </c>
      <c r="I42" s="18">
        <v>8684.67</v>
      </c>
      <c r="J42" s="18">
        <v>2998.82</v>
      </c>
      <c r="K42" s="18">
        <v>3027.81</v>
      </c>
      <c r="L42" s="18"/>
      <c r="M42" s="18"/>
      <c r="N42" s="18"/>
      <c r="O42" s="52">
        <f t="shared" si="14"/>
        <v>35308.6</v>
      </c>
      <c r="P42" s="16">
        <f t="shared" si="15"/>
        <v>69664.06</v>
      </c>
    </row>
    <row r="43" spans="1:16" hidden="1">
      <c r="B43" s="6" t="s">
        <v>33</v>
      </c>
      <c r="C43" s="18">
        <v>0</v>
      </c>
      <c r="D43" s="18"/>
      <c r="E43" s="18"/>
      <c r="F43" s="18"/>
      <c r="G43" s="18"/>
      <c r="H43" s="18"/>
      <c r="I43" s="18"/>
      <c r="J43" s="18"/>
      <c r="K43" s="18"/>
      <c r="L43" s="18"/>
      <c r="M43" s="18"/>
      <c r="N43" s="18"/>
      <c r="O43" s="52">
        <f t="shared" si="14"/>
        <v>0</v>
      </c>
      <c r="P43" s="16">
        <f t="shared" si="15"/>
        <v>0</v>
      </c>
    </row>
    <row r="44" spans="1:16" hidden="1">
      <c r="B44" s="6" t="s">
        <v>34</v>
      </c>
      <c r="C44" s="18">
        <v>0</v>
      </c>
      <c r="D44" s="18"/>
      <c r="E44" s="18"/>
      <c r="F44" s="18"/>
      <c r="G44" s="18"/>
      <c r="H44" s="18"/>
      <c r="I44" s="18"/>
      <c r="J44" s="18"/>
      <c r="K44" s="18"/>
      <c r="L44" s="18"/>
      <c r="M44" s="18"/>
      <c r="N44" s="18"/>
      <c r="O44" s="52">
        <f t="shared" si="14"/>
        <v>0</v>
      </c>
      <c r="P44" s="16">
        <f t="shared" si="15"/>
        <v>0</v>
      </c>
    </row>
    <row r="45" spans="1:16">
      <c r="B45" s="6" t="s">
        <v>35</v>
      </c>
      <c r="C45" s="18"/>
      <c r="D45" s="18">
        <v>148205.70000000001</v>
      </c>
      <c r="E45" s="18"/>
      <c r="F45" s="18">
        <v>164798.1</v>
      </c>
      <c r="G45" s="18">
        <v>382.65000000000003</v>
      </c>
      <c r="H45" s="18">
        <v>156426.76999999999</v>
      </c>
      <c r="I45" s="18"/>
      <c r="J45" s="18">
        <v>-88.68</v>
      </c>
      <c r="K45" s="18">
        <v>7.11</v>
      </c>
      <c r="L45" s="18"/>
      <c r="M45" s="18"/>
      <c r="N45" s="18"/>
      <c r="O45" s="52">
        <f t="shared" si="14"/>
        <v>469731.65000000008</v>
      </c>
      <c r="P45" s="16">
        <f t="shared" si="15"/>
        <v>939463.30000000016</v>
      </c>
    </row>
    <row r="46" spans="1:16">
      <c r="B46" s="6" t="s">
        <v>77</v>
      </c>
      <c r="C46" s="18">
        <v>22956.47</v>
      </c>
      <c r="D46" s="18">
        <v>24579.15</v>
      </c>
      <c r="E46" s="18">
        <v>19986.920000000002</v>
      </c>
      <c r="F46" s="18">
        <v>49510.11</v>
      </c>
      <c r="G46" s="18">
        <v>70757.26999999999</v>
      </c>
      <c r="H46" s="18">
        <v>62549.46</v>
      </c>
      <c r="I46" s="18">
        <v>25311.91</v>
      </c>
      <c r="J46" s="18">
        <v>12355.460000000001</v>
      </c>
      <c r="K46" s="18">
        <v>13871.04</v>
      </c>
      <c r="L46" s="18"/>
      <c r="M46" s="18"/>
      <c r="N46" s="18"/>
      <c r="O46" s="52">
        <f t="shared" ref="O46" si="16">SUM(C46:N46)</f>
        <v>301877.78999999998</v>
      </c>
      <c r="P46" s="16"/>
    </row>
    <row r="47" spans="1:16">
      <c r="B47" s="6" t="s">
        <v>36</v>
      </c>
      <c r="C47" s="18">
        <v>40959.440000000002</v>
      </c>
      <c r="D47" s="18">
        <v>52887.61</v>
      </c>
      <c r="E47" s="18">
        <v>52021.450000000004</v>
      </c>
      <c r="F47" s="18">
        <v>64721.08</v>
      </c>
      <c r="G47" s="18">
        <v>53753.770000000004</v>
      </c>
      <c r="H47" s="18">
        <v>47302.62</v>
      </c>
      <c r="I47" s="18">
        <v>45547.310000000005</v>
      </c>
      <c r="J47" s="18">
        <v>47850.49</v>
      </c>
      <c r="K47" s="18">
        <v>45556.35</v>
      </c>
      <c r="L47" s="18"/>
      <c r="M47" s="18"/>
      <c r="N47" s="18"/>
      <c r="O47" s="52">
        <f t="shared" si="14"/>
        <v>450600.12</v>
      </c>
      <c r="P47" s="16">
        <f t="shared" si="15"/>
        <v>860240.8</v>
      </c>
    </row>
    <row r="48" spans="1:16">
      <c r="A48" t="s">
        <v>24</v>
      </c>
      <c r="B48" s="10" t="s">
        <v>83</v>
      </c>
      <c r="C48" s="19">
        <f t="shared" ref="C48:O48" si="17">SUM(C40:C47)</f>
        <v>104776.42000000001</v>
      </c>
      <c r="D48" s="19">
        <f t="shared" si="17"/>
        <v>282371.89</v>
      </c>
      <c r="E48" s="19">
        <f t="shared" si="17"/>
        <v>160223.44999999998</v>
      </c>
      <c r="F48" s="19">
        <f t="shared" si="17"/>
        <v>321752.83</v>
      </c>
      <c r="G48" s="19">
        <f t="shared" si="17"/>
        <v>151989.64000000001</v>
      </c>
      <c r="H48" s="19">
        <f t="shared" si="17"/>
        <v>301864.25</v>
      </c>
      <c r="I48" s="19">
        <f t="shared" si="17"/>
        <v>124463.6</v>
      </c>
      <c r="J48" s="19">
        <f t="shared" si="17"/>
        <v>58538.049999999996</v>
      </c>
      <c r="K48" s="19">
        <f t="shared" si="17"/>
        <v>96711.16</v>
      </c>
      <c r="L48" s="19">
        <f t="shared" si="17"/>
        <v>0</v>
      </c>
      <c r="M48" s="19">
        <f t="shared" si="17"/>
        <v>0</v>
      </c>
      <c r="N48" s="19">
        <f t="shared" si="17"/>
        <v>0</v>
      </c>
      <c r="O48" s="53">
        <f t="shared" si="17"/>
        <v>1602691.29</v>
      </c>
      <c r="P48" s="19">
        <f>SUM(P40:P47)</f>
        <v>2519807.0499999998</v>
      </c>
    </row>
    <row r="49" spans="1:16">
      <c r="B49" s="10"/>
      <c r="C49" s="18"/>
      <c r="D49" s="18"/>
      <c r="E49" s="18"/>
      <c r="F49" s="35"/>
      <c r="G49" s="18"/>
      <c r="H49" s="18"/>
      <c r="I49" s="18"/>
      <c r="J49" s="18"/>
      <c r="K49" s="18"/>
      <c r="L49" s="18"/>
      <c r="M49" s="18"/>
      <c r="N49" s="18"/>
      <c r="O49" s="56"/>
      <c r="P49" s="18"/>
    </row>
    <row r="50" spans="1:16" ht="15.75" thickBot="1">
      <c r="A50" t="s">
        <v>81</v>
      </c>
      <c r="B50" s="10" t="s">
        <v>136</v>
      </c>
      <c r="C50" s="21">
        <f>C48+C37</f>
        <v>309340.73</v>
      </c>
      <c r="D50" s="21">
        <f t="shared" ref="D50:O50" si="18">D48+D37</f>
        <v>629188.04</v>
      </c>
      <c r="E50" s="21">
        <f t="shared" si="18"/>
        <v>439028.14</v>
      </c>
      <c r="F50" s="21">
        <f t="shared" si="18"/>
        <v>648927.39</v>
      </c>
      <c r="G50" s="21">
        <f t="shared" si="18"/>
        <v>591393.88000000012</v>
      </c>
      <c r="H50" s="21">
        <f t="shared" si="18"/>
        <v>890350.12</v>
      </c>
      <c r="I50" s="21">
        <f t="shared" si="18"/>
        <v>402767.61</v>
      </c>
      <c r="J50" s="21">
        <f t="shared" si="18"/>
        <v>417362.14</v>
      </c>
      <c r="K50" s="21">
        <f t="shared" si="18"/>
        <v>326812.36</v>
      </c>
      <c r="L50" s="21">
        <f t="shared" si="18"/>
        <v>0</v>
      </c>
      <c r="M50" s="21">
        <f t="shared" si="18"/>
        <v>0</v>
      </c>
      <c r="N50" s="21">
        <f t="shared" si="18"/>
        <v>0</v>
      </c>
      <c r="O50" s="21">
        <f t="shared" si="18"/>
        <v>4655170.41</v>
      </c>
      <c r="P50" s="21" t="e">
        <f>#REF!+P48+P37</f>
        <v>#REF!</v>
      </c>
    </row>
    <row r="51" spans="1:16" ht="15.75" thickTop="1">
      <c r="B51" s="9"/>
      <c r="O51" s="54"/>
    </row>
    <row r="52" spans="1:16">
      <c r="B52" s="11" t="s">
        <v>39</v>
      </c>
      <c r="O52" s="54"/>
    </row>
    <row r="53" spans="1:16">
      <c r="B53" s="11" t="s">
        <v>59</v>
      </c>
      <c r="O53" s="54"/>
    </row>
    <row r="54" spans="1:16">
      <c r="B54" s="12" t="s">
        <v>31</v>
      </c>
      <c r="C54" s="36">
        <f t="shared" ref="C54" si="19">C7-C30</f>
        <v>15144.130000000005</v>
      </c>
      <c r="D54" s="36">
        <f>IF(D50&lt;&gt;0,D7-D30," ")</f>
        <v>-162443.35000000003</v>
      </c>
      <c r="E54" s="36">
        <f t="shared" ref="E54:N54" si="20">IF(E50&lt;&gt;0,E7-E30," ")</f>
        <v>-14446.260000000009</v>
      </c>
      <c r="F54" s="36">
        <f t="shared" si="20"/>
        <v>-70395.580000000016</v>
      </c>
      <c r="G54" s="36">
        <f t="shared" si="20"/>
        <v>-229041.21000000002</v>
      </c>
      <c r="H54" s="36">
        <f t="shared" si="20"/>
        <v>-343315.68</v>
      </c>
      <c r="I54" s="36">
        <f t="shared" si="20"/>
        <v>-91799.63</v>
      </c>
      <c r="J54" s="36">
        <f t="shared" si="20"/>
        <v>-166399.22000000003</v>
      </c>
      <c r="K54" s="36">
        <f t="shared" si="20"/>
        <v>-88.290000000008149</v>
      </c>
      <c r="L54" s="36" t="str">
        <f t="shared" si="20"/>
        <v xml:space="preserve"> </v>
      </c>
      <c r="M54" s="36" t="str">
        <f t="shared" si="20"/>
        <v xml:space="preserve"> </v>
      </c>
      <c r="N54" s="36" t="str">
        <f t="shared" si="20"/>
        <v xml:space="preserve"> </v>
      </c>
      <c r="O54" s="52">
        <f t="shared" ref="O54:O60" si="21">SUM(C54:N54)</f>
        <v>-1062785.0900000001</v>
      </c>
    </row>
    <row r="55" spans="1:16">
      <c r="B55" s="12" t="s">
        <v>32</v>
      </c>
      <c r="C55" s="36">
        <f t="shared" ref="C55" si="22">C8-C31</f>
        <v>-27667.356666666667</v>
      </c>
      <c r="D55" s="36">
        <f>IF(D50&lt;&gt;0,D8-D31," ")</f>
        <v>7668.2833333333328</v>
      </c>
      <c r="E55" s="36">
        <f t="shared" ref="E55:N55" si="23">IF(E50&lt;&gt;0,E8-E31," ")</f>
        <v>-72317.346666666679</v>
      </c>
      <c r="F55" s="36">
        <f t="shared" si="23"/>
        <v>-9114.0366666666669</v>
      </c>
      <c r="G55" s="36">
        <f t="shared" si="23"/>
        <v>6992.8833333333314</v>
      </c>
      <c r="H55" s="36">
        <f t="shared" si="23"/>
        <v>15312.513333333336</v>
      </c>
      <c r="I55" s="36">
        <f t="shared" si="23"/>
        <v>5536.7033333333384</v>
      </c>
      <c r="J55" s="36">
        <f t="shared" si="23"/>
        <v>18036.533333333336</v>
      </c>
      <c r="K55" s="36">
        <f t="shared" si="23"/>
        <v>593.88333333333139</v>
      </c>
      <c r="L55" s="36" t="str">
        <f t="shared" si="23"/>
        <v xml:space="preserve"> </v>
      </c>
      <c r="M55" s="36" t="str">
        <f t="shared" si="23"/>
        <v xml:space="preserve"> </v>
      </c>
      <c r="N55" s="36" t="str">
        <f t="shared" si="23"/>
        <v xml:space="preserve"> </v>
      </c>
      <c r="O55" s="52">
        <f t="shared" si="21"/>
        <v>-54957.94</v>
      </c>
    </row>
    <row r="56" spans="1:16">
      <c r="B56" s="12" t="s">
        <v>75</v>
      </c>
      <c r="C56" s="36">
        <f t="shared" ref="C56" si="24">C9-C32</f>
        <v>39652.833333333336</v>
      </c>
      <c r="D56" s="36">
        <f>IF(D50&lt;&gt;0,D9-D32," ")</f>
        <v>39652.833333333336</v>
      </c>
      <c r="E56" s="36">
        <f t="shared" ref="E56:N56" si="25">IF(E50&lt;&gt;0,E9-E32," ")</f>
        <v>39652.833333333336</v>
      </c>
      <c r="F56" s="36">
        <f t="shared" si="25"/>
        <v>-15971.026666666665</v>
      </c>
      <c r="G56" s="36">
        <f t="shared" si="25"/>
        <v>14338.003333333334</v>
      </c>
      <c r="H56" s="36">
        <f t="shared" si="25"/>
        <v>-28788.78666666666</v>
      </c>
      <c r="I56" s="36">
        <f t="shared" si="25"/>
        <v>39652.833333333336</v>
      </c>
      <c r="J56" s="36">
        <f t="shared" si="25"/>
        <v>21232.513333333336</v>
      </c>
      <c r="K56" s="36">
        <f t="shared" si="25"/>
        <v>1087.1233333333366</v>
      </c>
      <c r="L56" s="36" t="str">
        <f t="shared" si="25"/>
        <v xml:space="preserve"> </v>
      </c>
      <c r="M56" s="36" t="str">
        <f t="shared" si="25"/>
        <v xml:space="preserve"> </v>
      </c>
      <c r="N56" s="36" t="str">
        <f t="shared" si="25"/>
        <v xml:space="preserve"> </v>
      </c>
      <c r="O56" s="52">
        <f t="shared" si="21"/>
        <v>150509.16000000003</v>
      </c>
    </row>
    <row r="57" spans="1:16" hidden="1">
      <c r="B57" s="12" t="s">
        <v>33</v>
      </c>
      <c r="C57" s="36">
        <f t="shared" ref="C57:D57" si="26">C10-C33</f>
        <v>0</v>
      </c>
      <c r="D57" s="36">
        <f t="shared" si="26"/>
        <v>0</v>
      </c>
      <c r="E57" s="36">
        <f t="shared" ref="E57:N57" si="27">E10-E33</f>
        <v>0</v>
      </c>
      <c r="F57" s="36">
        <f t="shared" si="27"/>
        <v>0</v>
      </c>
      <c r="G57" s="36">
        <f t="shared" si="27"/>
        <v>0</v>
      </c>
      <c r="H57" s="36">
        <f t="shared" si="27"/>
        <v>0</v>
      </c>
      <c r="I57" s="36">
        <f t="shared" si="27"/>
        <v>0</v>
      </c>
      <c r="J57" s="36">
        <f t="shared" si="27"/>
        <v>0</v>
      </c>
      <c r="K57" s="36">
        <f t="shared" si="27"/>
        <v>0</v>
      </c>
      <c r="L57" s="36">
        <f t="shared" si="27"/>
        <v>0</v>
      </c>
      <c r="M57" s="36">
        <f t="shared" si="27"/>
        <v>0</v>
      </c>
      <c r="N57" s="36">
        <f t="shared" si="27"/>
        <v>0</v>
      </c>
      <c r="O57" s="52">
        <f t="shared" si="21"/>
        <v>0</v>
      </c>
    </row>
    <row r="58" spans="1:16" hidden="1">
      <c r="B58" s="12" t="s">
        <v>34</v>
      </c>
      <c r="C58" s="36">
        <f t="shared" ref="C58:D58" si="28">C11-C34</f>
        <v>0</v>
      </c>
      <c r="D58" s="36">
        <f t="shared" si="28"/>
        <v>0</v>
      </c>
      <c r="E58" s="36">
        <f t="shared" ref="E58:N58" si="29">E11-E34</f>
        <v>0</v>
      </c>
      <c r="F58" s="36">
        <f t="shared" si="29"/>
        <v>0</v>
      </c>
      <c r="G58" s="36">
        <f t="shared" si="29"/>
        <v>0</v>
      </c>
      <c r="H58" s="36">
        <f t="shared" si="29"/>
        <v>0</v>
      </c>
      <c r="I58" s="36">
        <f t="shared" si="29"/>
        <v>0</v>
      </c>
      <c r="J58" s="36">
        <f t="shared" si="29"/>
        <v>0</v>
      </c>
      <c r="K58" s="36">
        <f t="shared" si="29"/>
        <v>0</v>
      </c>
      <c r="L58" s="36">
        <f t="shared" si="29"/>
        <v>0</v>
      </c>
      <c r="M58" s="36">
        <f t="shared" si="29"/>
        <v>0</v>
      </c>
      <c r="N58" s="36">
        <f t="shared" si="29"/>
        <v>0</v>
      </c>
      <c r="O58" s="52">
        <f t="shared" si="21"/>
        <v>0</v>
      </c>
    </row>
    <row r="59" spans="1:16" hidden="1">
      <c r="B59" s="12" t="s">
        <v>35</v>
      </c>
      <c r="C59" s="36">
        <f t="shared" ref="C59:D59" si="30">C12-C35</f>
        <v>0</v>
      </c>
      <c r="D59" s="36">
        <f t="shared" si="30"/>
        <v>0</v>
      </c>
      <c r="E59" s="36">
        <f t="shared" ref="E59:N59" si="31">E12-E35</f>
        <v>0</v>
      </c>
      <c r="F59" s="36">
        <f t="shared" si="31"/>
        <v>0</v>
      </c>
      <c r="G59" s="36">
        <f t="shared" si="31"/>
        <v>0</v>
      </c>
      <c r="H59" s="36">
        <f t="shared" si="31"/>
        <v>0</v>
      </c>
      <c r="I59" s="36">
        <f t="shared" si="31"/>
        <v>0</v>
      </c>
      <c r="J59" s="36">
        <f t="shared" si="31"/>
        <v>0</v>
      </c>
      <c r="K59" s="36">
        <f t="shared" si="31"/>
        <v>0</v>
      </c>
      <c r="L59" s="36">
        <f t="shared" si="31"/>
        <v>0</v>
      </c>
      <c r="M59" s="36">
        <f t="shared" si="31"/>
        <v>0</v>
      </c>
      <c r="N59" s="36">
        <f t="shared" si="31"/>
        <v>0</v>
      </c>
      <c r="O59" s="52">
        <f t="shared" si="21"/>
        <v>0</v>
      </c>
    </row>
    <row r="60" spans="1:16" hidden="1">
      <c r="B60" s="12" t="s">
        <v>36</v>
      </c>
      <c r="C60" s="36">
        <f t="shared" ref="C60:D60" si="32">C13-C36</f>
        <v>0</v>
      </c>
      <c r="D60" s="36">
        <f t="shared" si="32"/>
        <v>0</v>
      </c>
      <c r="E60" s="36">
        <f t="shared" ref="E60:N60" si="33">E13-E36</f>
        <v>0</v>
      </c>
      <c r="F60" s="36">
        <f t="shared" si="33"/>
        <v>0</v>
      </c>
      <c r="G60" s="36">
        <f t="shared" si="33"/>
        <v>0</v>
      </c>
      <c r="H60" s="36">
        <f t="shared" si="33"/>
        <v>0</v>
      </c>
      <c r="I60" s="36">
        <f t="shared" si="33"/>
        <v>0</v>
      </c>
      <c r="J60" s="36">
        <f t="shared" si="33"/>
        <v>0</v>
      </c>
      <c r="K60" s="36">
        <f t="shared" si="33"/>
        <v>0</v>
      </c>
      <c r="L60" s="36">
        <f t="shared" si="33"/>
        <v>0</v>
      </c>
      <c r="M60" s="36">
        <f t="shared" si="33"/>
        <v>0</v>
      </c>
      <c r="N60" s="36">
        <f t="shared" si="33"/>
        <v>0</v>
      </c>
      <c r="O60" s="52">
        <f t="shared" si="21"/>
        <v>0</v>
      </c>
    </row>
    <row r="61" spans="1:16">
      <c r="A61" t="s">
        <v>84</v>
      </c>
      <c r="B61" s="11" t="s">
        <v>40</v>
      </c>
      <c r="C61" s="19">
        <f t="shared" ref="C61" si="34">C14-C37</f>
        <v>27129.606666666688</v>
      </c>
      <c r="D61" s="19">
        <f>IF(D50&lt;&gt;0,D14-D37," ")</f>
        <v>-115122.23333333334</v>
      </c>
      <c r="E61" s="19">
        <f t="shared" ref="E61:N61" si="35">IF(E50&lt;&gt;0,E14-E37," ")</f>
        <v>-47110.773333333316</v>
      </c>
      <c r="F61" s="19">
        <f t="shared" si="35"/>
        <v>-95480.643333333312</v>
      </c>
      <c r="G61" s="19">
        <f t="shared" si="35"/>
        <v>-207710.32333333336</v>
      </c>
      <c r="H61" s="19">
        <f t="shared" si="35"/>
        <v>-356791.95333333331</v>
      </c>
      <c r="I61" s="19">
        <f t="shared" si="35"/>
        <v>-46610.093333333323</v>
      </c>
      <c r="J61" s="19">
        <f t="shared" si="35"/>
        <v>-127130.17333333334</v>
      </c>
      <c r="K61" s="19">
        <f t="shared" si="35"/>
        <v>1592.7166666666744</v>
      </c>
      <c r="L61" s="19" t="str">
        <f t="shared" si="35"/>
        <v xml:space="preserve"> </v>
      </c>
      <c r="M61" s="19" t="str">
        <f t="shared" si="35"/>
        <v xml:space="preserve"> </v>
      </c>
      <c r="N61" s="19" t="str">
        <f t="shared" si="35"/>
        <v xml:space="preserve"> </v>
      </c>
      <c r="O61" s="53">
        <f t="shared" ref="O61" si="36">SUM(O54:O60)</f>
        <v>-967233.87</v>
      </c>
    </row>
    <row r="62" spans="1:16">
      <c r="B62" s="11"/>
      <c r="C62" s="35"/>
      <c r="D62" s="35"/>
      <c r="E62" s="35"/>
      <c r="F62" s="35"/>
      <c r="G62" s="35"/>
      <c r="H62" s="35"/>
      <c r="I62" s="35"/>
      <c r="J62" s="35"/>
      <c r="K62" s="35"/>
      <c r="L62" s="35"/>
      <c r="M62" s="35"/>
      <c r="N62" s="35"/>
      <c r="O62" s="56"/>
    </row>
    <row r="63" spans="1:16">
      <c r="B63" s="11" t="s">
        <v>86</v>
      </c>
      <c r="C63" s="35"/>
      <c r="D63" s="35"/>
      <c r="E63" s="35"/>
      <c r="F63" s="35"/>
      <c r="G63" s="35"/>
      <c r="H63" s="35"/>
      <c r="I63" s="35"/>
      <c r="J63" s="35"/>
      <c r="K63" s="35"/>
      <c r="L63" s="35"/>
      <c r="M63" s="35"/>
      <c r="N63" s="35"/>
      <c r="O63" s="52"/>
    </row>
    <row r="64" spans="1:16">
      <c r="B64" s="12" t="s">
        <v>31</v>
      </c>
      <c r="C64" s="36">
        <f t="shared" ref="C64" si="37">C17-C40</f>
        <v>-1155.2700000000004</v>
      </c>
      <c r="D64" s="36">
        <f>IF(D50&lt;&gt;0,D17-D40," ")</f>
        <v>-6835.9399999999951</v>
      </c>
      <c r="E64" s="36">
        <f t="shared" ref="E64:N64" si="38">IF(E50&lt;&gt;0,E17-E40," ")</f>
        <v>-24374.769999999997</v>
      </c>
      <c r="F64" s="36">
        <f t="shared" si="38"/>
        <v>16555.759999999998</v>
      </c>
      <c r="G64" s="36">
        <f t="shared" si="38"/>
        <v>16242.779999999999</v>
      </c>
      <c r="H64" s="36">
        <f t="shared" si="38"/>
        <v>20523.77</v>
      </c>
      <c r="I64" s="36">
        <f t="shared" si="38"/>
        <v>8928.2799999999988</v>
      </c>
      <c r="J64" s="36">
        <f t="shared" si="38"/>
        <v>24221.17</v>
      </c>
      <c r="K64" s="36">
        <f t="shared" si="38"/>
        <v>22452.690000000002</v>
      </c>
      <c r="L64" s="36" t="str">
        <f t="shared" si="38"/>
        <v xml:space="preserve"> </v>
      </c>
      <c r="M64" s="36" t="str">
        <f t="shared" si="38"/>
        <v xml:space="preserve"> </v>
      </c>
      <c r="N64" s="36" t="str">
        <f t="shared" si="38"/>
        <v xml:space="preserve"> </v>
      </c>
      <c r="O64" s="52">
        <f t="shared" ref="O64:O71" si="39">SUM(C64:N64)</f>
        <v>76558.47</v>
      </c>
    </row>
    <row r="65" spans="1:15">
      <c r="B65" s="12" t="s">
        <v>32</v>
      </c>
      <c r="C65" s="36">
        <f t="shared" ref="C65" si="40">C18-C41</f>
        <v>5839.65</v>
      </c>
      <c r="D65" s="36">
        <f>IF(D50&lt;&gt;0,D18-D41," ")</f>
        <v>4176.6399999999994</v>
      </c>
      <c r="E65" s="36">
        <f t="shared" ref="E65:N65" si="41">IF(E50&lt;&gt;0,E18-E41," ")</f>
        <v>-18664.410000000003</v>
      </c>
      <c r="F65" s="36">
        <f t="shared" si="41"/>
        <v>-6834.8100000000013</v>
      </c>
      <c r="G65" s="36">
        <f t="shared" si="41"/>
        <v>2350.9899999999998</v>
      </c>
      <c r="H65" s="36">
        <f t="shared" si="41"/>
        <v>-10856.5</v>
      </c>
      <c r="I65" s="36">
        <f t="shared" si="41"/>
        <v>-9256.2400000000016</v>
      </c>
      <c r="J65" s="36">
        <f t="shared" si="41"/>
        <v>24948.620000000003</v>
      </c>
      <c r="K65" s="36">
        <f t="shared" si="41"/>
        <v>-12109.789999999997</v>
      </c>
      <c r="L65" s="36" t="str">
        <f t="shared" si="41"/>
        <v xml:space="preserve"> </v>
      </c>
      <c r="M65" s="36" t="str">
        <f t="shared" si="41"/>
        <v xml:space="preserve"> </v>
      </c>
      <c r="N65" s="36" t="str">
        <f t="shared" si="41"/>
        <v xml:space="preserve"> </v>
      </c>
      <c r="O65" s="52">
        <f t="shared" si="39"/>
        <v>-20405.850000000002</v>
      </c>
    </row>
    <row r="66" spans="1:15">
      <c r="B66" s="12" t="s">
        <v>75</v>
      </c>
      <c r="C66" s="36">
        <f t="shared" ref="C66" si="42">C19-C42</f>
        <v>2183.7766666666666</v>
      </c>
      <c r="D66" s="36">
        <f>IF(D50&lt;&gt;0,D19-D42," ")</f>
        <v>-6311.4633333333331</v>
      </c>
      <c r="E66" s="36">
        <f t="shared" ref="E66:N66" si="43">IF(E50&lt;&gt;0,E19-E42," ")</f>
        <v>2552.7666666666664</v>
      </c>
      <c r="F66" s="36">
        <f t="shared" si="43"/>
        <v>-4715.8233333333337</v>
      </c>
      <c r="G66" s="36">
        <f t="shared" si="43"/>
        <v>2038.9466666666665</v>
      </c>
      <c r="H66" s="36">
        <f t="shared" si="43"/>
        <v>2475.9966666666664</v>
      </c>
      <c r="I66" s="36">
        <f t="shared" si="43"/>
        <v>-5547.753333333334</v>
      </c>
      <c r="J66" s="36">
        <f t="shared" si="43"/>
        <v>138.09666666666635</v>
      </c>
      <c r="K66" s="36">
        <f t="shared" si="43"/>
        <v>109.10666666666657</v>
      </c>
      <c r="L66" s="36" t="str">
        <f t="shared" si="43"/>
        <v xml:space="preserve"> </v>
      </c>
      <c r="M66" s="36" t="str">
        <f t="shared" si="43"/>
        <v xml:space="preserve"> </v>
      </c>
      <c r="N66" s="36" t="str">
        <f t="shared" si="43"/>
        <v xml:space="preserve"> </v>
      </c>
      <c r="O66" s="52">
        <f t="shared" si="39"/>
        <v>-7076.3500000000022</v>
      </c>
    </row>
    <row r="67" spans="1:15" hidden="1">
      <c r="B67" s="12" t="s">
        <v>33</v>
      </c>
      <c r="C67" s="36">
        <f t="shared" ref="C67" si="44">C20-C43</f>
        <v>0</v>
      </c>
      <c r="D67" s="36" t="str">
        <f t="shared" ref="D67:N68" si="45">IF(D53&lt;&gt;0,D20-D43," ")</f>
        <v xml:space="preserve"> </v>
      </c>
      <c r="E67" s="36" t="str">
        <f t="shared" si="45"/>
        <v xml:space="preserve"> </v>
      </c>
      <c r="F67" s="36" t="str">
        <f t="shared" si="45"/>
        <v xml:space="preserve"> </v>
      </c>
      <c r="G67" s="36" t="str">
        <f t="shared" si="45"/>
        <v xml:space="preserve"> </v>
      </c>
      <c r="H67" s="36" t="str">
        <f t="shared" si="45"/>
        <v xml:space="preserve"> </v>
      </c>
      <c r="I67" s="36" t="str">
        <f t="shared" si="45"/>
        <v xml:space="preserve"> </v>
      </c>
      <c r="J67" s="36" t="str">
        <f t="shared" si="45"/>
        <v xml:space="preserve"> </v>
      </c>
      <c r="K67" s="36" t="str">
        <f t="shared" si="45"/>
        <v xml:space="preserve"> </v>
      </c>
      <c r="L67" s="36" t="str">
        <f t="shared" si="45"/>
        <v xml:space="preserve"> </v>
      </c>
      <c r="M67" s="36" t="str">
        <f t="shared" si="45"/>
        <v xml:space="preserve"> </v>
      </c>
      <c r="N67" s="36" t="str">
        <f t="shared" si="45"/>
        <v xml:space="preserve"> </v>
      </c>
      <c r="O67" s="52">
        <f t="shared" si="39"/>
        <v>0</v>
      </c>
    </row>
    <row r="68" spans="1:15" hidden="1">
      <c r="B68" s="12" t="s">
        <v>34</v>
      </c>
      <c r="C68" s="36">
        <f t="shared" ref="C68" si="46">C21-C44</f>
        <v>0</v>
      </c>
      <c r="D68" s="36">
        <f t="shared" si="45"/>
        <v>0</v>
      </c>
      <c r="E68" s="36">
        <f t="shared" si="45"/>
        <v>0</v>
      </c>
      <c r="F68" s="36">
        <f t="shared" si="45"/>
        <v>0</v>
      </c>
      <c r="G68" s="36">
        <f t="shared" si="45"/>
        <v>0</v>
      </c>
      <c r="H68" s="36">
        <f t="shared" si="45"/>
        <v>0</v>
      </c>
      <c r="I68" s="36">
        <f t="shared" si="45"/>
        <v>0</v>
      </c>
      <c r="J68" s="36">
        <f t="shared" si="45"/>
        <v>0</v>
      </c>
      <c r="K68" s="36">
        <f t="shared" si="45"/>
        <v>0</v>
      </c>
      <c r="L68" s="36">
        <f t="shared" si="45"/>
        <v>0</v>
      </c>
      <c r="M68" s="36">
        <f t="shared" si="45"/>
        <v>0</v>
      </c>
      <c r="N68" s="36">
        <f t="shared" si="45"/>
        <v>0</v>
      </c>
      <c r="O68" s="52">
        <f t="shared" si="39"/>
        <v>0</v>
      </c>
    </row>
    <row r="69" spans="1:15">
      <c r="B69" s="12" t="s">
        <v>35</v>
      </c>
      <c r="C69" s="36">
        <f t="shared" ref="C69" si="47">C22-C45</f>
        <v>53701.666666666664</v>
      </c>
      <c r="D69" s="36">
        <f>IF(D50&lt;&gt;0,D22-D45," ")</f>
        <v>-94504.033333333355</v>
      </c>
      <c r="E69" s="36">
        <f t="shared" ref="E69:N69" si="48">IF(E50&lt;&gt;0,E22-E45," ")</f>
        <v>53701.666666666664</v>
      </c>
      <c r="F69" s="36">
        <f t="shared" si="48"/>
        <v>-111096.43333333335</v>
      </c>
      <c r="G69" s="36">
        <f t="shared" si="48"/>
        <v>53319.016666666663</v>
      </c>
      <c r="H69" s="36">
        <f t="shared" si="48"/>
        <v>-102725.10333333333</v>
      </c>
      <c r="I69" s="36">
        <f t="shared" si="48"/>
        <v>53701.666666666664</v>
      </c>
      <c r="J69" s="36">
        <f t="shared" si="48"/>
        <v>53790.346666666665</v>
      </c>
      <c r="K69" s="36">
        <f t="shared" si="48"/>
        <v>53694.556666666664</v>
      </c>
      <c r="L69" s="36" t="str">
        <f t="shared" si="48"/>
        <v xml:space="preserve"> </v>
      </c>
      <c r="M69" s="36" t="str">
        <f t="shared" si="48"/>
        <v xml:space="preserve"> </v>
      </c>
      <c r="N69" s="36" t="str">
        <f t="shared" si="48"/>
        <v xml:space="preserve"> </v>
      </c>
      <c r="O69" s="52">
        <f t="shared" si="39"/>
        <v>13583.349999999955</v>
      </c>
    </row>
    <row r="70" spans="1:15">
      <c r="B70" s="12" t="s">
        <v>77</v>
      </c>
      <c r="C70" s="36">
        <f t="shared" ref="C70" si="49">C23-C46</f>
        <v>2691.1966666666667</v>
      </c>
      <c r="D70" s="36">
        <f>IF(D50&lt;&gt;0,D23-D46," ")</f>
        <v>1068.5166666666664</v>
      </c>
      <c r="E70" s="36">
        <f t="shared" ref="E70:N70" si="50">IF(E50&lt;&gt;0,E23-E46," ")</f>
        <v>5660.746666666666</v>
      </c>
      <c r="F70" s="36">
        <f t="shared" si="50"/>
        <v>-23862.443333333333</v>
      </c>
      <c r="G70" s="36">
        <f t="shared" si="50"/>
        <v>-45109.603333333318</v>
      </c>
      <c r="H70" s="36">
        <f t="shared" si="50"/>
        <v>-36901.793333333335</v>
      </c>
      <c r="I70" s="36">
        <f t="shared" si="50"/>
        <v>335.75666666666802</v>
      </c>
      <c r="J70" s="36">
        <f t="shared" si="50"/>
        <v>13292.206666666667</v>
      </c>
      <c r="K70" s="36">
        <f t="shared" si="50"/>
        <v>11776.626666666667</v>
      </c>
      <c r="L70" s="36" t="str">
        <f t="shared" si="50"/>
        <v xml:space="preserve"> </v>
      </c>
      <c r="M70" s="36" t="str">
        <f t="shared" si="50"/>
        <v xml:space="preserve"> </v>
      </c>
      <c r="N70" s="36" t="str">
        <f t="shared" si="50"/>
        <v xml:space="preserve"> </v>
      </c>
      <c r="O70" s="52">
        <f t="shared" ref="O70" si="51">SUM(C70:N70)</f>
        <v>-71048.789999999994</v>
      </c>
    </row>
    <row r="71" spans="1:15">
      <c r="B71" s="12" t="s">
        <v>36</v>
      </c>
      <c r="C71" s="36">
        <f t="shared" ref="C71" si="52">C24-C47</f>
        <v>-5081.7733333333381</v>
      </c>
      <c r="D71" s="36">
        <f>IF(D50&lt;&gt;0,D24-D47," ")</f>
        <v>-17009.943333333336</v>
      </c>
      <c r="E71" s="36">
        <f t="shared" ref="E71:N71" si="53">IF(E50&lt;&gt;0,E24-E47," ")</f>
        <v>-16143.78333333334</v>
      </c>
      <c r="F71" s="36">
        <f t="shared" si="53"/>
        <v>-28843.413333333338</v>
      </c>
      <c r="G71" s="36">
        <f t="shared" si="53"/>
        <v>-17876.10333333334</v>
      </c>
      <c r="H71" s="36">
        <f t="shared" si="53"/>
        <v>-11424.953333333338</v>
      </c>
      <c r="I71" s="36">
        <f t="shared" si="53"/>
        <v>-9669.6433333333407</v>
      </c>
      <c r="J71" s="36">
        <f t="shared" si="53"/>
        <v>-11972.823333333334</v>
      </c>
      <c r="K71" s="36">
        <f t="shared" si="53"/>
        <v>-9678.6833333333343</v>
      </c>
      <c r="L71" s="36" t="str">
        <f t="shared" si="53"/>
        <v xml:space="preserve"> </v>
      </c>
      <c r="M71" s="36" t="str">
        <f t="shared" si="53"/>
        <v xml:space="preserve"> </v>
      </c>
      <c r="N71" s="36" t="str">
        <f t="shared" si="53"/>
        <v xml:space="preserve"> </v>
      </c>
      <c r="O71" s="52">
        <f t="shared" si="39"/>
        <v>-127701.12000000004</v>
      </c>
    </row>
    <row r="72" spans="1:15">
      <c r="A72" t="s">
        <v>85</v>
      </c>
      <c r="B72" s="11" t="s">
        <v>40</v>
      </c>
      <c r="C72" s="19">
        <f t="shared" ref="C72" si="54">C25-C48</f>
        <v>58179.246666666644</v>
      </c>
      <c r="D72" s="19">
        <f>IF(D50&lt;&gt;0,D25-D48," ")</f>
        <v>-119416.22333333336</v>
      </c>
      <c r="E72" s="19">
        <f t="shared" ref="E72:N72" si="55">IF(E50&lt;&gt;0,E25-E48," ")</f>
        <v>2732.2166666666744</v>
      </c>
      <c r="F72" s="19">
        <f t="shared" si="55"/>
        <v>-158797.16333333336</v>
      </c>
      <c r="G72" s="19">
        <f t="shared" si="55"/>
        <v>10966.026666666643</v>
      </c>
      <c r="H72" s="19">
        <f t="shared" si="55"/>
        <v>-138908.58333333334</v>
      </c>
      <c r="I72" s="19">
        <f t="shared" si="55"/>
        <v>38492.066666666651</v>
      </c>
      <c r="J72" s="19">
        <f t="shared" si="55"/>
        <v>104417.61666666667</v>
      </c>
      <c r="K72" s="19">
        <f t="shared" si="55"/>
        <v>66244.506666666653</v>
      </c>
      <c r="L72" s="19" t="str">
        <f t="shared" si="55"/>
        <v xml:space="preserve"> </v>
      </c>
      <c r="M72" s="19" t="str">
        <f t="shared" si="55"/>
        <v xml:space="preserve"> </v>
      </c>
      <c r="N72" s="19" t="str">
        <f t="shared" si="55"/>
        <v xml:space="preserve"> </v>
      </c>
      <c r="O72" s="53">
        <f t="shared" ref="O72" si="56">SUM(O64:O71)</f>
        <v>-136090.2900000001</v>
      </c>
    </row>
    <row r="73" spans="1:15">
      <c r="B73" s="11"/>
      <c r="C73" s="35"/>
      <c r="D73" s="35"/>
      <c r="E73" s="35"/>
      <c r="F73" s="35"/>
      <c r="G73" s="35"/>
      <c r="H73" s="35"/>
      <c r="I73" s="35"/>
      <c r="J73" s="35"/>
      <c r="K73" s="35"/>
      <c r="L73" s="35"/>
      <c r="M73" s="35"/>
      <c r="N73" s="35"/>
      <c r="O73" s="56"/>
    </row>
    <row r="74" spans="1:15" ht="15.75" thickBot="1">
      <c r="B74" s="11" t="s">
        <v>40</v>
      </c>
      <c r="C74" s="38">
        <f t="shared" ref="C74" si="57">C27-C50</f>
        <v>85308.853333333391</v>
      </c>
      <c r="D74" s="38">
        <f>IF(D50&lt;&gt;0,D27-D50," ")</f>
        <v>-234538.45666666667</v>
      </c>
      <c r="E74" s="38">
        <f t="shared" ref="E74:N74" si="58">IF(E50&lt;&gt;0,E27-E50," ")</f>
        <v>-44378.556666666642</v>
      </c>
      <c r="F74" s="38">
        <f t="shared" si="58"/>
        <v>-254277.80666666664</v>
      </c>
      <c r="G74" s="38">
        <f t="shared" si="58"/>
        <v>-196744.29666666675</v>
      </c>
      <c r="H74" s="38">
        <f t="shared" si="58"/>
        <v>-495700.53666666662</v>
      </c>
      <c r="I74" s="38">
        <f t="shared" si="58"/>
        <v>-8118.0266666666139</v>
      </c>
      <c r="J74" s="38">
        <f t="shared" si="58"/>
        <v>-22712.556666666642</v>
      </c>
      <c r="K74" s="38">
        <f t="shared" si="58"/>
        <v>67837.223333333386</v>
      </c>
      <c r="L74" s="38" t="str">
        <f t="shared" si="58"/>
        <v xml:space="preserve"> </v>
      </c>
      <c r="M74" s="38" t="str">
        <f t="shared" si="58"/>
        <v xml:space="preserve"> </v>
      </c>
      <c r="N74" s="38" t="str">
        <f t="shared" si="58"/>
        <v xml:space="preserve"> </v>
      </c>
      <c r="O74" s="57">
        <f>O72+O61</f>
        <v>-1103324.1600000001</v>
      </c>
    </row>
    <row r="75" spans="1:15" ht="15.75" thickTop="1">
      <c r="B75" s="9"/>
    </row>
    <row r="76" spans="1:15">
      <c r="B76" s="9"/>
    </row>
    <row r="77" spans="1:15">
      <c r="B77" s="32" t="s">
        <v>49</v>
      </c>
      <c r="C77" s="18"/>
      <c r="D77" s="18"/>
      <c r="E77" s="18"/>
      <c r="F77" s="18"/>
      <c r="G77" s="18"/>
      <c r="H77" s="18"/>
      <c r="I77" s="18"/>
      <c r="J77" s="18"/>
      <c r="K77" s="18"/>
      <c r="L77" s="18"/>
      <c r="M77" s="18"/>
      <c r="N77" s="18"/>
      <c r="O77" s="18"/>
    </row>
    <row r="78" spans="1:15">
      <c r="B78" s="92" t="s">
        <v>88</v>
      </c>
      <c r="C78" s="92"/>
      <c r="D78" s="92"/>
      <c r="E78" s="92"/>
      <c r="F78" s="92"/>
      <c r="G78" s="92"/>
      <c r="H78" s="92"/>
      <c r="I78" s="92"/>
      <c r="J78" s="92"/>
      <c r="K78" s="92"/>
      <c r="L78" s="92"/>
      <c r="M78" s="92"/>
      <c r="N78" s="92"/>
      <c r="O78" s="92"/>
    </row>
    <row r="80" spans="1:15">
      <c r="B80" s="61" t="s">
        <v>51</v>
      </c>
    </row>
    <row r="81" spans="2:15">
      <c r="B81" s="91" t="s">
        <v>106</v>
      </c>
      <c r="C81" s="91"/>
      <c r="D81" s="91"/>
      <c r="E81" s="91"/>
      <c r="F81" s="91"/>
      <c r="G81" s="91"/>
      <c r="H81" s="91"/>
      <c r="I81" s="91"/>
      <c r="J81" s="91"/>
      <c r="K81" s="91"/>
      <c r="L81" s="91"/>
      <c r="M81" s="91"/>
      <c r="N81" s="91"/>
      <c r="O81" s="91"/>
    </row>
    <row r="82" spans="2:15">
      <c r="B82" s="91" t="s">
        <v>112</v>
      </c>
      <c r="C82" s="91"/>
      <c r="D82" s="91"/>
      <c r="E82" s="91"/>
      <c r="F82" s="91"/>
      <c r="G82" s="91"/>
      <c r="H82" s="91"/>
      <c r="I82" s="91"/>
      <c r="J82" s="91"/>
      <c r="K82" s="91"/>
      <c r="L82" s="91"/>
      <c r="M82" s="91"/>
      <c r="N82" s="91"/>
      <c r="O82" s="91"/>
    </row>
    <row r="83" spans="2:15">
      <c r="B83" s="91" t="s">
        <v>120</v>
      </c>
      <c r="C83" s="91"/>
      <c r="D83" s="91"/>
      <c r="E83" s="91"/>
      <c r="F83" s="91"/>
      <c r="G83" s="91"/>
      <c r="H83" s="91"/>
      <c r="I83" s="91"/>
      <c r="J83" s="91"/>
      <c r="K83" s="91"/>
      <c r="L83" s="91"/>
      <c r="M83" s="91"/>
      <c r="N83" s="91"/>
      <c r="O83" s="91"/>
    </row>
    <row r="84" spans="2:15">
      <c r="B84" s="91" t="s">
        <v>128</v>
      </c>
      <c r="C84" s="91"/>
      <c r="D84" s="91"/>
      <c r="E84" s="91"/>
      <c r="F84" s="91"/>
      <c r="G84" s="91"/>
      <c r="H84" s="91"/>
      <c r="I84" s="91"/>
      <c r="J84" s="91"/>
      <c r="K84" s="91"/>
      <c r="L84" s="91"/>
      <c r="M84" s="91"/>
      <c r="N84" s="91"/>
      <c r="O84" s="91"/>
    </row>
    <row r="85" spans="2:15" ht="15" customHeight="1">
      <c r="B85" s="91" t="s">
        <v>138</v>
      </c>
      <c r="C85" s="91"/>
      <c r="D85" s="91"/>
      <c r="E85" s="91"/>
      <c r="F85" s="91"/>
      <c r="G85" s="91"/>
      <c r="H85" s="91"/>
      <c r="I85" s="91"/>
      <c r="J85" s="91"/>
      <c r="K85" s="91"/>
      <c r="L85" s="91"/>
      <c r="M85" s="91"/>
      <c r="N85" s="91"/>
      <c r="O85" s="91"/>
    </row>
    <row r="86" spans="2:15">
      <c r="B86" s="91" t="s">
        <v>147</v>
      </c>
      <c r="C86" s="91"/>
      <c r="D86" s="91"/>
      <c r="E86" s="91"/>
      <c r="F86" s="91"/>
      <c r="G86" s="91"/>
      <c r="H86" s="91"/>
      <c r="I86" s="91"/>
      <c r="J86" s="91"/>
      <c r="K86" s="91"/>
      <c r="L86" s="91"/>
      <c r="M86" s="91"/>
      <c r="N86" s="91"/>
      <c r="O86" s="91"/>
    </row>
    <row r="87" spans="2:15">
      <c r="B87" s="91" t="s">
        <v>159</v>
      </c>
      <c r="C87" s="91"/>
      <c r="D87" s="91"/>
      <c r="E87" s="91"/>
      <c r="F87" s="91"/>
      <c r="G87" s="91"/>
      <c r="H87" s="91"/>
      <c r="I87" s="91"/>
      <c r="J87" s="91"/>
      <c r="K87" s="91"/>
      <c r="L87" s="91"/>
      <c r="M87" s="91"/>
      <c r="N87" s="91"/>
      <c r="O87" s="91"/>
    </row>
    <row r="88" spans="2:15">
      <c r="B88" s="91" t="s">
        <v>168</v>
      </c>
      <c r="C88" s="91"/>
      <c r="D88" s="91"/>
      <c r="E88" s="91"/>
      <c r="F88" s="91"/>
      <c r="G88" s="91"/>
      <c r="H88" s="91"/>
      <c r="I88" s="91"/>
      <c r="J88" s="91"/>
      <c r="K88" s="91"/>
      <c r="L88" s="91"/>
      <c r="M88" s="91"/>
      <c r="N88" s="91"/>
      <c r="O88" s="91"/>
    </row>
    <row r="89" spans="2:15">
      <c r="B89" s="91" t="s">
        <v>179</v>
      </c>
      <c r="C89" s="91"/>
      <c r="D89" s="91"/>
      <c r="E89" s="91"/>
      <c r="F89" s="91"/>
      <c r="G89" s="91"/>
      <c r="H89" s="91"/>
      <c r="I89" s="91"/>
      <c r="J89" s="91"/>
      <c r="K89" s="91"/>
      <c r="L89" s="91"/>
      <c r="M89" s="91"/>
      <c r="N89" s="91"/>
      <c r="O89" s="91"/>
    </row>
    <row r="90" spans="2:15">
      <c r="B90" s="91" t="s">
        <v>52</v>
      </c>
      <c r="C90" s="91"/>
      <c r="D90" s="91"/>
      <c r="E90" s="91"/>
      <c r="F90" s="91"/>
      <c r="G90" s="91"/>
      <c r="H90" s="91"/>
      <c r="I90" s="91"/>
      <c r="J90" s="91"/>
      <c r="K90" s="91"/>
      <c r="L90" s="91"/>
      <c r="M90" s="91"/>
      <c r="N90" s="91"/>
      <c r="O90" s="91"/>
    </row>
    <row r="91" spans="2:15">
      <c r="B91" t="s">
        <v>89</v>
      </c>
    </row>
  </sheetData>
  <mergeCells count="11">
    <mergeCell ref="B90:O90"/>
    <mergeCell ref="B89:O89"/>
    <mergeCell ref="B78:O78"/>
    <mergeCell ref="B81:O81"/>
    <mergeCell ref="B82:O82"/>
    <mergeCell ref="B83:O83"/>
    <mergeCell ref="B88:O88"/>
    <mergeCell ref="B87:O87"/>
    <mergeCell ref="B86:O86"/>
    <mergeCell ref="B85:O85"/>
    <mergeCell ref="B84:O84"/>
  </mergeCells>
  <pageMargins left="0" right="0" top="0.75" bottom="0.75" header="0.3" footer="0.3"/>
  <pageSetup scale="71" fitToHeight="18" orientation="landscape" r:id="rId1"/>
  <legacyDrawing r:id="rId2"/>
</worksheet>
</file>

<file path=xl/worksheets/sheet11.xml><?xml version="1.0" encoding="utf-8"?>
<worksheet xmlns="http://schemas.openxmlformats.org/spreadsheetml/2006/main" xmlns:r="http://schemas.openxmlformats.org/officeDocument/2006/relationships">
  <dimension ref="A2:B14"/>
  <sheetViews>
    <sheetView workbookViewId="0">
      <selection activeCell="B14" sqref="B14"/>
    </sheetView>
  </sheetViews>
  <sheetFormatPr defaultRowHeight="15"/>
  <cols>
    <col min="1" max="1" width="51.5703125" bestFit="1" customWidth="1"/>
    <col min="2" max="2" width="14.28515625" bestFit="1" customWidth="1"/>
  </cols>
  <sheetData>
    <row r="2" spans="1:2">
      <c r="A2" s="80" t="s">
        <v>68</v>
      </c>
      <c r="B2" s="1">
        <f>'ID-Sch191 Rider Balance'!J17</f>
        <v>-1224356.9239628506</v>
      </c>
    </row>
    <row r="3" spans="1:2">
      <c r="A3" s="80"/>
    </row>
    <row r="4" spans="1:2">
      <c r="A4" s="80" t="s">
        <v>69</v>
      </c>
      <c r="B4" s="1">
        <v>1615000</v>
      </c>
    </row>
    <row r="5" spans="1:2">
      <c r="A5" s="80" t="s">
        <v>70</v>
      </c>
      <c r="B5" s="84">
        <f>SUM('ID-Sch191 Rider Balance'!K11:N11)</f>
        <v>692542.33333333337</v>
      </c>
    </row>
    <row r="6" spans="1:2">
      <c r="A6" s="80"/>
      <c r="B6" s="1">
        <f>B5-B4</f>
        <v>-922457.66666666663</v>
      </c>
    </row>
    <row r="8" spans="1:2">
      <c r="A8" s="80" t="s">
        <v>71</v>
      </c>
      <c r="B8" s="3">
        <f>B2+B6</f>
        <v>-2146814.5906295171</v>
      </c>
    </row>
    <row r="10" spans="1:2">
      <c r="A10" s="80" t="s">
        <v>72</v>
      </c>
      <c r="B10" s="1">
        <v>4076000</v>
      </c>
    </row>
    <row r="11" spans="1:2">
      <c r="A11" t="s">
        <v>73</v>
      </c>
      <c r="B11" s="85"/>
    </row>
    <row r="12" spans="1:2">
      <c r="B12" s="3">
        <f>B11-B10</f>
        <v>-4076000</v>
      </c>
    </row>
    <row r="14" spans="1:2">
      <c r="A14" t="s">
        <v>74</v>
      </c>
      <c r="B14" s="3">
        <f>B8+B12</f>
        <v>-6222814.5906295171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sheetPr>
    <tabColor theme="5" tint="0.39997558519241921"/>
  </sheetPr>
  <dimension ref="A2:AF31"/>
  <sheetViews>
    <sheetView zoomScaleNormal="100" workbookViewId="0">
      <pane xSplit="2" ySplit="5" topLeftCell="C6" activePane="bottomRight" state="frozen"/>
      <selection pane="topRight" activeCell="C1" sqref="C1"/>
      <selection pane="bottomLeft" activeCell="A6" sqref="A6"/>
      <selection pane="bottomRight" activeCell="A4" sqref="A4"/>
    </sheetView>
  </sheetViews>
  <sheetFormatPr defaultRowHeight="15"/>
  <cols>
    <col min="1" max="1" width="3.42578125" bestFit="1" customWidth="1"/>
    <col min="2" max="2" width="34.85546875" customWidth="1"/>
    <col min="3" max="15" width="11.28515625" bestFit="1" customWidth="1"/>
    <col min="16" max="16" width="11.5703125" bestFit="1" customWidth="1"/>
    <col min="17" max="19" width="11.28515625" bestFit="1" customWidth="1"/>
    <col min="21" max="32" width="11.28515625" bestFit="1" customWidth="1"/>
  </cols>
  <sheetData>
    <row r="2" spans="1:32">
      <c r="B2" s="39" t="s">
        <v>50</v>
      </c>
    </row>
    <row r="3" spans="1:32">
      <c r="C3" s="25">
        <v>2012</v>
      </c>
      <c r="D3" s="25">
        <v>2012</v>
      </c>
      <c r="E3" s="25">
        <v>2012</v>
      </c>
      <c r="F3" s="25">
        <v>2012</v>
      </c>
      <c r="G3" s="25">
        <v>2012</v>
      </c>
      <c r="H3" s="25">
        <v>2012</v>
      </c>
      <c r="I3" s="25">
        <v>2012</v>
      </c>
      <c r="J3" s="25">
        <v>2012</v>
      </c>
      <c r="K3" s="25">
        <v>2012</v>
      </c>
      <c r="L3" s="25">
        <v>2012</v>
      </c>
      <c r="M3" s="25">
        <v>2012</v>
      </c>
      <c r="N3" s="25">
        <v>2012</v>
      </c>
      <c r="O3" s="42" t="s">
        <v>90</v>
      </c>
      <c r="P3" s="42">
        <v>2012</v>
      </c>
      <c r="Q3" s="42">
        <v>2012</v>
      </c>
      <c r="R3" s="42">
        <v>2012</v>
      </c>
      <c r="S3" s="42">
        <v>2012</v>
      </c>
      <c r="U3" s="42">
        <v>2013</v>
      </c>
      <c r="V3" s="42">
        <v>2013</v>
      </c>
      <c r="W3" s="42">
        <v>2013</v>
      </c>
      <c r="X3" s="42">
        <v>2013</v>
      </c>
      <c r="Y3" s="42">
        <v>2013</v>
      </c>
      <c r="Z3" s="42">
        <v>2013</v>
      </c>
      <c r="AA3" s="42">
        <v>2013</v>
      </c>
      <c r="AB3" s="42">
        <v>2013</v>
      </c>
      <c r="AC3" s="42">
        <v>2013</v>
      </c>
      <c r="AD3" s="42">
        <v>2013</v>
      </c>
      <c r="AE3" s="42">
        <v>2013</v>
      </c>
      <c r="AF3" s="42">
        <v>2013</v>
      </c>
    </row>
    <row r="4" spans="1:32">
      <c r="C4" s="25" t="s">
        <v>0</v>
      </c>
      <c r="D4" s="25" t="s">
        <v>1</v>
      </c>
      <c r="E4" s="25" t="s">
        <v>2</v>
      </c>
      <c r="F4" s="25" t="s">
        <v>3</v>
      </c>
      <c r="G4" s="25" t="s">
        <v>4</v>
      </c>
      <c r="H4" s="25" t="s">
        <v>5</v>
      </c>
      <c r="I4" s="25" t="s">
        <v>6</v>
      </c>
      <c r="J4" s="25" t="s">
        <v>7</v>
      </c>
      <c r="K4" s="25" t="s">
        <v>8</v>
      </c>
      <c r="L4" s="25" t="s">
        <v>9</v>
      </c>
      <c r="M4" s="25" t="s">
        <v>10</v>
      </c>
      <c r="N4" s="25" t="s">
        <v>11</v>
      </c>
      <c r="O4" s="42"/>
      <c r="P4" s="42" t="s">
        <v>53</v>
      </c>
      <c r="Q4" s="42" t="s">
        <v>54</v>
      </c>
      <c r="R4" s="42" t="s">
        <v>55</v>
      </c>
      <c r="S4" s="42" t="s">
        <v>56</v>
      </c>
      <c r="U4" s="42" t="s">
        <v>0</v>
      </c>
      <c r="V4" s="42" t="s">
        <v>1</v>
      </c>
      <c r="W4" s="42" t="s">
        <v>2</v>
      </c>
      <c r="X4" s="42" t="s">
        <v>3</v>
      </c>
      <c r="Y4" s="42" t="s">
        <v>4</v>
      </c>
      <c r="Z4" s="42" t="s">
        <v>5</v>
      </c>
      <c r="AA4" s="42" t="s">
        <v>6</v>
      </c>
      <c r="AB4" s="42" t="s">
        <v>7</v>
      </c>
      <c r="AC4" s="42" t="s">
        <v>8</v>
      </c>
      <c r="AD4" s="42" t="s">
        <v>9</v>
      </c>
      <c r="AE4" s="42" t="s">
        <v>10</v>
      </c>
      <c r="AF4" s="42" t="s">
        <v>11</v>
      </c>
    </row>
    <row r="5" spans="1:32">
      <c r="A5" t="s">
        <v>22</v>
      </c>
      <c r="B5" t="s">
        <v>13</v>
      </c>
      <c r="C5" s="1">
        <v>-988582.32</v>
      </c>
      <c r="D5" s="1">
        <v>-1140666.3491279036</v>
      </c>
      <c r="E5" s="1">
        <v>-1302121.0566588216</v>
      </c>
      <c r="F5" s="1">
        <v>-1384878.6243953963</v>
      </c>
      <c r="G5" s="1">
        <v>-1463601.3442368216</v>
      </c>
      <c r="H5" s="1">
        <v>-1452028.6932327403</v>
      </c>
      <c r="I5" s="1">
        <v>-1355023.0705653639</v>
      </c>
      <c r="J5" s="1">
        <v>-1286098.8213203971</v>
      </c>
      <c r="K5" s="1">
        <v>-1224356.9239628506</v>
      </c>
      <c r="L5" s="1">
        <v>-1158610.3063277709</v>
      </c>
      <c r="M5" s="1">
        <v>-1158610.3063277709</v>
      </c>
      <c r="N5" s="1">
        <v>-1158610.3063277709</v>
      </c>
      <c r="O5" s="40"/>
      <c r="P5" s="44">
        <v>-988582.32</v>
      </c>
      <c r="Q5" s="47">
        <v>-1384878.6243953963</v>
      </c>
      <c r="R5" s="47">
        <v>-1355023.0705653636</v>
      </c>
      <c r="S5" s="47">
        <v>-1158610.3063277707</v>
      </c>
      <c r="U5" s="47">
        <v>-1555008.4494701342</v>
      </c>
      <c r="V5" s="47">
        <v>-1555008.4494701342</v>
      </c>
      <c r="W5" s="47">
        <v>-1555008.4494701342</v>
      </c>
      <c r="X5" s="47">
        <v>-1555008.4494701342</v>
      </c>
      <c r="Y5" s="47">
        <v>-1555008.4494701342</v>
      </c>
      <c r="Z5" s="47">
        <v>-1555008.4494701342</v>
      </c>
      <c r="AA5" s="47">
        <v>-1555008.4494701342</v>
      </c>
      <c r="AB5" s="47">
        <v>-1555008.4494701342</v>
      </c>
      <c r="AC5" s="47">
        <v>-1555008.4494701342</v>
      </c>
      <c r="AD5" s="47">
        <v>-1555008.4494701342</v>
      </c>
      <c r="AE5" s="47">
        <v>-1555008.4494701342</v>
      </c>
      <c r="AF5" s="47">
        <v>-1555008.4494701342</v>
      </c>
    </row>
    <row r="6" spans="1:32">
      <c r="C6" s="1"/>
      <c r="D6" s="1"/>
      <c r="E6" s="1"/>
      <c r="F6" s="1"/>
      <c r="G6" s="1"/>
      <c r="H6" s="1"/>
      <c r="I6" s="1"/>
      <c r="J6" s="1"/>
      <c r="K6" s="1"/>
      <c r="L6" s="1"/>
      <c r="M6" s="1"/>
      <c r="N6" s="1"/>
      <c r="O6" s="40"/>
      <c r="P6" s="40"/>
      <c r="Q6" s="40"/>
      <c r="R6" s="40"/>
      <c r="S6" s="40"/>
      <c r="U6" s="40"/>
      <c r="V6" s="40"/>
      <c r="W6" s="40"/>
      <c r="X6" s="40"/>
      <c r="Y6" s="40"/>
      <c r="Z6" s="40"/>
      <c r="AA6" s="40"/>
      <c r="AB6" s="40"/>
      <c r="AC6" s="40"/>
      <c r="AD6" s="40"/>
      <c r="AE6" s="40"/>
      <c r="AF6" s="40"/>
    </row>
    <row r="7" spans="1:32">
      <c r="B7" t="s">
        <v>14</v>
      </c>
      <c r="C7" s="1">
        <v>391585.6095853587</v>
      </c>
      <c r="D7" s="1">
        <v>318629.17212557478</v>
      </c>
      <c r="E7" s="1">
        <v>273075.84309300018</v>
      </c>
      <c r="F7" s="1">
        <v>195528.14411631456</v>
      </c>
      <c r="G7" s="1">
        <v>116159.30424082842</v>
      </c>
      <c r="H7" s="1">
        <v>77374.079482900561</v>
      </c>
      <c r="I7" s="1">
        <v>68849.455007284734</v>
      </c>
      <c r="J7" s="1">
        <v>70059.676835667065</v>
      </c>
      <c r="K7" s="1">
        <v>84999.397691808466</v>
      </c>
      <c r="L7" s="1">
        <v>181800.42902964755</v>
      </c>
      <c r="M7" s="1">
        <v>321674.14989985799</v>
      </c>
      <c r="N7" s="1">
        <v>420995.15990917163</v>
      </c>
      <c r="O7" s="47">
        <v>2520730.4210174144</v>
      </c>
      <c r="P7" s="47">
        <v>983290.62480393355</v>
      </c>
      <c r="Q7" s="47">
        <v>389061.52784004353</v>
      </c>
      <c r="R7" s="47">
        <v>223908.52953476028</v>
      </c>
      <c r="S7" s="47">
        <v>924469.73883867718</v>
      </c>
      <c r="U7" s="27">
        <v>0</v>
      </c>
      <c r="V7" s="27">
        <v>0</v>
      </c>
      <c r="W7" s="27">
        <v>0</v>
      </c>
      <c r="X7" s="27">
        <v>0</v>
      </c>
      <c r="Y7" s="27">
        <v>0</v>
      </c>
      <c r="Z7" s="27">
        <v>0</v>
      </c>
      <c r="AA7" s="27">
        <v>0</v>
      </c>
      <c r="AB7" s="27">
        <v>0</v>
      </c>
      <c r="AC7" s="27">
        <v>0</v>
      </c>
      <c r="AD7" s="27">
        <v>0</v>
      </c>
      <c r="AE7" s="27">
        <v>0</v>
      </c>
      <c r="AF7" s="27">
        <v>0</v>
      </c>
    </row>
    <row r="8" spans="1:32">
      <c r="A8" t="s">
        <v>21</v>
      </c>
      <c r="B8" t="s">
        <v>15</v>
      </c>
      <c r="C8" s="1">
        <v>280419.79912790359</v>
      </c>
      <c r="D8" s="1">
        <v>251748.70753091809</v>
      </c>
      <c r="E8" s="1">
        <v>228959.21773657465</v>
      </c>
      <c r="F8" s="1">
        <v>178919.00984142529</v>
      </c>
      <c r="G8" s="1">
        <v>106584.26899591855</v>
      </c>
      <c r="H8" s="1">
        <v>72131.47733262353</v>
      </c>
      <c r="I8" s="1">
        <v>50525.420755033279</v>
      </c>
      <c r="J8" s="1">
        <v>36983.722642453438</v>
      </c>
      <c r="K8" s="1">
        <v>42665.772364920318</v>
      </c>
      <c r="L8" s="1">
        <v>0</v>
      </c>
      <c r="M8" s="1">
        <v>0</v>
      </c>
      <c r="N8" s="1">
        <v>0</v>
      </c>
      <c r="O8" s="47">
        <v>1248937.3963277708</v>
      </c>
      <c r="P8" s="47">
        <v>761127.72439539642</v>
      </c>
      <c r="Q8" s="47">
        <v>357634.75616996735</v>
      </c>
      <c r="R8" s="47">
        <v>130174.91576240704</v>
      </c>
      <c r="S8" s="47">
        <v>0</v>
      </c>
      <c r="U8" s="40"/>
      <c r="V8" s="40"/>
      <c r="W8" s="40"/>
      <c r="X8" s="40"/>
      <c r="Y8" s="40"/>
      <c r="Z8" s="40"/>
      <c r="AA8" s="40"/>
      <c r="AB8" s="40"/>
      <c r="AC8" s="40"/>
      <c r="AD8" s="40"/>
      <c r="AE8" s="40"/>
      <c r="AF8" s="40"/>
    </row>
    <row r="9" spans="1:32">
      <c r="B9" t="s">
        <v>16</v>
      </c>
      <c r="C9" s="22">
        <v>-111165.81045745511</v>
      </c>
      <c r="D9" s="22">
        <v>-66880.464594656689</v>
      </c>
      <c r="E9" s="22">
        <v>-44116.625356425531</v>
      </c>
      <c r="F9" s="22">
        <v>-16609.134274889278</v>
      </c>
      <c r="G9" s="22">
        <v>-9575.0352449098718</v>
      </c>
      <c r="H9" s="22">
        <v>-5242.6021502770309</v>
      </c>
      <c r="I9" s="22">
        <v>-18324.034252251455</v>
      </c>
      <c r="J9" s="22">
        <v>-33075.954193213627</v>
      </c>
      <c r="K9" s="22">
        <v>-42333.625326888148</v>
      </c>
      <c r="L9" s="22">
        <v>-181800.42902964755</v>
      </c>
      <c r="M9" s="22">
        <v>-321674.14989985799</v>
      </c>
      <c r="N9" s="22">
        <v>-420995.15990917163</v>
      </c>
      <c r="O9" s="48">
        <v>-1271793.0246896441</v>
      </c>
      <c r="P9" s="48">
        <v>-222162.90040853713</v>
      </c>
      <c r="Q9" s="48">
        <v>-31426.771670076181</v>
      </c>
      <c r="R9" s="48">
        <v>-93733.613772353245</v>
      </c>
      <c r="S9" s="48">
        <v>-924469.73883867718</v>
      </c>
      <c r="U9" s="40"/>
      <c r="V9" s="40"/>
      <c r="W9" s="40"/>
      <c r="X9" s="40"/>
      <c r="Y9" s="40"/>
      <c r="Z9" s="40"/>
      <c r="AA9" s="40"/>
      <c r="AB9" s="40"/>
      <c r="AC9" s="40"/>
      <c r="AD9" s="40"/>
      <c r="AE9" s="40"/>
      <c r="AF9" s="40"/>
    </row>
    <row r="10" spans="1:32">
      <c r="C10" s="1"/>
      <c r="D10" s="1"/>
      <c r="E10" s="1"/>
      <c r="F10" s="1"/>
      <c r="G10" s="1"/>
      <c r="H10" s="1"/>
      <c r="I10" s="1"/>
      <c r="J10" s="1"/>
      <c r="K10" s="1"/>
      <c r="L10" s="1"/>
      <c r="M10" s="1"/>
      <c r="N10" s="1"/>
      <c r="O10" s="40"/>
      <c r="P10" s="40"/>
      <c r="Q10" s="40"/>
      <c r="R10" s="40"/>
      <c r="S10" s="40"/>
      <c r="U10" s="40"/>
      <c r="V10" s="40"/>
      <c r="W10" s="40"/>
      <c r="X10" s="40"/>
      <c r="Y10" s="40"/>
      <c r="Z10" s="40"/>
      <c r="AA10" s="40"/>
      <c r="AB10" s="40"/>
      <c r="AC10" s="40"/>
      <c r="AD10" s="40"/>
      <c r="AE10" s="40"/>
      <c r="AF10" s="40"/>
    </row>
    <row r="11" spans="1:32">
      <c r="B11" t="s">
        <v>18</v>
      </c>
      <c r="C11" s="1">
        <v>173135.58333333334</v>
      </c>
      <c r="D11" s="1">
        <v>173135.58333333334</v>
      </c>
      <c r="E11" s="1">
        <v>173135.58333333334</v>
      </c>
      <c r="F11" s="1">
        <v>173135.58333333334</v>
      </c>
      <c r="G11" s="1">
        <v>173135.58333333334</v>
      </c>
      <c r="H11" s="1">
        <v>173135.58333333334</v>
      </c>
      <c r="I11" s="1">
        <v>173135.58333333334</v>
      </c>
      <c r="J11" s="1">
        <v>173135.58333333334</v>
      </c>
      <c r="K11" s="1">
        <v>173135.58333333334</v>
      </c>
      <c r="L11" s="1">
        <v>173135.58333333334</v>
      </c>
      <c r="M11" s="1">
        <v>173135.58333333334</v>
      </c>
      <c r="N11" s="1">
        <v>173135.58333333334</v>
      </c>
      <c r="O11" s="47">
        <v>2077626.9999999998</v>
      </c>
      <c r="P11" s="47">
        <v>519406.75</v>
      </c>
      <c r="Q11" s="47">
        <v>519406.75</v>
      </c>
      <c r="R11" s="47">
        <v>519406.75</v>
      </c>
      <c r="S11" s="47">
        <v>519406.75</v>
      </c>
      <c r="U11" s="27">
        <v>0</v>
      </c>
      <c r="V11" s="27">
        <v>0</v>
      </c>
      <c r="W11" s="27">
        <v>0</v>
      </c>
      <c r="X11" s="27">
        <v>0</v>
      </c>
      <c r="Y11" s="27">
        <v>0</v>
      </c>
      <c r="Z11" s="27">
        <v>0</v>
      </c>
      <c r="AA11" s="27">
        <v>0</v>
      </c>
      <c r="AB11" s="27">
        <v>0</v>
      </c>
      <c r="AC11" s="27">
        <v>0</v>
      </c>
      <c r="AD11" s="27">
        <v>0</v>
      </c>
      <c r="AE11" s="27">
        <v>0</v>
      </c>
      <c r="AF11" s="27">
        <v>0</v>
      </c>
    </row>
    <row r="12" spans="1:32">
      <c r="A12" t="s">
        <v>20</v>
      </c>
      <c r="B12" t="s">
        <v>17</v>
      </c>
      <c r="C12" s="1">
        <v>128335.77</v>
      </c>
      <c r="D12" s="1">
        <v>90294</v>
      </c>
      <c r="E12" s="1">
        <v>146201.65</v>
      </c>
      <c r="F12" s="1">
        <v>100196.29</v>
      </c>
      <c r="G12" s="1">
        <v>118156.92000000001</v>
      </c>
      <c r="H12" s="1">
        <v>169137.1</v>
      </c>
      <c r="I12" s="1">
        <v>119449.67</v>
      </c>
      <c r="J12" s="1">
        <v>98725.62</v>
      </c>
      <c r="K12" s="1">
        <v>108412.39</v>
      </c>
      <c r="L12" s="1">
        <v>0</v>
      </c>
      <c r="M12" s="1">
        <v>0</v>
      </c>
      <c r="N12" s="1">
        <v>0</v>
      </c>
      <c r="O12" s="47">
        <v>1078909.4099999999</v>
      </c>
      <c r="P12" s="47">
        <v>364831.42000000004</v>
      </c>
      <c r="Q12" s="47">
        <v>387490.31000000006</v>
      </c>
      <c r="R12" s="47">
        <v>326587.68</v>
      </c>
      <c r="S12" s="47">
        <v>0</v>
      </c>
      <c r="U12" s="45"/>
      <c r="V12" s="40"/>
      <c r="W12" s="40"/>
      <c r="X12" s="40"/>
      <c r="Y12" s="40"/>
      <c r="Z12" s="40"/>
      <c r="AA12" s="40"/>
      <c r="AB12" s="40"/>
      <c r="AC12" s="40"/>
      <c r="AD12" s="40"/>
      <c r="AE12" s="40"/>
      <c r="AF12" s="40"/>
    </row>
    <row r="13" spans="1:32">
      <c r="B13" t="s">
        <v>19</v>
      </c>
      <c r="C13" s="23">
        <v>44799.813333333339</v>
      </c>
      <c r="D13" s="23">
        <v>82841.583333333343</v>
      </c>
      <c r="E13" s="23">
        <v>26933.933333333349</v>
      </c>
      <c r="F13" s="23">
        <v>72939.293333333349</v>
      </c>
      <c r="G13" s="23">
        <v>54978.66333333333</v>
      </c>
      <c r="H13" s="23">
        <v>3998.4833333333372</v>
      </c>
      <c r="I13" s="23">
        <v>53685.913333333345</v>
      </c>
      <c r="J13" s="23">
        <v>74409.963333333348</v>
      </c>
      <c r="K13" s="23">
        <v>64723.193333333344</v>
      </c>
      <c r="L13" s="23">
        <v>173135.58333333334</v>
      </c>
      <c r="M13" s="23">
        <v>173135.58333333334</v>
      </c>
      <c r="N13" s="23">
        <v>173135.58333333334</v>
      </c>
      <c r="O13" s="48">
        <v>998717.5900000002</v>
      </c>
      <c r="P13" s="49">
        <v>154575.32999999996</v>
      </c>
      <c r="Q13" s="49">
        <v>131916.43999999994</v>
      </c>
      <c r="R13" s="49">
        <v>192819.07</v>
      </c>
      <c r="S13" s="49">
        <v>519406.75</v>
      </c>
      <c r="U13" s="40"/>
      <c r="V13" s="40"/>
      <c r="W13" s="40"/>
      <c r="X13" s="40"/>
      <c r="Y13" s="40"/>
      <c r="Z13" s="40"/>
      <c r="AA13" s="40"/>
      <c r="AB13" s="40"/>
      <c r="AC13" s="40"/>
      <c r="AD13" s="40"/>
      <c r="AE13" s="40"/>
      <c r="AF13" s="40"/>
    </row>
    <row r="14" spans="1:32">
      <c r="C14" s="1"/>
      <c r="D14" s="1"/>
      <c r="E14" s="1"/>
      <c r="F14" s="1"/>
      <c r="G14" s="1"/>
      <c r="H14" s="1"/>
      <c r="I14" s="1"/>
      <c r="J14" s="1"/>
      <c r="K14" s="1"/>
      <c r="L14" s="1"/>
      <c r="M14" s="1"/>
      <c r="N14" s="1"/>
      <c r="O14" s="40"/>
      <c r="P14" s="40"/>
      <c r="Q14" s="40"/>
      <c r="R14" s="40"/>
      <c r="S14" s="40"/>
      <c r="U14" s="40"/>
      <c r="V14" s="40"/>
      <c r="W14" s="40"/>
      <c r="X14" s="40"/>
      <c r="Y14" s="40"/>
      <c r="Z14" s="40"/>
      <c r="AA14" s="40"/>
      <c r="AB14" s="40"/>
      <c r="AC14" s="40"/>
      <c r="AD14" s="40"/>
      <c r="AE14" s="40"/>
      <c r="AF14" s="40"/>
    </row>
    <row r="15" spans="1:32" ht="30">
      <c r="A15" t="s">
        <v>24</v>
      </c>
      <c r="B15" s="4" t="s">
        <v>23</v>
      </c>
      <c r="C15" s="1">
        <v>152084.02912790357</v>
      </c>
      <c r="D15" s="1">
        <v>161454.70753091809</v>
      </c>
      <c r="E15" s="1">
        <v>82757.567736574652</v>
      </c>
      <c r="F15" s="1">
        <v>78722.719841425293</v>
      </c>
      <c r="G15" s="1">
        <v>-11572.651004081461</v>
      </c>
      <c r="H15" s="1">
        <v>-97005.622667376476</v>
      </c>
      <c r="I15" s="1">
        <v>-68924.249244966719</v>
      </c>
      <c r="J15" s="1">
        <v>-61741.897357546557</v>
      </c>
      <c r="K15" s="1">
        <v>-65746.617635079689</v>
      </c>
      <c r="L15" s="1">
        <v>0</v>
      </c>
      <c r="M15" s="1">
        <v>0</v>
      </c>
      <c r="N15" s="1">
        <v>0</v>
      </c>
      <c r="O15" s="45">
        <v>170027.98632777086</v>
      </c>
      <c r="P15" s="45">
        <v>396296.30439539638</v>
      </c>
      <c r="Q15" s="45">
        <v>-29855.553830032703</v>
      </c>
      <c r="R15" s="45">
        <v>-196412.76423759296</v>
      </c>
      <c r="S15" s="45">
        <v>0</v>
      </c>
      <c r="U15" s="40"/>
      <c r="V15" s="40"/>
      <c r="W15" s="40"/>
      <c r="X15" s="40"/>
      <c r="Y15" s="40"/>
      <c r="Z15" s="40"/>
      <c r="AA15" s="40"/>
      <c r="AB15" s="40"/>
      <c r="AC15" s="40"/>
      <c r="AD15" s="40"/>
      <c r="AE15" s="40"/>
      <c r="AF15" s="40"/>
    </row>
    <row r="16" spans="1:32">
      <c r="C16" s="1"/>
      <c r="D16" s="1"/>
      <c r="E16" s="1"/>
      <c r="F16" s="1"/>
      <c r="G16" s="1"/>
      <c r="H16" s="1"/>
      <c r="I16" s="1"/>
      <c r="J16" s="1"/>
      <c r="K16" s="1"/>
      <c r="L16" s="1"/>
      <c r="M16" s="1"/>
      <c r="N16" s="1"/>
      <c r="O16" s="40"/>
      <c r="P16" s="40"/>
      <c r="Q16" s="40"/>
      <c r="R16" s="40"/>
      <c r="S16" s="40"/>
      <c r="U16" s="40"/>
      <c r="V16" s="40"/>
      <c r="W16" s="40"/>
      <c r="X16" s="40"/>
      <c r="Y16" s="40"/>
      <c r="Z16" s="40"/>
      <c r="AA16" s="40"/>
      <c r="AB16" s="40"/>
      <c r="AC16" s="40"/>
      <c r="AD16" s="40"/>
      <c r="AE16" s="40"/>
      <c r="AF16" s="40"/>
    </row>
    <row r="17" spans="2:32" ht="15.75" thickBot="1">
      <c r="B17" t="s">
        <v>25</v>
      </c>
      <c r="C17" s="59">
        <v>-1140666.3491279036</v>
      </c>
      <c r="D17" s="59">
        <v>-1302121.0566588216</v>
      </c>
      <c r="E17" s="59">
        <v>-1384878.6243953963</v>
      </c>
      <c r="F17" s="59">
        <v>-1463601.3442368216</v>
      </c>
      <c r="G17" s="59">
        <v>-1452028.6932327403</v>
      </c>
      <c r="H17" s="59">
        <v>-1355023.0705653639</v>
      </c>
      <c r="I17" s="59">
        <v>-1286098.8213203971</v>
      </c>
      <c r="J17" s="59">
        <v>-1224356.9239628506</v>
      </c>
      <c r="K17" s="59">
        <v>-1158610.3063277709</v>
      </c>
      <c r="L17" s="59">
        <v>-1158610.3063277709</v>
      </c>
      <c r="M17" s="59">
        <v>-1158610.3063277709</v>
      </c>
      <c r="N17" s="59">
        <v>-1158610.3063277709</v>
      </c>
      <c r="O17" s="47"/>
      <c r="P17" s="47">
        <v>-1384878.6243953963</v>
      </c>
      <c r="Q17" s="47">
        <v>-1355023.0705653636</v>
      </c>
      <c r="R17" s="47">
        <v>-1158610.3063277707</v>
      </c>
      <c r="S17" s="47">
        <v>-1158610.3063277707</v>
      </c>
      <c r="U17" s="40"/>
      <c r="V17" s="40"/>
      <c r="W17" s="40"/>
      <c r="X17" s="40"/>
      <c r="Y17" s="40"/>
      <c r="Z17" s="40"/>
      <c r="AA17" s="40"/>
      <c r="AB17" s="40"/>
      <c r="AC17" s="40"/>
      <c r="AD17" s="40"/>
      <c r="AE17" s="40"/>
      <c r="AF17" s="40"/>
    </row>
    <row r="18" spans="2:32" ht="15.75" thickTop="1">
      <c r="O18" s="40"/>
      <c r="P18" s="40"/>
      <c r="Q18" s="40"/>
      <c r="R18" s="40"/>
      <c r="S18" s="40"/>
      <c r="U18" s="40"/>
      <c r="V18" s="40"/>
      <c r="W18" s="40"/>
      <c r="X18" s="40"/>
      <c r="Y18" s="40"/>
      <c r="Z18" s="40"/>
      <c r="AA18" s="40"/>
      <c r="AB18" s="40"/>
      <c r="AC18" s="40"/>
      <c r="AD18" s="40"/>
      <c r="AE18" s="40"/>
      <c r="AF18" s="40"/>
    </row>
    <row r="19" spans="2:32">
      <c r="B19" t="s">
        <v>28</v>
      </c>
      <c r="D19" s="3" t="s">
        <v>52</v>
      </c>
      <c r="E19" s="3" t="s">
        <v>52</v>
      </c>
      <c r="F19" s="3" t="s">
        <v>52</v>
      </c>
      <c r="G19" s="3" t="s">
        <v>52</v>
      </c>
      <c r="H19" s="3" t="s">
        <v>52</v>
      </c>
      <c r="I19" s="3" t="s">
        <v>52</v>
      </c>
      <c r="J19" s="3" t="s">
        <v>52</v>
      </c>
      <c r="K19" s="3" t="s">
        <v>52</v>
      </c>
      <c r="L19" s="3">
        <v>-1167275.1520240852</v>
      </c>
      <c r="M19" s="3">
        <v>-1307148.8728942957</v>
      </c>
      <c r="N19" s="3">
        <v>-1555008.4494701342</v>
      </c>
      <c r="O19" s="40"/>
      <c r="P19" s="47"/>
      <c r="Q19" s="40"/>
      <c r="R19" s="40"/>
      <c r="S19" s="40"/>
      <c r="U19" s="47">
        <v>-1555008.4494701342</v>
      </c>
      <c r="V19" s="47">
        <v>-1555008.4494701342</v>
      </c>
      <c r="W19" s="47">
        <v>-1555008.4494701342</v>
      </c>
      <c r="X19" s="47">
        <v>-1555008.4494701342</v>
      </c>
      <c r="Y19" s="47">
        <v>-1555008.4494701342</v>
      </c>
      <c r="Z19" s="47">
        <v>-1555008.4494701342</v>
      </c>
      <c r="AA19" s="47">
        <v>-1555008.4494701342</v>
      </c>
      <c r="AB19" s="47">
        <v>-1555008.4494701342</v>
      </c>
      <c r="AC19" s="47">
        <v>-1555008.4494701342</v>
      </c>
      <c r="AD19" s="47">
        <v>-1555008.4494701342</v>
      </c>
      <c r="AE19" s="47">
        <v>-1555008.4494701342</v>
      </c>
      <c r="AF19" s="47">
        <v>-1555008.4494701342</v>
      </c>
    </row>
    <row r="21" spans="2:32">
      <c r="B21" s="51" t="s">
        <v>26</v>
      </c>
    </row>
    <row r="22" spans="2:32">
      <c r="B22" s="91" t="s">
        <v>109</v>
      </c>
      <c r="C22" s="91"/>
      <c r="D22" s="91"/>
      <c r="E22" s="91"/>
      <c r="F22" s="91"/>
      <c r="G22" s="91"/>
      <c r="H22" s="91"/>
      <c r="I22" s="91"/>
      <c r="J22" s="91"/>
      <c r="K22" s="91"/>
      <c r="L22" s="91"/>
      <c r="M22" s="91"/>
      <c r="N22" s="91"/>
      <c r="O22" s="91"/>
    </row>
    <row r="23" spans="2:32">
      <c r="B23" s="91" t="s">
        <v>125</v>
      </c>
      <c r="C23" s="91"/>
      <c r="D23" s="91"/>
      <c r="E23" s="91"/>
      <c r="F23" s="91"/>
      <c r="G23" s="91"/>
      <c r="H23" s="91"/>
      <c r="I23" s="91"/>
      <c r="J23" s="91"/>
      <c r="K23" s="91"/>
      <c r="L23" s="91"/>
      <c r="M23" s="91"/>
      <c r="N23" s="91"/>
    </row>
    <row r="24" spans="2:32">
      <c r="B24" s="91" t="s">
        <v>126</v>
      </c>
      <c r="C24" s="91"/>
      <c r="D24" s="91"/>
      <c r="E24" s="91"/>
      <c r="F24" s="91"/>
      <c r="G24" s="91"/>
      <c r="H24" s="91"/>
      <c r="I24" s="91"/>
      <c r="J24" s="91"/>
      <c r="K24" s="91"/>
      <c r="L24" s="91"/>
      <c r="M24" s="91"/>
      <c r="N24" s="91"/>
      <c r="O24" s="91"/>
    </row>
    <row r="25" spans="2:32">
      <c r="B25" s="91" t="s">
        <v>133</v>
      </c>
      <c r="C25" s="91"/>
      <c r="D25" s="91"/>
      <c r="E25" s="91"/>
      <c r="F25" s="91"/>
      <c r="G25" s="91"/>
      <c r="H25" s="91"/>
      <c r="I25" s="91"/>
      <c r="J25" s="91"/>
      <c r="K25" s="91"/>
      <c r="L25" s="91"/>
      <c r="M25" s="91"/>
      <c r="N25" s="91"/>
    </row>
    <row r="26" spans="2:32">
      <c r="B26" s="91" t="s">
        <v>143</v>
      </c>
      <c r="C26" s="91"/>
      <c r="D26" s="91"/>
      <c r="E26" s="91"/>
      <c r="F26" s="91"/>
      <c r="G26" s="91"/>
      <c r="H26" s="91"/>
      <c r="I26" s="91"/>
      <c r="J26" s="91"/>
      <c r="K26" s="91"/>
      <c r="L26" s="91"/>
      <c r="M26" s="91"/>
      <c r="N26" s="91"/>
    </row>
    <row r="27" spans="2:32">
      <c r="B27" s="91" t="s">
        <v>152</v>
      </c>
      <c r="C27" s="91"/>
      <c r="D27" s="91"/>
      <c r="E27" s="91"/>
      <c r="F27" s="91"/>
      <c r="G27" s="91"/>
      <c r="H27" s="91"/>
      <c r="I27" s="91"/>
      <c r="J27" s="91"/>
      <c r="K27" s="91"/>
      <c r="L27" s="91"/>
      <c r="M27" s="91"/>
      <c r="N27" s="91"/>
    </row>
    <row r="28" spans="2:32">
      <c r="B28" s="91" t="s">
        <v>162</v>
      </c>
      <c r="C28" s="91"/>
      <c r="D28" s="91"/>
      <c r="E28" s="91"/>
      <c r="F28" s="91"/>
      <c r="G28" s="91"/>
      <c r="H28" s="91"/>
      <c r="I28" s="91"/>
      <c r="J28" s="91"/>
      <c r="K28" s="91"/>
      <c r="L28" s="91"/>
      <c r="M28" s="91"/>
      <c r="N28" s="91"/>
    </row>
    <row r="29" spans="2:32">
      <c r="B29" s="91" t="s">
        <v>169</v>
      </c>
      <c r="C29" s="91"/>
      <c r="D29" s="91"/>
      <c r="E29" s="91"/>
      <c r="F29" s="91"/>
      <c r="G29" s="91"/>
      <c r="H29" s="91"/>
      <c r="I29" s="91"/>
      <c r="J29" s="91"/>
      <c r="K29" s="91"/>
      <c r="L29" s="91"/>
      <c r="M29" s="91"/>
      <c r="N29" s="91"/>
    </row>
    <row r="30" spans="2:32">
      <c r="B30" s="91" t="s">
        <v>178</v>
      </c>
      <c r="C30" s="91"/>
      <c r="D30" s="91"/>
      <c r="E30" s="91"/>
      <c r="F30" s="91"/>
      <c r="G30" s="91"/>
      <c r="H30" s="91"/>
      <c r="I30" s="91"/>
      <c r="J30" s="91"/>
      <c r="K30" s="91"/>
      <c r="L30" s="91"/>
      <c r="M30" s="91"/>
      <c r="N30" s="91"/>
    </row>
    <row r="31" spans="2:32">
      <c r="B31" s="91" t="s">
        <v>52</v>
      </c>
      <c r="C31" s="91"/>
      <c r="D31" s="91"/>
      <c r="E31" s="91"/>
      <c r="F31" s="91"/>
      <c r="G31" s="91"/>
      <c r="H31" s="91"/>
      <c r="I31" s="91"/>
      <c r="J31" s="91"/>
      <c r="K31" s="91"/>
      <c r="L31" s="91"/>
      <c r="M31" s="91"/>
      <c r="N31" s="91"/>
    </row>
  </sheetData>
  <mergeCells count="10">
    <mergeCell ref="B31:N31"/>
    <mergeCell ref="B22:O22"/>
    <mergeCell ref="B24:O24"/>
    <mergeCell ref="B30:N30"/>
    <mergeCell ref="B29:N29"/>
    <mergeCell ref="B28:N28"/>
    <mergeCell ref="B27:N27"/>
    <mergeCell ref="B23:N23"/>
    <mergeCell ref="B25:N25"/>
    <mergeCell ref="B26:N26"/>
  </mergeCells>
  <pageMargins left="0" right="0" top="0.75" bottom="0.75" header="0.3" footer="0.3"/>
  <pageSetup scale="70" orientation="landscape" r:id="rId1"/>
  <colBreaks count="1" manualBreakCount="1">
    <brk id="15" max="1048575" man="1"/>
  </colBreaks>
</worksheet>
</file>

<file path=xl/worksheets/sheet13.xml><?xml version="1.0" encoding="utf-8"?>
<worksheet xmlns="http://schemas.openxmlformats.org/spreadsheetml/2006/main" xmlns:r="http://schemas.openxmlformats.org/officeDocument/2006/relationships">
  <sheetPr>
    <tabColor theme="5" tint="0.39997558519241921"/>
    <pageSetUpPr fitToPage="1"/>
  </sheetPr>
  <dimension ref="A2:BD90"/>
  <sheetViews>
    <sheetView workbookViewId="0">
      <pane xSplit="2" ySplit="4" topLeftCell="C5" activePane="bottomRight" state="frozen"/>
      <selection pane="topRight" activeCell="C1" sqref="C1"/>
      <selection pane="bottomLeft" activeCell="A5" sqref="A5"/>
      <selection pane="bottomRight" activeCell="A4" sqref="A4"/>
    </sheetView>
  </sheetViews>
  <sheetFormatPr defaultRowHeight="15"/>
  <cols>
    <col min="1" max="1" width="10.28515625" bestFit="1" customWidth="1"/>
    <col min="2" max="2" width="43.28515625" customWidth="1"/>
    <col min="3" max="3" width="9.85546875" style="13" bestFit="1" customWidth="1"/>
    <col min="4" max="4" width="12.140625" style="13" bestFit="1" customWidth="1"/>
    <col min="5" max="14" width="9.85546875" style="13" bestFit="1" customWidth="1"/>
    <col min="15" max="15" width="10.7109375" style="13" bestFit="1" customWidth="1"/>
    <col min="16" max="28" width="11.7109375" style="13" hidden="1" customWidth="1"/>
    <col min="29" max="34" width="11.7109375" style="13" customWidth="1"/>
    <col min="35" max="56" width="11.7109375" style="7" customWidth="1"/>
  </cols>
  <sheetData>
    <row r="2" spans="1:28">
      <c r="B2" s="39" t="s">
        <v>50</v>
      </c>
    </row>
    <row r="3" spans="1:28">
      <c r="B3" s="5" t="s">
        <v>41</v>
      </c>
      <c r="C3" s="14">
        <v>2012</v>
      </c>
      <c r="D3" s="14">
        <f>C3</f>
        <v>2012</v>
      </c>
      <c r="E3" s="14">
        <f t="shared" ref="E3:N3" si="0">D3</f>
        <v>2012</v>
      </c>
      <c r="F3" s="14">
        <f t="shared" si="0"/>
        <v>2012</v>
      </c>
      <c r="G3" s="14">
        <f t="shared" si="0"/>
        <v>2012</v>
      </c>
      <c r="H3" s="14">
        <f t="shared" si="0"/>
        <v>2012</v>
      </c>
      <c r="I3" s="14">
        <f t="shared" si="0"/>
        <v>2012</v>
      </c>
      <c r="J3" s="14">
        <f t="shared" si="0"/>
        <v>2012</v>
      </c>
      <c r="K3" s="14">
        <f t="shared" si="0"/>
        <v>2012</v>
      </c>
      <c r="L3" s="14">
        <f t="shared" si="0"/>
        <v>2012</v>
      </c>
      <c r="M3" s="14">
        <f t="shared" si="0"/>
        <v>2012</v>
      </c>
      <c r="N3" s="14">
        <f t="shared" si="0"/>
        <v>2012</v>
      </c>
      <c r="O3" s="14" t="s">
        <v>90</v>
      </c>
      <c r="P3" s="14">
        <v>2011</v>
      </c>
      <c r="Q3" s="14">
        <v>2011</v>
      </c>
      <c r="R3" s="14">
        <v>2011</v>
      </c>
      <c r="S3" s="14">
        <v>2011</v>
      </c>
      <c r="T3" s="14">
        <v>2011</v>
      </c>
      <c r="U3" s="14">
        <v>2011</v>
      </c>
      <c r="V3" s="14">
        <v>2011</v>
      </c>
      <c r="W3" s="14">
        <v>2011</v>
      </c>
      <c r="X3" s="14">
        <v>2011</v>
      </c>
      <c r="Y3" s="14">
        <v>2011</v>
      </c>
      <c r="Z3" s="14">
        <v>2011</v>
      </c>
      <c r="AA3" s="14">
        <v>2011</v>
      </c>
      <c r="AB3" s="14" t="s">
        <v>29</v>
      </c>
    </row>
    <row r="4" spans="1:28">
      <c r="C4" s="17" t="s">
        <v>0</v>
      </c>
      <c r="D4" s="17" t="s">
        <v>1</v>
      </c>
      <c r="E4" s="17" t="s">
        <v>2</v>
      </c>
      <c r="F4" s="17" t="s">
        <v>3</v>
      </c>
      <c r="G4" s="17" t="s">
        <v>4</v>
      </c>
      <c r="H4" s="17" t="s">
        <v>5</v>
      </c>
      <c r="I4" s="17" t="s">
        <v>6</v>
      </c>
      <c r="J4" s="17" t="s">
        <v>7</v>
      </c>
      <c r="K4" s="17" t="s">
        <v>8</v>
      </c>
      <c r="L4" s="17" t="s">
        <v>9</v>
      </c>
      <c r="M4" s="17" t="s">
        <v>10</v>
      </c>
      <c r="N4" s="17" t="s">
        <v>11</v>
      </c>
      <c r="O4" s="17"/>
      <c r="P4" s="14" t="s">
        <v>0</v>
      </c>
      <c r="Q4" s="14" t="s">
        <v>1</v>
      </c>
      <c r="R4" s="14" t="s">
        <v>2</v>
      </c>
      <c r="S4" s="14" t="s">
        <v>3</v>
      </c>
      <c r="T4" s="14" t="s">
        <v>4</v>
      </c>
      <c r="U4" s="14" t="s">
        <v>5</v>
      </c>
      <c r="V4" s="14" t="s">
        <v>6</v>
      </c>
      <c r="W4" s="14" t="s">
        <v>7</v>
      </c>
      <c r="X4" s="14" t="s">
        <v>8</v>
      </c>
      <c r="Y4" s="14" t="s">
        <v>9</v>
      </c>
      <c r="Z4" s="14" t="s">
        <v>10</v>
      </c>
      <c r="AA4" s="14" t="s">
        <v>11</v>
      </c>
      <c r="AB4" s="14"/>
    </row>
    <row r="5" spans="1:28">
      <c r="E5" s="15"/>
      <c r="F5" s="15"/>
      <c r="G5" s="15"/>
      <c r="H5" s="15"/>
      <c r="I5" s="15"/>
      <c r="J5" s="15"/>
      <c r="K5" s="15"/>
      <c r="L5" s="15"/>
      <c r="M5" s="15"/>
      <c r="N5" s="15"/>
    </row>
    <row r="6" spans="1:28">
      <c r="B6" s="9" t="s">
        <v>57</v>
      </c>
      <c r="E6" s="15"/>
      <c r="F6" s="15"/>
      <c r="G6" s="15"/>
      <c r="H6" s="15"/>
      <c r="I6" s="15"/>
      <c r="J6" s="15"/>
      <c r="K6" s="15"/>
      <c r="L6" s="15"/>
      <c r="M6" s="15"/>
      <c r="N6" s="15"/>
      <c r="O6" s="16"/>
    </row>
    <row r="7" spans="1:28">
      <c r="B7" s="5" t="s">
        <v>31</v>
      </c>
      <c r="C7" s="20">
        <f>488188/12</f>
        <v>40682.333333333336</v>
      </c>
      <c r="D7" s="18">
        <f>C7</f>
        <v>40682.333333333336</v>
      </c>
      <c r="E7" s="18">
        <f t="shared" ref="E7:N7" si="1">D7</f>
        <v>40682.333333333336</v>
      </c>
      <c r="F7" s="18">
        <f t="shared" si="1"/>
        <v>40682.333333333336</v>
      </c>
      <c r="G7" s="18">
        <f t="shared" si="1"/>
        <v>40682.333333333336</v>
      </c>
      <c r="H7" s="18">
        <f t="shared" si="1"/>
        <v>40682.333333333336</v>
      </c>
      <c r="I7" s="18">
        <f t="shared" si="1"/>
        <v>40682.333333333336</v>
      </c>
      <c r="J7" s="18">
        <f t="shared" si="1"/>
        <v>40682.333333333336</v>
      </c>
      <c r="K7" s="18">
        <f t="shared" si="1"/>
        <v>40682.333333333336</v>
      </c>
      <c r="L7" s="18">
        <f t="shared" si="1"/>
        <v>40682.333333333336</v>
      </c>
      <c r="M7" s="18">
        <f t="shared" si="1"/>
        <v>40682.333333333336</v>
      </c>
      <c r="N7" s="18">
        <f t="shared" si="1"/>
        <v>40682.333333333336</v>
      </c>
      <c r="O7" s="58">
        <f t="shared" ref="O7:O13" si="2">SUM(C7:N7)</f>
        <v>488187.99999999994</v>
      </c>
    </row>
    <row r="8" spans="1:28">
      <c r="B8" s="5" t="s">
        <v>32</v>
      </c>
      <c r="C8" s="18">
        <f>563313/12</f>
        <v>46942.75</v>
      </c>
      <c r="D8" s="18">
        <f>C8</f>
        <v>46942.75</v>
      </c>
      <c r="E8" s="18">
        <f t="shared" ref="E8:N8" si="3">D8</f>
        <v>46942.75</v>
      </c>
      <c r="F8" s="18">
        <f t="shared" si="3"/>
        <v>46942.75</v>
      </c>
      <c r="G8" s="18">
        <f t="shared" si="3"/>
        <v>46942.75</v>
      </c>
      <c r="H8" s="18">
        <f t="shared" si="3"/>
        <v>46942.75</v>
      </c>
      <c r="I8" s="18">
        <f t="shared" si="3"/>
        <v>46942.75</v>
      </c>
      <c r="J8" s="18">
        <f t="shared" si="3"/>
        <v>46942.75</v>
      </c>
      <c r="K8" s="18">
        <f t="shared" si="3"/>
        <v>46942.75</v>
      </c>
      <c r="L8" s="18">
        <f t="shared" si="3"/>
        <v>46942.75</v>
      </c>
      <c r="M8" s="18">
        <f t="shared" si="3"/>
        <v>46942.75</v>
      </c>
      <c r="N8" s="18">
        <f t="shared" si="3"/>
        <v>46942.75</v>
      </c>
      <c r="O8" s="52">
        <f t="shared" si="2"/>
        <v>563313</v>
      </c>
    </row>
    <row r="9" spans="1:28">
      <c r="B9" s="5" t="s">
        <v>75</v>
      </c>
      <c r="C9" s="18">
        <f>224166/12</f>
        <v>18680.5</v>
      </c>
      <c r="D9" s="18">
        <f>C9</f>
        <v>18680.5</v>
      </c>
      <c r="E9" s="18">
        <f t="shared" ref="E9:N9" si="4">D9</f>
        <v>18680.5</v>
      </c>
      <c r="F9" s="18">
        <f t="shared" si="4"/>
        <v>18680.5</v>
      </c>
      <c r="G9" s="18">
        <f t="shared" si="4"/>
        <v>18680.5</v>
      </c>
      <c r="H9" s="18">
        <f t="shared" si="4"/>
        <v>18680.5</v>
      </c>
      <c r="I9" s="18">
        <f t="shared" si="4"/>
        <v>18680.5</v>
      </c>
      <c r="J9" s="18">
        <f t="shared" si="4"/>
        <v>18680.5</v>
      </c>
      <c r="K9" s="18">
        <f t="shared" si="4"/>
        <v>18680.5</v>
      </c>
      <c r="L9" s="18">
        <f t="shared" si="4"/>
        <v>18680.5</v>
      </c>
      <c r="M9" s="18">
        <f t="shared" si="4"/>
        <v>18680.5</v>
      </c>
      <c r="N9" s="18">
        <f t="shared" si="4"/>
        <v>18680.5</v>
      </c>
      <c r="O9" s="52">
        <f t="shared" si="2"/>
        <v>224166</v>
      </c>
    </row>
    <row r="10" spans="1:28" hidden="1">
      <c r="B10" s="5" t="s">
        <v>33</v>
      </c>
      <c r="E10" s="15"/>
      <c r="F10" s="15"/>
      <c r="G10" s="15"/>
      <c r="H10" s="15"/>
      <c r="I10" s="15"/>
      <c r="J10" s="15"/>
      <c r="K10" s="15"/>
      <c r="L10" s="15"/>
      <c r="M10" s="15"/>
      <c r="N10" s="15"/>
      <c r="O10" s="52">
        <f t="shared" si="2"/>
        <v>0</v>
      </c>
    </row>
    <row r="11" spans="1:28" hidden="1">
      <c r="B11" s="5" t="s">
        <v>34</v>
      </c>
      <c r="E11" s="15"/>
      <c r="F11" s="15"/>
      <c r="G11" s="15"/>
      <c r="H11" s="15"/>
      <c r="I11" s="15"/>
      <c r="J11" s="15"/>
      <c r="K11" s="15"/>
      <c r="L11" s="15"/>
      <c r="M11" s="15"/>
      <c r="N11" s="15"/>
      <c r="O11" s="52">
        <f t="shared" si="2"/>
        <v>0</v>
      </c>
    </row>
    <row r="12" spans="1:28" hidden="1">
      <c r="B12" s="5" t="s">
        <v>35</v>
      </c>
      <c r="E12" s="15"/>
      <c r="F12" s="15"/>
      <c r="G12" s="15"/>
      <c r="H12" s="15"/>
      <c r="I12" s="15"/>
      <c r="J12" s="15"/>
      <c r="K12" s="15"/>
      <c r="L12" s="15"/>
      <c r="M12" s="15"/>
      <c r="N12" s="15"/>
      <c r="O12" s="52">
        <f t="shared" si="2"/>
        <v>0</v>
      </c>
    </row>
    <row r="13" spans="1:28" hidden="1">
      <c r="B13" s="5" t="s">
        <v>36</v>
      </c>
      <c r="E13" s="15"/>
      <c r="F13" s="15"/>
      <c r="G13" s="15"/>
      <c r="H13" s="15"/>
      <c r="I13" s="15"/>
      <c r="J13" s="15"/>
      <c r="K13" s="15"/>
      <c r="L13" s="15"/>
      <c r="M13" s="15"/>
      <c r="N13" s="15"/>
      <c r="O13" s="52">
        <f t="shared" si="2"/>
        <v>0</v>
      </c>
    </row>
    <row r="14" spans="1:28">
      <c r="A14" t="s">
        <v>22</v>
      </c>
      <c r="B14" s="9" t="s">
        <v>37</v>
      </c>
      <c r="C14" s="19">
        <f>SUM(C7:C13)</f>
        <v>106305.58333333334</v>
      </c>
      <c r="D14" s="19">
        <f t="shared" ref="D14:N14" si="5">SUM(D7:D13)</f>
        <v>106305.58333333334</v>
      </c>
      <c r="E14" s="19">
        <f t="shared" si="5"/>
        <v>106305.58333333334</v>
      </c>
      <c r="F14" s="19">
        <f t="shared" si="5"/>
        <v>106305.58333333334</v>
      </c>
      <c r="G14" s="19">
        <f t="shared" si="5"/>
        <v>106305.58333333334</v>
      </c>
      <c r="H14" s="19">
        <f t="shared" si="5"/>
        <v>106305.58333333334</v>
      </c>
      <c r="I14" s="19">
        <f t="shared" si="5"/>
        <v>106305.58333333334</v>
      </c>
      <c r="J14" s="19">
        <f t="shared" si="5"/>
        <v>106305.58333333334</v>
      </c>
      <c r="K14" s="19">
        <f t="shared" si="5"/>
        <v>106305.58333333334</v>
      </c>
      <c r="L14" s="19">
        <f t="shared" si="5"/>
        <v>106305.58333333334</v>
      </c>
      <c r="M14" s="19">
        <f t="shared" si="5"/>
        <v>106305.58333333334</v>
      </c>
      <c r="N14" s="19">
        <f t="shared" si="5"/>
        <v>106305.58333333334</v>
      </c>
      <c r="O14" s="53">
        <f>SUM(O7:O13)</f>
        <v>1275667</v>
      </c>
    </row>
    <row r="15" spans="1:28">
      <c r="B15" s="9"/>
      <c r="E15" s="15"/>
      <c r="F15" s="15"/>
      <c r="G15" s="15"/>
      <c r="H15" s="15"/>
      <c r="I15" s="15"/>
      <c r="J15" s="15"/>
      <c r="K15" s="15"/>
      <c r="L15" s="15"/>
      <c r="M15" s="15"/>
      <c r="N15" s="15"/>
      <c r="O15" s="52"/>
    </row>
    <row r="16" spans="1:28">
      <c r="B16" s="9" t="s">
        <v>78</v>
      </c>
      <c r="E16" s="15"/>
      <c r="F16" s="15"/>
      <c r="G16" s="15"/>
      <c r="H16" s="15"/>
      <c r="I16" s="15"/>
      <c r="J16" s="15"/>
      <c r="K16" s="15"/>
      <c r="L16" s="15"/>
      <c r="M16" s="15"/>
      <c r="N16" s="15"/>
      <c r="O16" s="52"/>
    </row>
    <row r="17" spans="1:16">
      <c r="B17" s="5" t="s">
        <v>31</v>
      </c>
      <c r="C17" s="20">
        <f>(157780)/12</f>
        <v>13148.333333333334</v>
      </c>
      <c r="D17" s="18">
        <f t="shared" ref="D17:N24" si="6">C17</f>
        <v>13148.333333333334</v>
      </c>
      <c r="E17" s="18">
        <f t="shared" si="6"/>
        <v>13148.333333333334</v>
      </c>
      <c r="F17" s="18">
        <f t="shared" si="6"/>
        <v>13148.333333333334</v>
      </c>
      <c r="G17" s="18">
        <f t="shared" si="6"/>
        <v>13148.333333333334</v>
      </c>
      <c r="H17" s="18">
        <f t="shared" si="6"/>
        <v>13148.333333333334</v>
      </c>
      <c r="I17" s="18">
        <f t="shared" si="6"/>
        <v>13148.333333333334</v>
      </c>
      <c r="J17" s="18">
        <f t="shared" si="6"/>
        <v>13148.333333333334</v>
      </c>
      <c r="K17" s="18">
        <f t="shared" si="6"/>
        <v>13148.333333333334</v>
      </c>
      <c r="L17" s="18">
        <f t="shared" si="6"/>
        <v>13148.333333333334</v>
      </c>
      <c r="M17" s="18">
        <f t="shared" si="6"/>
        <v>13148.333333333334</v>
      </c>
      <c r="N17" s="18">
        <f t="shared" si="6"/>
        <v>13148.333333333334</v>
      </c>
      <c r="O17" s="58">
        <f t="shared" ref="O17:O24" si="7">SUM(C17:N17)</f>
        <v>157780</v>
      </c>
    </row>
    <row r="18" spans="1:16">
      <c r="B18" s="5" t="s">
        <v>32</v>
      </c>
      <c r="C18" s="18">
        <f>(108511)/12</f>
        <v>9042.5833333333339</v>
      </c>
      <c r="D18" s="18">
        <f t="shared" si="6"/>
        <v>9042.5833333333339</v>
      </c>
      <c r="E18" s="18">
        <f t="shared" si="6"/>
        <v>9042.5833333333339</v>
      </c>
      <c r="F18" s="18">
        <f t="shared" si="6"/>
        <v>9042.5833333333339</v>
      </c>
      <c r="G18" s="18">
        <f t="shared" si="6"/>
        <v>9042.5833333333339</v>
      </c>
      <c r="H18" s="18">
        <f t="shared" si="6"/>
        <v>9042.5833333333339</v>
      </c>
      <c r="I18" s="18">
        <f t="shared" si="6"/>
        <v>9042.5833333333339</v>
      </c>
      <c r="J18" s="18">
        <f t="shared" si="6"/>
        <v>9042.5833333333339</v>
      </c>
      <c r="K18" s="18">
        <f t="shared" si="6"/>
        <v>9042.5833333333339</v>
      </c>
      <c r="L18" s="18">
        <f t="shared" si="6"/>
        <v>9042.5833333333339</v>
      </c>
      <c r="M18" s="18">
        <f t="shared" si="6"/>
        <v>9042.5833333333339</v>
      </c>
      <c r="N18" s="18">
        <f t="shared" si="6"/>
        <v>9042.5833333333339</v>
      </c>
      <c r="O18" s="52">
        <f t="shared" si="7"/>
        <v>108510.99999999999</v>
      </c>
    </row>
    <row r="19" spans="1:16">
      <c r="B19" s="5" t="s">
        <v>75</v>
      </c>
      <c r="C19" s="18">
        <f>(16012+2671)/12</f>
        <v>1556.9166666666667</v>
      </c>
      <c r="D19" s="18">
        <f t="shared" si="6"/>
        <v>1556.9166666666667</v>
      </c>
      <c r="E19" s="18">
        <f t="shared" si="6"/>
        <v>1556.9166666666667</v>
      </c>
      <c r="F19" s="18">
        <f t="shared" si="6"/>
        <v>1556.9166666666667</v>
      </c>
      <c r="G19" s="18">
        <f t="shared" si="6"/>
        <v>1556.9166666666667</v>
      </c>
      <c r="H19" s="18">
        <f t="shared" si="6"/>
        <v>1556.9166666666667</v>
      </c>
      <c r="I19" s="18">
        <f t="shared" si="6"/>
        <v>1556.9166666666667</v>
      </c>
      <c r="J19" s="18">
        <f t="shared" si="6"/>
        <v>1556.9166666666667</v>
      </c>
      <c r="K19" s="18">
        <f t="shared" si="6"/>
        <v>1556.9166666666667</v>
      </c>
      <c r="L19" s="18">
        <f t="shared" si="6"/>
        <v>1556.9166666666667</v>
      </c>
      <c r="M19" s="18">
        <f t="shared" si="6"/>
        <v>1556.9166666666667</v>
      </c>
      <c r="N19" s="18">
        <f t="shared" si="6"/>
        <v>1556.9166666666667</v>
      </c>
      <c r="O19" s="52">
        <f t="shared" si="7"/>
        <v>18683</v>
      </c>
    </row>
    <row r="20" spans="1:16" hidden="1">
      <c r="B20" s="5" t="s">
        <v>33</v>
      </c>
      <c r="C20" s="18">
        <v>0</v>
      </c>
      <c r="D20" s="18">
        <f t="shared" si="6"/>
        <v>0</v>
      </c>
      <c r="E20" s="18">
        <f t="shared" si="6"/>
        <v>0</v>
      </c>
      <c r="F20" s="18">
        <f t="shared" si="6"/>
        <v>0</v>
      </c>
      <c r="G20" s="18">
        <f t="shared" si="6"/>
        <v>0</v>
      </c>
      <c r="H20" s="18">
        <f t="shared" si="6"/>
        <v>0</v>
      </c>
      <c r="I20" s="18">
        <f t="shared" si="6"/>
        <v>0</v>
      </c>
      <c r="J20" s="18">
        <f t="shared" si="6"/>
        <v>0</v>
      </c>
      <c r="K20" s="18">
        <f t="shared" si="6"/>
        <v>0</v>
      </c>
      <c r="L20" s="18">
        <f t="shared" si="6"/>
        <v>0</v>
      </c>
      <c r="M20" s="18">
        <f t="shared" si="6"/>
        <v>0</v>
      </c>
      <c r="N20" s="18">
        <f t="shared" si="6"/>
        <v>0</v>
      </c>
      <c r="O20" s="52">
        <f t="shared" si="7"/>
        <v>0</v>
      </c>
    </row>
    <row r="21" spans="1:16" hidden="1">
      <c r="B21" s="5" t="s">
        <v>34</v>
      </c>
      <c r="C21" s="18">
        <v>0</v>
      </c>
      <c r="D21" s="18">
        <f t="shared" si="6"/>
        <v>0</v>
      </c>
      <c r="E21" s="18">
        <f t="shared" si="6"/>
        <v>0</v>
      </c>
      <c r="F21" s="18">
        <f t="shared" si="6"/>
        <v>0</v>
      </c>
      <c r="G21" s="18">
        <f t="shared" si="6"/>
        <v>0</v>
      </c>
      <c r="H21" s="18">
        <f t="shared" si="6"/>
        <v>0</v>
      </c>
      <c r="I21" s="18">
        <f t="shared" si="6"/>
        <v>0</v>
      </c>
      <c r="J21" s="18">
        <f t="shared" si="6"/>
        <v>0</v>
      </c>
      <c r="K21" s="18">
        <f t="shared" si="6"/>
        <v>0</v>
      </c>
      <c r="L21" s="18">
        <f t="shared" si="6"/>
        <v>0</v>
      </c>
      <c r="M21" s="18">
        <f t="shared" si="6"/>
        <v>0</v>
      </c>
      <c r="N21" s="18">
        <f t="shared" si="6"/>
        <v>0</v>
      </c>
      <c r="O21" s="52">
        <f t="shared" si="7"/>
        <v>0</v>
      </c>
    </row>
    <row r="22" spans="1:16">
      <c r="B22" s="5" t="s">
        <v>35</v>
      </c>
      <c r="C22" s="18">
        <f>29233/12</f>
        <v>2436.0833333333335</v>
      </c>
      <c r="D22" s="18">
        <f t="shared" si="6"/>
        <v>2436.0833333333335</v>
      </c>
      <c r="E22" s="18">
        <f t="shared" si="6"/>
        <v>2436.0833333333335</v>
      </c>
      <c r="F22" s="18">
        <f t="shared" si="6"/>
        <v>2436.0833333333335</v>
      </c>
      <c r="G22" s="18">
        <f t="shared" si="6"/>
        <v>2436.0833333333335</v>
      </c>
      <c r="H22" s="18">
        <f t="shared" si="6"/>
        <v>2436.0833333333335</v>
      </c>
      <c r="I22" s="18">
        <f t="shared" si="6"/>
        <v>2436.0833333333335</v>
      </c>
      <c r="J22" s="18">
        <f t="shared" si="6"/>
        <v>2436.0833333333335</v>
      </c>
      <c r="K22" s="18">
        <f t="shared" si="6"/>
        <v>2436.0833333333335</v>
      </c>
      <c r="L22" s="18">
        <f t="shared" si="6"/>
        <v>2436.0833333333335</v>
      </c>
      <c r="M22" s="18">
        <f t="shared" si="6"/>
        <v>2436.0833333333335</v>
      </c>
      <c r="N22" s="18">
        <f t="shared" si="6"/>
        <v>2436.0833333333335</v>
      </c>
      <c r="O22" s="52">
        <f t="shared" si="7"/>
        <v>29232.999999999996</v>
      </c>
    </row>
    <row r="23" spans="1:16">
      <c r="B23" s="5" t="s">
        <v>77</v>
      </c>
      <c r="C23" s="18">
        <f>(87943)/12</f>
        <v>7328.583333333333</v>
      </c>
      <c r="D23" s="18">
        <f t="shared" si="6"/>
        <v>7328.583333333333</v>
      </c>
      <c r="E23" s="18">
        <f t="shared" si="6"/>
        <v>7328.583333333333</v>
      </c>
      <c r="F23" s="18">
        <f t="shared" si="6"/>
        <v>7328.583333333333</v>
      </c>
      <c r="G23" s="18">
        <f t="shared" si="6"/>
        <v>7328.583333333333</v>
      </c>
      <c r="H23" s="18">
        <f t="shared" si="6"/>
        <v>7328.583333333333</v>
      </c>
      <c r="I23" s="18">
        <f t="shared" si="6"/>
        <v>7328.583333333333</v>
      </c>
      <c r="J23" s="18">
        <f t="shared" si="6"/>
        <v>7328.583333333333</v>
      </c>
      <c r="K23" s="18">
        <f t="shared" si="6"/>
        <v>7328.583333333333</v>
      </c>
      <c r="L23" s="18">
        <f t="shared" si="6"/>
        <v>7328.583333333333</v>
      </c>
      <c r="M23" s="18">
        <f t="shared" si="6"/>
        <v>7328.583333333333</v>
      </c>
      <c r="N23" s="18">
        <f t="shared" si="6"/>
        <v>7328.583333333333</v>
      </c>
      <c r="O23" s="52">
        <f t="shared" ref="O23" si="8">SUM(C23:N23)</f>
        <v>87942.999999999985</v>
      </c>
    </row>
    <row r="24" spans="1:16">
      <c r="B24" s="5" t="s">
        <v>36</v>
      </c>
      <c r="C24" s="18">
        <f>((6000+480+42000+3000+3000+1200)+(24068+52862))/12</f>
        <v>11050.833333333334</v>
      </c>
      <c r="D24" s="18">
        <f t="shared" si="6"/>
        <v>11050.833333333334</v>
      </c>
      <c r="E24" s="18">
        <f t="shared" si="6"/>
        <v>11050.833333333334</v>
      </c>
      <c r="F24" s="18">
        <f t="shared" si="6"/>
        <v>11050.833333333334</v>
      </c>
      <c r="G24" s="18">
        <f t="shared" si="6"/>
        <v>11050.833333333334</v>
      </c>
      <c r="H24" s="18">
        <f t="shared" si="6"/>
        <v>11050.833333333334</v>
      </c>
      <c r="I24" s="18">
        <f t="shared" si="6"/>
        <v>11050.833333333334</v>
      </c>
      <c r="J24" s="18">
        <f t="shared" si="6"/>
        <v>11050.833333333334</v>
      </c>
      <c r="K24" s="18">
        <f t="shared" si="6"/>
        <v>11050.833333333334</v>
      </c>
      <c r="L24" s="18">
        <f t="shared" si="6"/>
        <v>11050.833333333334</v>
      </c>
      <c r="M24" s="18">
        <f t="shared" si="6"/>
        <v>11050.833333333334</v>
      </c>
      <c r="N24" s="18">
        <f t="shared" si="6"/>
        <v>11050.833333333334</v>
      </c>
      <c r="O24" s="52">
        <f t="shared" si="7"/>
        <v>132609.99999999997</v>
      </c>
    </row>
    <row r="25" spans="1:16">
      <c r="A25" t="s">
        <v>21</v>
      </c>
      <c r="B25" s="9" t="s">
        <v>79</v>
      </c>
      <c r="C25" s="19">
        <f t="shared" ref="C25:N25" si="9">SUM(C17:C24)</f>
        <v>44563.333333333336</v>
      </c>
      <c r="D25" s="19">
        <f t="shared" si="9"/>
        <v>44563.333333333336</v>
      </c>
      <c r="E25" s="19">
        <f t="shared" si="9"/>
        <v>44563.333333333336</v>
      </c>
      <c r="F25" s="19">
        <f t="shared" si="9"/>
        <v>44563.333333333336</v>
      </c>
      <c r="G25" s="19">
        <f t="shared" si="9"/>
        <v>44563.333333333336</v>
      </c>
      <c r="H25" s="19">
        <f t="shared" si="9"/>
        <v>44563.333333333336</v>
      </c>
      <c r="I25" s="19">
        <f t="shared" si="9"/>
        <v>44563.333333333336</v>
      </c>
      <c r="J25" s="19">
        <f t="shared" si="9"/>
        <v>44563.333333333336</v>
      </c>
      <c r="K25" s="19">
        <f t="shared" si="9"/>
        <v>44563.333333333336</v>
      </c>
      <c r="L25" s="19">
        <f t="shared" si="9"/>
        <v>44563.333333333336</v>
      </c>
      <c r="M25" s="19">
        <f t="shared" si="9"/>
        <v>44563.333333333336</v>
      </c>
      <c r="N25" s="19">
        <f t="shared" si="9"/>
        <v>44563.333333333336</v>
      </c>
      <c r="O25" s="53">
        <f>SUM(O17:O24)</f>
        <v>534760</v>
      </c>
    </row>
    <row r="26" spans="1:16" ht="16.149999999999999" customHeight="1">
      <c r="B26" s="9"/>
      <c r="E26" s="15"/>
      <c r="F26" s="15"/>
      <c r="G26" s="15"/>
      <c r="H26" s="15"/>
      <c r="I26" s="15"/>
      <c r="J26" s="15"/>
      <c r="K26" s="15"/>
      <c r="L26" s="15"/>
      <c r="M26" s="15"/>
      <c r="N26" s="15"/>
      <c r="O26" s="52"/>
    </row>
    <row r="27" spans="1:16" ht="15.75" thickBot="1">
      <c r="A27" t="s">
        <v>80</v>
      </c>
      <c r="B27" s="9" t="s">
        <v>135</v>
      </c>
      <c r="C27" s="21">
        <f>C25+C14</f>
        <v>150868.91666666669</v>
      </c>
      <c r="D27" s="21">
        <f t="shared" ref="D27:O27" si="10">D25+D14</f>
        <v>150868.91666666669</v>
      </c>
      <c r="E27" s="21">
        <f t="shared" si="10"/>
        <v>150868.91666666669</v>
      </c>
      <c r="F27" s="21">
        <f t="shared" si="10"/>
        <v>150868.91666666669</v>
      </c>
      <c r="G27" s="21">
        <f t="shared" si="10"/>
        <v>150868.91666666669</v>
      </c>
      <c r="H27" s="21">
        <f t="shared" si="10"/>
        <v>150868.91666666669</v>
      </c>
      <c r="I27" s="21">
        <f t="shared" si="10"/>
        <v>150868.91666666669</v>
      </c>
      <c r="J27" s="21">
        <f t="shared" si="10"/>
        <v>150868.91666666669</v>
      </c>
      <c r="K27" s="21">
        <f t="shared" si="10"/>
        <v>150868.91666666669</v>
      </c>
      <c r="L27" s="21">
        <f t="shared" si="10"/>
        <v>150868.91666666669</v>
      </c>
      <c r="M27" s="21">
        <f t="shared" si="10"/>
        <v>150868.91666666669</v>
      </c>
      <c r="N27" s="21">
        <f t="shared" si="10"/>
        <v>150868.91666666669</v>
      </c>
      <c r="O27" s="21">
        <f t="shared" si="10"/>
        <v>1810427</v>
      </c>
    </row>
    <row r="28" spans="1:16" ht="15.75" thickTop="1">
      <c r="B28" s="9"/>
      <c r="O28" s="54"/>
    </row>
    <row r="29" spans="1:16">
      <c r="B29" s="10" t="s">
        <v>58</v>
      </c>
      <c r="O29" s="54"/>
    </row>
    <row r="30" spans="1:16">
      <c r="B30" s="6" t="s">
        <v>31</v>
      </c>
      <c r="C30" s="20">
        <v>33344.92</v>
      </c>
      <c r="D30" s="18">
        <v>7903.9400000000005</v>
      </c>
      <c r="E30" s="18">
        <v>36091.590000000004</v>
      </c>
      <c r="F30" s="18">
        <v>2590.6</v>
      </c>
      <c r="G30" s="18">
        <v>4299.13</v>
      </c>
      <c r="H30" s="18">
        <v>6242.02</v>
      </c>
      <c r="I30" s="18">
        <v>36129</v>
      </c>
      <c r="J30" s="18">
        <v>510</v>
      </c>
      <c r="K30" s="18">
        <v>15062.210000000001</v>
      </c>
      <c r="L30" s="18"/>
      <c r="M30" s="18"/>
      <c r="N30" s="18"/>
      <c r="O30" s="52">
        <f t="shared" ref="O30:O32" si="11">SUM(C30:N30)</f>
        <v>142173.41000000003</v>
      </c>
      <c r="P30" s="16">
        <f t="shared" ref="P30:P36" si="12">SUM(D30:O30)</f>
        <v>251001.90000000002</v>
      </c>
    </row>
    <row r="31" spans="1:16">
      <c r="B31" s="6" t="s">
        <v>32</v>
      </c>
      <c r="C31" s="18">
        <v>57149.74</v>
      </c>
      <c r="D31" s="18">
        <v>44581</v>
      </c>
      <c r="E31" s="18">
        <v>63702.25</v>
      </c>
      <c r="F31" s="18">
        <v>36475.629999999997</v>
      </c>
      <c r="G31" s="18">
        <v>23532.38</v>
      </c>
      <c r="H31" s="18">
        <v>35821.99</v>
      </c>
      <c r="I31" s="18">
        <v>35333.5</v>
      </c>
      <c r="J31" s="18">
        <v>27283</v>
      </c>
      <c r="K31" s="18">
        <v>45475</v>
      </c>
      <c r="L31" s="18"/>
      <c r="M31" s="18"/>
      <c r="N31" s="18"/>
      <c r="O31" s="52">
        <f t="shared" si="11"/>
        <v>369354.49</v>
      </c>
      <c r="P31" s="16">
        <f t="shared" si="12"/>
        <v>681559.24</v>
      </c>
    </row>
    <row r="32" spans="1:16">
      <c r="B32" s="6" t="s">
        <v>75</v>
      </c>
      <c r="C32" s="18">
        <v>0</v>
      </c>
      <c r="D32" s="18"/>
      <c r="E32" s="18"/>
      <c r="F32" s="18">
        <v>7609.81</v>
      </c>
      <c r="G32" s="18">
        <v>36001.53</v>
      </c>
      <c r="H32" s="18">
        <v>71076.650000000009</v>
      </c>
      <c r="I32" s="18"/>
      <c r="J32" s="18">
        <v>28527.71</v>
      </c>
      <c r="K32" s="18">
        <v>11959.79</v>
      </c>
      <c r="L32" s="18"/>
      <c r="M32" s="18"/>
      <c r="N32" s="18"/>
      <c r="O32" s="52">
        <f t="shared" si="11"/>
        <v>155175.49000000002</v>
      </c>
      <c r="P32" s="16">
        <f t="shared" si="12"/>
        <v>310350.98000000004</v>
      </c>
    </row>
    <row r="33" spans="1:16" hidden="1">
      <c r="B33" s="6" t="s">
        <v>33</v>
      </c>
      <c r="C33" s="18"/>
      <c r="D33" s="18"/>
      <c r="E33" s="18"/>
      <c r="F33" s="18"/>
      <c r="G33" s="18"/>
      <c r="H33" s="18"/>
      <c r="I33" s="18"/>
      <c r="J33" s="18"/>
      <c r="K33" s="18"/>
      <c r="L33" s="18"/>
      <c r="M33" s="18"/>
      <c r="N33" s="18"/>
      <c r="O33" s="56"/>
      <c r="P33" s="16">
        <f t="shared" si="12"/>
        <v>0</v>
      </c>
    </row>
    <row r="34" spans="1:16" hidden="1">
      <c r="B34" s="6" t="s">
        <v>34</v>
      </c>
      <c r="C34" s="18"/>
      <c r="D34" s="18"/>
      <c r="E34" s="18"/>
      <c r="F34" s="18"/>
      <c r="G34" s="18"/>
      <c r="H34" s="18"/>
      <c r="I34" s="18"/>
      <c r="J34" s="18"/>
      <c r="K34" s="18"/>
      <c r="L34" s="18"/>
      <c r="M34" s="18"/>
      <c r="N34" s="18"/>
      <c r="O34" s="56"/>
      <c r="P34" s="16">
        <f t="shared" si="12"/>
        <v>0</v>
      </c>
    </row>
    <row r="35" spans="1:16" hidden="1">
      <c r="B35" s="6" t="s">
        <v>35</v>
      </c>
      <c r="C35" s="18"/>
      <c r="D35" s="18"/>
      <c r="E35" s="18"/>
      <c r="F35" s="18"/>
      <c r="G35" s="18"/>
      <c r="H35" s="18"/>
      <c r="I35" s="18"/>
      <c r="J35" s="18"/>
      <c r="K35" s="18"/>
      <c r="L35" s="18"/>
      <c r="M35" s="18"/>
      <c r="N35" s="18"/>
      <c r="O35" s="56"/>
      <c r="P35" s="16">
        <f t="shared" si="12"/>
        <v>0</v>
      </c>
    </row>
    <row r="36" spans="1:16" hidden="1">
      <c r="B36" s="6" t="s">
        <v>36</v>
      </c>
      <c r="C36" s="18"/>
      <c r="D36" s="18"/>
      <c r="E36" s="18"/>
      <c r="F36" s="18"/>
      <c r="G36" s="18"/>
      <c r="H36" s="18"/>
      <c r="I36" s="18"/>
      <c r="J36" s="18"/>
      <c r="K36" s="18"/>
      <c r="L36" s="18"/>
      <c r="M36" s="18"/>
      <c r="N36" s="18"/>
      <c r="O36" s="56"/>
      <c r="P36" s="16">
        <f t="shared" si="12"/>
        <v>0</v>
      </c>
    </row>
    <row r="37" spans="1:16">
      <c r="A37" t="s">
        <v>20</v>
      </c>
      <c r="B37" s="10" t="s">
        <v>38</v>
      </c>
      <c r="C37" s="19">
        <f>SUM(C30:C36)</f>
        <v>90494.66</v>
      </c>
      <c r="D37" s="19">
        <f t="shared" ref="D37:O37" si="13">SUM(D30:D36)</f>
        <v>52484.94</v>
      </c>
      <c r="E37" s="19">
        <f t="shared" si="13"/>
        <v>99793.84</v>
      </c>
      <c r="F37" s="19">
        <f t="shared" si="13"/>
        <v>46676.039999999994</v>
      </c>
      <c r="G37" s="19">
        <f t="shared" si="13"/>
        <v>63833.04</v>
      </c>
      <c r="H37" s="19">
        <f t="shared" si="13"/>
        <v>113140.66</v>
      </c>
      <c r="I37" s="19">
        <f t="shared" si="13"/>
        <v>71462.5</v>
      </c>
      <c r="J37" s="19">
        <f t="shared" si="13"/>
        <v>56320.71</v>
      </c>
      <c r="K37" s="19">
        <f>SUM(K30:K36)</f>
        <v>72497</v>
      </c>
      <c r="L37" s="19">
        <f t="shared" si="13"/>
        <v>0</v>
      </c>
      <c r="M37" s="19">
        <f t="shared" si="13"/>
        <v>0</v>
      </c>
      <c r="N37" s="19">
        <f t="shared" si="13"/>
        <v>0</v>
      </c>
      <c r="O37" s="53">
        <f t="shared" si="13"/>
        <v>666703.39</v>
      </c>
      <c r="P37" s="19">
        <f>SUM(P30:P36)</f>
        <v>1242912.1200000001</v>
      </c>
    </row>
    <row r="38" spans="1:16">
      <c r="B38" s="10"/>
      <c r="C38" s="18"/>
      <c r="D38" s="18"/>
      <c r="E38" s="18"/>
      <c r="F38" s="18"/>
      <c r="G38" s="18"/>
      <c r="H38" s="18"/>
      <c r="I38" s="18"/>
      <c r="J38" s="18"/>
      <c r="K38" s="18"/>
      <c r="L38" s="18"/>
      <c r="M38" s="18"/>
      <c r="N38" s="18"/>
      <c r="O38" s="56"/>
      <c r="P38" s="18"/>
    </row>
    <row r="39" spans="1:16">
      <c r="B39" s="10" t="s">
        <v>82</v>
      </c>
      <c r="C39" s="18"/>
      <c r="D39" s="18"/>
      <c r="E39" s="18"/>
      <c r="F39" s="18"/>
      <c r="G39" s="18"/>
      <c r="H39" s="18"/>
      <c r="I39" s="18"/>
      <c r="J39" s="18"/>
      <c r="K39" s="18"/>
      <c r="L39" s="18"/>
      <c r="M39" s="18"/>
      <c r="N39" s="18"/>
      <c r="O39" s="56"/>
      <c r="P39" s="18"/>
    </row>
    <row r="40" spans="1:16">
      <c r="B40" s="6" t="s">
        <v>31</v>
      </c>
      <c r="C40" s="20">
        <v>2781.71</v>
      </c>
      <c r="D40" s="18">
        <v>4081.1000000000004</v>
      </c>
      <c r="E40" s="18">
        <v>6309.53</v>
      </c>
      <c r="F40" s="18">
        <v>4739.4800000000005</v>
      </c>
      <c r="G40" s="18">
        <v>5782.9500000000007</v>
      </c>
      <c r="H40" s="18">
        <v>4262.1900000000005</v>
      </c>
      <c r="I40" s="18">
        <v>4037.18</v>
      </c>
      <c r="J40" s="18">
        <v>2591.5500000000002</v>
      </c>
      <c r="K40" s="18">
        <v>2328.66</v>
      </c>
      <c r="L40" s="18"/>
      <c r="M40" s="18"/>
      <c r="N40" s="18"/>
      <c r="O40" s="52">
        <f t="shared" ref="O40:O47" si="14">SUM(C40:N40)</f>
        <v>36914.350000000006</v>
      </c>
      <c r="P40" s="16">
        <f t="shared" ref="P40:P47" si="15">SUM(D40:O40)</f>
        <v>71046.990000000005</v>
      </c>
    </row>
    <row r="41" spans="1:16">
      <c r="B41" s="6" t="s">
        <v>32</v>
      </c>
      <c r="C41" s="18">
        <v>2966.93</v>
      </c>
      <c r="D41" s="18">
        <v>4972.1000000000004</v>
      </c>
      <c r="E41" s="18">
        <v>9739.17</v>
      </c>
      <c r="F41" s="18">
        <v>1902.01</v>
      </c>
      <c r="G41" s="18">
        <v>3937.01</v>
      </c>
      <c r="H41" s="18">
        <v>6877.32</v>
      </c>
      <c r="I41" s="18">
        <v>5079.59</v>
      </c>
      <c r="J41" s="18">
        <v>5090.7300000000005</v>
      </c>
      <c r="K41" s="18">
        <v>5117.12</v>
      </c>
      <c r="L41" s="18"/>
      <c r="M41" s="18"/>
      <c r="N41" s="18"/>
      <c r="O41" s="52">
        <f t="shared" si="14"/>
        <v>45681.98000000001</v>
      </c>
      <c r="P41" s="16">
        <f t="shared" si="15"/>
        <v>88397.030000000013</v>
      </c>
    </row>
    <row r="42" spans="1:16">
      <c r="B42" s="6" t="s">
        <v>75</v>
      </c>
      <c r="C42" s="18">
        <v>953.14</v>
      </c>
      <c r="D42" s="18">
        <v>3089.98</v>
      </c>
      <c r="E42" s="18">
        <v>156.04000000000002</v>
      </c>
      <c r="F42" s="18">
        <v>2739.64</v>
      </c>
      <c r="G42" s="18">
        <v>980.71</v>
      </c>
      <c r="H42" s="18">
        <v>554.58000000000004</v>
      </c>
      <c r="I42" s="18">
        <v>3028.06</v>
      </c>
      <c r="J42" s="18">
        <v>1095.6200000000001</v>
      </c>
      <c r="K42" s="18">
        <v>1486.41</v>
      </c>
      <c r="L42" s="18"/>
      <c r="M42" s="18"/>
      <c r="N42" s="18"/>
      <c r="O42" s="52">
        <f t="shared" si="14"/>
        <v>14084.18</v>
      </c>
      <c r="P42" s="16">
        <f t="shared" si="15"/>
        <v>27215.22</v>
      </c>
    </row>
    <row r="43" spans="1:16" hidden="1">
      <c r="B43" s="6" t="s">
        <v>33</v>
      </c>
      <c r="C43" s="18"/>
      <c r="D43" s="18"/>
      <c r="E43" s="18"/>
      <c r="F43" s="18"/>
      <c r="G43" s="18"/>
      <c r="H43" s="18"/>
      <c r="I43" s="18"/>
      <c r="J43" s="18"/>
      <c r="K43" s="18"/>
      <c r="L43" s="18"/>
      <c r="M43" s="18"/>
      <c r="N43" s="18"/>
      <c r="O43" s="52">
        <f t="shared" si="14"/>
        <v>0</v>
      </c>
      <c r="P43" s="16">
        <f t="shared" si="15"/>
        <v>0</v>
      </c>
    </row>
    <row r="44" spans="1:16" hidden="1">
      <c r="B44" s="6" t="s">
        <v>34</v>
      </c>
      <c r="C44" s="18"/>
      <c r="D44" s="18"/>
      <c r="E44" s="18"/>
      <c r="F44" s="18"/>
      <c r="G44" s="18"/>
      <c r="H44" s="18"/>
      <c r="I44" s="18"/>
      <c r="J44" s="18"/>
      <c r="K44" s="18"/>
      <c r="L44" s="18"/>
      <c r="M44" s="18"/>
      <c r="N44" s="18"/>
      <c r="O44" s="52">
        <f t="shared" si="14"/>
        <v>0</v>
      </c>
      <c r="P44" s="16">
        <f t="shared" si="15"/>
        <v>0</v>
      </c>
    </row>
    <row r="45" spans="1:16">
      <c r="B45" s="6" t="s">
        <v>35</v>
      </c>
      <c r="C45" s="18"/>
      <c r="D45" s="18"/>
      <c r="E45" s="18"/>
      <c r="F45" s="18"/>
      <c r="G45" s="18"/>
      <c r="H45" s="18"/>
      <c r="I45" s="18">
        <v>228.08</v>
      </c>
      <c r="J45" s="18"/>
      <c r="K45" s="18"/>
      <c r="L45" s="18"/>
      <c r="M45" s="18"/>
      <c r="N45" s="18"/>
      <c r="O45" s="52">
        <f t="shared" si="14"/>
        <v>228.08</v>
      </c>
      <c r="P45" s="16">
        <f t="shared" si="15"/>
        <v>456.16</v>
      </c>
    </row>
    <row r="46" spans="1:16">
      <c r="B46" s="6" t="s">
        <v>77</v>
      </c>
      <c r="C46" s="18">
        <v>10834.300000000001</v>
      </c>
      <c r="D46" s="18">
        <v>1070.46</v>
      </c>
      <c r="E46" s="18">
        <v>4778.1099999999997</v>
      </c>
      <c r="F46" s="18">
        <v>13924.59</v>
      </c>
      <c r="G46" s="18">
        <v>18211.23</v>
      </c>
      <c r="H46" s="18">
        <v>18508.64</v>
      </c>
      <c r="I46" s="18">
        <v>8172.68</v>
      </c>
      <c r="J46" s="18">
        <v>1852.64</v>
      </c>
      <c r="K46" s="18">
        <v>2157.4900000000002</v>
      </c>
      <c r="L46" s="18"/>
      <c r="M46" s="18"/>
      <c r="N46" s="18"/>
      <c r="O46" s="52">
        <f t="shared" si="14"/>
        <v>79510.140000000014</v>
      </c>
      <c r="P46" s="16"/>
    </row>
    <row r="47" spans="1:16">
      <c r="B47" s="6" t="s">
        <v>36</v>
      </c>
      <c r="C47" s="18">
        <v>20305.03</v>
      </c>
      <c r="D47" s="18">
        <v>24595.420000000002</v>
      </c>
      <c r="E47" s="18">
        <v>25424.960000000003</v>
      </c>
      <c r="F47" s="18">
        <v>30214.53</v>
      </c>
      <c r="G47" s="18">
        <v>25411.98</v>
      </c>
      <c r="H47" s="18">
        <v>25793.71</v>
      </c>
      <c r="I47" s="18">
        <v>27441.579999999998</v>
      </c>
      <c r="J47" s="18">
        <v>31774.37</v>
      </c>
      <c r="K47" s="18">
        <v>24825.71</v>
      </c>
      <c r="L47" s="18"/>
      <c r="M47" s="18"/>
      <c r="N47" s="18"/>
      <c r="O47" s="52">
        <f t="shared" si="14"/>
        <v>235787.28999999998</v>
      </c>
      <c r="P47" s="16">
        <f t="shared" si="15"/>
        <v>451269.54999999993</v>
      </c>
    </row>
    <row r="48" spans="1:16">
      <c r="A48" t="s">
        <v>24</v>
      </c>
      <c r="B48" s="10" t="s">
        <v>83</v>
      </c>
      <c r="C48" s="19">
        <f t="shared" ref="C48:O48" si="16">SUM(C40:C47)</f>
        <v>37841.11</v>
      </c>
      <c r="D48" s="19">
        <f t="shared" si="16"/>
        <v>37809.06</v>
      </c>
      <c r="E48" s="19">
        <f t="shared" si="16"/>
        <v>46407.810000000005</v>
      </c>
      <c r="F48" s="19">
        <f t="shared" si="16"/>
        <v>53520.25</v>
      </c>
      <c r="G48" s="19">
        <f t="shared" si="16"/>
        <v>54323.880000000005</v>
      </c>
      <c r="H48" s="19">
        <f t="shared" si="16"/>
        <v>55996.44</v>
      </c>
      <c r="I48" s="19">
        <f t="shared" si="16"/>
        <v>47987.17</v>
      </c>
      <c r="J48" s="19">
        <f t="shared" si="16"/>
        <v>42404.91</v>
      </c>
      <c r="K48" s="19">
        <f t="shared" si="16"/>
        <v>35915.39</v>
      </c>
      <c r="L48" s="19">
        <f t="shared" si="16"/>
        <v>0</v>
      </c>
      <c r="M48" s="19">
        <f t="shared" si="16"/>
        <v>0</v>
      </c>
      <c r="N48" s="19">
        <f t="shared" si="16"/>
        <v>0</v>
      </c>
      <c r="O48" s="53">
        <f t="shared" si="16"/>
        <v>412206.02</v>
      </c>
      <c r="P48" s="19">
        <f>SUM(P40:P47)</f>
        <v>638384.94999999995</v>
      </c>
    </row>
    <row r="49" spans="1:16">
      <c r="B49" s="10"/>
      <c r="C49" s="18"/>
      <c r="D49" s="18"/>
      <c r="E49" s="18"/>
      <c r="F49" s="18"/>
      <c r="G49" s="18"/>
      <c r="H49" s="18"/>
      <c r="I49" s="18"/>
      <c r="J49" s="18"/>
      <c r="K49" s="18"/>
      <c r="L49" s="18"/>
      <c r="M49" s="18"/>
      <c r="N49" s="18"/>
      <c r="O49" s="56"/>
      <c r="P49" s="18"/>
    </row>
    <row r="50" spans="1:16" ht="15.75" thickBot="1">
      <c r="A50" t="s">
        <v>81</v>
      </c>
      <c r="B50" s="10" t="s">
        <v>136</v>
      </c>
      <c r="C50" s="21">
        <f>C48+C37</f>
        <v>128335.77</v>
      </c>
      <c r="D50" s="21">
        <f t="shared" ref="D50:O50" si="17">D48+D37</f>
        <v>90294</v>
      </c>
      <c r="E50" s="21">
        <f t="shared" si="17"/>
        <v>146201.65</v>
      </c>
      <c r="F50" s="21">
        <f t="shared" si="17"/>
        <v>100196.29</v>
      </c>
      <c r="G50" s="21">
        <f t="shared" si="17"/>
        <v>118156.92000000001</v>
      </c>
      <c r="H50" s="21">
        <f t="shared" si="17"/>
        <v>169137.1</v>
      </c>
      <c r="I50" s="21">
        <f t="shared" si="17"/>
        <v>119449.67</v>
      </c>
      <c r="J50" s="21">
        <f t="shared" si="17"/>
        <v>98725.62</v>
      </c>
      <c r="K50" s="21">
        <f t="shared" si="17"/>
        <v>108412.39</v>
      </c>
      <c r="L50" s="21">
        <f t="shared" si="17"/>
        <v>0</v>
      </c>
      <c r="M50" s="21">
        <f t="shared" si="17"/>
        <v>0</v>
      </c>
      <c r="N50" s="21">
        <f t="shared" si="17"/>
        <v>0</v>
      </c>
      <c r="O50" s="21">
        <f t="shared" si="17"/>
        <v>1078909.4100000001</v>
      </c>
      <c r="P50" s="21" t="e">
        <f>#REF!+P48+P37</f>
        <v>#REF!</v>
      </c>
    </row>
    <row r="51" spans="1:16" ht="15.75" thickTop="1">
      <c r="B51" s="9"/>
      <c r="O51" s="54"/>
    </row>
    <row r="52" spans="1:16">
      <c r="B52" s="11" t="s">
        <v>39</v>
      </c>
      <c r="O52" s="54"/>
    </row>
    <row r="53" spans="1:16">
      <c r="B53" s="11" t="s">
        <v>59</v>
      </c>
      <c r="O53" s="54"/>
    </row>
    <row r="54" spans="1:16">
      <c r="B54" s="12" t="s">
        <v>31</v>
      </c>
      <c r="C54" s="20">
        <f t="shared" ref="C54" si="18">C7-C30</f>
        <v>7337.4133333333375</v>
      </c>
      <c r="D54" s="20">
        <f>IF(D50&lt;&gt;0,D7-D30," ")</f>
        <v>32778.393333333333</v>
      </c>
      <c r="E54" s="20">
        <f t="shared" ref="E54:N54" si="19">IF(E50&lt;&gt;0,E7-E30," ")</f>
        <v>4590.743333333332</v>
      </c>
      <c r="F54" s="20">
        <f t="shared" si="19"/>
        <v>38091.733333333337</v>
      </c>
      <c r="G54" s="20">
        <f t="shared" si="19"/>
        <v>36383.203333333338</v>
      </c>
      <c r="H54" s="20">
        <f t="shared" si="19"/>
        <v>34440.313333333339</v>
      </c>
      <c r="I54" s="20">
        <f t="shared" si="19"/>
        <v>4553.3333333333358</v>
      </c>
      <c r="J54" s="20">
        <f t="shared" si="19"/>
        <v>40172.333333333336</v>
      </c>
      <c r="K54" s="20">
        <f t="shared" si="19"/>
        <v>25620.123333333337</v>
      </c>
      <c r="L54" s="20" t="str">
        <f t="shared" si="19"/>
        <v xml:space="preserve"> </v>
      </c>
      <c r="M54" s="20" t="str">
        <f t="shared" si="19"/>
        <v xml:space="preserve"> </v>
      </c>
      <c r="N54" s="20" t="str">
        <f t="shared" si="19"/>
        <v xml:space="preserve"> </v>
      </c>
      <c r="O54" s="52">
        <f t="shared" ref="O54:O60" si="20">SUM(C54:N54)</f>
        <v>223967.59000000003</v>
      </c>
    </row>
    <row r="55" spans="1:16">
      <c r="B55" s="12" t="s">
        <v>32</v>
      </c>
      <c r="C55" s="20">
        <f t="shared" ref="C55" si="21">C8-C31</f>
        <v>-10206.989999999998</v>
      </c>
      <c r="D55" s="20">
        <f>IF(D50&lt;&gt;0,D8-D31," ")</f>
        <v>2361.75</v>
      </c>
      <c r="E55" s="20">
        <f t="shared" ref="E55:N55" si="22">IF(E50&lt;&gt;0,E8-E31," ")</f>
        <v>-16759.5</v>
      </c>
      <c r="F55" s="20">
        <f t="shared" si="22"/>
        <v>10467.120000000003</v>
      </c>
      <c r="G55" s="20">
        <f t="shared" si="22"/>
        <v>23410.37</v>
      </c>
      <c r="H55" s="20">
        <f t="shared" si="22"/>
        <v>11120.760000000002</v>
      </c>
      <c r="I55" s="20">
        <f t="shared" si="22"/>
        <v>11609.25</v>
      </c>
      <c r="J55" s="20">
        <f t="shared" si="22"/>
        <v>19659.75</v>
      </c>
      <c r="K55" s="20">
        <f t="shared" si="22"/>
        <v>1467.75</v>
      </c>
      <c r="L55" s="20" t="str">
        <f t="shared" si="22"/>
        <v xml:space="preserve"> </v>
      </c>
      <c r="M55" s="20" t="str">
        <f t="shared" si="22"/>
        <v xml:space="preserve"> </v>
      </c>
      <c r="N55" s="20" t="str">
        <f t="shared" si="22"/>
        <v xml:space="preserve"> </v>
      </c>
      <c r="O55" s="52">
        <f t="shared" si="20"/>
        <v>53130.260000000009</v>
      </c>
    </row>
    <row r="56" spans="1:16">
      <c r="B56" s="12" t="s">
        <v>75</v>
      </c>
      <c r="C56" s="20">
        <f t="shared" ref="C56" si="23">C9-C32</f>
        <v>18680.5</v>
      </c>
      <c r="D56" s="20">
        <f>IF(D50&lt;&gt;0,D9-D32," ")</f>
        <v>18680.5</v>
      </c>
      <c r="E56" s="20">
        <f t="shared" ref="E56:N56" si="24">IF(E50&lt;&gt;0,E9-E32," ")</f>
        <v>18680.5</v>
      </c>
      <c r="F56" s="20">
        <f t="shared" si="24"/>
        <v>11070.689999999999</v>
      </c>
      <c r="G56" s="20">
        <f t="shared" si="24"/>
        <v>-17321.03</v>
      </c>
      <c r="H56" s="20">
        <f t="shared" si="24"/>
        <v>-52396.150000000009</v>
      </c>
      <c r="I56" s="20">
        <f t="shared" si="24"/>
        <v>18680.5</v>
      </c>
      <c r="J56" s="20">
        <f t="shared" si="24"/>
        <v>-9847.2099999999991</v>
      </c>
      <c r="K56" s="20">
        <f t="shared" si="24"/>
        <v>6720.7099999999991</v>
      </c>
      <c r="L56" s="20" t="str">
        <f t="shared" si="24"/>
        <v xml:space="preserve"> </v>
      </c>
      <c r="M56" s="20" t="str">
        <f t="shared" si="24"/>
        <v xml:space="preserve"> </v>
      </c>
      <c r="N56" s="20" t="str">
        <f t="shared" si="24"/>
        <v xml:space="preserve"> </v>
      </c>
      <c r="O56" s="52">
        <f t="shared" si="20"/>
        <v>12949.009999999995</v>
      </c>
    </row>
    <row r="57" spans="1:16" hidden="1">
      <c r="B57" s="12" t="s">
        <v>33</v>
      </c>
      <c r="C57" s="20">
        <f t="shared" ref="C57:D57" si="25">C10-C33</f>
        <v>0</v>
      </c>
      <c r="D57" s="20">
        <f t="shared" si="25"/>
        <v>0</v>
      </c>
      <c r="E57" s="20">
        <f t="shared" ref="E57:N57" si="26">E10-E33</f>
        <v>0</v>
      </c>
      <c r="F57" s="20">
        <f t="shared" si="26"/>
        <v>0</v>
      </c>
      <c r="G57" s="20">
        <f t="shared" si="26"/>
        <v>0</v>
      </c>
      <c r="H57" s="20">
        <f t="shared" si="26"/>
        <v>0</v>
      </c>
      <c r="I57" s="20">
        <f t="shared" si="26"/>
        <v>0</v>
      </c>
      <c r="J57" s="20">
        <f t="shared" si="26"/>
        <v>0</v>
      </c>
      <c r="K57" s="20">
        <f t="shared" si="26"/>
        <v>0</v>
      </c>
      <c r="L57" s="20">
        <f t="shared" si="26"/>
        <v>0</v>
      </c>
      <c r="M57" s="20">
        <f t="shared" si="26"/>
        <v>0</v>
      </c>
      <c r="N57" s="20">
        <f t="shared" si="26"/>
        <v>0</v>
      </c>
      <c r="O57" s="52">
        <f t="shared" si="20"/>
        <v>0</v>
      </c>
    </row>
    <row r="58" spans="1:16" hidden="1">
      <c r="B58" s="12" t="s">
        <v>34</v>
      </c>
      <c r="C58" s="20">
        <f t="shared" ref="C58:D58" si="27">C11-C34</f>
        <v>0</v>
      </c>
      <c r="D58" s="20">
        <f t="shared" si="27"/>
        <v>0</v>
      </c>
      <c r="E58" s="20">
        <f t="shared" ref="E58:N58" si="28">E11-E34</f>
        <v>0</v>
      </c>
      <c r="F58" s="20">
        <f t="shared" si="28"/>
        <v>0</v>
      </c>
      <c r="G58" s="20">
        <f t="shared" si="28"/>
        <v>0</v>
      </c>
      <c r="H58" s="20">
        <f t="shared" si="28"/>
        <v>0</v>
      </c>
      <c r="I58" s="20">
        <f t="shared" si="28"/>
        <v>0</v>
      </c>
      <c r="J58" s="20">
        <f t="shared" si="28"/>
        <v>0</v>
      </c>
      <c r="K58" s="20">
        <f t="shared" si="28"/>
        <v>0</v>
      </c>
      <c r="L58" s="20">
        <f t="shared" si="28"/>
        <v>0</v>
      </c>
      <c r="M58" s="20">
        <f t="shared" si="28"/>
        <v>0</v>
      </c>
      <c r="N58" s="20">
        <f t="shared" si="28"/>
        <v>0</v>
      </c>
      <c r="O58" s="52">
        <f t="shared" si="20"/>
        <v>0</v>
      </c>
    </row>
    <row r="59" spans="1:16" hidden="1">
      <c r="B59" s="12" t="s">
        <v>35</v>
      </c>
      <c r="C59" s="20">
        <f t="shared" ref="C59:D59" si="29">C12-C35</f>
        <v>0</v>
      </c>
      <c r="D59" s="20">
        <f t="shared" si="29"/>
        <v>0</v>
      </c>
      <c r="E59" s="20">
        <f t="shared" ref="E59:N59" si="30">E12-E35</f>
        <v>0</v>
      </c>
      <c r="F59" s="20">
        <f t="shared" si="30"/>
        <v>0</v>
      </c>
      <c r="G59" s="20">
        <f t="shared" si="30"/>
        <v>0</v>
      </c>
      <c r="H59" s="20">
        <f t="shared" si="30"/>
        <v>0</v>
      </c>
      <c r="I59" s="20">
        <f t="shared" si="30"/>
        <v>0</v>
      </c>
      <c r="J59" s="20">
        <f t="shared" si="30"/>
        <v>0</v>
      </c>
      <c r="K59" s="20">
        <f t="shared" si="30"/>
        <v>0</v>
      </c>
      <c r="L59" s="20">
        <f t="shared" si="30"/>
        <v>0</v>
      </c>
      <c r="M59" s="20">
        <f t="shared" si="30"/>
        <v>0</v>
      </c>
      <c r="N59" s="20">
        <f t="shared" si="30"/>
        <v>0</v>
      </c>
      <c r="O59" s="52">
        <f t="shared" si="20"/>
        <v>0</v>
      </c>
    </row>
    <row r="60" spans="1:16" hidden="1">
      <c r="B60" s="12" t="s">
        <v>36</v>
      </c>
      <c r="C60" s="20">
        <f t="shared" ref="C60:D60" si="31">C13-C36</f>
        <v>0</v>
      </c>
      <c r="D60" s="20">
        <f t="shared" si="31"/>
        <v>0</v>
      </c>
      <c r="E60" s="20">
        <f t="shared" ref="E60:N60" si="32">E13-E36</f>
        <v>0</v>
      </c>
      <c r="F60" s="20">
        <f t="shared" si="32"/>
        <v>0</v>
      </c>
      <c r="G60" s="20">
        <f t="shared" si="32"/>
        <v>0</v>
      </c>
      <c r="H60" s="20">
        <f t="shared" si="32"/>
        <v>0</v>
      </c>
      <c r="I60" s="20">
        <f t="shared" si="32"/>
        <v>0</v>
      </c>
      <c r="J60" s="20">
        <f t="shared" si="32"/>
        <v>0</v>
      </c>
      <c r="K60" s="20">
        <f t="shared" si="32"/>
        <v>0</v>
      </c>
      <c r="L60" s="20">
        <f t="shared" si="32"/>
        <v>0</v>
      </c>
      <c r="M60" s="20">
        <f t="shared" si="32"/>
        <v>0</v>
      </c>
      <c r="N60" s="20">
        <f t="shared" si="32"/>
        <v>0</v>
      </c>
      <c r="O60" s="52">
        <f t="shared" si="20"/>
        <v>0</v>
      </c>
    </row>
    <row r="61" spans="1:16">
      <c r="A61" t="s">
        <v>84</v>
      </c>
      <c r="B61" s="11" t="s">
        <v>40</v>
      </c>
      <c r="C61" s="19">
        <f t="shared" ref="C61" si="33">C14-C37</f>
        <v>15810.92333333334</v>
      </c>
      <c r="D61" s="19">
        <f>IF(D50&lt;&gt;0,D14-D37," ")</f>
        <v>53820.643333333341</v>
      </c>
      <c r="E61" s="19">
        <f t="shared" ref="E61:N61" si="34">IF(E50&lt;&gt;0,E14-E37," ")</f>
        <v>6511.7433333333465</v>
      </c>
      <c r="F61" s="19">
        <f t="shared" si="34"/>
        <v>59629.543333333349</v>
      </c>
      <c r="G61" s="19">
        <f t="shared" si="34"/>
        <v>42472.543333333342</v>
      </c>
      <c r="H61" s="19">
        <f t="shared" si="34"/>
        <v>-6835.0766666666605</v>
      </c>
      <c r="I61" s="19">
        <f t="shared" si="34"/>
        <v>34843.083333333343</v>
      </c>
      <c r="J61" s="19">
        <f t="shared" si="34"/>
        <v>49984.873333333344</v>
      </c>
      <c r="K61" s="19">
        <f t="shared" si="34"/>
        <v>33808.583333333343</v>
      </c>
      <c r="L61" s="19" t="str">
        <f t="shared" si="34"/>
        <v xml:space="preserve"> </v>
      </c>
      <c r="M61" s="19" t="str">
        <f t="shared" si="34"/>
        <v xml:space="preserve"> </v>
      </c>
      <c r="N61" s="19" t="str">
        <f t="shared" si="34"/>
        <v xml:space="preserve"> </v>
      </c>
      <c r="O61" s="53">
        <f t="shared" ref="O61" si="35">SUM(O54:O60)</f>
        <v>290046.86000000004</v>
      </c>
    </row>
    <row r="62" spans="1:16">
      <c r="B62" s="11"/>
      <c r="C62" s="20"/>
      <c r="D62" s="20"/>
      <c r="E62" s="20"/>
      <c r="F62" s="20"/>
      <c r="G62" s="20"/>
      <c r="H62" s="20"/>
      <c r="I62" s="20"/>
      <c r="J62" s="20"/>
      <c r="K62" s="20"/>
      <c r="L62" s="20"/>
      <c r="M62" s="20"/>
      <c r="N62" s="20"/>
      <c r="O62" s="56"/>
    </row>
    <row r="63" spans="1:16">
      <c r="B63" s="11" t="s">
        <v>86</v>
      </c>
      <c r="C63" s="20"/>
      <c r="D63" s="20"/>
      <c r="E63" s="20"/>
      <c r="F63" s="20"/>
      <c r="G63" s="20"/>
      <c r="H63" s="20"/>
      <c r="I63" s="20"/>
      <c r="J63" s="20"/>
      <c r="K63" s="20"/>
      <c r="L63" s="20"/>
      <c r="M63" s="20"/>
      <c r="N63" s="20"/>
      <c r="O63" s="52"/>
    </row>
    <row r="64" spans="1:16">
      <c r="B64" s="12" t="s">
        <v>31</v>
      </c>
      <c r="C64" s="20">
        <f t="shared" ref="C64" si="36">C17-C40</f>
        <v>10366.623333333333</v>
      </c>
      <c r="D64" s="20">
        <f>IF(D50&lt;&gt;0,D17-D40," ")</f>
        <v>9067.2333333333336</v>
      </c>
      <c r="E64" s="20">
        <f t="shared" ref="E64:N64" si="37">IF(E50&lt;&gt;0,E17-E40," ")</f>
        <v>6838.8033333333342</v>
      </c>
      <c r="F64" s="20">
        <f t="shared" si="37"/>
        <v>8408.8533333333326</v>
      </c>
      <c r="G64" s="20">
        <f t="shared" si="37"/>
        <v>7365.3833333333332</v>
      </c>
      <c r="H64" s="20">
        <f t="shared" si="37"/>
        <v>8886.1433333333334</v>
      </c>
      <c r="I64" s="20">
        <f t="shared" si="37"/>
        <v>9111.1533333333336</v>
      </c>
      <c r="J64" s="20">
        <f t="shared" si="37"/>
        <v>10556.783333333333</v>
      </c>
      <c r="K64" s="20">
        <f t="shared" si="37"/>
        <v>10819.673333333334</v>
      </c>
      <c r="L64" s="20" t="str">
        <f t="shared" si="37"/>
        <v xml:space="preserve"> </v>
      </c>
      <c r="M64" s="20" t="str">
        <f t="shared" si="37"/>
        <v xml:space="preserve"> </v>
      </c>
      <c r="N64" s="20" t="str">
        <f t="shared" si="37"/>
        <v xml:space="preserve"> </v>
      </c>
      <c r="O64" s="52">
        <f t="shared" ref="O64:O71" si="38">SUM(C64:N64)</f>
        <v>81420.650000000009</v>
      </c>
    </row>
    <row r="65" spans="1:15">
      <c r="B65" s="12" t="s">
        <v>32</v>
      </c>
      <c r="C65" s="20">
        <f t="shared" ref="C65" si="39">C18-C41</f>
        <v>6075.6533333333336</v>
      </c>
      <c r="D65" s="20">
        <f>IF(D50&lt;&gt;0,D18-D41," ")</f>
        <v>4070.4833333333336</v>
      </c>
      <c r="E65" s="20">
        <f t="shared" ref="E65:N65" si="40">IF(E50&lt;&gt;0,E18-E41," ")</f>
        <v>-696.58666666666613</v>
      </c>
      <c r="F65" s="20">
        <f t="shared" si="40"/>
        <v>7140.5733333333337</v>
      </c>
      <c r="G65" s="20">
        <f t="shared" si="40"/>
        <v>5105.5733333333337</v>
      </c>
      <c r="H65" s="20">
        <f t="shared" si="40"/>
        <v>2165.2633333333342</v>
      </c>
      <c r="I65" s="20">
        <f t="shared" si="40"/>
        <v>3962.9933333333338</v>
      </c>
      <c r="J65" s="20">
        <f t="shared" si="40"/>
        <v>3951.8533333333335</v>
      </c>
      <c r="K65" s="20">
        <f t="shared" si="40"/>
        <v>3925.463333333334</v>
      </c>
      <c r="L65" s="20" t="str">
        <f t="shared" si="40"/>
        <v xml:space="preserve"> </v>
      </c>
      <c r="M65" s="20" t="str">
        <f t="shared" si="40"/>
        <v xml:space="preserve"> </v>
      </c>
      <c r="N65" s="20" t="str">
        <f t="shared" si="40"/>
        <v xml:space="preserve"> </v>
      </c>
      <c r="O65" s="52">
        <f t="shared" si="38"/>
        <v>35701.270000000004</v>
      </c>
    </row>
    <row r="66" spans="1:15">
      <c r="B66" s="12" t="s">
        <v>75</v>
      </c>
      <c r="C66" s="20">
        <f t="shared" ref="C66" si="41">C19-C42</f>
        <v>603.77666666666676</v>
      </c>
      <c r="D66" s="20">
        <f>IF(D50&lt;&gt;0,D19-D42," ")</f>
        <v>-1533.0633333333333</v>
      </c>
      <c r="E66" s="20">
        <f t="shared" ref="E66:N66" si="42">IF(E50&lt;&gt;0,E19-E42," ")</f>
        <v>1400.8766666666668</v>
      </c>
      <c r="F66" s="20">
        <f t="shared" si="42"/>
        <v>-1182.7233333333331</v>
      </c>
      <c r="G66" s="20">
        <f t="shared" si="42"/>
        <v>576.20666666666671</v>
      </c>
      <c r="H66" s="20">
        <f t="shared" si="42"/>
        <v>1002.3366666666667</v>
      </c>
      <c r="I66" s="20">
        <f t="shared" si="42"/>
        <v>-1471.1433333333332</v>
      </c>
      <c r="J66" s="20">
        <f t="shared" si="42"/>
        <v>461.29666666666662</v>
      </c>
      <c r="K66" s="20">
        <f t="shared" si="42"/>
        <v>70.506666666666661</v>
      </c>
      <c r="L66" s="20" t="str">
        <f t="shared" si="42"/>
        <v xml:space="preserve"> </v>
      </c>
      <c r="M66" s="20" t="str">
        <f t="shared" si="42"/>
        <v xml:space="preserve"> </v>
      </c>
      <c r="N66" s="20" t="str">
        <f t="shared" si="42"/>
        <v xml:space="preserve"> </v>
      </c>
      <c r="O66" s="52">
        <f t="shared" si="38"/>
        <v>-71.929999999999382</v>
      </c>
    </row>
    <row r="67" spans="1:15" hidden="1">
      <c r="B67" s="12" t="s">
        <v>33</v>
      </c>
      <c r="C67" s="20">
        <f t="shared" ref="C67" si="43">C20-C43</f>
        <v>0</v>
      </c>
      <c r="D67" s="20" t="str">
        <f t="shared" ref="D67:N68" si="44">IF(D53&lt;&gt;0,D20-D43," ")</f>
        <v xml:space="preserve"> </v>
      </c>
      <c r="E67" s="20" t="str">
        <f t="shared" si="44"/>
        <v xml:space="preserve"> </v>
      </c>
      <c r="F67" s="20" t="str">
        <f t="shared" si="44"/>
        <v xml:space="preserve"> </v>
      </c>
      <c r="G67" s="20" t="str">
        <f t="shared" si="44"/>
        <v xml:space="preserve"> </v>
      </c>
      <c r="H67" s="20" t="str">
        <f t="shared" si="44"/>
        <v xml:space="preserve"> </v>
      </c>
      <c r="I67" s="20" t="str">
        <f t="shared" si="44"/>
        <v xml:space="preserve"> </v>
      </c>
      <c r="J67" s="20" t="str">
        <f t="shared" si="44"/>
        <v xml:space="preserve"> </v>
      </c>
      <c r="K67" s="20" t="str">
        <f t="shared" si="44"/>
        <v xml:space="preserve"> </v>
      </c>
      <c r="L67" s="20" t="str">
        <f t="shared" si="44"/>
        <v xml:space="preserve"> </v>
      </c>
      <c r="M67" s="20" t="str">
        <f t="shared" si="44"/>
        <v xml:space="preserve"> </v>
      </c>
      <c r="N67" s="20" t="str">
        <f t="shared" si="44"/>
        <v xml:space="preserve"> </v>
      </c>
      <c r="O67" s="52">
        <f t="shared" si="38"/>
        <v>0</v>
      </c>
    </row>
    <row r="68" spans="1:15" hidden="1">
      <c r="B68" s="12" t="s">
        <v>34</v>
      </c>
      <c r="C68" s="20">
        <f t="shared" ref="C68" si="45">C21-C44</f>
        <v>0</v>
      </c>
      <c r="D68" s="20">
        <f t="shared" si="44"/>
        <v>0</v>
      </c>
      <c r="E68" s="20">
        <f t="shared" si="44"/>
        <v>0</v>
      </c>
      <c r="F68" s="20">
        <f t="shared" si="44"/>
        <v>0</v>
      </c>
      <c r="G68" s="20">
        <f t="shared" si="44"/>
        <v>0</v>
      </c>
      <c r="H68" s="20">
        <f t="shared" si="44"/>
        <v>0</v>
      </c>
      <c r="I68" s="20">
        <f t="shared" si="44"/>
        <v>0</v>
      </c>
      <c r="J68" s="20">
        <f t="shared" si="44"/>
        <v>0</v>
      </c>
      <c r="K68" s="20">
        <f t="shared" si="44"/>
        <v>0</v>
      </c>
      <c r="L68" s="20">
        <f t="shared" si="44"/>
        <v>0</v>
      </c>
      <c r="M68" s="20">
        <f t="shared" si="44"/>
        <v>0</v>
      </c>
      <c r="N68" s="20">
        <f t="shared" si="44"/>
        <v>0</v>
      </c>
      <c r="O68" s="52">
        <f t="shared" si="38"/>
        <v>0</v>
      </c>
    </row>
    <row r="69" spans="1:15">
      <c r="B69" s="12" t="s">
        <v>35</v>
      </c>
      <c r="C69" s="20">
        <f t="shared" ref="C69" si="46">C22-C45</f>
        <v>2436.0833333333335</v>
      </c>
      <c r="D69" s="20">
        <f>IF(D50&lt;&gt;0,D22-D45," ")</f>
        <v>2436.0833333333335</v>
      </c>
      <c r="E69" s="20">
        <f t="shared" ref="E69:N69" si="47">IF(E50&lt;&gt;0,E22-E45," ")</f>
        <v>2436.0833333333335</v>
      </c>
      <c r="F69" s="20">
        <f t="shared" si="47"/>
        <v>2436.0833333333335</v>
      </c>
      <c r="G69" s="20">
        <f t="shared" si="47"/>
        <v>2436.0833333333335</v>
      </c>
      <c r="H69" s="20">
        <f t="shared" si="47"/>
        <v>2436.0833333333335</v>
      </c>
      <c r="I69" s="20">
        <f t="shared" si="47"/>
        <v>2208.0033333333336</v>
      </c>
      <c r="J69" s="20">
        <f t="shared" si="47"/>
        <v>2436.0833333333335</v>
      </c>
      <c r="K69" s="20">
        <f t="shared" si="47"/>
        <v>2436.0833333333335</v>
      </c>
      <c r="L69" s="20" t="str">
        <f t="shared" si="47"/>
        <v xml:space="preserve"> </v>
      </c>
      <c r="M69" s="20" t="str">
        <f t="shared" si="47"/>
        <v xml:space="preserve"> </v>
      </c>
      <c r="N69" s="20" t="str">
        <f t="shared" si="47"/>
        <v xml:space="preserve"> </v>
      </c>
      <c r="O69" s="52">
        <f t="shared" si="38"/>
        <v>21696.67</v>
      </c>
    </row>
    <row r="70" spans="1:15">
      <c r="B70" s="12" t="s">
        <v>77</v>
      </c>
      <c r="C70" s="20">
        <f t="shared" ref="C70" si="48">C23-C46</f>
        <v>-3505.7166666666681</v>
      </c>
      <c r="D70" s="20">
        <f>IF(D50&lt;&gt;0,D23-D46," ")</f>
        <v>6258.123333333333</v>
      </c>
      <c r="E70" s="20">
        <f t="shared" ref="E70:N70" si="49">IF(E50&lt;&gt;0,E23-E46," ")</f>
        <v>2550.4733333333334</v>
      </c>
      <c r="F70" s="20">
        <f t="shared" si="49"/>
        <v>-6596.0066666666671</v>
      </c>
      <c r="G70" s="20">
        <f t="shared" si="49"/>
        <v>-10882.646666666667</v>
      </c>
      <c r="H70" s="20">
        <f t="shared" si="49"/>
        <v>-11180.056666666667</v>
      </c>
      <c r="I70" s="20">
        <f t="shared" si="49"/>
        <v>-844.09666666666726</v>
      </c>
      <c r="J70" s="20">
        <f t="shared" si="49"/>
        <v>5475.9433333333327</v>
      </c>
      <c r="K70" s="20">
        <f t="shared" si="49"/>
        <v>5171.0933333333323</v>
      </c>
      <c r="L70" s="20" t="str">
        <f t="shared" si="49"/>
        <v xml:space="preserve"> </v>
      </c>
      <c r="M70" s="20" t="str">
        <f t="shared" si="49"/>
        <v xml:space="preserve"> </v>
      </c>
      <c r="N70" s="20" t="str">
        <f t="shared" si="49"/>
        <v xml:space="preserve"> </v>
      </c>
      <c r="O70" s="52">
        <f t="shared" ref="O70" si="50">SUM(C70:N70)</f>
        <v>-13552.890000000005</v>
      </c>
    </row>
    <row r="71" spans="1:15">
      <c r="B71" s="12" t="s">
        <v>36</v>
      </c>
      <c r="C71" s="20">
        <f t="shared" ref="C71" si="51">C24-C47</f>
        <v>-9254.1966666666649</v>
      </c>
      <c r="D71" s="20">
        <f>IF(D50&lt;&gt;0,D24-D47," ")</f>
        <v>-13544.586666666668</v>
      </c>
      <c r="E71" s="20">
        <f t="shared" ref="E71:N71" si="52">IF(E50&lt;&gt;0,E24-E47," ")</f>
        <v>-14374.126666666669</v>
      </c>
      <c r="F71" s="20">
        <f t="shared" si="52"/>
        <v>-19163.696666666663</v>
      </c>
      <c r="G71" s="20">
        <f t="shared" si="52"/>
        <v>-14361.146666666666</v>
      </c>
      <c r="H71" s="20">
        <f t="shared" si="52"/>
        <v>-14742.876666666665</v>
      </c>
      <c r="I71" s="20">
        <f t="shared" si="52"/>
        <v>-16390.746666666666</v>
      </c>
      <c r="J71" s="20">
        <f t="shared" si="52"/>
        <v>-20723.536666666667</v>
      </c>
      <c r="K71" s="20">
        <f t="shared" si="52"/>
        <v>-13774.876666666665</v>
      </c>
      <c r="L71" s="20" t="str">
        <f t="shared" si="52"/>
        <v xml:space="preserve"> </v>
      </c>
      <c r="M71" s="20" t="str">
        <f t="shared" si="52"/>
        <v xml:space="preserve"> </v>
      </c>
      <c r="N71" s="20" t="str">
        <f t="shared" si="52"/>
        <v xml:space="preserve"> </v>
      </c>
      <c r="O71" s="52">
        <f t="shared" si="38"/>
        <v>-136329.78999999998</v>
      </c>
    </row>
    <row r="72" spans="1:15">
      <c r="A72" t="s">
        <v>85</v>
      </c>
      <c r="B72" s="11" t="s">
        <v>40</v>
      </c>
      <c r="C72" s="19">
        <f t="shared" ref="C72" si="53">C25-C48</f>
        <v>6722.2233333333352</v>
      </c>
      <c r="D72" s="19">
        <f>IF(D50&lt;&gt;0,D25-D48," ")</f>
        <v>6754.2733333333381</v>
      </c>
      <c r="E72" s="19">
        <f t="shared" ref="E72:N72" si="54">IF(E50&lt;&gt;0,E25-E48," ")</f>
        <v>-1844.4766666666692</v>
      </c>
      <c r="F72" s="19">
        <f t="shared" si="54"/>
        <v>-8956.9166666666642</v>
      </c>
      <c r="G72" s="19">
        <f t="shared" si="54"/>
        <v>-9760.5466666666689</v>
      </c>
      <c r="H72" s="19">
        <f t="shared" si="54"/>
        <v>-11433.106666666667</v>
      </c>
      <c r="I72" s="19">
        <f t="shared" si="54"/>
        <v>-3423.8366666666625</v>
      </c>
      <c r="J72" s="19">
        <f t="shared" si="54"/>
        <v>2158.4233333333323</v>
      </c>
      <c r="K72" s="19">
        <f t="shared" si="54"/>
        <v>8647.9433333333363</v>
      </c>
      <c r="L72" s="19" t="str">
        <f t="shared" si="54"/>
        <v xml:space="preserve"> </v>
      </c>
      <c r="M72" s="19" t="str">
        <f t="shared" si="54"/>
        <v xml:space="preserve"> </v>
      </c>
      <c r="N72" s="19" t="str">
        <f t="shared" si="54"/>
        <v xml:space="preserve"> </v>
      </c>
      <c r="O72" s="53">
        <f t="shared" ref="O72" si="55">SUM(O64:O71)</f>
        <v>-11136.019999999946</v>
      </c>
    </row>
    <row r="73" spans="1:15">
      <c r="B73" s="11"/>
      <c r="C73" s="20"/>
      <c r="D73" s="20"/>
      <c r="E73" s="20"/>
      <c r="F73" s="20"/>
      <c r="G73" s="20"/>
      <c r="H73" s="20"/>
      <c r="I73" s="20"/>
      <c r="J73" s="20"/>
      <c r="K73" s="20"/>
      <c r="L73" s="20"/>
      <c r="M73" s="20"/>
      <c r="N73" s="20"/>
      <c r="O73" s="56"/>
    </row>
    <row r="74" spans="1:15" ht="15.75" thickBot="1">
      <c r="B74" s="11" t="s">
        <v>40</v>
      </c>
      <c r="C74" s="38">
        <f t="shared" ref="C74" si="56">C27-C50</f>
        <v>22533.146666666682</v>
      </c>
      <c r="D74" s="38">
        <f>IF(D50&lt;&gt;0,D27-D50," ")</f>
        <v>60574.916666666686</v>
      </c>
      <c r="E74" s="38">
        <f t="shared" ref="E74:N74" si="57">IF(E50&lt;&gt;0,E27-E50," ")</f>
        <v>4667.2666666666919</v>
      </c>
      <c r="F74" s="38">
        <f t="shared" si="57"/>
        <v>50672.626666666692</v>
      </c>
      <c r="G74" s="38">
        <f t="shared" si="57"/>
        <v>32711.996666666673</v>
      </c>
      <c r="H74" s="38">
        <f t="shared" si="57"/>
        <v>-18268.18333333332</v>
      </c>
      <c r="I74" s="38">
        <f t="shared" si="57"/>
        <v>31419.246666666688</v>
      </c>
      <c r="J74" s="38">
        <f t="shared" si="57"/>
        <v>52143.296666666691</v>
      </c>
      <c r="K74" s="38">
        <f t="shared" si="57"/>
        <v>42456.526666666687</v>
      </c>
      <c r="L74" s="38" t="str">
        <f t="shared" si="57"/>
        <v xml:space="preserve"> </v>
      </c>
      <c r="M74" s="38" t="str">
        <f t="shared" si="57"/>
        <v xml:space="preserve"> </v>
      </c>
      <c r="N74" s="38" t="str">
        <f t="shared" si="57"/>
        <v xml:space="preserve"> </v>
      </c>
      <c r="O74" s="55">
        <f>O72+O61</f>
        <v>278910.84000000008</v>
      </c>
    </row>
    <row r="75" spans="1:15" ht="15.75" thickTop="1">
      <c r="B75" s="9"/>
    </row>
    <row r="76" spans="1:15">
      <c r="B76" s="9"/>
    </row>
    <row r="77" spans="1:15">
      <c r="B77" s="32" t="s">
        <v>49</v>
      </c>
      <c r="C77" s="18"/>
      <c r="D77" s="18"/>
      <c r="E77" s="18"/>
      <c r="F77" s="18"/>
      <c r="G77" s="18"/>
      <c r="H77" s="18"/>
      <c r="I77" s="18"/>
      <c r="J77" s="18"/>
      <c r="K77" s="18"/>
      <c r="L77" s="18"/>
      <c r="M77" s="18"/>
      <c r="N77" s="18"/>
      <c r="O77" s="18"/>
    </row>
    <row r="78" spans="1:15">
      <c r="B78" s="92" t="s">
        <v>88</v>
      </c>
      <c r="C78" s="92"/>
      <c r="D78" s="92"/>
      <c r="E78" s="92"/>
      <c r="F78" s="92"/>
      <c r="G78" s="92"/>
      <c r="H78" s="92"/>
      <c r="I78" s="92"/>
      <c r="J78" s="92"/>
      <c r="K78" s="92"/>
      <c r="L78" s="92"/>
      <c r="M78" s="92"/>
      <c r="N78" s="92"/>
      <c r="O78" s="92"/>
    </row>
    <row r="80" spans="1:15">
      <c r="B80" s="61" t="s">
        <v>51</v>
      </c>
      <c r="C80" s="62"/>
      <c r="D80" s="62"/>
      <c r="E80" s="62"/>
      <c r="F80" s="63"/>
      <c r="G80" s="63"/>
      <c r="H80" s="63"/>
      <c r="I80" s="63"/>
      <c r="J80" s="63"/>
      <c r="K80" s="63"/>
      <c r="L80" s="63"/>
      <c r="M80" s="63"/>
      <c r="N80" s="63"/>
      <c r="O80" s="63"/>
    </row>
    <row r="81" spans="2:15">
      <c r="B81" s="91" t="s">
        <v>107</v>
      </c>
      <c r="C81" s="91"/>
      <c r="D81" s="91"/>
      <c r="E81" s="91"/>
      <c r="F81" s="91"/>
      <c r="G81" s="91"/>
      <c r="H81" s="91"/>
      <c r="I81" s="91"/>
      <c r="J81" s="91"/>
      <c r="K81" s="91"/>
      <c r="L81" s="91"/>
      <c r="M81" s="91"/>
      <c r="N81" s="91"/>
      <c r="O81" s="91"/>
    </row>
    <row r="82" spans="2:15">
      <c r="B82" s="91" t="s">
        <v>113</v>
      </c>
      <c r="C82" s="91"/>
      <c r="D82" s="91"/>
      <c r="E82" s="91"/>
      <c r="F82" s="91"/>
      <c r="G82" s="91"/>
      <c r="H82" s="91"/>
      <c r="I82" s="91"/>
      <c r="J82" s="91"/>
      <c r="K82" s="91"/>
      <c r="L82" s="91"/>
      <c r="M82" s="91"/>
      <c r="N82" s="91"/>
      <c r="O82" s="91"/>
    </row>
    <row r="83" spans="2:15">
      <c r="B83" s="91" t="s">
        <v>121</v>
      </c>
      <c r="C83" s="91"/>
      <c r="D83" s="91"/>
      <c r="E83" s="91"/>
      <c r="F83" s="91"/>
      <c r="G83" s="91"/>
      <c r="H83" s="91"/>
      <c r="I83" s="91"/>
      <c r="J83" s="91"/>
      <c r="K83" s="91"/>
      <c r="L83" s="91"/>
      <c r="M83" s="91"/>
      <c r="N83" s="91"/>
      <c r="O83" s="91"/>
    </row>
    <row r="84" spans="2:15">
      <c r="B84" s="91" t="s">
        <v>129</v>
      </c>
      <c r="C84" s="91"/>
      <c r="D84" s="91"/>
      <c r="E84" s="91"/>
      <c r="F84" s="91"/>
      <c r="G84" s="91"/>
      <c r="H84" s="91"/>
      <c r="I84" s="91"/>
      <c r="J84" s="91"/>
      <c r="K84" s="91"/>
      <c r="L84" s="91"/>
      <c r="M84" s="91"/>
      <c r="N84" s="91"/>
      <c r="O84" s="91"/>
    </row>
    <row r="85" spans="2:15">
      <c r="B85" s="91" t="s">
        <v>139</v>
      </c>
      <c r="C85" s="91"/>
      <c r="D85" s="91"/>
      <c r="E85" s="91"/>
      <c r="F85" s="91"/>
      <c r="G85" s="91"/>
      <c r="H85" s="91"/>
      <c r="I85" s="91"/>
      <c r="J85" s="91"/>
      <c r="K85" s="91"/>
      <c r="L85" s="91"/>
      <c r="M85" s="91"/>
      <c r="N85" s="91"/>
      <c r="O85" s="91"/>
    </row>
    <row r="86" spans="2:15">
      <c r="B86" s="91" t="s">
        <v>148</v>
      </c>
      <c r="C86" s="91"/>
      <c r="D86" s="91"/>
      <c r="E86" s="91"/>
      <c r="F86" s="91"/>
      <c r="G86" s="91"/>
      <c r="H86" s="91"/>
      <c r="I86" s="91"/>
      <c r="J86" s="91"/>
      <c r="K86" s="91"/>
      <c r="L86" s="91"/>
      <c r="M86" s="91"/>
      <c r="N86" s="91"/>
      <c r="O86" s="91"/>
    </row>
    <row r="87" spans="2:15">
      <c r="B87" s="91" t="s">
        <v>161</v>
      </c>
      <c r="C87" s="91"/>
      <c r="D87" s="91"/>
      <c r="E87" s="91"/>
      <c r="F87" s="91"/>
      <c r="G87" s="91"/>
      <c r="H87" s="91"/>
      <c r="I87" s="91"/>
      <c r="J87" s="91"/>
      <c r="K87" s="91"/>
      <c r="L87" s="91"/>
      <c r="M87" s="91"/>
      <c r="N87" s="91"/>
      <c r="O87" s="91"/>
    </row>
    <row r="88" spans="2:15">
      <c r="B88" s="91" t="s">
        <v>170</v>
      </c>
      <c r="C88" s="91"/>
      <c r="D88" s="91"/>
      <c r="E88" s="91"/>
      <c r="F88" s="91"/>
      <c r="G88" s="91"/>
      <c r="H88" s="91"/>
      <c r="I88" s="91"/>
      <c r="J88" s="91"/>
      <c r="K88" s="91"/>
      <c r="L88" s="91"/>
      <c r="M88" s="91"/>
      <c r="N88" s="91"/>
      <c r="O88" s="91"/>
    </row>
    <row r="89" spans="2:15">
      <c r="B89" s="91" t="s">
        <v>174</v>
      </c>
      <c r="C89" s="91"/>
      <c r="D89" s="91"/>
      <c r="E89" s="91"/>
      <c r="F89" s="91"/>
      <c r="G89" s="91"/>
      <c r="H89" s="91"/>
      <c r="I89" s="91"/>
      <c r="J89" s="91"/>
      <c r="K89" s="91"/>
      <c r="L89" s="91"/>
      <c r="M89" s="91"/>
      <c r="N89" s="91"/>
      <c r="O89" s="91"/>
    </row>
    <row r="90" spans="2:15">
      <c r="B90" s="91" t="s">
        <v>52</v>
      </c>
      <c r="C90" s="91"/>
      <c r="D90" s="91"/>
      <c r="E90" s="91"/>
      <c r="F90" s="91"/>
      <c r="G90" s="91"/>
      <c r="H90" s="91"/>
      <c r="I90" s="91"/>
      <c r="J90" s="91"/>
      <c r="K90" s="91"/>
      <c r="L90" s="91"/>
      <c r="M90" s="91"/>
      <c r="N90" s="91"/>
      <c r="O90" s="91"/>
    </row>
  </sheetData>
  <mergeCells count="11">
    <mergeCell ref="B90:O90"/>
    <mergeCell ref="B89:O89"/>
    <mergeCell ref="B88:O88"/>
    <mergeCell ref="B78:O78"/>
    <mergeCell ref="B82:O82"/>
    <mergeCell ref="B83:O83"/>
    <mergeCell ref="B87:O87"/>
    <mergeCell ref="B86:O86"/>
    <mergeCell ref="B85:O85"/>
    <mergeCell ref="B84:O84"/>
    <mergeCell ref="B81:O81"/>
  </mergeCells>
  <pageMargins left="0" right="0" top="0.75" bottom="0.75" header="0.3" footer="0.3"/>
  <pageSetup scale="73" fitToHeight="17" orientation="landscape" r:id="rId1"/>
</worksheet>
</file>

<file path=xl/worksheets/sheet14.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2:B14"/>
  <sheetViews>
    <sheetView workbookViewId="0">
      <selection activeCell="B14" sqref="B14"/>
    </sheetView>
  </sheetViews>
  <sheetFormatPr defaultRowHeight="15"/>
  <cols>
    <col min="1" max="1" width="51.5703125" bestFit="1" customWidth="1"/>
    <col min="2" max="2" width="14.28515625" bestFit="1" customWidth="1"/>
  </cols>
  <sheetData>
    <row r="2" spans="1:2">
      <c r="A2" s="80" t="s">
        <v>68</v>
      </c>
      <c r="B2" s="1">
        <f>'WA-Sch91 Rider Balance'!J17</f>
        <v>-1643811.0035743266</v>
      </c>
    </row>
    <row r="3" spans="1:2">
      <c r="A3" s="80"/>
    </row>
    <row r="4" spans="1:2">
      <c r="A4" s="80" t="s">
        <v>69</v>
      </c>
      <c r="B4" s="1">
        <v>5433000</v>
      </c>
    </row>
    <row r="5" spans="1:2">
      <c r="A5" s="80" t="s">
        <v>70</v>
      </c>
      <c r="B5" s="84">
        <f>SUM('WA-Sch91 Rider Balance'!K13:N13)</f>
        <v>3464054.67</v>
      </c>
    </row>
    <row r="6" spans="1:2">
      <c r="A6" s="80"/>
      <c r="B6" s="1">
        <f>B5-B4</f>
        <v>-1968945.33</v>
      </c>
    </row>
    <row r="8" spans="1:2">
      <c r="A8" s="80" t="s">
        <v>71</v>
      </c>
      <c r="B8" s="3">
        <f>B2+B6</f>
        <v>-3612756.3335743267</v>
      </c>
    </row>
    <row r="10" spans="1:2">
      <c r="A10" s="80" t="s">
        <v>72</v>
      </c>
      <c r="B10" s="1">
        <v>16735000</v>
      </c>
    </row>
    <row r="11" spans="1:2">
      <c r="A11" t="s">
        <v>73</v>
      </c>
      <c r="B11" s="85"/>
    </row>
    <row r="12" spans="1:2">
      <c r="B12" s="3">
        <f>B11-B10</f>
        <v>-16735000</v>
      </c>
    </row>
    <row r="14" spans="1:2">
      <c r="A14" t="s">
        <v>74</v>
      </c>
      <c r="B14" s="3">
        <f>B8+B12</f>
        <v>-20347756.333574325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sheetPr>
    <tabColor theme="7" tint="0.39997558519241921"/>
  </sheetPr>
  <dimension ref="A2:AF31"/>
  <sheetViews>
    <sheetView workbookViewId="0">
      <pane xSplit="2" ySplit="4" topLeftCell="C5" activePane="bottomRight" state="frozen"/>
      <selection activeCell="G22" sqref="G22:H22"/>
      <selection pane="topRight" activeCell="G22" sqref="G22:H22"/>
      <selection pane="bottomLeft" activeCell="G22" sqref="G22:H22"/>
      <selection pane="bottomRight" activeCell="A4" sqref="A4"/>
    </sheetView>
  </sheetViews>
  <sheetFormatPr defaultRowHeight="15"/>
  <cols>
    <col min="1" max="1" width="3.42578125" style="40" bestFit="1" customWidth="1"/>
    <col min="2" max="2" width="34.85546875" style="40" customWidth="1"/>
    <col min="3" max="3" width="13.7109375" style="40" bestFit="1" customWidth="1"/>
    <col min="4" max="14" width="13.28515625" style="40" bestFit="1" customWidth="1"/>
    <col min="15" max="15" width="11.5703125" style="40" customWidth="1"/>
    <col min="16" max="16" width="11.5703125" style="40" bestFit="1" customWidth="1"/>
    <col min="17" max="19" width="11.28515625" style="40" bestFit="1" customWidth="1"/>
    <col min="20" max="47" width="11.7109375" style="40" customWidth="1"/>
    <col min="48" max="16384" width="9.140625" style="40"/>
  </cols>
  <sheetData>
    <row r="2" spans="1:32">
      <c r="B2" s="41" t="s">
        <v>12</v>
      </c>
    </row>
    <row r="3" spans="1:32">
      <c r="B3" s="40" t="s">
        <v>30</v>
      </c>
      <c r="C3" s="42">
        <v>2012</v>
      </c>
      <c r="D3" s="42">
        <v>2012</v>
      </c>
      <c r="E3" s="42">
        <v>2012</v>
      </c>
      <c r="F3" s="42">
        <v>2012</v>
      </c>
      <c r="G3" s="42">
        <v>2012</v>
      </c>
      <c r="H3" s="42">
        <v>2012</v>
      </c>
      <c r="I3" s="42">
        <v>2012</v>
      </c>
      <c r="J3" s="42">
        <v>2012</v>
      </c>
      <c r="K3" s="42">
        <v>2012</v>
      </c>
      <c r="L3" s="42">
        <v>2012</v>
      </c>
      <c r="M3" s="42">
        <v>2012</v>
      </c>
      <c r="N3" s="42">
        <v>2012</v>
      </c>
      <c r="O3" s="42" t="s">
        <v>90</v>
      </c>
      <c r="P3" s="42">
        <v>2012</v>
      </c>
      <c r="Q3" s="42">
        <v>2012</v>
      </c>
      <c r="R3" s="42">
        <v>2012</v>
      </c>
      <c r="S3" s="42">
        <v>2012</v>
      </c>
      <c r="U3" s="42">
        <v>2013</v>
      </c>
      <c r="V3" s="42">
        <v>2013</v>
      </c>
      <c r="W3" s="42">
        <v>2013</v>
      </c>
      <c r="X3" s="42">
        <v>2013</v>
      </c>
      <c r="Y3" s="42">
        <v>2013</v>
      </c>
      <c r="Z3" s="42">
        <v>2013</v>
      </c>
      <c r="AA3" s="42">
        <v>2013</v>
      </c>
      <c r="AB3" s="42">
        <v>2013</v>
      </c>
      <c r="AC3" s="42">
        <v>2013</v>
      </c>
      <c r="AD3" s="42">
        <v>2013</v>
      </c>
      <c r="AE3" s="42">
        <v>2013</v>
      </c>
      <c r="AF3" s="42">
        <v>2013</v>
      </c>
    </row>
    <row r="4" spans="1:32">
      <c r="C4" s="42" t="s">
        <v>0</v>
      </c>
      <c r="D4" s="42" t="s">
        <v>1</v>
      </c>
      <c r="E4" s="42" t="s">
        <v>2</v>
      </c>
      <c r="F4" s="42" t="s">
        <v>3</v>
      </c>
      <c r="G4" s="42" t="s">
        <v>4</v>
      </c>
      <c r="H4" s="42" t="s">
        <v>5</v>
      </c>
      <c r="I4" s="42" t="s">
        <v>6</v>
      </c>
      <c r="J4" s="42" t="s">
        <v>7</v>
      </c>
      <c r="K4" s="42" t="s">
        <v>8</v>
      </c>
      <c r="L4" s="42" t="s">
        <v>9</v>
      </c>
      <c r="M4" s="42" t="s">
        <v>10</v>
      </c>
      <c r="N4" s="42" t="s">
        <v>11</v>
      </c>
      <c r="O4" s="42"/>
      <c r="P4" s="42" t="s">
        <v>53</v>
      </c>
      <c r="Q4" s="42" t="s">
        <v>54</v>
      </c>
      <c r="R4" s="42" t="s">
        <v>55</v>
      </c>
      <c r="S4" s="42" t="s">
        <v>56</v>
      </c>
      <c r="U4" s="42" t="s">
        <v>0</v>
      </c>
      <c r="V4" s="42" t="s">
        <v>1</v>
      </c>
      <c r="W4" s="42" t="s">
        <v>2</v>
      </c>
      <c r="X4" s="42" t="s">
        <v>3</v>
      </c>
      <c r="Y4" s="42" t="s">
        <v>4</v>
      </c>
      <c r="Z4" s="42" t="s">
        <v>5</v>
      </c>
      <c r="AA4" s="42" t="s">
        <v>6</v>
      </c>
      <c r="AB4" s="42" t="s">
        <v>7</v>
      </c>
      <c r="AC4" s="42" t="s">
        <v>8</v>
      </c>
      <c r="AD4" s="42" t="s">
        <v>9</v>
      </c>
      <c r="AE4" s="42" t="s">
        <v>10</v>
      </c>
      <c r="AF4" s="42" t="s">
        <v>11</v>
      </c>
    </row>
    <row r="5" spans="1:32">
      <c r="A5" s="40" t="s">
        <v>22</v>
      </c>
      <c r="B5" s="40" t="s">
        <v>13</v>
      </c>
      <c r="C5" s="43">
        <v>-804042.22</v>
      </c>
      <c r="D5" s="43">
        <v>-1307209.5344056166</v>
      </c>
      <c r="E5" s="43">
        <v>-1771595.0032571398</v>
      </c>
      <c r="F5" s="43">
        <v>-2434426.665310978</v>
      </c>
      <c r="G5" s="43">
        <v>-2133360.3208322939</v>
      </c>
      <c r="H5" s="43">
        <v>-2134528.8018480847</v>
      </c>
      <c r="I5" s="43">
        <v>-2107362.6846952783</v>
      </c>
      <c r="J5" s="43">
        <v>-2380807.0015086103</v>
      </c>
      <c r="K5" s="43">
        <v>-1643811.0035743266</v>
      </c>
      <c r="L5" s="43">
        <v>-1739569.899315781</v>
      </c>
      <c r="M5" s="43">
        <v>-1739569.899315781</v>
      </c>
      <c r="N5" s="43">
        <v>-1739569.899315781</v>
      </c>
      <c r="P5" s="44">
        <v>-804042.22</v>
      </c>
      <c r="Q5" s="47">
        <v>-2434426.665310978</v>
      </c>
      <c r="R5" s="47">
        <v>-2107362.6846952783</v>
      </c>
      <c r="S5" s="47">
        <v>-1739569.899315781</v>
      </c>
      <c r="U5" s="47">
        <v>-2881556.3146692249</v>
      </c>
      <c r="V5" s="47">
        <v>-2881556.3146692249</v>
      </c>
      <c r="W5" s="47">
        <v>-2881556.3146692249</v>
      </c>
      <c r="X5" s="47">
        <v>-2881556.3146692249</v>
      </c>
      <c r="Y5" s="47">
        <v>-2881556.3146692249</v>
      </c>
      <c r="Z5" s="47">
        <v>-2881556.3146692249</v>
      </c>
      <c r="AA5" s="47">
        <v>-2881556.3146692249</v>
      </c>
      <c r="AB5" s="47">
        <v>-2881556.3146692249</v>
      </c>
      <c r="AC5" s="47">
        <v>-2881556.3146692249</v>
      </c>
      <c r="AD5" s="47">
        <v>-2881556.3146692249</v>
      </c>
      <c r="AE5" s="47">
        <v>-2881556.3146692249</v>
      </c>
      <c r="AF5" s="47">
        <v>-2881556.3146692249</v>
      </c>
    </row>
    <row r="6" spans="1:32">
      <c r="C6" s="45"/>
      <c r="D6" s="45"/>
      <c r="E6" s="45"/>
      <c r="F6" s="45"/>
      <c r="G6" s="45"/>
      <c r="H6" s="45"/>
      <c r="I6" s="45"/>
      <c r="J6" s="45"/>
      <c r="K6" s="45"/>
      <c r="L6" s="45"/>
      <c r="M6" s="45"/>
      <c r="N6" s="45"/>
    </row>
    <row r="7" spans="1:32">
      <c r="B7" s="40" t="s">
        <v>14</v>
      </c>
      <c r="C7" s="46">
        <v>1709837.5846945387</v>
      </c>
      <c r="D7" s="46">
        <v>1540355.4930238484</v>
      </c>
      <c r="E7" s="46">
        <v>1560783.0962139484</v>
      </c>
      <c r="F7" s="46">
        <v>1329763.3624063986</v>
      </c>
      <c r="G7" s="46">
        <v>1386933.7308590435</v>
      </c>
      <c r="H7" s="46">
        <v>1308769.5319822247</v>
      </c>
      <c r="I7" s="46">
        <v>1474089.5277281709</v>
      </c>
      <c r="J7" s="46">
        <v>1533224.3651405526</v>
      </c>
      <c r="K7" s="46">
        <v>1348591.138147881</v>
      </c>
      <c r="L7" s="46">
        <v>1392847.7020341761</v>
      </c>
      <c r="M7" s="46">
        <v>1478813.6315325766</v>
      </c>
      <c r="N7" s="46">
        <v>1725482.7838208671</v>
      </c>
      <c r="O7" s="47">
        <v>17789491.947584223</v>
      </c>
      <c r="P7" s="47">
        <v>4810976.1739323363</v>
      </c>
      <c r="Q7" s="47">
        <v>4025466.6252476666</v>
      </c>
      <c r="R7" s="47">
        <v>4355905.031016605</v>
      </c>
      <c r="S7" s="47">
        <v>4597144.1173876198</v>
      </c>
      <c r="U7" s="26">
        <v>0</v>
      </c>
      <c r="V7" s="26">
        <v>0</v>
      </c>
      <c r="W7" s="26">
        <v>0</v>
      </c>
      <c r="X7" s="26">
        <v>0</v>
      </c>
      <c r="Y7" s="26">
        <v>0</v>
      </c>
      <c r="Z7" s="26">
        <v>0</v>
      </c>
      <c r="AA7" s="26">
        <v>0</v>
      </c>
      <c r="AB7" s="26">
        <v>0</v>
      </c>
      <c r="AC7" s="26">
        <v>0</v>
      </c>
      <c r="AD7" s="26">
        <v>0</v>
      </c>
      <c r="AE7" s="26">
        <v>0</v>
      </c>
      <c r="AF7" s="26">
        <v>0</v>
      </c>
    </row>
    <row r="8" spans="1:32">
      <c r="A8" s="40" t="s">
        <v>21</v>
      </c>
      <c r="B8" s="40" t="s">
        <v>15</v>
      </c>
      <c r="C8" s="45">
        <v>1633105.9444056167</v>
      </c>
      <c r="D8" s="45">
        <v>1578922.8388515234</v>
      </c>
      <c r="E8" s="45">
        <v>1511211.9520538382</v>
      </c>
      <c r="F8" s="45">
        <v>1409007.2955213161</v>
      </c>
      <c r="G8" s="45">
        <v>1315639.1110157906</v>
      </c>
      <c r="H8" s="45">
        <v>1270904.4028471939</v>
      </c>
      <c r="I8" s="45">
        <v>1309677.8068133323</v>
      </c>
      <c r="J8" s="45">
        <v>1262074.6320657162</v>
      </c>
      <c r="K8" s="45">
        <v>756324.2257414544</v>
      </c>
      <c r="L8" s="45">
        <v>0</v>
      </c>
      <c r="M8" s="45">
        <v>0</v>
      </c>
      <c r="N8" s="45">
        <v>0</v>
      </c>
      <c r="O8" s="47">
        <v>12046868.209315781</v>
      </c>
      <c r="P8" s="47">
        <v>4723240.7353109783</v>
      </c>
      <c r="Q8" s="47">
        <v>3995550.8093843004</v>
      </c>
      <c r="R8" s="47">
        <v>3328076.6646205029</v>
      </c>
      <c r="S8" s="47">
        <v>0</v>
      </c>
    </row>
    <row r="9" spans="1:32">
      <c r="B9" s="40" t="s">
        <v>16</v>
      </c>
      <c r="C9" s="48">
        <v>-76731.640288922004</v>
      </c>
      <c r="D9" s="48">
        <v>38567.345827674959</v>
      </c>
      <c r="E9" s="48">
        <v>-49571.144160110271</v>
      </c>
      <c r="F9" s="48">
        <v>79243.933114917483</v>
      </c>
      <c r="G9" s="48">
        <v>-71294.619843252935</v>
      </c>
      <c r="H9" s="48">
        <v>-37865.129135030787</v>
      </c>
      <c r="I9" s="48">
        <v>-164411.7209148386</v>
      </c>
      <c r="J9" s="48">
        <v>-271149.73307483643</v>
      </c>
      <c r="K9" s="48">
        <v>-592266.91240642662</v>
      </c>
      <c r="L9" s="48">
        <v>-1392847.7020341761</v>
      </c>
      <c r="M9" s="48">
        <v>-1478813.6315325766</v>
      </c>
      <c r="N9" s="48">
        <v>-1725482.7838208671</v>
      </c>
      <c r="O9" s="48">
        <v>-5742623.7382684443</v>
      </c>
      <c r="P9" s="48">
        <v>-87735.438621358015</v>
      </c>
      <c r="Q9" s="48">
        <v>-29915.815863366239</v>
      </c>
      <c r="R9" s="48">
        <v>-1027828.3663961021</v>
      </c>
      <c r="S9" s="48">
        <v>-4597144.1173876198</v>
      </c>
    </row>
    <row r="10" spans="1:32">
      <c r="C10" s="45"/>
      <c r="D10" s="45"/>
      <c r="E10" s="45"/>
      <c r="F10" s="45"/>
      <c r="G10" s="45"/>
      <c r="H10" s="45"/>
      <c r="I10" s="45"/>
      <c r="J10" s="45"/>
      <c r="K10" s="45"/>
      <c r="L10" s="45"/>
      <c r="M10" s="45"/>
      <c r="N10" s="45"/>
    </row>
    <row r="11" spans="1:32">
      <c r="B11" s="40" t="s">
        <v>18</v>
      </c>
      <c r="C11" s="45">
        <v>1031155</v>
      </c>
      <c r="D11" s="45">
        <v>1031155</v>
      </c>
      <c r="E11" s="45">
        <v>1031155</v>
      </c>
      <c r="F11" s="45">
        <v>1031155</v>
      </c>
      <c r="G11" s="45">
        <v>1031155</v>
      </c>
      <c r="H11" s="45">
        <v>1031155</v>
      </c>
      <c r="I11" s="45">
        <v>1031155</v>
      </c>
      <c r="J11" s="45">
        <v>1031155</v>
      </c>
      <c r="K11" s="45">
        <v>1031155</v>
      </c>
      <c r="L11" s="45">
        <v>1031155</v>
      </c>
      <c r="M11" s="45">
        <v>1031155</v>
      </c>
      <c r="N11" s="45">
        <v>1031155</v>
      </c>
      <c r="O11" s="47">
        <v>12373860</v>
      </c>
      <c r="P11" s="47">
        <v>3093465</v>
      </c>
      <c r="Q11" s="47">
        <v>3093465</v>
      </c>
      <c r="R11" s="47">
        <v>3093465</v>
      </c>
      <c r="S11" s="47">
        <v>3093465</v>
      </c>
      <c r="U11" s="26">
        <v>0</v>
      </c>
      <c r="V11" s="26">
        <v>0</v>
      </c>
      <c r="W11" s="26">
        <v>0</v>
      </c>
      <c r="X11" s="26">
        <v>0</v>
      </c>
      <c r="Y11" s="26">
        <v>0</v>
      </c>
      <c r="Z11" s="26">
        <v>0</v>
      </c>
      <c r="AA11" s="26">
        <v>0</v>
      </c>
      <c r="AB11" s="26">
        <v>0</v>
      </c>
      <c r="AC11" s="26">
        <v>0</v>
      </c>
      <c r="AD11" s="26">
        <v>0</v>
      </c>
      <c r="AE11" s="26">
        <v>0</v>
      </c>
      <c r="AF11" s="26">
        <v>0</v>
      </c>
    </row>
    <row r="12" spans="1:32">
      <c r="A12" s="40" t="s">
        <v>20</v>
      </c>
      <c r="B12" s="40" t="s">
        <v>17</v>
      </c>
      <c r="C12" s="45">
        <v>1129938.6300000001</v>
      </c>
      <c r="D12" s="45">
        <v>1114537.3700000001</v>
      </c>
      <c r="E12" s="45">
        <v>848380.29</v>
      </c>
      <c r="F12" s="45">
        <v>1710073.6400000001</v>
      </c>
      <c r="G12" s="45">
        <v>1314470.6299999999</v>
      </c>
      <c r="H12" s="45">
        <v>1298070.52</v>
      </c>
      <c r="I12" s="45">
        <v>1036233.49</v>
      </c>
      <c r="J12" s="45">
        <v>1999070.63</v>
      </c>
      <c r="K12" s="45">
        <v>660565.32999999996</v>
      </c>
      <c r="L12" s="45">
        <v>0</v>
      </c>
      <c r="M12" s="45">
        <v>0</v>
      </c>
      <c r="N12" s="45">
        <v>0</v>
      </c>
      <c r="O12" s="47">
        <v>11111340.529999999</v>
      </c>
      <c r="P12" s="47">
        <v>3092856.29</v>
      </c>
      <c r="Q12" s="47">
        <v>4322614.79</v>
      </c>
      <c r="R12" s="47">
        <v>3695869.45</v>
      </c>
      <c r="S12" s="47">
        <v>0</v>
      </c>
    </row>
    <row r="13" spans="1:32">
      <c r="B13" s="40" t="s">
        <v>19</v>
      </c>
      <c r="C13" s="49">
        <v>-98783.630000000121</v>
      </c>
      <c r="D13" s="49">
        <v>-83382.370000000112</v>
      </c>
      <c r="E13" s="49">
        <v>182774.70999999996</v>
      </c>
      <c r="F13" s="49">
        <v>-678918.64000000013</v>
      </c>
      <c r="G13" s="49">
        <v>-283315.62999999989</v>
      </c>
      <c r="H13" s="49">
        <v>-266915.52</v>
      </c>
      <c r="I13" s="49">
        <v>-5078.4899999999907</v>
      </c>
      <c r="J13" s="49">
        <v>-967915.62999999989</v>
      </c>
      <c r="K13" s="49">
        <v>370589.67000000004</v>
      </c>
      <c r="L13" s="49">
        <v>1031155</v>
      </c>
      <c r="M13" s="49">
        <v>1031155</v>
      </c>
      <c r="N13" s="49">
        <v>1031155</v>
      </c>
      <c r="O13" s="48">
        <v>1262519.4699999997</v>
      </c>
      <c r="P13" s="49">
        <v>608.70999999996275</v>
      </c>
      <c r="Q13" s="49">
        <v>-1229149.79</v>
      </c>
      <c r="R13" s="49">
        <v>-602404.45000000019</v>
      </c>
      <c r="S13" s="49">
        <v>3093465</v>
      </c>
    </row>
    <row r="14" spans="1:32">
      <c r="C14" s="45"/>
      <c r="D14" s="45"/>
      <c r="E14" s="45"/>
      <c r="F14" s="45"/>
      <c r="G14" s="45"/>
      <c r="H14" s="45"/>
      <c r="I14" s="45"/>
      <c r="J14" s="45"/>
      <c r="K14" s="45"/>
      <c r="L14" s="45"/>
      <c r="M14" s="45"/>
      <c r="N14" s="45"/>
    </row>
    <row r="15" spans="1:32" ht="30">
      <c r="A15" s="40" t="s">
        <v>24</v>
      </c>
      <c r="B15" s="50" t="s">
        <v>23</v>
      </c>
      <c r="C15" s="45">
        <v>503167.31440561661</v>
      </c>
      <c r="D15" s="45">
        <v>464385.46885152324</v>
      </c>
      <c r="E15" s="45">
        <v>662831.66205383814</v>
      </c>
      <c r="F15" s="45">
        <v>-301066.34447868401</v>
      </c>
      <c r="G15" s="45">
        <v>1168.4810157907195</v>
      </c>
      <c r="H15" s="45">
        <v>-27166.117152806139</v>
      </c>
      <c r="I15" s="45">
        <v>273444.31681333226</v>
      </c>
      <c r="J15" s="45">
        <v>-736995.99793428369</v>
      </c>
      <c r="K15" s="45">
        <v>95758.895741454442</v>
      </c>
      <c r="L15" s="45">
        <v>0</v>
      </c>
      <c r="M15" s="45">
        <v>0</v>
      </c>
      <c r="N15" s="45">
        <v>0</v>
      </c>
      <c r="O15" s="45">
        <v>935527.67931578122</v>
      </c>
      <c r="P15" s="45">
        <v>1630384.4453109782</v>
      </c>
      <c r="Q15" s="45">
        <v>-327063.98061569966</v>
      </c>
      <c r="R15" s="45">
        <v>-367792.78537949733</v>
      </c>
      <c r="S15" s="45">
        <v>0</v>
      </c>
    </row>
    <row r="16" spans="1:32">
      <c r="C16" s="45"/>
      <c r="D16" s="45"/>
      <c r="E16" s="45"/>
      <c r="F16" s="45"/>
      <c r="G16" s="45"/>
      <c r="H16" s="45"/>
      <c r="I16" s="45"/>
      <c r="J16" s="45"/>
      <c r="K16" s="45"/>
      <c r="L16" s="45"/>
      <c r="M16" s="45"/>
      <c r="N16" s="45"/>
    </row>
    <row r="17" spans="2:32" ht="15.75" thickBot="1">
      <c r="B17" s="40" t="s">
        <v>25</v>
      </c>
      <c r="C17" s="60">
        <v>-1307209.5344056166</v>
      </c>
      <c r="D17" s="60">
        <v>-1771595.0032571398</v>
      </c>
      <c r="E17" s="60">
        <v>-2434426.665310978</v>
      </c>
      <c r="F17" s="60">
        <v>-2133360.3208322939</v>
      </c>
      <c r="G17" s="60">
        <v>-2134528.8018480847</v>
      </c>
      <c r="H17" s="60">
        <v>-2107362.6846952783</v>
      </c>
      <c r="I17" s="60">
        <v>-2380807.0015086103</v>
      </c>
      <c r="J17" s="60">
        <v>-1643811.0035743266</v>
      </c>
      <c r="K17" s="60">
        <v>-1739569.899315781</v>
      </c>
      <c r="L17" s="60">
        <v>-1739569.899315781</v>
      </c>
      <c r="M17" s="60">
        <v>-1739569.899315781</v>
      </c>
      <c r="N17" s="60">
        <v>-1739569.899315781</v>
      </c>
      <c r="O17" s="47"/>
      <c r="P17" s="47">
        <v>-2434426.665310978</v>
      </c>
      <c r="Q17" s="47">
        <v>-2107362.6846952783</v>
      </c>
      <c r="R17" s="47">
        <v>-1739569.899315781</v>
      </c>
      <c r="S17" s="47">
        <v>-1739569.899315781</v>
      </c>
    </row>
    <row r="18" spans="2:32" ht="15.75" thickTop="1"/>
    <row r="19" spans="2:32">
      <c r="B19" s="40" t="s">
        <v>28</v>
      </c>
      <c r="D19" s="44" t="s">
        <v>52</v>
      </c>
      <c r="E19" s="44" t="s">
        <v>52</v>
      </c>
      <c r="F19" s="44" t="s">
        <v>52</v>
      </c>
      <c r="G19" s="44" t="s">
        <v>52</v>
      </c>
      <c r="H19" s="44" t="s">
        <v>52</v>
      </c>
      <c r="I19" s="44" t="s">
        <v>52</v>
      </c>
      <c r="J19" s="44" t="s">
        <v>52</v>
      </c>
      <c r="K19" s="44" t="s">
        <v>52</v>
      </c>
      <c r="L19" s="44">
        <v>-2101262.6013499573</v>
      </c>
      <c r="M19" s="44">
        <v>-2187228.5308483578</v>
      </c>
      <c r="N19" s="47">
        <v>-2881556.3146692249</v>
      </c>
      <c r="P19" s="47"/>
      <c r="U19" s="47">
        <v>-2881556.3146692249</v>
      </c>
      <c r="V19" s="47">
        <v>-2881556.3146692249</v>
      </c>
      <c r="W19" s="47">
        <v>-2881556.3146692249</v>
      </c>
      <c r="X19" s="47">
        <v>-2881556.3146692249</v>
      </c>
      <c r="Y19" s="47">
        <v>-2881556.3146692249</v>
      </c>
      <c r="Z19" s="47">
        <v>-2881556.3146692249</v>
      </c>
      <c r="AA19" s="47">
        <v>-2881556.3146692249</v>
      </c>
      <c r="AB19" s="47">
        <v>-2881556.3146692249</v>
      </c>
      <c r="AC19" s="47">
        <v>-2881556.3146692249</v>
      </c>
      <c r="AD19" s="47">
        <v>-2881556.3146692249</v>
      </c>
      <c r="AE19" s="47">
        <v>-2881556.3146692249</v>
      </c>
      <c r="AF19" s="47">
        <v>-2881556.3146692249</v>
      </c>
    </row>
    <row r="20" spans="2:32">
      <c r="E20" s="47"/>
      <c r="F20" s="47"/>
      <c r="G20" s="47"/>
      <c r="H20" s="47"/>
      <c r="I20" s="47"/>
      <c r="J20" s="47"/>
      <c r="K20" s="47"/>
      <c r="L20" s="47"/>
      <c r="M20" s="47"/>
      <c r="N20" s="47"/>
    </row>
    <row r="22" spans="2:32">
      <c r="B22" s="51" t="s">
        <v>26</v>
      </c>
      <c r="C22" s="39"/>
      <c r="D22" s="39"/>
      <c r="E22" s="39"/>
      <c r="F22" s="39"/>
      <c r="G22" s="39"/>
      <c r="H22" s="39"/>
      <c r="I22" s="39"/>
      <c r="J22" s="39"/>
      <c r="K22" s="39"/>
      <c r="L22" s="39"/>
      <c r="M22" s="39"/>
      <c r="N22" s="39"/>
      <c r="O22" s="39"/>
    </row>
    <row r="23" spans="2:32">
      <c r="B23" s="91" t="s">
        <v>108</v>
      </c>
      <c r="C23" s="91"/>
      <c r="D23" s="91"/>
      <c r="E23" s="91"/>
      <c r="F23" s="91"/>
      <c r="G23" s="91"/>
      <c r="H23" s="91"/>
      <c r="I23" s="91"/>
      <c r="J23" s="91"/>
      <c r="K23" s="91"/>
      <c r="L23" s="91"/>
      <c r="M23" s="91"/>
      <c r="N23" s="91"/>
      <c r="O23" s="91"/>
    </row>
    <row r="24" spans="2:32">
      <c r="B24" s="91" t="s">
        <v>114</v>
      </c>
      <c r="C24" s="91"/>
      <c r="D24" s="91"/>
      <c r="E24" s="91"/>
      <c r="F24" s="91"/>
      <c r="G24" s="91"/>
      <c r="H24" s="91"/>
      <c r="I24" s="91"/>
      <c r="J24" s="91"/>
      <c r="K24" s="91"/>
      <c r="L24" s="91"/>
      <c r="M24" s="91"/>
      <c r="N24" s="91"/>
      <c r="O24" s="91"/>
    </row>
    <row r="25" spans="2:32">
      <c r="B25" s="91" t="s">
        <v>122</v>
      </c>
      <c r="C25" s="91"/>
      <c r="D25" s="91"/>
      <c r="E25" s="91"/>
      <c r="F25" s="91"/>
      <c r="G25" s="91"/>
      <c r="H25" s="91"/>
      <c r="I25" s="91"/>
      <c r="J25" s="91"/>
      <c r="K25" s="91"/>
      <c r="L25" s="91"/>
      <c r="M25" s="91"/>
      <c r="N25" s="91"/>
      <c r="O25" s="91"/>
    </row>
    <row r="26" spans="2:32">
      <c r="B26" s="91" t="s">
        <v>130</v>
      </c>
      <c r="C26" s="91"/>
      <c r="D26" s="91"/>
      <c r="E26" s="91"/>
      <c r="F26" s="91"/>
      <c r="G26" s="91"/>
      <c r="H26" s="91"/>
      <c r="I26" s="91"/>
      <c r="J26" s="91"/>
      <c r="K26" s="91"/>
      <c r="L26" s="91"/>
      <c r="M26" s="91"/>
      <c r="N26" s="91"/>
      <c r="O26" s="91"/>
    </row>
    <row r="27" spans="2:32">
      <c r="B27" s="91" t="s">
        <v>140</v>
      </c>
      <c r="C27" s="91"/>
      <c r="D27" s="91"/>
      <c r="E27" s="91"/>
      <c r="F27" s="91"/>
      <c r="G27" s="91"/>
      <c r="H27" s="91"/>
      <c r="I27" s="91"/>
      <c r="J27" s="91"/>
      <c r="K27" s="91"/>
      <c r="L27" s="91"/>
      <c r="M27" s="91"/>
      <c r="N27" s="91"/>
      <c r="O27" s="91"/>
    </row>
    <row r="28" spans="2:32">
      <c r="B28" s="90" t="s">
        <v>149</v>
      </c>
      <c r="C28" s="90"/>
      <c r="D28" s="90"/>
      <c r="E28" s="90"/>
      <c r="F28" s="90"/>
      <c r="G28" s="90"/>
      <c r="H28" s="90"/>
      <c r="I28" s="90"/>
      <c r="J28" s="90"/>
      <c r="K28" s="90"/>
      <c r="L28" s="90"/>
      <c r="M28" s="90"/>
      <c r="N28" s="90"/>
    </row>
    <row r="29" spans="2:32">
      <c r="B29" s="90" t="s">
        <v>156</v>
      </c>
      <c r="C29" s="90"/>
      <c r="D29" s="90"/>
      <c r="E29" s="90"/>
      <c r="F29" s="90"/>
      <c r="G29" s="90"/>
      <c r="H29" s="90"/>
      <c r="I29" s="90"/>
      <c r="J29" s="90"/>
      <c r="K29" s="90"/>
      <c r="L29" s="90"/>
      <c r="M29" s="90"/>
      <c r="N29" s="90"/>
    </row>
    <row r="30" spans="2:32">
      <c r="B30" s="90" t="s">
        <v>163</v>
      </c>
      <c r="C30" s="90"/>
      <c r="D30" s="90"/>
      <c r="E30" s="90"/>
      <c r="F30" s="90"/>
      <c r="G30" s="90"/>
      <c r="H30" s="90"/>
      <c r="I30" s="90"/>
      <c r="J30" s="90"/>
      <c r="K30" s="90"/>
      <c r="L30" s="90"/>
      <c r="M30" s="90"/>
      <c r="N30" s="90"/>
    </row>
    <row r="31" spans="2:32">
      <c r="B31" s="90" t="s">
        <v>175</v>
      </c>
      <c r="C31" s="90"/>
      <c r="D31" s="90"/>
      <c r="E31" s="90"/>
      <c r="F31" s="90"/>
      <c r="G31" s="90"/>
      <c r="H31" s="90"/>
      <c r="I31" s="90"/>
      <c r="J31" s="90"/>
      <c r="K31" s="90"/>
      <c r="L31" s="90"/>
      <c r="M31" s="90"/>
      <c r="N31" s="90"/>
    </row>
  </sheetData>
  <mergeCells count="9">
    <mergeCell ref="B31:N31"/>
    <mergeCell ref="B30:N30"/>
    <mergeCell ref="B29:N29"/>
    <mergeCell ref="B28:N28"/>
    <mergeCell ref="B23:O23"/>
    <mergeCell ref="B24:O24"/>
    <mergeCell ref="B25:O25"/>
    <mergeCell ref="B26:O26"/>
    <mergeCell ref="B27:O27"/>
  </mergeCells>
  <pageMargins left="0" right="0" top="0.75" bottom="0.75" header="0.3" footer="0.3"/>
  <pageSetup scale="63" fitToHeight="3" orientation="landscape" r:id="rId1"/>
  <legacyDrawing r:id="rId2"/>
</worksheet>
</file>

<file path=xl/worksheets/sheet4.xml><?xml version="1.0" encoding="utf-8"?>
<worksheet xmlns="http://schemas.openxmlformats.org/spreadsheetml/2006/main" xmlns:r="http://schemas.openxmlformats.org/officeDocument/2006/relationships">
  <sheetPr>
    <tabColor theme="7" tint="0.39997558519241921"/>
  </sheetPr>
  <dimension ref="A2:BD90"/>
  <sheetViews>
    <sheetView workbookViewId="0">
      <pane xSplit="2" ySplit="4" topLeftCell="C5" activePane="bottomRight" state="frozen"/>
      <selection activeCell="C34" sqref="C34"/>
      <selection pane="topRight" activeCell="C34" sqref="C34"/>
      <selection pane="bottomLeft" activeCell="C34" sqref="C34"/>
      <selection pane="bottomRight" activeCell="A4" sqref="A4"/>
    </sheetView>
  </sheetViews>
  <sheetFormatPr defaultRowHeight="15"/>
  <cols>
    <col min="1" max="1" width="10.28515625" bestFit="1" customWidth="1"/>
    <col min="2" max="2" width="43.28515625" customWidth="1"/>
    <col min="3" max="3" width="11.42578125" style="13" bestFit="1" customWidth="1"/>
    <col min="4" max="4" width="12.42578125" style="13" bestFit="1" customWidth="1"/>
    <col min="5" max="5" width="11.42578125" style="13" bestFit="1" customWidth="1"/>
    <col min="6" max="9" width="9.85546875" style="13" bestFit="1" customWidth="1"/>
    <col min="10" max="12" width="10.42578125" style="13" bestFit="1" customWidth="1"/>
    <col min="13" max="14" width="9.85546875" style="13" bestFit="1" customWidth="1"/>
    <col min="15" max="15" width="11.28515625" style="13" bestFit="1" customWidth="1"/>
    <col min="16" max="28" width="11.7109375" style="13" hidden="1" customWidth="1"/>
    <col min="29" max="34" width="11.7109375" style="13" customWidth="1"/>
    <col min="35" max="56" width="11.7109375" style="7" customWidth="1"/>
  </cols>
  <sheetData>
    <row r="2" spans="1:28">
      <c r="B2" s="39" t="s">
        <v>12</v>
      </c>
    </row>
    <row r="3" spans="1:28">
      <c r="B3" s="5" t="s">
        <v>41</v>
      </c>
      <c r="C3" s="14">
        <v>2012</v>
      </c>
      <c r="D3" s="14">
        <f>C3</f>
        <v>2012</v>
      </c>
      <c r="E3" s="14">
        <f t="shared" ref="E3:N3" si="0">D3</f>
        <v>2012</v>
      </c>
      <c r="F3" s="14">
        <f t="shared" si="0"/>
        <v>2012</v>
      </c>
      <c r="G3" s="14">
        <f t="shared" si="0"/>
        <v>2012</v>
      </c>
      <c r="H3" s="14">
        <f t="shared" si="0"/>
        <v>2012</v>
      </c>
      <c r="I3" s="14">
        <f t="shared" si="0"/>
        <v>2012</v>
      </c>
      <c r="J3" s="14">
        <f t="shared" si="0"/>
        <v>2012</v>
      </c>
      <c r="K3" s="14">
        <f t="shared" si="0"/>
        <v>2012</v>
      </c>
      <c r="L3" s="14">
        <f t="shared" si="0"/>
        <v>2012</v>
      </c>
      <c r="M3" s="14">
        <f t="shared" si="0"/>
        <v>2012</v>
      </c>
      <c r="N3" s="14">
        <f t="shared" si="0"/>
        <v>2012</v>
      </c>
      <c r="O3" s="14" t="s">
        <v>90</v>
      </c>
      <c r="P3" s="14">
        <v>2011</v>
      </c>
      <c r="Q3" s="14">
        <v>2011</v>
      </c>
      <c r="R3" s="14">
        <v>2011</v>
      </c>
      <c r="S3" s="14">
        <v>2011</v>
      </c>
      <c r="T3" s="14">
        <v>2011</v>
      </c>
      <c r="U3" s="14">
        <v>2011</v>
      </c>
      <c r="V3" s="14">
        <v>2011</v>
      </c>
      <c r="W3" s="14">
        <v>2011</v>
      </c>
      <c r="X3" s="14">
        <v>2011</v>
      </c>
      <c r="Y3" s="14">
        <v>2011</v>
      </c>
      <c r="Z3" s="14">
        <v>2011</v>
      </c>
      <c r="AA3" s="14">
        <v>2011</v>
      </c>
      <c r="AB3" s="14" t="s">
        <v>29</v>
      </c>
    </row>
    <row r="4" spans="1:28">
      <c r="C4" s="17" t="s">
        <v>0</v>
      </c>
      <c r="D4" s="17" t="s">
        <v>1</v>
      </c>
      <c r="E4" s="17" t="s">
        <v>2</v>
      </c>
      <c r="F4" s="17" t="s">
        <v>3</v>
      </c>
      <c r="G4" s="17" t="s">
        <v>4</v>
      </c>
      <c r="H4" s="17" t="s">
        <v>5</v>
      </c>
      <c r="I4" s="17" t="s">
        <v>6</v>
      </c>
      <c r="J4" s="17" t="s">
        <v>7</v>
      </c>
      <c r="K4" s="17" t="s">
        <v>8</v>
      </c>
      <c r="L4" s="17" t="s">
        <v>9</v>
      </c>
      <c r="M4" s="17" t="s">
        <v>10</v>
      </c>
      <c r="N4" s="17" t="s">
        <v>11</v>
      </c>
      <c r="O4" s="17"/>
      <c r="P4" s="14" t="s">
        <v>0</v>
      </c>
      <c r="Q4" s="14" t="s">
        <v>1</v>
      </c>
      <c r="R4" s="14" t="s">
        <v>2</v>
      </c>
      <c r="S4" s="14" t="s">
        <v>3</v>
      </c>
      <c r="T4" s="14" t="s">
        <v>4</v>
      </c>
      <c r="U4" s="14" t="s">
        <v>5</v>
      </c>
      <c r="V4" s="14" t="s">
        <v>6</v>
      </c>
      <c r="W4" s="14" t="s">
        <v>7</v>
      </c>
      <c r="X4" s="14" t="s">
        <v>8</v>
      </c>
      <c r="Y4" s="14" t="s">
        <v>9</v>
      </c>
      <c r="Z4" s="14" t="s">
        <v>10</v>
      </c>
      <c r="AA4" s="14" t="s">
        <v>11</v>
      </c>
      <c r="AB4" s="14"/>
    </row>
    <row r="5" spans="1:28">
      <c r="E5" s="15"/>
      <c r="F5" s="15"/>
      <c r="G5" s="15"/>
      <c r="H5" s="15"/>
      <c r="I5" s="15"/>
      <c r="J5" s="15"/>
      <c r="K5" s="15"/>
      <c r="L5" s="15"/>
      <c r="M5" s="15"/>
      <c r="N5" s="15"/>
    </row>
    <row r="6" spans="1:28">
      <c r="B6" s="9" t="s">
        <v>57</v>
      </c>
      <c r="E6" s="15"/>
      <c r="F6" s="15"/>
      <c r="G6" s="15"/>
      <c r="H6" s="15"/>
      <c r="I6" s="15"/>
      <c r="J6" s="15"/>
      <c r="K6" s="15"/>
      <c r="L6" s="15"/>
      <c r="M6" s="15"/>
      <c r="N6" s="15"/>
      <c r="O6" s="16"/>
    </row>
    <row r="7" spans="1:28">
      <c r="B7" s="5" t="s">
        <v>31</v>
      </c>
      <c r="C7" s="20">
        <f>4142993/12</f>
        <v>345249.41666666669</v>
      </c>
      <c r="D7" s="18">
        <f>C7</f>
        <v>345249.41666666669</v>
      </c>
      <c r="E7" s="18">
        <f t="shared" ref="E7:N7" si="1">D7</f>
        <v>345249.41666666669</v>
      </c>
      <c r="F7" s="18">
        <f t="shared" si="1"/>
        <v>345249.41666666669</v>
      </c>
      <c r="G7" s="18">
        <f t="shared" si="1"/>
        <v>345249.41666666669</v>
      </c>
      <c r="H7" s="18">
        <f t="shared" si="1"/>
        <v>345249.41666666669</v>
      </c>
      <c r="I7" s="18">
        <f t="shared" si="1"/>
        <v>345249.41666666669</v>
      </c>
      <c r="J7" s="18">
        <f t="shared" si="1"/>
        <v>345249.41666666669</v>
      </c>
      <c r="K7" s="18">
        <f t="shared" si="1"/>
        <v>345249.41666666669</v>
      </c>
      <c r="L7" s="18">
        <f t="shared" si="1"/>
        <v>345249.41666666669</v>
      </c>
      <c r="M7" s="18">
        <f t="shared" si="1"/>
        <v>345249.41666666669</v>
      </c>
      <c r="N7" s="18">
        <f t="shared" si="1"/>
        <v>345249.41666666669</v>
      </c>
      <c r="O7" s="16">
        <f t="shared" ref="O7:O13" si="2">SUM(C7:N7)</f>
        <v>4142992.9999999995</v>
      </c>
    </row>
    <row r="8" spans="1:28">
      <c r="B8" s="5" t="s">
        <v>32</v>
      </c>
      <c r="C8" s="18">
        <f>1243159/12</f>
        <v>103596.58333333333</v>
      </c>
      <c r="D8" s="18">
        <f>C8</f>
        <v>103596.58333333333</v>
      </c>
      <c r="E8" s="18">
        <f t="shared" ref="E8:N8" si="3">D8</f>
        <v>103596.58333333333</v>
      </c>
      <c r="F8" s="18">
        <f t="shared" si="3"/>
        <v>103596.58333333333</v>
      </c>
      <c r="G8" s="18">
        <f t="shared" si="3"/>
        <v>103596.58333333333</v>
      </c>
      <c r="H8" s="18">
        <f t="shared" si="3"/>
        <v>103596.58333333333</v>
      </c>
      <c r="I8" s="18">
        <f t="shared" si="3"/>
        <v>103596.58333333333</v>
      </c>
      <c r="J8" s="18">
        <f t="shared" si="3"/>
        <v>103596.58333333333</v>
      </c>
      <c r="K8" s="18">
        <f t="shared" si="3"/>
        <v>103596.58333333333</v>
      </c>
      <c r="L8" s="18">
        <f t="shared" si="3"/>
        <v>103596.58333333333</v>
      </c>
      <c r="M8" s="18">
        <f t="shared" si="3"/>
        <v>103596.58333333333</v>
      </c>
      <c r="N8" s="18">
        <f t="shared" si="3"/>
        <v>103596.58333333333</v>
      </c>
      <c r="O8" s="16">
        <f t="shared" si="2"/>
        <v>1243159</v>
      </c>
    </row>
    <row r="9" spans="1:28">
      <c r="B9" s="5" t="s">
        <v>75</v>
      </c>
      <c r="C9" s="18">
        <f>1359527/12</f>
        <v>113293.91666666667</v>
      </c>
      <c r="D9" s="18">
        <f>C9</f>
        <v>113293.91666666667</v>
      </c>
      <c r="E9" s="18">
        <f t="shared" ref="E9:N9" si="4">D9</f>
        <v>113293.91666666667</v>
      </c>
      <c r="F9" s="18">
        <f t="shared" si="4"/>
        <v>113293.91666666667</v>
      </c>
      <c r="G9" s="18">
        <f t="shared" si="4"/>
        <v>113293.91666666667</v>
      </c>
      <c r="H9" s="18">
        <f t="shared" si="4"/>
        <v>113293.91666666667</v>
      </c>
      <c r="I9" s="18">
        <f t="shared" si="4"/>
        <v>113293.91666666667</v>
      </c>
      <c r="J9" s="18">
        <f t="shared" si="4"/>
        <v>113293.91666666667</v>
      </c>
      <c r="K9" s="18">
        <f t="shared" si="4"/>
        <v>113293.91666666667</v>
      </c>
      <c r="L9" s="18">
        <f t="shared" si="4"/>
        <v>113293.91666666667</v>
      </c>
      <c r="M9" s="18">
        <f t="shared" si="4"/>
        <v>113293.91666666667</v>
      </c>
      <c r="N9" s="18">
        <f t="shared" si="4"/>
        <v>113293.91666666667</v>
      </c>
      <c r="O9" s="16">
        <f t="shared" si="2"/>
        <v>1359527</v>
      </c>
    </row>
    <row r="10" spans="1:28" hidden="1">
      <c r="B10" s="5" t="s">
        <v>33</v>
      </c>
      <c r="E10" s="15"/>
      <c r="F10" s="15"/>
      <c r="G10" s="15"/>
      <c r="H10" s="15"/>
      <c r="I10" s="15"/>
      <c r="J10" s="15"/>
      <c r="K10" s="15"/>
      <c r="L10" s="15"/>
      <c r="M10" s="15"/>
      <c r="N10" s="15"/>
      <c r="O10" s="16">
        <f t="shared" si="2"/>
        <v>0</v>
      </c>
    </row>
    <row r="11" spans="1:28" hidden="1">
      <c r="B11" s="5" t="s">
        <v>34</v>
      </c>
      <c r="E11" s="15"/>
      <c r="F11" s="15"/>
      <c r="G11" s="15"/>
      <c r="H11" s="15"/>
      <c r="I11" s="15"/>
      <c r="J11" s="15"/>
      <c r="K11" s="15"/>
      <c r="L11" s="15"/>
      <c r="M11" s="15"/>
      <c r="N11" s="15"/>
      <c r="O11" s="16">
        <f t="shared" si="2"/>
        <v>0</v>
      </c>
    </row>
    <row r="12" spans="1:28" hidden="1">
      <c r="B12" s="5" t="s">
        <v>35</v>
      </c>
      <c r="E12" s="15"/>
      <c r="F12" s="15"/>
      <c r="G12" s="15"/>
      <c r="H12" s="15"/>
      <c r="I12" s="15"/>
      <c r="J12" s="15"/>
      <c r="K12" s="15"/>
      <c r="L12" s="15"/>
      <c r="M12" s="15"/>
      <c r="N12" s="15"/>
      <c r="O12" s="16">
        <f t="shared" si="2"/>
        <v>0</v>
      </c>
    </row>
    <row r="13" spans="1:28" hidden="1">
      <c r="B13" s="5" t="s">
        <v>36</v>
      </c>
      <c r="E13" s="15"/>
      <c r="F13" s="15"/>
      <c r="G13" s="15"/>
      <c r="H13" s="15"/>
      <c r="I13" s="15"/>
      <c r="J13" s="15"/>
      <c r="K13" s="15"/>
      <c r="L13" s="15"/>
      <c r="M13" s="15"/>
      <c r="N13" s="15"/>
      <c r="O13" s="16">
        <f t="shared" si="2"/>
        <v>0</v>
      </c>
    </row>
    <row r="14" spans="1:28">
      <c r="A14" t="s">
        <v>22</v>
      </c>
      <c r="B14" s="9" t="s">
        <v>37</v>
      </c>
      <c r="C14" s="19">
        <f>SUM(C7:C13)</f>
        <v>562139.91666666663</v>
      </c>
      <c r="D14" s="19">
        <f t="shared" ref="D14:N14" si="5">SUM(D7:D13)</f>
        <v>562139.91666666663</v>
      </c>
      <c r="E14" s="19">
        <f t="shared" si="5"/>
        <v>562139.91666666663</v>
      </c>
      <c r="F14" s="19">
        <f t="shared" si="5"/>
        <v>562139.91666666663</v>
      </c>
      <c r="G14" s="19">
        <f t="shared" si="5"/>
        <v>562139.91666666663</v>
      </c>
      <c r="H14" s="19">
        <f t="shared" si="5"/>
        <v>562139.91666666663</v>
      </c>
      <c r="I14" s="19">
        <f t="shared" si="5"/>
        <v>562139.91666666663</v>
      </c>
      <c r="J14" s="19">
        <f t="shared" si="5"/>
        <v>562139.91666666663</v>
      </c>
      <c r="K14" s="19">
        <f t="shared" si="5"/>
        <v>562139.91666666663</v>
      </c>
      <c r="L14" s="19">
        <f t="shared" si="5"/>
        <v>562139.91666666663</v>
      </c>
      <c r="M14" s="19">
        <f t="shared" si="5"/>
        <v>562139.91666666663</v>
      </c>
      <c r="N14" s="19">
        <f t="shared" si="5"/>
        <v>562139.91666666663</v>
      </c>
      <c r="O14" s="19">
        <f>SUM(O7:O13)</f>
        <v>6745679</v>
      </c>
    </row>
    <row r="15" spans="1:28">
      <c r="B15" s="9"/>
      <c r="E15" s="15"/>
      <c r="F15" s="15"/>
      <c r="G15" s="15"/>
      <c r="H15" s="15"/>
      <c r="I15" s="15"/>
      <c r="J15" s="15"/>
      <c r="K15" s="15"/>
      <c r="L15" s="15"/>
      <c r="M15" s="15"/>
      <c r="N15" s="15"/>
      <c r="O15" s="16"/>
    </row>
    <row r="16" spans="1:28">
      <c r="B16" s="9" t="s">
        <v>78</v>
      </c>
      <c r="E16" s="15"/>
      <c r="F16" s="15"/>
      <c r="G16" s="15"/>
      <c r="H16" s="15"/>
      <c r="I16" s="15"/>
      <c r="J16" s="15"/>
      <c r="K16" s="15"/>
      <c r="L16" s="15"/>
      <c r="M16" s="15"/>
      <c r="N16" s="15"/>
      <c r="O16" s="16"/>
    </row>
    <row r="17" spans="1:16">
      <c r="B17" s="5" t="s">
        <v>31</v>
      </c>
      <c r="C17" s="20">
        <f>(84000+845683)/12</f>
        <v>77473.583333333328</v>
      </c>
      <c r="D17" s="18">
        <f>C17</f>
        <v>77473.583333333328</v>
      </c>
      <c r="E17" s="18">
        <f t="shared" ref="E17:N17" si="6">D17</f>
        <v>77473.583333333328</v>
      </c>
      <c r="F17" s="18">
        <f t="shared" si="6"/>
        <v>77473.583333333328</v>
      </c>
      <c r="G17" s="18">
        <f t="shared" si="6"/>
        <v>77473.583333333328</v>
      </c>
      <c r="H17" s="18">
        <f t="shared" si="6"/>
        <v>77473.583333333328</v>
      </c>
      <c r="I17" s="18">
        <f t="shared" si="6"/>
        <v>77473.583333333328</v>
      </c>
      <c r="J17" s="18">
        <f t="shared" si="6"/>
        <v>77473.583333333328</v>
      </c>
      <c r="K17" s="18">
        <f t="shared" si="6"/>
        <v>77473.583333333328</v>
      </c>
      <c r="L17" s="18">
        <f t="shared" si="6"/>
        <v>77473.583333333328</v>
      </c>
      <c r="M17" s="18">
        <f t="shared" si="6"/>
        <v>77473.583333333328</v>
      </c>
      <c r="N17" s="18">
        <f t="shared" si="6"/>
        <v>77473.583333333328</v>
      </c>
      <c r="O17" s="16">
        <f t="shared" ref="O17:O24" si="7">SUM(C17:N17)</f>
        <v>929683.00000000012</v>
      </c>
    </row>
    <row r="18" spans="1:16">
      <c r="B18" s="5" t="s">
        <v>32</v>
      </c>
      <c r="C18" s="18">
        <f>(208250+196685)/12</f>
        <v>33744.583333333336</v>
      </c>
      <c r="D18" s="18">
        <f t="shared" ref="D18:N24" si="8">C18</f>
        <v>33744.583333333336</v>
      </c>
      <c r="E18" s="18">
        <f t="shared" si="8"/>
        <v>33744.583333333336</v>
      </c>
      <c r="F18" s="18">
        <f t="shared" si="8"/>
        <v>33744.583333333336</v>
      </c>
      <c r="G18" s="18">
        <f t="shared" si="8"/>
        <v>33744.583333333336</v>
      </c>
      <c r="H18" s="18">
        <f t="shared" si="8"/>
        <v>33744.583333333336</v>
      </c>
      <c r="I18" s="18">
        <f t="shared" si="8"/>
        <v>33744.583333333336</v>
      </c>
      <c r="J18" s="18">
        <f t="shared" si="8"/>
        <v>33744.583333333336</v>
      </c>
      <c r="K18" s="18">
        <f t="shared" si="8"/>
        <v>33744.583333333336</v>
      </c>
      <c r="L18" s="18">
        <f t="shared" si="8"/>
        <v>33744.583333333336</v>
      </c>
      <c r="M18" s="18">
        <f t="shared" si="8"/>
        <v>33744.583333333336</v>
      </c>
      <c r="N18" s="18">
        <f t="shared" si="8"/>
        <v>33744.583333333336</v>
      </c>
      <c r="O18" s="16">
        <f t="shared" si="7"/>
        <v>404934.99999999994</v>
      </c>
    </row>
    <row r="19" spans="1:16">
      <c r="B19" s="5" t="s">
        <v>75</v>
      </c>
      <c r="C19" s="15">
        <f>(0+10444)/12</f>
        <v>870.33333333333337</v>
      </c>
      <c r="D19" s="18">
        <f t="shared" si="8"/>
        <v>870.33333333333337</v>
      </c>
      <c r="E19" s="18">
        <f t="shared" si="8"/>
        <v>870.33333333333337</v>
      </c>
      <c r="F19" s="18">
        <f t="shared" si="8"/>
        <v>870.33333333333337</v>
      </c>
      <c r="G19" s="18">
        <f t="shared" si="8"/>
        <v>870.33333333333337</v>
      </c>
      <c r="H19" s="18">
        <f t="shared" si="8"/>
        <v>870.33333333333337</v>
      </c>
      <c r="I19" s="18">
        <f t="shared" si="8"/>
        <v>870.33333333333337</v>
      </c>
      <c r="J19" s="18">
        <f t="shared" si="8"/>
        <v>870.33333333333337</v>
      </c>
      <c r="K19" s="18">
        <f t="shared" si="8"/>
        <v>870.33333333333337</v>
      </c>
      <c r="L19" s="18">
        <f t="shared" si="8"/>
        <v>870.33333333333337</v>
      </c>
      <c r="M19" s="18">
        <f t="shared" si="8"/>
        <v>870.33333333333337</v>
      </c>
      <c r="N19" s="18">
        <f t="shared" si="8"/>
        <v>870.33333333333337</v>
      </c>
      <c r="O19" s="16">
        <f t="shared" si="7"/>
        <v>10444</v>
      </c>
    </row>
    <row r="20" spans="1:16" hidden="1">
      <c r="B20" s="5" t="s">
        <v>33</v>
      </c>
      <c r="C20" s="15"/>
      <c r="D20" s="18">
        <f t="shared" si="8"/>
        <v>0</v>
      </c>
      <c r="E20" s="18">
        <f t="shared" si="8"/>
        <v>0</v>
      </c>
      <c r="F20" s="18">
        <f t="shared" si="8"/>
        <v>0</v>
      </c>
      <c r="G20" s="18">
        <f t="shared" si="8"/>
        <v>0</v>
      </c>
      <c r="H20" s="18">
        <f t="shared" si="8"/>
        <v>0</v>
      </c>
      <c r="I20" s="18">
        <f t="shared" si="8"/>
        <v>0</v>
      </c>
      <c r="J20" s="18">
        <f t="shared" si="8"/>
        <v>0</v>
      </c>
      <c r="K20" s="18">
        <f t="shared" si="8"/>
        <v>0</v>
      </c>
      <c r="L20" s="18">
        <f t="shared" si="8"/>
        <v>0</v>
      </c>
      <c r="M20" s="18">
        <f t="shared" si="8"/>
        <v>0</v>
      </c>
      <c r="N20" s="18">
        <f t="shared" si="8"/>
        <v>0</v>
      </c>
      <c r="O20" s="16">
        <f t="shared" si="7"/>
        <v>0</v>
      </c>
    </row>
    <row r="21" spans="1:16" hidden="1">
      <c r="B21" s="5" t="s">
        <v>34</v>
      </c>
      <c r="C21" s="15"/>
      <c r="D21" s="18">
        <f t="shared" si="8"/>
        <v>0</v>
      </c>
      <c r="E21" s="18">
        <f t="shared" si="8"/>
        <v>0</v>
      </c>
      <c r="F21" s="18">
        <f t="shared" si="8"/>
        <v>0</v>
      </c>
      <c r="G21" s="18">
        <f t="shared" si="8"/>
        <v>0</v>
      </c>
      <c r="H21" s="18">
        <f t="shared" si="8"/>
        <v>0</v>
      </c>
      <c r="I21" s="18">
        <f t="shared" si="8"/>
        <v>0</v>
      </c>
      <c r="J21" s="18">
        <f t="shared" si="8"/>
        <v>0</v>
      </c>
      <c r="K21" s="18">
        <f t="shared" si="8"/>
        <v>0</v>
      </c>
      <c r="L21" s="18">
        <f t="shared" si="8"/>
        <v>0</v>
      </c>
      <c r="M21" s="18">
        <f t="shared" si="8"/>
        <v>0</v>
      </c>
      <c r="N21" s="18">
        <f t="shared" si="8"/>
        <v>0</v>
      </c>
      <c r="O21" s="16">
        <f t="shared" si="7"/>
        <v>0</v>
      </c>
    </row>
    <row r="22" spans="1:16">
      <c r="B22" s="5" t="s">
        <v>35</v>
      </c>
      <c r="C22" s="18">
        <f>1515580/12</f>
        <v>126298.33333333333</v>
      </c>
      <c r="D22" s="18">
        <f t="shared" si="8"/>
        <v>126298.33333333333</v>
      </c>
      <c r="E22" s="18">
        <f t="shared" si="8"/>
        <v>126298.33333333333</v>
      </c>
      <c r="F22" s="18">
        <f t="shared" si="8"/>
        <v>126298.33333333333</v>
      </c>
      <c r="G22" s="18">
        <f t="shared" si="8"/>
        <v>126298.33333333333</v>
      </c>
      <c r="H22" s="18">
        <f t="shared" si="8"/>
        <v>126298.33333333333</v>
      </c>
      <c r="I22" s="18">
        <f t="shared" si="8"/>
        <v>126298.33333333333</v>
      </c>
      <c r="J22" s="18">
        <f t="shared" si="8"/>
        <v>126298.33333333333</v>
      </c>
      <c r="K22" s="18">
        <f t="shared" si="8"/>
        <v>126298.33333333333</v>
      </c>
      <c r="L22" s="18">
        <f t="shared" si="8"/>
        <v>126298.33333333333</v>
      </c>
      <c r="M22" s="18">
        <f t="shared" si="8"/>
        <v>126298.33333333333</v>
      </c>
      <c r="N22" s="18">
        <f t="shared" si="8"/>
        <v>126298.33333333333</v>
      </c>
      <c r="O22" s="16">
        <f t="shared" si="7"/>
        <v>1515579.9999999998</v>
      </c>
    </row>
    <row r="23" spans="1:16">
      <c r="B23" s="5" t="s">
        <v>77</v>
      </c>
      <c r="C23" s="18">
        <f>1012542/12</f>
        <v>84378.5</v>
      </c>
      <c r="D23" s="18">
        <f t="shared" si="8"/>
        <v>84378.5</v>
      </c>
      <c r="E23" s="18">
        <f t="shared" si="8"/>
        <v>84378.5</v>
      </c>
      <c r="F23" s="18">
        <f t="shared" si="8"/>
        <v>84378.5</v>
      </c>
      <c r="G23" s="18">
        <f t="shared" si="8"/>
        <v>84378.5</v>
      </c>
      <c r="H23" s="18">
        <f t="shared" si="8"/>
        <v>84378.5</v>
      </c>
      <c r="I23" s="18">
        <f t="shared" si="8"/>
        <v>84378.5</v>
      </c>
      <c r="J23" s="18">
        <f t="shared" si="8"/>
        <v>84378.5</v>
      </c>
      <c r="K23" s="18">
        <f t="shared" si="8"/>
        <v>84378.5</v>
      </c>
      <c r="L23" s="18">
        <f t="shared" si="8"/>
        <v>84378.5</v>
      </c>
      <c r="M23" s="18">
        <f t="shared" si="8"/>
        <v>84378.5</v>
      </c>
      <c r="N23" s="18">
        <f t="shared" si="8"/>
        <v>84378.5</v>
      </c>
      <c r="O23" s="16">
        <f t="shared" ref="O23" si="9">SUM(C23:N23)</f>
        <v>1012542</v>
      </c>
    </row>
    <row r="24" spans="1:16">
      <c r="B24" s="5" t="s">
        <v>36</v>
      </c>
      <c r="C24" s="18">
        <f>((56000+4480+392000+28000+28000+11200+3500+40000+249291+636664)+(95690+210172))/12</f>
        <v>146249.75</v>
      </c>
      <c r="D24" s="18">
        <f t="shared" si="8"/>
        <v>146249.75</v>
      </c>
      <c r="E24" s="18">
        <f t="shared" si="8"/>
        <v>146249.75</v>
      </c>
      <c r="F24" s="18">
        <f t="shared" si="8"/>
        <v>146249.75</v>
      </c>
      <c r="G24" s="18">
        <f t="shared" si="8"/>
        <v>146249.75</v>
      </c>
      <c r="H24" s="18">
        <f t="shared" si="8"/>
        <v>146249.75</v>
      </c>
      <c r="I24" s="18">
        <f t="shared" si="8"/>
        <v>146249.75</v>
      </c>
      <c r="J24" s="18">
        <f t="shared" si="8"/>
        <v>146249.75</v>
      </c>
      <c r="K24" s="18">
        <f t="shared" si="8"/>
        <v>146249.75</v>
      </c>
      <c r="L24" s="18">
        <f t="shared" si="8"/>
        <v>146249.75</v>
      </c>
      <c r="M24" s="18">
        <f t="shared" si="8"/>
        <v>146249.75</v>
      </c>
      <c r="N24" s="18">
        <f t="shared" si="8"/>
        <v>146249.75</v>
      </c>
      <c r="O24" s="16">
        <f t="shared" si="7"/>
        <v>1754997</v>
      </c>
    </row>
    <row r="25" spans="1:16">
      <c r="A25" t="s">
        <v>21</v>
      </c>
      <c r="B25" s="9" t="s">
        <v>79</v>
      </c>
      <c r="C25" s="19">
        <f t="shared" ref="C25:N25" si="10">SUM(C17:C24)</f>
        <v>469015.08333333331</v>
      </c>
      <c r="D25" s="19">
        <f t="shared" si="10"/>
        <v>469015.08333333331</v>
      </c>
      <c r="E25" s="19">
        <f t="shared" si="10"/>
        <v>469015.08333333331</v>
      </c>
      <c r="F25" s="19">
        <f t="shared" si="10"/>
        <v>469015.08333333331</v>
      </c>
      <c r="G25" s="19">
        <f t="shared" si="10"/>
        <v>469015.08333333331</v>
      </c>
      <c r="H25" s="19">
        <f t="shared" si="10"/>
        <v>469015.08333333331</v>
      </c>
      <c r="I25" s="19">
        <f t="shared" si="10"/>
        <v>469015.08333333331</v>
      </c>
      <c r="J25" s="19">
        <f t="shared" si="10"/>
        <v>469015.08333333331</v>
      </c>
      <c r="K25" s="19">
        <f t="shared" si="10"/>
        <v>469015.08333333331</v>
      </c>
      <c r="L25" s="19">
        <f t="shared" si="10"/>
        <v>469015.08333333331</v>
      </c>
      <c r="M25" s="19">
        <f t="shared" si="10"/>
        <v>469015.08333333331</v>
      </c>
      <c r="N25" s="19">
        <f t="shared" si="10"/>
        <v>469015.08333333331</v>
      </c>
      <c r="O25" s="19">
        <f>SUM(O17:O24)</f>
        <v>5628181</v>
      </c>
    </row>
    <row r="26" spans="1:16" ht="16.149999999999999" customHeight="1">
      <c r="B26" s="9"/>
      <c r="E26" s="15"/>
      <c r="F26" s="15"/>
      <c r="G26" s="15"/>
      <c r="H26" s="15"/>
      <c r="I26" s="15"/>
      <c r="J26" s="15"/>
      <c r="K26" s="15"/>
      <c r="L26" s="15"/>
      <c r="M26" s="15"/>
      <c r="N26" s="15"/>
      <c r="O26" s="16"/>
    </row>
    <row r="27" spans="1:16" ht="15.75" thickBot="1">
      <c r="A27" t="s">
        <v>80</v>
      </c>
      <c r="B27" s="9" t="s">
        <v>135</v>
      </c>
      <c r="C27" s="21">
        <f>C25+C14</f>
        <v>1031155</v>
      </c>
      <c r="D27" s="21">
        <f>D25+D14</f>
        <v>1031155</v>
      </c>
      <c r="E27" s="21">
        <f t="shared" ref="E27:O27" si="11">E25+E14</f>
        <v>1031155</v>
      </c>
      <c r="F27" s="21">
        <f t="shared" si="11"/>
        <v>1031155</v>
      </c>
      <c r="G27" s="21">
        <f t="shared" si="11"/>
        <v>1031155</v>
      </c>
      <c r="H27" s="21">
        <f t="shared" si="11"/>
        <v>1031155</v>
      </c>
      <c r="I27" s="21">
        <f t="shared" si="11"/>
        <v>1031155</v>
      </c>
      <c r="J27" s="21">
        <f t="shared" si="11"/>
        <v>1031155</v>
      </c>
      <c r="K27" s="21">
        <f t="shared" si="11"/>
        <v>1031155</v>
      </c>
      <c r="L27" s="21">
        <f t="shared" si="11"/>
        <v>1031155</v>
      </c>
      <c r="M27" s="21">
        <f t="shared" si="11"/>
        <v>1031155</v>
      </c>
      <c r="N27" s="21">
        <f t="shared" si="11"/>
        <v>1031155</v>
      </c>
      <c r="O27" s="21">
        <f t="shared" si="11"/>
        <v>12373860</v>
      </c>
    </row>
    <row r="28" spans="1:16" ht="15.75" thickTop="1">
      <c r="B28" s="9"/>
    </row>
    <row r="29" spans="1:16">
      <c r="B29" s="10" t="s">
        <v>58</v>
      </c>
    </row>
    <row r="30" spans="1:16">
      <c r="B30" s="6" t="s">
        <v>31</v>
      </c>
      <c r="C30" s="18">
        <v>640218.53</v>
      </c>
      <c r="D30" s="18">
        <v>447533.17</v>
      </c>
      <c r="E30" s="18">
        <v>449683.55</v>
      </c>
      <c r="F30" s="18">
        <f>712414.28+100</f>
        <v>712514.28</v>
      </c>
      <c r="G30" s="18">
        <v>743359.72</v>
      </c>
      <c r="H30" s="18">
        <v>409232.13</v>
      </c>
      <c r="I30" s="18">
        <v>729195.66</v>
      </c>
      <c r="J30" s="18">
        <v>1699287.85</v>
      </c>
      <c r="K30" s="18">
        <v>336503.48</v>
      </c>
      <c r="L30" s="18"/>
      <c r="M30" s="18"/>
      <c r="N30" s="18"/>
      <c r="O30" s="16">
        <f t="shared" ref="O30:O36" si="12">SUM(C30:N30)</f>
        <v>6167528.370000001</v>
      </c>
      <c r="P30" s="16">
        <f t="shared" ref="P30:P36" si="13">SUM(D30:O30)</f>
        <v>11694838.210000001</v>
      </c>
    </row>
    <row r="31" spans="1:16">
      <c r="B31" s="6" t="s">
        <v>32</v>
      </c>
      <c r="C31" s="18">
        <v>145697.91</v>
      </c>
      <c r="D31" s="18">
        <v>77744.62</v>
      </c>
      <c r="E31" s="18">
        <v>53413.33</v>
      </c>
      <c r="F31" s="18">
        <v>106995.7</v>
      </c>
      <c r="G31" s="18">
        <v>180773.78000000003</v>
      </c>
      <c r="H31" s="18">
        <v>61210.71</v>
      </c>
      <c r="I31" s="18">
        <v>53072.1</v>
      </c>
      <c r="J31" s="18">
        <v>51411.189999999995</v>
      </c>
      <c r="K31" s="18">
        <v>87145.59</v>
      </c>
      <c r="L31" s="18"/>
      <c r="M31" s="18"/>
      <c r="N31" s="18"/>
      <c r="O31" s="16">
        <f t="shared" si="12"/>
        <v>817464.92999999993</v>
      </c>
      <c r="P31" s="16">
        <f t="shared" si="13"/>
        <v>1489231.95</v>
      </c>
    </row>
    <row r="32" spans="1:16">
      <c r="B32" s="6" t="s">
        <v>75</v>
      </c>
      <c r="C32" s="18">
        <v>2479.65</v>
      </c>
      <c r="D32" s="18"/>
      <c r="E32" s="18">
        <v>9.7799999999999994</v>
      </c>
      <c r="F32" s="18">
        <v>151612.35</v>
      </c>
      <c r="G32" s="18">
        <v>26120.2</v>
      </c>
      <c r="H32" s="18">
        <v>99336.99</v>
      </c>
      <c r="I32" s="18"/>
      <c r="J32" s="18">
        <v>49864.22</v>
      </c>
      <c r="K32" s="18"/>
      <c r="L32" s="18"/>
      <c r="M32" s="18"/>
      <c r="N32" s="18"/>
      <c r="O32" s="16">
        <f t="shared" si="12"/>
        <v>329423.19000000006</v>
      </c>
      <c r="P32" s="16">
        <f t="shared" si="13"/>
        <v>656366.7300000001</v>
      </c>
    </row>
    <row r="33" spans="1:16" hidden="1">
      <c r="B33" s="6" t="s">
        <v>33</v>
      </c>
      <c r="C33" s="18"/>
      <c r="D33" s="18"/>
      <c r="E33" s="18"/>
      <c r="F33" s="18"/>
      <c r="G33" s="18"/>
      <c r="H33" s="18"/>
      <c r="I33" s="18"/>
      <c r="J33" s="18"/>
      <c r="K33" s="18"/>
      <c r="L33" s="18"/>
      <c r="M33" s="18"/>
      <c r="N33" s="18"/>
      <c r="O33" s="16">
        <f t="shared" si="12"/>
        <v>0</v>
      </c>
      <c r="P33" s="16">
        <f t="shared" si="13"/>
        <v>0</v>
      </c>
    </row>
    <row r="34" spans="1:16" hidden="1">
      <c r="B34" s="6" t="s">
        <v>34</v>
      </c>
      <c r="C34" s="18"/>
      <c r="D34" s="18"/>
      <c r="E34" s="18"/>
      <c r="F34" s="18"/>
      <c r="G34" s="18"/>
      <c r="H34" s="18"/>
      <c r="I34" s="18"/>
      <c r="J34" s="18"/>
      <c r="K34" s="18"/>
      <c r="L34" s="18"/>
      <c r="M34" s="18"/>
      <c r="N34" s="18"/>
      <c r="O34" s="16">
        <f t="shared" si="12"/>
        <v>0</v>
      </c>
      <c r="P34" s="16">
        <f t="shared" si="13"/>
        <v>0</v>
      </c>
    </row>
    <row r="35" spans="1:16" hidden="1">
      <c r="B35" s="6" t="s">
        <v>35</v>
      </c>
      <c r="C35" s="18"/>
      <c r="D35" s="18"/>
      <c r="E35" s="18"/>
      <c r="F35" s="18"/>
      <c r="G35" s="18"/>
      <c r="H35" s="18"/>
      <c r="I35" s="18"/>
      <c r="J35" s="18"/>
      <c r="K35" s="18"/>
      <c r="L35" s="18"/>
      <c r="M35" s="18"/>
      <c r="N35" s="18"/>
      <c r="O35" s="16">
        <f t="shared" si="12"/>
        <v>0</v>
      </c>
      <c r="P35" s="16">
        <f t="shared" si="13"/>
        <v>0</v>
      </c>
    </row>
    <row r="36" spans="1:16" hidden="1">
      <c r="B36" s="6" t="s">
        <v>36</v>
      </c>
      <c r="C36" s="18"/>
      <c r="D36" s="18"/>
      <c r="E36" s="18"/>
      <c r="F36" s="18"/>
      <c r="G36" s="18"/>
      <c r="H36" s="18"/>
      <c r="I36" s="18"/>
      <c r="J36" s="18"/>
      <c r="K36" s="18"/>
      <c r="L36" s="18"/>
      <c r="M36" s="18"/>
      <c r="N36" s="18"/>
      <c r="O36" s="16">
        <f t="shared" si="12"/>
        <v>0</v>
      </c>
      <c r="P36" s="16">
        <f t="shared" si="13"/>
        <v>0</v>
      </c>
    </row>
    <row r="37" spans="1:16">
      <c r="A37" t="s">
        <v>20</v>
      </c>
      <c r="B37" s="10" t="s">
        <v>38</v>
      </c>
      <c r="C37" s="19">
        <f>SUM(C30:C36)</f>
        <v>788396.09000000008</v>
      </c>
      <c r="D37" s="19">
        <f t="shared" ref="D37:E37" si="14">SUM(D30:D36)</f>
        <v>525277.79</v>
      </c>
      <c r="E37" s="19">
        <f t="shared" si="14"/>
        <v>503106.66000000003</v>
      </c>
      <c r="F37" s="19">
        <f t="shared" ref="F37:N37" si="15">SUM(F30:F36)</f>
        <v>971122.33</v>
      </c>
      <c r="G37" s="19">
        <f t="shared" si="15"/>
        <v>950253.7</v>
      </c>
      <c r="H37" s="19">
        <f t="shared" si="15"/>
        <v>569779.83000000007</v>
      </c>
      <c r="I37" s="19">
        <f t="shared" si="15"/>
        <v>782267.76</v>
      </c>
      <c r="J37" s="19">
        <f t="shared" si="15"/>
        <v>1800563.26</v>
      </c>
      <c r="K37" s="19">
        <f t="shared" si="15"/>
        <v>423649.06999999995</v>
      </c>
      <c r="L37" s="19">
        <f t="shared" si="15"/>
        <v>0</v>
      </c>
      <c r="M37" s="19">
        <f t="shared" si="15"/>
        <v>0</v>
      </c>
      <c r="N37" s="19">
        <f t="shared" si="15"/>
        <v>0</v>
      </c>
      <c r="O37" s="19">
        <f t="shared" ref="O37" si="16">SUM(O30:O36)</f>
        <v>7314416.4900000012</v>
      </c>
      <c r="P37" s="19">
        <f>SUM(P30:P36)</f>
        <v>13840436.890000001</v>
      </c>
    </row>
    <row r="38" spans="1:16">
      <c r="B38" s="10"/>
      <c r="C38" s="18"/>
      <c r="D38" s="18"/>
      <c r="E38" s="18"/>
      <c r="F38" s="18"/>
      <c r="G38" s="18"/>
      <c r="H38" s="18"/>
      <c r="I38" s="18"/>
      <c r="J38" s="18"/>
      <c r="K38" s="18"/>
      <c r="L38" s="18"/>
      <c r="M38" s="18"/>
      <c r="N38" s="18"/>
      <c r="O38" s="18"/>
      <c r="P38" s="18"/>
    </row>
    <row r="39" spans="1:16">
      <c r="B39" s="10" t="s">
        <v>82</v>
      </c>
      <c r="C39" s="18"/>
      <c r="D39" s="18"/>
      <c r="E39" s="18"/>
      <c r="F39" s="18"/>
      <c r="G39" s="18"/>
      <c r="H39" s="18"/>
      <c r="I39" s="18"/>
      <c r="J39" s="18"/>
      <c r="K39" s="18"/>
      <c r="L39" s="18"/>
      <c r="M39" s="18"/>
      <c r="N39" s="18"/>
      <c r="O39" s="16"/>
      <c r="P39" s="18"/>
    </row>
    <row r="40" spans="1:16">
      <c r="B40" s="6" t="s">
        <v>31</v>
      </c>
      <c r="C40" s="18">
        <v>165232.63</v>
      </c>
      <c r="D40" s="18">
        <v>36037.460000000006</v>
      </c>
      <c r="E40" s="18">
        <v>88659.03</v>
      </c>
      <c r="F40" s="18">
        <v>30190.950000000004</v>
      </c>
      <c r="G40" s="18">
        <v>36945.600000000006</v>
      </c>
      <c r="H40" s="18">
        <v>29394.29</v>
      </c>
      <c r="I40" s="18">
        <v>34653.29</v>
      </c>
      <c r="J40" s="18">
        <v>39014.75</v>
      </c>
      <c r="K40" s="18">
        <v>20456.989999999998</v>
      </c>
      <c r="L40" s="18"/>
      <c r="M40" s="18"/>
      <c r="N40" s="18"/>
      <c r="O40" s="16">
        <f t="shared" ref="O40:O47" si="17">SUM(C40:N40)</f>
        <v>480584.99</v>
      </c>
      <c r="P40" s="16">
        <f t="shared" ref="P40:P47" si="18">SUM(D40:O40)</f>
        <v>795937.35</v>
      </c>
    </row>
    <row r="41" spans="1:16">
      <c r="B41" s="6" t="s">
        <v>32</v>
      </c>
      <c r="C41" s="18">
        <v>24316.389999999996</v>
      </c>
      <c r="D41" s="18">
        <v>24724.639999999996</v>
      </c>
      <c r="E41" s="18">
        <v>84510.539999999979</v>
      </c>
      <c r="F41" s="18">
        <v>57355.219999999994</v>
      </c>
      <c r="G41" s="18">
        <v>34322.340000000004</v>
      </c>
      <c r="H41" s="18">
        <v>76251.359999999986</v>
      </c>
      <c r="I41" s="18">
        <v>50261.339999999989</v>
      </c>
      <c r="J41" s="18">
        <v>-7030.95</v>
      </c>
      <c r="K41" s="18">
        <v>64243.100000000006</v>
      </c>
      <c r="L41" s="18"/>
      <c r="M41" s="18"/>
      <c r="N41" s="18"/>
      <c r="O41" s="16">
        <f t="shared" si="17"/>
        <v>408953.98</v>
      </c>
      <c r="P41" s="16">
        <f t="shared" si="18"/>
        <v>793591.57</v>
      </c>
    </row>
    <row r="42" spans="1:16">
      <c r="B42" s="6" t="s">
        <v>75</v>
      </c>
      <c r="C42" s="18">
        <v>2268</v>
      </c>
      <c r="D42" s="18">
        <v>2070.34</v>
      </c>
      <c r="E42" s="18">
        <v>246.27</v>
      </c>
      <c r="F42" s="18">
        <v>2415.61</v>
      </c>
      <c r="G42" s="18">
        <v>2636.7599999999998</v>
      </c>
      <c r="H42" s="18">
        <v>1568.69</v>
      </c>
      <c r="I42" s="18">
        <v>2583.16</v>
      </c>
      <c r="J42" s="18">
        <v>1261.67</v>
      </c>
      <c r="K42" s="18">
        <v>2269.41</v>
      </c>
      <c r="L42" s="18"/>
      <c r="M42" s="18"/>
      <c r="N42" s="18"/>
      <c r="O42" s="16">
        <f t="shared" si="17"/>
        <v>17319.910000000003</v>
      </c>
      <c r="P42" s="16">
        <f t="shared" si="18"/>
        <v>32371.820000000003</v>
      </c>
    </row>
    <row r="43" spans="1:16" hidden="1">
      <c r="B43" s="6" t="s">
        <v>33</v>
      </c>
      <c r="C43" s="18"/>
      <c r="D43" s="18"/>
      <c r="E43" s="18"/>
      <c r="F43" s="18"/>
      <c r="G43" s="18"/>
      <c r="H43" s="18"/>
      <c r="I43" s="18"/>
      <c r="J43" s="18"/>
      <c r="K43" s="18"/>
      <c r="L43" s="18"/>
      <c r="M43" s="18"/>
      <c r="N43" s="18"/>
      <c r="O43" s="16">
        <f t="shared" si="17"/>
        <v>0</v>
      </c>
      <c r="P43" s="16">
        <f t="shared" si="18"/>
        <v>0</v>
      </c>
    </row>
    <row r="44" spans="1:16" hidden="1">
      <c r="B44" s="6" t="s">
        <v>34</v>
      </c>
      <c r="C44" s="18"/>
      <c r="D44" s="18"/>
      <c r="E44" s="18"/>
      <c r="F44" s="18"/>
      <c r="G44" s="18"/>
      <c r="H44" s="18"/>
      <c r="I44" s="18"/>
      <c r="J44" s="18"/>
      <c r="K44" s="18"/>
      <c r="L44" s="18"/>
      <c r="M44" s="18"/>
      <c r="N44" s="18"/>
      <c r="O44" s="16">
        <f t="shared" si="17"/>
        <v>0</v>
      </c>
      <c r="P44" s="16">
        <f t="shared" si="18"/>
        <v>0</v>
      </c>
    </row>
    <row r="45" spans="1:16">
      <c r="B45" s="6" t="s">
        <v>35</v>
      </c>
      <c r="C45" s="18"/>
      <c r="D45" s="18">
        <v>345813.3</v>
      </c>
      <c r="E45" s="18"/>
      <c r="F45" s="18">
        <v>384528.9</v>
      </c>
      <c r="G45" s="18">
        <v>892.84</v>
      </c>
      <c r="H45" s="18">
        <v>364995.78</v>
      </c>
      <c r="I45" s="18">
        <v>810.5</v>
      </c>
      <c r="J45" s="18">
        <v>-206.92000000000002</v>
      </c>
      <c r="K45" s="18">
        <v>16.580000000000002</v>
      </c>
      <c r="L45" s="18"/>
      <c r="M45" s="18"/>
      <c r="N45" s="18"/>
      <c r="O45" s="16">
        <f t="shared" si="17"/>
        <v>1096850.98</v>
      </c>
      <c r="P45" s="16">
        <f t="shared" si="18"/>
        <v>2193701.96</v>
      </c>
    </row>
    <row r="46" spans="1:16">
      <c r="B46" s="6" t="s">
        <v>77</v>
      </c>
      <c r="C46" s="18">
        <v>54190.090000000004</v>
      </c>
      <c r="D46" s="18">
        <v>57351.35</v>
      </c>
      <c r="E46" s="18">
        <v>46736.140000000007</v>
      </c>
      <c r="F46" s="18">
        <v>115412.15000000001</v>
      </c>
      <c r="G46" s="18">
        <v>165100.28000000003</v>
      </c>
      <c r="H46" s="18">
        <v>145867.13999999998</v>
      </c>
      <c r="I46" s="18">
        <v>59061.11</v>
      </c>
      <c r="J46" s="18">
        <v>53929.08</v>
      </c>
      <c r="K46" s="18">
        <v>42835.75</v>
      </c>
      <c r="L46" s="18"/>
      <c r="M46" s="18"/>
      <c r="N46" s="18"/>
      <c r="O46" s="16">
        <f t="shared" ref="O46" si="19">SUM(C46:N46)</f>
        <v>740483.09</v>
      </c>
      <c r="P46" s="16"/>
    </row>
    <row r="47" spans="1:16">
      <c r="B47" s="6" t="s">
        <v>36</v>
      </c>
      <c r="C47" s="18">
        <v>95535.430000000008</v>
      </c>
      <c r="D47" s="18">
        <v>123262.49</v>
      </c>
      <c r="E47" s="18">
        <v>125121.65</v>
      </c>
      <c r="F47" s="18">
        <v>149048.48000000001</v>
      </c>
      <c r="G47" s="18">
        <v>124319.10999999999</v>
      </c>
      <c r="H47" s="18">
        <v>110213.43000000001</v>
      </c>
      <c r="I47" s="18">
        <v>106596.33</v>
      </c>
      <c r="J47" s="18">
        <v>111539.73999999999</v>
      </c>
      <c r="K47" s="18">
        <v>107094.43</v>
      </c>
      <c r="L47" s="18"/>
      <c r="M47" s="18"/>
      <c r="N47" s="18"/>
      <c r="O47" s="16">
        <f t="shared" si="17"/>
        <v>1052731.0900000001</v>
      </c>
      <c r="P47" s="16">
        <f t="shared" si="18"/>
        <v>2009926.75</v>
      </c>
    </row>
    <row r="48" spans="1:16">
      <c r="A48" t="s">
        <v>24</v>
      </c>
      <c r="B48" s="10" t="s">
        <v>83</v>
      </c>
      <c r="C48" s="19">
        <f t="shared" ref="C48:E48" si="20">SUM(C40:C47)</f>
        <v>341542.54</v>
      </c>
      <c r="D48" s="19">
        <f t="shared" si="20"/>
        <v>589259.57999999996</v>
      </c>
      <c r="E48" s="19">
        <f t="shared" si="20"/>
        <v>345273.63</v>
      </c>
      <c r="F48" s="19">
        <f t="shared" ref="F48:O48" si="21">SUM(F40:F47)</f>
        <v>738951.31</v>
      </c>
      <c r="G48" s="19">
        <f t="shared" si="21"/>
        <v>364216.93</v>
      </c>
      <c r="H48" s="19">
        <f t="shared" si="21"/>
        <v>728290.69000000006</v>
      </c>
      <c r="I48" s="19">
        <f t="shared" si="21"/>
        <v>253965.72999999998</v>
      </c>
      <c r="J48" s="19">
        <f t="shared" si="21"/>
        <v>198507.37</v>
      </c>
      <c r="K48" s="19">
        <f t="shared" si="21"/>
        <v>236916.26</v>
      </c>
      <c r="L48" s="19">
        <f t="shared" si="21"/>
        <v>0</v>
      </c>
      <c r="M48" s="19">
        <f t="shared" si="21"/>
        <v>0</v>
      </c>
      <c r="N48" s="19">
        <f t="shared" si="21"/>
        <v>0</v>
      </c>
      <c r="O48" s="19">
        <f t="shared" si="21"/>
        <v>3796924.04</v>
      </c>
      <c r="P48" s="19">
        <f>SUM(P40:P47)</f>
        <v>5825529.4500000002</v>
      </c>
    </row>
    <row r="49" spans="1:16">
      <c r="B49" s="10"/>
      <c r="C49" s="18"/>
      <c r="D49" s="18"/>
      <c r="E49" s="18"/>
      <c r="F49" s="18"/>
      <c r="G49" s="18"/>
      <c r="H49" s="18"/>
      <c r="I49" s="18"/>
      <c r="J49" s="18"/>
      <c r="K49" s="18"/>
      <c r="L49" s="18"/>
      <c r="M49" s="18"/>
      <c r="N49" s="18"/>
      <c r="O49" s="18"/>
      <c r="P49" s="18"/>
    </row>
    <row r="50" spans="1:16" ht="15.75" thickBot="1">
      <c r="A50" t="s">
        <v>81</v>
      </c>
      <c r="B50" s="10" t="s">
        <v>136</v>
      </c>
      <c r="C50" s="21">
        <f>C48+C37</f>
        <v>1129938.6300000001</v>
      </c>
      <c r="D50" s="21">
        <f t="shared" ref="D50:O50" si="22">D48+D37</f>
        <v>1114537.3700000001</v>
      </c>
      <c r="E50" s="21">
        <f t="shared" si="22"/>
        <v>848380.29</v>
      </c>
      <c r="F50" s="21">
        <f t="shared" si="22"/>
        <v>1710073.6400000001</v>
      </c>
      <c r="G50" s="21">
        <f t="shared" si="22"/>
        <v>1314470.6299999999</v>
      </c>
      <c r="H50" s="21">
        <f t="shared" si="22"/>
        <v>1298070.52</v>
      </c>
      <c r="I50" s="21">
        <f t="shared" si="22"/>
        <v>1036233.49</v>
      </c>
      <c r="J50" s="21">
        <f t="shared" si="22"/>
        <v>1999070.63</v>
      </c>
      <c r="K50" s="21">
        <f t="shared" si="22"/>
        <v>660565.32999999996</v>
      </c>
      <c r="L50" s="21">
        <f t="shared" si="22"/>
        <v>0</v>
      </c>
      <c r="M50" s="21">
        <f t="shared" si="22"/>
        <v>0</v>
      </c>
      <c r="N50" s="21">
        <f t="shared" si="22"/>
        <v>0</v>
      </c>
      <c r="O50" s="21">
        <f t="shared" si="22"/>
        <v>11111340.530000001</v>
      </c>
      <c r="P50" s="21" t="e">
        <f>#REF!+P48+P37</f>
        <v>#REF!</v>
      </c>
    </row>
    <row r="51" spans="1:16" ht="15.75" thickTop="1">
      <c r="B51" s="9"/>
    </row>
    <row r="52" spans="1:16">
      <c r="B52" s="41" t="s">
        <v>39</v>
      </c>
    </row>
    <row r="53" spans="1:16">
      <c r="B53" s="41" t="s">
        <v>59</v>
      </c>
    </row>
    <row r="54" spans="1:16">
      <c r="B54" s="40" t="s">
        <v>31</v>
      </c>
      <c r="C54" s="36">
        <f t="shared" ref="C54" si="23">C7-C30</f>
        <v>-294969.11333333334</v>
      </c>
      <c r="D54" s="36">
        <f>IF(D50&lt;&gt;0,D7-D30," ")</f>
        <v>-102283.7533333333</v>
      </c>
      <c r="E54" s="36">
        <f t="shared" ref="E54:N54" si="24">IF(E50&lt;&gt;0,E7-E30," ")</f>
        <v>-104434.1333333333</v>
      </c>
      <c r="F54" s="36">
        <f t="shared" si="24"/>
        <v>-367264.86333333334</v>
      </c>
      <c r="G54" s="36">
        <f t="shared" si="24"/>
        <v>-398110.30333333329</v>
      </c>
      <c r="H54" s="36">
        <f t="shared" si="24"/>
        <v>-63982.713333333319</v>
      </c>
      <c r="I54" s="36">
        <f t="shared" si="24"/>
        <v>-383946.24333333335</v>
      </c>
      <c r="J54" s="36">
        <f t="shared" si="24"/>
        <v>-1354038.4333333333</v>
      </c>
      <c r="K54" s="36">
        <f t="shared" si="24"/>
        <v>8745.9366666667047</v>
      </c>
      <c r="L54" s="36" t="str">
        <f t="shared" si="24"/>
        <v xml:space="preserve"> </v>
      </c>
      <c r="M54" s="36" t="str">
        <f t="shared" si="24"/>
        <v xml:space="preserve"> </v>
      </c>
      <c r="N54" s="36" t="str">
        <f t="shared" si="24"/>
        <v xml:space="preserve"> </v>
      </c>
      <c r="O54" s="16">
        <f t="shared" ref="O54:O60" si="25">SUM(C54:N54)</f>
        <v>-3060283.62</v>
      </c>
    </row>
    <row r="55" spans="1:16">
      <c r="B55" s="40" t="s">
        <v>32</v>
      </c>
      <c r="C55" s="36">
        <f t="shared" ref="C55" si="26">C8-C31</f>
        <v>-42101.326666666675</v>
      </c>
      <c r="D55" s="36">
        <f>IF(D50&lt;&gt;0,D8-D31," ")</f>
        <v>25851.963333333333</v>
      </c>
      <c r="E55" s="36">
        <f t="shared" ref="E55:N55" si="27">IF(E50&lt;&gt;0,E8-E31," ")</f>
        <v>50183.253333333327</v>
      </c>
      <c r="F55" s="36">
        <f t="shared" si="27"/>
        <v>-3399.1166666666686</v>
      </c>
      <c r="G55" s="36">
        <f t="shared" si="27"/>
        <v>-77177.196666666699</v>
      </c>
      <c r="H55" s="36">
        <f t="shared" si="27"/>
        <v>42385.873333333329</v>
      </c>
      <c r="I55" s="36">
        <f t="shared" si="27"/>
        <v>50524.48333333333</v>
      </c>
      <c r="J55" s="36">
        <f t="shared" si="27"/>
        <v>52185.393333333333</v>
      </c>
      <c r="K55" s="36">
        <f t="shared" si="27"/>
        <v>16450.993333333332</v>
      </c>
      <c r="L55" s="36" t="str">
        <f t="shared" si="27"/>
        <v xml:space="preserve"> </v>
      </c>
      <c r="M55" s="36" t="str">
        <f t="shared" si="27"/>
        <v xml:space="preserve"> </v>
      </c>
      <c r="N55" s="36" t="str">
        <f t="shared" si="27"/>
        <v xml:space="preserve"> </v>
      </c>
      <c r="O55" s="16">
        <f t="shared" si="25"/>
        <v>114904.31999999993</v>
      </c>
    </row>
    <row r="56" spans="1:16">
      <c r="B56" s="40" t="s">
        <v>75</v>
      </c>
      <c r="C56" s="36">
        <f t="shared" ref="C56" si="28">C9-C32</f>
        <v>110814.26666666668</v>
      </c>
      <c r="D56" s="36">
        <f>IF(D50&lt;&gt;0,D9-D32," ")</f>
        <v>113293.91666666667</v>
      </c>
      <c r="E56" s="36">
        <f t="shared" ref="E56:N56" si="29">IF(E50&lt;&gt;0,E9-E32," ")</f>
        <v>113284.13666666667</v>
      </c>
      <c r="F56" s="36">
        <f t="shared" si="29"/>
        <v>-38318.433333333334</v>
      </c>
      <c r="G56" s="36">
        <f t="shared" si="29"/>
        <v>87173.716666666674</v>
      </c>
      <c r="H56" s="36">
        <f t="shared" si="29"/>
        <v>13956.926666666666</v>
      </c>
      <c r="I56" s="36">
        <f t="shared" si="29"/>
        <v>113293.91666666667</v>
      </c>
      <c r="J56" s="36">
        <f t="shared" si="29"/>
        <v>63429.69666666667</v>
      </c>
      <c r="K56" s="36">
        <f t="shared" si="29"/>
        <v>113293.91666666667</v>
      </c>
      <c r="L56" s="36" t="str">
        <f t="shared" si="29"/>
        <v xml:space="preserve"> </v>
      </c>
      <c r="M56" s="36" t="str">
        <f t="shared" si="29"/>
        <v xml:space="preserve"> </v>
      </c>
      <c r="N56" s="36" t="str">
        <f t="shared" si="29"/>
        <v xml:space="preserve"> </v>
      </c>
      <c r="O56" s="16">
        <f t="shared" si="25"/>
        <v>690222.06</v>
      </c>
    </row>
    <row r="57" spans="1:16" hidden="1">
      <c r="B57" s="40" t="s">
        <v>33</v>
      </c>
      <c r="C57" s="36">
        <f t="shared" ref="C57:D57" si="30">C10-C33</f>
        <v>0</v>
      </c>
      <c r="D57" s="36">
        <f t="shared" si="30"/>
        <v>0</v>
      </c>
      <c r="E57" s="36">
        <f t="shared" ref="E57:N57" si="31">E10-E33</f>
        <v>0</v>
      </c>
      <c r="F57" s="36">
        <f t="shared" si="31"/>
        <v>0</v>
      </c>
      <c r="G57" s="36">
        <f t="shared" si="31"/>
        <v>0</v>
      </c>
      <c r="H57" s="36">
        <f t="shared" si="31"/>
        <v>0</v>
      </c>
      <c r="I57" s="36">
        <f t="shared" si="31"/>
        <v>0</v>
      </c>
      <c r="J57" s="36">
        <f t="shared" si="31"/>
        <v>0</v>
      </c>
      <c r="K57" s="36">
        <f t="shared" si="31"/>
        <v>0</v>
      </c>
      <c r="L57" s="36">
        <f t="shared" si="31"/>
        <v>0</v>
      </c>
      <c r="M57" s="36">
        <f t="shared" si="31"/>
        <v>0</v>
      </c>
      <c r="N57" s="36">
        <f t="shared" si="31"/>
        <v>0</v>
      </c>
      <c r="O57" s="16">
        <f t="shared" si="25"/>
        <v>0</v>
      </c>
    </row>
    <row r="58" spans="1:16" hidden="1">
      <c r="B58" s="40" t="s">
        <v>34</v>
      </c>
      <c r="C58" s="36">
        <f t="shared" ref="C58:D58" si="32">C11-C34</f>
        <v>0</v>
      </c>
      <c r="D58" s="36">
        <f t="shared" si="32"/>
        <v>0</v>
      </c>
      <c r="E58" s="36">
        <f t="shared" ref="E58:N58" si="33">E11-E34</f>
        <v>0</v>
      </c>
      <c r="F58" s="36">
        <f t="shared" si="33"/>
        <v>0</v>
      </c>
      <c r="G58" s="36">
        <f t="shared" si="33"/>
        <v>0</v>
      </c>
      <c r="H58" s="36">
        <f t="shared" si="33"/>
        <v>0</v>
      </c>
      <c r="I58" s="36">
        <f t="shared" si="33"/>
        <v>0</v>
      </c>
      <c r="J58" s="36">
        <f t="shared" si="33"/>
        <v>0</v>
      </c>
      <c r="K58" s="36">
        <f t="shared" si="33"/>
        <v>0</v>
      </c>
      <c r="L58" s="36">
        <f t="shared" si="33"/>
        <v>0</v>
      </c>
      <c r="M58" s="36">
        <f t="shared" si="33"/>
        <v>0</v>
      </c>
      <c r="N58" s="36">
        <f t="shared" si="33"/>
        <v>0</v>
      </c>
      <c r="O58" s="16">
        <f t="shared" si="25"/>
        <v>0</v>
      </c>
    </row>
    <row r="59" spans="1:16" hidden="1">
      <c r="B59" s="40" t="s">
        <v>35</v>
      </c>
      <c r="C59" s="36">
        <f t="shared" ref="C59:D59" si="34">C12-C35</f>
        <v>0</v>
      </c>
      <c r="D59" s="36">
        <f t="shared" si="34"/>
        <v>0</v>
      </c>
      <c r="E59" s="36">
        <f t="shared" ref="E59:N59" si="35">E12-E35</f>
        <v>0</v>
      </c>
      <c r="F59" s="36">
        <f t="shared" si="35"/>
        <v>0</v>
      </c>
      <c r="G59" s="36">
        <f t="shared" si="35"/>
        <v>0</v>
      </c>
      <c r="H59" s="36">
        <f t="shared" si="35"/>
        <v>0</v>
      </c>
      <c r="I59" s="36">
        <f t="shared" si="35"/>
        <v>0</v>
      </c>
      <c r="J59" s="36">
        <f t="shared" si="35"/>
        <v>0</v>
      </c>
      <c r="K59" s="36">
        <f t="shared" si="35"/>
        <v>0</v>
      </c>
      <c r="L59" s="36">
        <f t="shared" si="35"/>
        <v>0</v>
      </c>
      <c r="M59" s="36">
        <f t="shared" si="35"/>
        <v>0</v>
      </c>
      <c r="N59" s="36">
        <f t="shared" si="35"/>
        <v>0</v>
      </c>
      <c r="O59" s="16">
        <f t="shared" si="25"/>
        <v>0</v>
      </c>
    </row>
    <row r="60" spans="1:16" hidden="1">
      <c r="B60" s="40" t="s">
        <v>36</v>
      </c>
      <c r="C60" s="36">
        <f t="shared" ref="C60:D60" si="36">C13-C36</f>
        <v>0</v>
      </c>
      <c r="D60" s="36">
        <f t="shared" si="36"/>
        <v>0</v>
      </c>
      <c r="E60" s="36">
        <f t="shared" ref="E60:N60" si="37">E13-E36</f>
        <v>0</v>
      </c>
      <c r="F60" s="36">
        <f t="shared" si="37"/>
        <v>0</v>
      </c>
      <c r="G60" s="36">
        <f t="shared" si="37"/>
        <v>0</v>
      </c>
      <c r="H60" s="36">
        <f t="shared" si="37"/>
        <v>0</v>
      </c>
      <c r="I60" s="36">
        <f t="shared" si="37"/>
        <v>0</v>
      </c>
      <c r="J60" s="36">
        <f t="shared" si="37"/>
        <v>0</v>
      </c>
      <c r="K60" s="36">
        <f t="shared" si="37"/>
        <v>0</v>
      </c>
      <c r="L60" s="36">
        <f t="shared" si="37"/>
        <v>0</v>
      </c>
      <c r="M60" s="36">
        <f t="shared" si="37"/>
        <v>0</v>
      </c>
      <c r="N60" s="36">
        <f t="shared" si="37"/>
        <v>0</v>
      </c>
      <c r="O60" s="16">
        <f t="shared" si="25"/>
        <v>0</v>
      </c>
    </row>
    <row r="61" spans="1:16">
      <c r="A61" t="s">
        <v>84</v>
      </c>
      <c r="B61" s="41" t="s">
        <v>40</v>
      </c>
      <c r="C61" s="19">
        <f t="shared" ref="C61" si="38">C14-C37</f>
        <v>-226256.17333333346</v>
      </c>
      <c r="D61" s="19">
        <f>IF(D50&lt;&gt;0,D14-D37," ")</f>
        <v>36862.126666666591</v>
      </c>
      <c r="E61" s="19">
        <f t="shared" ref="E61:N61" si="39">IF(E50&lt;&gt;0,E14-E37," ")</f>
        <v>59033.256666666595</v>
      </c>
      <c r="F61" s="19">
        <f t="shared" si="39"/>
        <v>-408982.41333333333</v>
      </c>
      <c r="G61" s="19">
        <f t="shared" si="39"/>
        <v>-388113.78333333333</v>
      </c>
      <c r="H61" s="19">
        <f t="shared" si="39"/>
        <v>-7639.9133333334466</v>
      </c>
      <c r="I61" s="19">
        <f t="shared" si="39"/>
        <v>-220127.84333333338</v>
      </c>
      <c r="J61" s="19">
        <f t="shared" si="39"/>
        <v>-1238423.3433333333</v>
      </c>
      <c r="K61" s="19">
        <f t="shared" si="39"/>
        <v>138490.84666666668</v>
      </c>
      <c r="L61" s="19" t="str">
        <f t="shared" si="39"/>
        <v xml:space="preserve"> </v>
      </c>
      <c r="M61" s="19" t="str">
        <f t="shared" si="39"/>
        <v xml:space="preserve"> </v>
      </c>
      <c r="N61" s="19" t="str">
        <f t="shared" si="39"/>
        <v xml:space="preserve"> </v>
      </c>
      <c r="O61" s="19">
        <f t="shared" ref="O61" si="40">SUM(O54:O60)</f>
        <v>-2255157.2400000002</v>
      </c>
    </row>
    <row r="62" spans="1:16">
      <c r="B62" s="41"/>
      <c r="C62" s="35"/>
      <c r="D62" s="35"/>
      <c r="E62" s="35"/>
      <c r="F62" s="35"/>
      <c r="G62" s="35"/>
      <c r="H62" s="35"/>
      <c r="I62" s="35"/>
      <c r="J62" s="35"/>
      <c r="K62" s="35"/>
      <c r="L62" s="35"/>
      <c r="M62" s="35"/>
      <c r="N62" s="35"/>
      <c r="O62" s="18"/>
    </row>
    <row r="63" spans="1:16">
      <c r="B63" s="41" t="s">
        <v>86</v>
      </c>
      <c r="C63" s="35"/>
      <c r="D63" s="35"/>
      <c r="E63" s="35"/>
      <c r="F63" s="35"/>
      <c r="G63" s="35"/>
      <c r="H63" s="35"/>
      <c r="I63" s="35"/>
      <c r="J63" s="35"/>
      <c r="K63" s="35"/>
      <c r="L63" s="35"/>
      <c r="M63" s="35"/>
      <c r="N63" s="35"/>
      <c r="O63" s="16"/>
    </row>
    <row r="64" spans="1:16">
      <c r="B64" s="40" t="s">
        <v>31</v>
      </c>
      <c r="C64" s="36">
        <f t="shared" ref="C64" si="41">C17-C40</f>
        <v>-87759.046666666676</v>
      </c>
      <c r="D64" s="36">
        <f>IF(D50&lt;&gt;0,D17-D40," ")</f>
        <v>41436.123333333322</v>
      </c>
      <c r="E64" s="36">
        <f t="shared" ref="E64:N64" si="42">IF(E50&lt;&gt;0,E17-E40," ")</f>
        <v>-11185.44666666667</v>
      </c>
      <c r="F64" s="36">
        <f t="shared" si="42"/>
        <v>47282.633333333324</v>
      </c>
      <c r="G64" s="36">
        <f t="shared" si="42"/>
        <v>40527.983333333323</v>
      </c>
      <c r="H64" s="36">
        <f t="shared" si="42"/>
        <v>48079.293333333328</v>
      </c>
      <c r="I64" s="36">
        <f t="shared" si="42"/>
        <v>42820.293333333328</v>
      </c>
      <c r="J64" s="36">
        <f t="shared" si="42"/>
        <v>38458.833333333328</v>
      </c>
      <c r="K64" s="36">
        <f t="shared" si="42"/>
        <v>57016.593333333331</v>
      </c>
      <c r="L64" s="36" t="str">
        <f t="shared" si="42"/>
        <v xml:space="preserve"> </v>
      </c>
      <c r="M64" s="36" t="str">
        <f t="shared" si="42"/>
        <v xml:space="preserve"> </v>
      </c>
      <c r="N64" s="36" t="str">
        <f t="shared" si="42"/>
        <v xml:space="preserve"> </v>
      </c>
      <c r="O64" s="16">
        <f t="shared" ref="O64:O71" si="43">SUM(C64:N64)</f>
        <v>216677.25999999995</v>
      </c>
    </row>
    <row r="65" spans="1:15">
      <c r="B65" s="40" t="s">
        <v>32</v>
      </c>
      <c r="C65" s="36">
        <f t="shared" ref="C65" si="44">C18-C41</f>
        <v>9428.19333333334</v>
      </c>
      <c r="D65" s="36">
        <f>IF(D50&lt;&gt;0,D18-D41," ")</f>
        <v>9019.94333333334</v>
      </c>
      <c r="E65" s="36">
        <f t="shared" ref="E65:N65" si="45">IF(E50&lt;&gt;0,E18-E41," ")</f>
        <v>-50765.956666666643</v>
      </c>
      <c r="F65" s="36">
        <f t="shared" si="45"/>
        <v>-23610.636666666658</v>
      </c>
      <c r="G65" s="36">
        <f t="shared" si="45"/>
        <v>-577.75666666666802</v>
      </c>
      <c r="H65" s="36">
        <f t="shared" si="45"/>
        <v>-42506.77666666665</v>
      </c>
      <c r="I65" s="36">
        <f t="shared" si="45"/>
        <v>-16516.756666666653</v>
      </c>
      <c r="J65" s="36">
        <f t="shared" si="45"/>
        <v>40775.533333333333</v>
      </c>
      <c r="K65" s="36">
        <f t="shared" si="45"/>
        <v>-30498.51666666667</v>
      </c>
      <c r="L65" s="36" t="str">
        <f t="shared" si="45"/>
        <v xml:space="preserve"> </v>
      </c>
      <c r="M65" s="36" t="str">
        <f t="shared" si="45"/>
        <v xml:space="preserve"> </v>
      </c>
      <c r="N65" s="36" t="str">
        <f t="shared" si="45"/>
        <v xml:space="preserve"> </v>
      </c>
      <c r="O65" s="16">
        <f t="shared" si="43"/>
        <v>-105252.72999999992</v>
      </c>
    </row>
    <row r="66" spans="1:15" hidden="1">
      <c r="B66" s="40" t="s">
        <v>33</v>
      </c>
      <c r="C66" s="36">
        <f t="shared" ref="C66" si="46">C20-C43</f>
        <v>0</v>
      </c>
      <c r="D66" s="36">
        <f t="shared" ref="D66:N67" si="47">IF($D$50&lt;&gt;0,D19-D42," ")</f>
        <v>-1200.0066666666667</v>
      </c>
      <c r="E66" s="36">
        <f t="shared" si="47"/>
        <v>624.06333333333339</v>
      </c>
      <c r="F66" s="36">
        <f t="shared" si="47"/>
        <v>-1545.2766666666666</v>
      </c>
      <c r="G66" s="36">
        <f t="shared" si="47"/>
        <v>-1766.4266666666663</v>
      </c>
      <c r="H66" s="36">
        <f t="shared" si="47"/>
        <v>-698.35666666666668</v>
      </c>
      <c r="I66" s="36">
        <f t="shared" si="47"/>
        <v>-1712.8266666666664</v>
      </c>
      <c r="J66" s="36">
        <f t="shared" si="47"/>
        <v>-391.3366666666667</v>
      </c>
      <c r="K66" s="36">
        <f t="shared" si="47"/>
        <v>-1399.0766666666664</v>
      </c>
      <c r="L66" s="36">
        <f t="shared" si="47"/>
        <v>870.33333333333337</v>
      </c>
      <c r="M66" s="36">
        <f t="shared" si="47"/>
        <v>870.33333333333337</v>
      </c>
      <c r="N66" s="36">
        <f t="shared" si="47"/>
        <v>870.33333333333337</v>
      </c>
      <c r="O66" s="16">
        <f t="shared" si="43"/>
        <v>-5478.2433333333347</v>
      </c>
    </row>
    <row r="67" spans="1:15" hidden="1">
      <c r="B67" s="40" t="s">
        <v>34</v>
      </c>
      <c r="C67" s="36">
        <f t="shared" ref="C67" si="48">C21-C44</f>
        <v>0</v>
      </c>
      <c r="D67" s="36">
        <f t="shared" si="47"/>
        <v>0</v>
      </c>
      <c r="E67" s="36">
        <f t="shared" si="47"/>
        <v>0</v>
      </c>
      <c r="F67" s="36">
        <f t="shared" si="47"/>
        <v>0</v>
      </c>
      <c r="G67" s="36">
        <f t="shared" si="47"/>
        <v>0</v>
      </c>
      <c r="H67" s="36">
        <f t="shared" si="47"/>
        <v>0</v>
      </c>
      <c r="I67" s="36">
        <f t="shared" si="47"/>
        <v>0</v>
      </c>
      <c r="J67" s="36">
        <f t="shared" si="47"/>
        <v>0</v>
      </c>
      <c r="K67" s="36">
        <f t="shared" si="47"/>
        <v>0</v>
      </c>
      <c r="L67" s="36">
        <f t="shared" si="47"/>
        <v>0</v>
      </c>
      <c r="M67" s="36">
        <f t="shared" si="47"/>
        <v>0</v>
      </c>
      <c r="N67" s="36">
        <f t="shared" si="47"/>
        <v>0</v>
      </c>
      <c r="O67" s="16">
        <f t="shared" si="43"/>
        <v>0</v>
      </c>
    </row>
    <row r="68" spans="1:15">
      <c r="B68" s="40" t="s">
        <v>75</v>
      </c>
      <c r="C68" s="36">
        <f t="shared" ref="C68" si="49">C19-C42</f>
        <v>-1397.6666666666665</v>
      </c>
      <c r="D68" s="36">
        <f>IF(D50&lt;&gt;0,D21-D44," ")</f>
        <v>0</v>
      </c>
      <c r="E68" s="36">
        <f t="shared" ref="E68:N68" si="50">IF(E50&lt;&gt;0,E21-E44," ")</f>
        <v>0</v>
      </c>
      <c r="F68" s="36">
        <f t="shared" si="50"/>
        <v>0</v>
      </c>
      <c r="G68" s="36">
        <f t="shared" si="50"/>
        <v>0</v>
      </c>
      <c r="H68" s="36">
        <f t="shared" si="50"/>
        <v>0</v>
      </c>
      <c r="I68" s="36">
        <f t="shared" si="50"/>
        <v>0</v>
      </c>
      <c r="J68" s="36">
        <f t="shared" si="50"/>
        <v>0</v>
      </c>
      <c r="K68" s="36">
        <f t="shared" si="50"/>
        <v>0</v>
      </c>
      <c r="L68" s="36" t="str">
        <f t="shared" si="50"/>
        <v xml:space="preserve"> </v>
      </c>
      <c r="M68" s="36" t="str">
        <f t="shared" si="50"/>
        <v xml:space="preserve"> </v>
      </c>
      <c r="N68" s="36" t="str">
        <f t="shared" si="50"/>
        <v xml:space="preserve"> </v>
      </c>
      <c r="O68" s="16">
        <f t="shared" ref="O68" si="51">SUM(C68:N68)</f>
        <v>-1397.6666666666665</v>
      </c>
    </row>
    <row r="69" spans="1:15">
      <c r="B69" s="40" t="s">
        <v>35</v>
      </c>
      <c r="C69" s="36">
        <f t="shared" ref="C69" si="52">C22-C45</f>
        <v>126298.33333333333</v>
      </c>
      <c r="D69" s="36">
        <f>IF(D50&lt;&gt;0,D22-D45," ")</f>
        <v>-219514.96666666667</v>
      </c>
      <c r="E69" s="36">
        <f t="shared" ref="E69:N69" si="53">IF(E50&lt;&gt;0,E22-E45," ")</f>
        <v>126298.33333333333</v>
      </c>
      <c r="F69" s="36">
        <f t="shared" si="53"/>
        <v>-258230.56666666671</v>
      </c>
      <c r="G69" s="36">
        <f t="shared" si="53"/>
        <v>125405.49333333333</v>
      </c>
      <c r="H69" s="36">
        <f t="shared" si="53"/>
        <v>-238697.44666666671</v>
      </c>
      <c r="I69" s="36">
        <f t="shared" si="53"/>
        <v>125487.83333333333</v>
      </c>
      <c r="J69" s="36">
        <f t="shared" si="53"/>
        <v>126505.25333333333</v>
      </c>
      <c r="K69" s="36">
        <f t="shared" si="53"/>
        <v>126281.75333333333</v>
      </c>
      <c r="L69" s="36" t="str">
        <f t="shared" si="53"/>
        <v xml:space="preserve"> </v>
      </c>
      <c r="M69" s="36" t="str">
        <f t="shared" si="53"/>
        <v xml:space="preserve"> </v>
      </c>
      <c r="N69" s="36" t="str">
        <f t="shared" si="53"/>
        <v xml:space="preserve"> </v>
      </c>
      <c r="O69" s="16">
        <f t="shared" si="43"/>
        <v>39834.019999999844</v>
      </c>
    </row>
    <row r="70" spans="1:15">
      <c r="B70" s="40" t="s">
        <v>77</v>
      </c>
      <c r="C70" s="36">
        <f t="shared" ref="C70" si="54">C23-C46</f>
        <v>30188.409999999996</v>
      </c>
      <c r="D70" s="36">
        <f>IF(D50&lt;&gt;0,D23-D46," ")</f>
        <v>27027.15</v>
      </c>
      <c r="E70" s="36">
        <f t="shared" ref="E70:N70" si="55">IF(E50&lt;&gt;0,E23-E46," ")</f>
        <v>37642.359999999993</v>
      </c>
      <c r="F70" s="36">
        <f t="shared" si="55"/>
        <v>-31033.650000000009</v>
      </c>
      <c r="G70" s="36">
        <f t="shared" si="55"/>
        <v>-80721.780000000028</v>
      </c>
      <c r="H70" s="36">
        <f t="shared" si="55"/>
        <v>-61488.639999999985</v>
      </c>
      <c r="I70" s="36">
        <f t="shared" si="55"/>
        <v>25317.39</v>
      </c>
      <c r="J70" s="36">
        <f t="shared" si="55"/>
        <v>30449.42</v>
      </c>
      <c r="K70" s="36">
        <f t="shared" si="55"/>
        <v>41542.75</v>
      </c>
      <c r="L70" s="36" t="str">
        <f t="shared" si="55"/>
        <v xml:space="preserve"> </v>
      </c>
      <c r="M70" s="36" t="str">
        <f t="shared" si="55"/>
        <v xml:space="preserve"> </v>
      </c>
      <c r="N70" s="36" t="str">
        <f t="shared" si="55"/>
        <v xml:space="preserve"> </v>
      </c>
      <c r="O70" s="16">
        <f t="shared" ref="O70" si="56">SUM(C70:N70)</f>
        <v>18923.40999999996</v>
      </c>
    </row>
    <row r="71" spans="1:15">
      <c r="B71" s="40" t="s">
        <v>36</v>
      </c>
      <c r="C71" s="36">
        <f t="shared" ref="C71" si="57">C24-C47</f>
        <v>50714.319999999992</v>
      </c>
      <c r="D71" s="36">
        <f>IF(D50&lt;&gt;0,D24-D47," ")</f>
        <v>22987.259999999995</v>
      </c>
      <c r="E71" s="36">
        <f t="shared" ref="E71:N71" si="58">IF(E50&lt;&gt;0,E24-E47," ")</f>
        <v>21128.100000000006</v>
      </c>
      <c r="F71" s="36">
        <f t="shared" si="58"/>
        <v>-2798.7300000000105</v>
      </c>
      <c r="G71" s="36">
        <f t="shared" si="58"/>
        <v>21930.640000000014</v>
      </c>
      <c r="H71" s="36">
        <f t="shared" si="58"/>
        <v>36036.319999999992</v>
      </c>
      <c r="I71" s="36">
        <f t="shared" si="58"/>
        <v>39653.42</v>
      </c>
      <c r="J71" s="36">
        <f t="shared" si="58"/>
        <v>34710.010000000009</v>
      </c>
      <c r="K71" s="36">
        <f t="shared" si="58"/>
        <v>39155.320000000007</v>
      </c>
      <c r="L71" s="36" t="str">
        <f t="shared" si="58"/>
        <v xml:space="preserve"> </v>
      </c>
      <c r="M71" s="36" t="str">
        <f t="shared" si="58"/>
        <v xml:space="preserve"> </v>
      </c>
      <c r="N71" s="36" t="str">
        <f t="shared" si="58"/>
        <v xml:space="preserve"> </v>
      </c>
      <c r="O71" s="16">
        <f t="shared" si="43"/>
        <v>263516.65999999997</v>
      </c>
    </row>
    <row r="72" spans="1:15">
      <c r="A72" t="s">
        <v>85</v>
      </c>
      <c r="B72" s="41" t="s">
        <v>40</v>
      </c>
      <c r="C72" s="19">
        <f t="shared" ref="C72" si="59">C25-C48</f>
        <v>127472.54333333333</v>
      </c>
      <c r="D72" s="19">
        <f>IF(D50&lt;&gt;0,D25-D48," ")</f>
        <v>-120244.49666666664</v>
      </c>
      <c r="E72" s="19">
        <f t="shared" ref="E72:N72" si="60">IF(E50&lt;&gt;0,E25-E48," ")</f>
        <v>123741.45333333331</v>
      </c>
      <c r="F72" s="19">
        <f t="shared" si="60"/>
        <v>-269936.22666666674</v>
      </c>
      <c r="G72" s="19">
        <f t="shared" si="60"/>
        <v>104798.15333333332</v>
      </c>
      <c r="H72" s="19">
        <f t="shared" si="60"/>
        <v>-259275.60666666675</v>
      </c>
      <c r="I72" s="19">
        <f t="shared" si="60"/>
        <v>215049.35333333333</v>
      </c>
      <c r="J72" s="19">
        <f t="shared" si="60"/>
        <v>270507.71333333332</v>
      </c>
      <c r="K72" s="19">
        <f t="shared" si="60"/>
        <v>232098.8233333333</v>
      </c>
      <c r="L72" s="19" t="str">
        <f t="shared" si="60"/>
        <v xml:space="preserve"> </v>
      </c>
      <c r="M72" s="19" t="str">
        <f t="shared" si="60"/>
        <v xml:space="preserve"> </v>
      </c>
      <c r="N72" s="19" t="str">
        <f t="shared" si="60"/>
        <v xml:space="preserve"> </v>
      </c>
      <c r="O72" s="19">
        <f t="shared" ref="O72" si="61">SUM(O64:O71)</f>
        <v>426822.70999999979</v>
      </c>
    </row>
    <row r="73" spans="1:15">
      <c r="B73" s="41"/>
      <c r="C73" s="36" t="s">
        <v>52</v>
      </c>
      <c r="D73" s="36" t="s">
        <v>52</v>
      </c>
      <c r="E73" s="35"/>
      <c r="F73" s="35"/>
      <c r="G73" s="35"/>
      <c r="H73" s="35"/>
      <c r="I73" s="35"/>
      <c r="J73" s="35"/>
      <c r="K73" s="35"/>
      <c r="L73" s="35"/>
      <c r="M73" s="35"/>
      <c r="N73" s="35"/>
      <c r="O73" s="18"/>
    </row>
    <row r="74" spans="1:15" ht="15.75" thickBot="1">
      <c r="B74" s="41" t="s">
        <v>40</v>
      </c>
      <c r="C74" s="38">
        <f t="shared" ref="C74" si="62">C27-C50</f>
        <v>-98783.630000000121</v>
      </c>
      <c r="D74" s="38">
        <f>IF(D50&lt;&gt;0,D27-D50," ")</f>
        <v>-83382.370000000112</v>
      </c>
      <c r="E74" s="38">
        <f t="shared" ref="E74:N74" si="63">IF(E50&lt;&gt;0,E27-E50," ")</f>
        <v>182774.70999999996</v>
      </c>
      <c r="F74" s="38">
        <f t="shared" si="63"/>
        <v>-678918.64000000013</v>
      </c>
      <c r="G74" s="38">
        <f t="shared" si="63"/>
        <v>-283315.62999999989</v>
      </c>
      <c r="H74" s="38">
        <f t="shared" si="63"/>
        <v>-266915.52</v>
      </c>
      <c r="I74" s="38">
        <f t="shared" si="63"/>
        <v>-5078.4899999999907</v>
      </c>
      <c r="J74" s="38">
        <f t="shared" si="63"/>
        <v>-967915.62999999989</v>
      </c>
      <c r="K74" s="38">
        <f t="shared" si="63"/>
        <v>370589.67000000004</v>
      </c>
      <c r="L74" s="38" t="str">
        <f t="shared" si="63"/>
        <v xml:space="preserve"> </v>
      </c>
      <c r="M74" s="38" t="str">
        <f t="shared" si="63"/>
        <v xml:space="preserve"> </v>
      </c>
      <c r="N74" s="38" t="str">
        <f t="shared" si="63"/>
        <v xml:space="preserve"> </v>
      </c>
      <c r="O74" s="38">
        <f>O72+O61</f>
        <v>-1828334.5300000005</v>
      </c>
    </row>
    <row r="75" spans="1:15" ht="15.75" thickTop="1">
      <c r="B75" s="9"/>
    </row>
    <row r="76" spans="1:15">
      <c r="A76" t="s">
        <v>52</v>
      </c>
      <c r="B76" s="9"/>
    </row>
    <row r="77" spans="1:15">
      <c r="B77" s="32" t="s">
        <v>49</v>
      </c>
      <c r="C77" s="18"/>
      <c r="D77" s="18"/>
      <c r="E77" s="18"/>
      <c r="F77" s="18"/>
      <c r="G77" s="18"/>
      <c r="H77" s="18"/>
      <c r="I77" s="18"/>
      <c r="J77" s="18"/>
      <c r="K77" s="18"/>
      <c r="L77" s="18"/>
      <c r="M77" s="18"/>
      <c r="N77" s="18"/>
      <c r="O77" s="18"/>
    </row>
    <row r="78" spans="1:15">
      <c r="B78" s="92" t="s">
        <v>88</v>
      </c>
      <c r="C78" s="92"/>
      <c r="D78" s="92"/>
      <c r="E78" s="92"/>
      <c r="F78" s="92"/>
      <c r="G78" s="92"/>
      <c r="H78" s="92"/>
      <c r="I78" s="92"/>
      <c r="J78" s="92"/>
      <c r="K78" s="92"/>
      <c r="L78" s="92"/>
      <c r="M78" s="92"/>
      <c r="N78" s="92"/>
      <c r="O78" s="92"/>
    </row>
    <row r="80" spans="1:15">
      <c r="B80" s="61" t="s">
        <v>51</v>
      </c>
    </row>
    <row r="81" spans="2:15">
      <c r="B81" s="91" t="s">
        <v>104</v>
      </c>
      <c r="C81" s="91"/>
      <c r="D81" s="91"/>
      <c r="E81" s="91"/>
      <c r="F81" s="91"/>
      <c r="G81" s="91"/>
      <c r="H81" s="91"/>
      <c r="I81" s="91"/>
      <c r="J81" s="91"/>
      <c r="K81" s="91"/>
      <c r="L81" s="91"/>
      <c r="M81" s="91"/>
      <c r="N81" s="91"/>
      <c r="O81" s="91"/>
    </row>
    <row r="82" spans="2:15">
      <c r="B82" s="91" t="s">
        <v>110</v>
      </c>
      <c r="C82" s="91"/>
      <c r="D82" s="91"/>
      <c r="E82" s="91"/>
      <c r="F82" s="91"/>
      <c r="G82" s="91"/>
      <c r="H82" s="91"/>
      <c r="I82" s="91"/>
      <c r="J82" s="91"/>
      <c r="K82" s="91"/>
      <c r="L82" s="91"/>
      <c r="M82" s="91"/>
      <c r="N82" s="91"/>
      <c r="O82" s="91"/>
    </row>
    <row r="83" spans="2:15">
      <c r="B83" s="91" t="s">
        <v>118</v>
      </c>
      <c r="C83" s="91"/>
      <c r="D83" s="91"/>
      <c r="E83" s="91"/>
      <c r="F83" s="91"/>
      <c r="G83" s="91"/>
      <c r="H83" s="91"/>
      <c r="I83" s="91"/>
      <c r="J83" s="91"/>
      <c r="K83" s="91"/>
      <c r="L83" s="91"/>
      <c r="M83" s="91"/>
      <c r="N83" s="91"/>
      <c r="O83" s="91"/>
    </row>
    <row r="84" spans="2:15">
      <c r="B84" s="91" t="s">
        <v>134</v>
      </c>
      <c r="C84" s="91"/>
      <c r="D84" s="91"/>
      <c r="E84" s="91"/>
      <c r="F84" s="91"/>
      <c r="G84" s="91"/>
      <c r="H84" s="91"/>
      <c r="I84" s="91"/>
      <c r="J84" s="91"/>
      <c r="K84" s="91"/>
      <c r="L84" s="91"/>
      <c r="M84" s="91"/>
      <c r="N84" s="91"/>
      <c r="O84" s="91"/>
    </row>
    <row r="85" spans="2:15">
      <c r="B85" s="91" t="s">
        <v>137</v>
      </c>
      <c r="C85" s="91"/>
      <c r="D85" s="91"/>
      <c r="E85" s="91"/>
      <c r="F85" s="91"/>
      <c r="G85" s="91"/>
      <c r="H85" s="91"/>
      <c r="I85" s="91"/>
      <c r="J85" s="91"/>
      <c r="K85" s="91"/>
      <c r="L85" s="91"/>
      <c r="M85" s="91"/>
      <c r="N85" s="91"/>
      <c r="O85" s="91"/>
    </row>
    <row r="86" spans="2:15" ht="15" customHeight="1">
      <c r="B86" s="91" t="s">
        <v>145</v>
      </c>
      <c r="C86" s="91"/>
      <c r="D86" s="91"/>
      <c r="E86" s="91"/>
      <c r="F86" s="91"/>
      <c r="G86" s="91"/>
      <c r="H86" s="91"/>
      <c r="I86" s="91"/>
      <c r="J86" s="91"/>
      <c r="K86" s="91"/>
      <c r="L86" s="91"/>
      <c r="M86" s="91"/>
      <c r="N86" s="91"/>
      <c r="O86" s="91"/>
    </row>
    <row r="87" spans="2:15">
      <c r="B87" s="91" t="s">
        <v>155</v>
      </c>
      <c r="C87" s="91"/>
      <c r="D87" s="91"/>
      <c r="E87" s="91"/>
      <c r="F87" s="91"/>
      <c r="G87" s="91"/>
      <c r="H87" s="91"/>
      <c r="I87" s="91"/>
      <c r="J87" s="91"/>
      <c r="K87" s="91"/>
      <c r="L87" s="91"/>
      <c r="M87" s="91"/>
      <c r="N87" s="91"/>
      <c r="O87" s="91"/>
    </row>
    <row r="88" spans="2:15">
      <c r="B88" s="91" t="s">
        <v>164</v>
      </c>
      <c r="C88" s="91"/>
      <c r="D88" s="91"/>
      <c r="E88" s="91"/>
      <c r="F88" s="91"/>
      <c r="G88" s="91"/>
      <c r="H88" s="91"/>
      <c r="I88" s="91"/>
      <c r="J88" s="91"/>
      <c r="K88" s="91"/>
      <c r="L88" s="91"/>
      <c r="M88" s="91"/>
      <c r="N88" s="91"/>
      <c r="O88" s="91"/>
    </row>
    <row r="89" spans="2:15">
      <c r="B89" s="91" t="s">
        <v>172</v>
      </c>
      <c r="C89" s="91"/>
      <c r="D89" s="91"/>
      <c r="E89" s="91"/>
      <c r="F89" s="91"/>
      <c r="G89" s="91"/>
      <c r="H89" s="91"/>
      <c r="I89" s="91"/>
      <c r="J89" s="91"/>
      <c r="K89" s="91"/>
      <c r="L89" s="91"/>
      <c r="M89" s="91"/>
      <c r="N89" s="91"/>
      <c r="O89" s="91"/>
    </row>
    <row r="90" spans="2:15">
      <c r="B90" s="91" t="s">
        <v>52</v>
      </c>
      <c r="C90" s="91"/>
      <c r="D90" s="91"/>
      <c r="E90" s="91"/>
      <c r="F90" s="91"/>
      <c r="G90" s="91"/>
      <c r="H90" s="91"/>
      <c r="I90" s="91"/>
      <c r="J90" s="91"/>
      <c r="K90" s="91"/>
      <c r="L90" s="91"/>
      <c r="M90" s="91"/>
      <c r="N90" s="91"/>
      <c r="O90" s="91"/>
    </row>
  </sheetData>
  <mergeCells count="11">
    <mergeCell ref="B90:O90"/>
    <mergeCell ref="B89:O89"/>
    <mergeCell ref="B88:O88"/>
    <mergeCell ref="B78:O78"/>
    <mergeCell ref="B82:O82"/>
    <mergeCell ref="B83:O83"/>
    <mergeCell ref="B87:O87"/>
    <mergeCell ref="B86:O86"/>
    <mergeCell ref="B85:O85"/>
    <mergeCell ref="B84:O84"/>
    <mergeCell ref="B81:O81"/>
  </mergeCells>
  <pageMargins left="0" right="0" top="0.75" bottom="0.75" header="0.3" footer="0.3"/>
  <pageSetup scale="75" orientation="landscape" r:id="rId1"/>
</worksheet>
</file>

<file path=xl/worksheets/sheet5.xml><?xml version="1.0" encoding="utf-8"?>
<worksheet xmlns="http://schemas.openxmlformats.org/spreadsheetml/2006/main" xmlns:r="http://schemas.openxmlformats.org/officeDocument/2006/relationships">
  <dimension ref="A2:B14"/>
  <sheetViews>
    <sheetView workbookViewId="0">
      <selection activeCell="B10" sqref="B10"/>
    </sheetView>
  </sheetViews>
  <sheetFormatPr defaultRowHeight="15"/>
  <cols>
    <col min="1" max="1" width="51.5703125" bestFit="1" customWidth="1"/>
    <col min="2" max="2" width="14.28515625" bestFit="1" customWidth="1"/>
  </cols>
  <sheetData>
    <row r="2" spans="1:2">
      <c r="A2" s="80" t="s">
        <v>68</v>
      </c>
      <c r="B2" s="1">
        <f>'WA-Sch191 Rider Balance'!J17</f>
        <v>-647557.61565541883</v>
      </c>
    </row>
    <row r="3" spans="1:2">
      <c r="A3" s="80"/>
    </row>
    <row r="4" spans="1:2">
      <c r="A4" s="80" t="s">
        <v>69</v>
      </c>
      <c r="B4" s="1">
        <v>2972000</v>
      </c>
    </row>
    <row r="5" spans="1:2">
      <c r="A5" s="80" t="s">
        <v>70</v>
      </c>
      <c r="B5" s="84">
        <f>SUM('WA-Sch191 Rider Balance'!K11:N11)</f>
        <v>1745400.6666666667</v>
      </c>
    </row>
    <row r="6" spans="1:2">
      <c r="A6" s="80"/>
      <c r="B6" s="1">
        <f>B5-B4</f>
        <v>-1226599.3333333333</v>
      </c>
    </row>
    <row r="8" spans="1:2">
      <c r="A8" s="80" t="s">
        <v>71</v>
      </c>
      <c r="B8" s="3">
        <f>B2+B6</f>
        <v>-1874156.948988752</v>
      </c>
    </row>
    <row r="10" spans="1:2">
      <c r="A10" s="80" t="s">
        <v>72</v>
      </c>
      <c r="B10" s="1">
        <v>7703000</v>
      </c>
    </row>
    <row r="11" spans="1:2">
      <c r="A11" t="s">
        <v>73</v>
      </c>
      <c r="B11" s="85"/>
    </row>
    <row r="12" spans="1:2">
      <c r="B12" s="3">
        <f>B11-B10</f>
        <v>-7703000</v>
      </c>
    </row>
    <row r="14" spans="1:2">
      <c r="A14" t="s">
        <v>74</v>
      </c>
      <c r="B14" s="3">
        <f>B8+B12</f>
        <v>-9577156.9489887524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9" tint="0.39997558519241921"/>
  </sheetPr>
  <dimension ref="A2:AF33"/>
  <sheetViews>
    <sheetView workbookViewId="0">
      <pane xSplit="2" ySplit="5" topLeftCell="C6" activePane="bottomRight" state="frozen"/>
      <selection pane="topRight" activeCell="C1" sqref="C1"/>
      <selection pane="bottomLeft" activeCell="A6" sqref="A6"/>
      <selection pane="bottomRight" activeCell="A4" sqref="A4"/>
    </sheetView>
  </sheetViews>
  <sheetFormatPr defaultRowHeight="15"/>
  <cols>
    <col min="1" max="1" width="3.42578125" bestFit="1" customWidth="1"/>
    <col min="2" max="2" width="34.85546875" customWidth="1"/>
    <col min="3" max="3" width="11.28515625" bestFit="1" customWidth="1"/>
    <col min="4" max="14" width="13.28515625" bestFit="1" customWidth="1"/>
    <col min="15" max="15" width="11.28515625" bestFit="1" customWidth="1"/>
    <col min="16" max="16" width="11.5703125" bestFit="1" customWidth="1"/>
    <col min="17" max="17" width="11.28515625" bestFit="1" customWidth="1"/>
    <col min="18" max="18" width="10.5703125" bestFit="1" customWidth="1"/>
    <col min="19" max="19" width="11.28515625" bestFit="1" customWidth="1"/>
    <col min="21" max="32" width="11.28515625" bestFit="1" customWidth="1"/>
  </cols>
  <sheetData>
    <row r="2" spans="1:32">
      <c r="B2" s="39" t="s">
        <v>47</v>
      </c>
    </row>
    <row r="3" spans="1:32">
      <c r="C3" s="25">
        <v>2012</v>
      </c>
      <c r="D3" s="25">
        <v>2012</v>
      </c>
      <c r="E3" s="25">
        <v>2012</v>
      </c>
      <c r="F3" s="25">
        <v>2012</v>
      </c>
      <c r="G3" s="25">
        <v>2012</v>
      </c>
      <c r="H3" s="25">
        <v>2012</v>
      </c>
      <c r="I3" s="25">
        <v>2012</v>
      </c>
      <c r="J3" s="25">
        <v>2012</v>
      </c>
      <c r="K3" s="25">
        <v>2012</v>
      </c>
      <c r="L3" s="25">
        <v>2012</v>
      </c>
      <c r="M3" s="25">
        <v>2012</v>
      </c>
      <c r="N3" s="25">
        <v>2012</v>
      </c>
      <c r="O3" s="42" t="s">
        <v>90</v>
      </c>
      <c r="P3" s="42">
        <v>2012</v>
      </c>
      <c r="Q3" s="42">
        <v>2012</v>
      </c>
      <c r="R3" s="42">
        <v>2012</v>
      </c>
      <c r="S3" s="42">
        <v>2012</v>
      </c>
      <c r="U3" s="42">
        <v>2013</v>
      </c>
      <c r="V3" s="42">
        <v>2013</v>
      </c>
      <c r="W3" s="42">
        <v>2013</v>
      </c>
      <c r="X3" s="42">
        <v>2013</v>
      </c>
      <c r="Y3" s="42">
        <v>2013</v>
      </c>
      <c r="Z3" s="42">
        <v>2013</v>
      </c>
      <c r="AA3" s="42">
        <v>2013</v>
      </c>
      <c r="AB3" s="42">
        <v>2013</v>
      </c>
      <c r="AC3" s="42">
        <v>2013</v>
      </c>
      <c r="AD3" s="42">
        <v>2013</v>
      </c>
      <c r="AE3" s="42">
        <v>2013</v>
      </c>
      <c r="AF3" s="42">
        <v>2013</v>
      </c>
    </row>
    <row r="4" spans="1:32">
      <c r="C4" s="25" t="s">
        <v>0</v>
      </c>
      <c r="D4" s="25" t="s">
        <v>1</v>
      </c>
      <c r="E4" s="25" t="s">
        <v>2</v>
      </c>
      <c r="F4" s="25" t="s">
        <v>3</v>
      </c>
      <c r="G4" s="25" t="s">
        <v>4</v>
      </c>
      <c r="H4" s="25" t="s">
        <v>5</v>
      </c>
      <c r="I4" s="25" t="s">
        <v>6</v>
      </c>
      <c r="J4" s="25" t="s">
        <v>7</v>
      </c>
      <c r="K4" s="25" t="s">
        <v>8</v>
      </c>
      <c r="L4" s="25" t="s">
        <v>9</v>
      </c>
      <c r="M4" s="25" t="s">
        <v>10</v>
      </c>
      <c r="N4" s="25" t="s">
        <v>11</v>
      </c>
      <c r="O4" s="42"/>
      <c r="P4" s="42" t="s">
        <v>53</v>
      </c>
      <c r="Q4" s="42" t="s">
        <v>54</v>
      </c>
      <c r="R4" s="42" t="s">
        <v>55</v>
      </c>
      <c r="S4" s="42" t="s">
        <v>56</v>
      </c>
      <c r="U4" s="42" t="s">
        <v>0</v>
      </c>
      <c r="V4" s="42" t="s">
        <v>1</v>
      </c>
      <c r="W4" s="42" t="s">
        <v>2</v>
      </c>
      <c r="X4" s="42" t="s">
        <v>3</v>
      </c>
      <c r="Y4" s="42" t="s">
        <v>4</v>
      </c>
      <c r="Z4" s="42" t="s">
        <v>5</v>
      </c>
      <c r="AA4" s="42" t="s">
        <v>6</v>
      </c>
      <c r="AB4" s="42" t="s">
        <v>7</v>
      </c>
      <c r="AC4" s="42" t="s">
        <v>8</v>
      </c>
      <c r="AD4" s="42" t="s">
        <v>9</v>
      </c>
      <c r="AE4" s="42" t="s">
        <v>10</v>
      </c>
      <c r="AF4" s="42" t="s">
        <v>11</v>
      </c>
    </row>
    <row r="5" spans="1:32">
      <c r="A5" t="s">
        <v>22</v>
      </c>
      <c r="B5" t="s">
        <v>13</v>
      </c>
      <c r="C5" s="1">
        <v>771694.66</v>
      </c>
      <c r="D5" s="1">
        <v>242576.13694910123</v>
      </c>
      <c r="E5" s="1">
        <v>-343967.88458788441</v>
      </c>
      <c r="F5" s="1">
        <v>-740539.39311906474</v>
      </c>
      <c r="G5" s="1">
        <v>-920837.43450693344</v>
      </c>
      <c r="H5" s="1">
        <v>-1034594.1669750314</v>
      </c>
      <c r="I5" s="1">
        <v>-893737.55151979427</v>
      </c>
      <c r="J5" s="1">
        <v>-855282.05713847885</v>
      </c>
      <c r="K5" s="1">
        <v>-647557.61565541883</v>
      </c>
      <c r="L5" s="1">
        <v>-425679.36120509886</v>
      </c>
      <c r="M5" s="1">
        <v>-425679.36120509886</v>
      </c>
      <c r="N5" s="1">
        <v>-425679.36120509886</v>
      </c>
      <c r="O5" s="40"/>
      <c r="P5" s="44">
        <v>771694.66</v>
      </c>
      <c r="Q5" s="47">
        <v>-740539.39311906474</v>
      </c>
      <c r="R5" s="47">
        <v>-893737.55151979427</v>
      </c>
      <c r="S5" s="47">
        <v>-425679.3612050988</v>
      </c>
      <c r="U5" s="47">
        <v>-1418263.7076979221</v>
      </c>
      <c r="V5" s="47">
        <v>-1418263.7076979221</v>
      </c>
      <c r="W5" s="47">
        <v>-1418263.7076979221</v>
      </c>
      <c r="X5" s="47">
        <v>-1418263.7076979221</v>
      </c>
      <c r="Y5" s="47">
        <v>-1418263.7076979221</v>
      </c>
      <c r="Z5" s="47">
        <v>-1418263.7076979221</v>
      </c>
      <c r="AA5" s="47">
        <v>-1418263.7076979221</v>
      </c>
      <c r="AB5" s="47">
        <v>-1418263.7076979221</v>
      </c>
      <c r="AC5" s="47">
        <v>-1418263.7076979221</v>
      </c>
      <c r="AD5" s="47">
        <v>-1418263.7076979221</v>
      </c>
      <c r="AE5" s="47">
        <v>-1418263.7076979221</v>
      </c>
      <c r="AF5" s="47">
        <v>-1418263.7076979221</v>
      </c>
    </row>
    <row r="6" spans="1:32">
      <c r="C6" s="1"/>
      <c r="D6" s="1"/>
      <c r="E6" s="1"/>
      <c r="F6" s="1"/>
      <c r="G6" s="1"/>
      <c r="H6" s="1"/>
      <c r="I6" s="1"/>
      <c r="J6" s="1"/>
      <c r="K6" s="1"/>
      <c r="L6" s="1"/>
      <c r="M6" s="1"/>
      <c r="N6" s="1"/>
      <c r="O6" s="40"/>
      <c r="P6" s="40"/>
      <c r="Q6" s="40"/>
      <c r="R6" s="40"/>
      <c r="S6" s="40"/>
      <c r="U6" s="40"/>
      <c r="V6" s="40"/>
      <c r="W6" s="40"/>
      <c r="X6" s="40"/>
      <c r="Y6" s="40"/>
      <c r="Z6" s="40"/>
      <c r="AA6" s="40"/>
      <c r="AB6" s="40"/>
      <c r="AC6" s="40"/>
      <c r="AD6" s="40"/>
      <c r="AE6" s="40"/>
      <c r="AF6" s="40"/>
    </row>
    <row r="7" spans="1:32">
      <c r="B7" t="s">
        <v>14</v>
      </c>
      <c r="C7" s="1">
        <v>1053598.5350699516</v>
      </c>
      <c r="D7" s="1">
        <v>913827.53972196172</v>
      </c>
      <c r="E7" s="1">
        <v>731179.0974085721</v>
      </c>
      <c r="F7" s="1">
        <v>505141.24787546159</v>
      </c>
      <c r="G7" s="1">
        <v>303890.81856057857</v>
      </c>
      <c r="H7" s="1">
        <v>197807.11726589539</v>
      </c>
      <c r="I7" s="1">
        <v>152869.34594641428</v>
      </c>
      <c r="J7" s="1">
        <v>158459.34787812419</v>
      </c>
      <c r="K7" s="1">
        <v>188055.21513253657</v>
      </c>
      <c r="L7" s="1">
        <v>430287.29114954948</v>
      </c>
      <c r="M7" s="1">
        <v>791294.08175971231</v>
      </c>
      <c r="N7" s="1">
        <v>1073990.5980664445</v>
      </c>
      <c r="O7" s="47">
        <v>6500400.235835203</v>
      </c>
      <c r="P7" s="47">
        <v>2698605.1722004856</v>
      </c>
      <c r="Q7" s="47">
        <v>1006839.1837019356</v>
      </c>
      <c r="R7" s="47">
        <v>499383.90895707509</v>
      </c>
      <c r="S7" s="47">
        <v>2295571.9709757064</v>
      </c>
      <c r="U7" s="27">
        <v>0</v>
      </c>
      <c r="V7" s="27">
        <v>0</v>
      </c>
      <c r="W7" s="27">
        <v>0</v>
      </c>
      <c r="X7" s="27">
        <v>0</v>
      </c>
      <c r="Y7" s="27">
        <v>0</v>
      </c>
      <c r="Z7" s="27">
        <v>0</v>
      </c>
      <c r="AA7" s="27">
        <v>0</v>
      </c>
      <c r="AB7" s="27">
        <v>0</v>
      </c>
      <c r="AC7" s="27">
        <v>0</v>
      </c>
      <c r="AD7" s="27">
        <v>0</v>
      </c>
      <c r="AE7" s="27">
        <v>0</v>
      </c>
      <c r="AF7" s="27">
        <v>0</v>
      </c>
    </row>
    <row r="8" spans="1:32">
      <c r="A8" t="s">
        <v>21</v>
      </c>
      <c r="B8" t="s">
        <v>15</v>
      </c>
      <c r="C8" s="1">
        <v>842693.80305089883</v>
      </c>
      <c r="D8" s="1">
        <v>814107.28153698565</v>
      </c>
      <c r="E8" s="1">
        <v>732070.54853118036</v>
      </c>
      <c r="F8" s="1">
        <v>574370.01138786878</v>
      </c>
      <c r="G8" s="1">
        <v>332340.66246809793</v>
      </c>
      <c r="H8" s="1">
        <v>220587.21454476292</v>
      </c>
      <c r="I8" s="1">
        <v>148238.03561868463</v>
      </c>
      <c r="J8" s="1">
        <v>96172.338516939984</v>
      </c>
      <c r="K8" s="1">
        <v>75767.785549680004</v>
      </c>
      <c r="L8" s="1">
        <v>0</v>
      </c>
      <c r="M8" s="1">
        <v>0</v>
      </c>
      <c r="N8" s="1">
        <v>0</v>
      </c>
      <c r="O8" s="47">
        <v>3836347.6812050994</v>
      </c>
      <c r="P8" s="47">
        <v>2388871.6331190648</v>
      </c>
      <c r="Q8" s="47">
        <v>1127297.8884007295</v>
      </c>
      <c r="R8" s="47">
        <v>320178.15968530462</v>
      </c>
      <c r="S8" s="47">
        <v>0</v>
      </c>
      <c r="U8" s="40"/>
      <c r="V8" s="40"/>
      <c r="W8" s="40"/>
      <c r="X8" s="40"/>
      <c r="Y8" s="40"/>
      <c r="Z8" s="40"/>
      <c r="AA8" s="40"/>
      <c r="AB8" s="40"/>
      <c r="AC8" s="40"/>
      <c r="AD8" s="40"/>
      <c r="AE8" s="40"/>
      <c r="AF8" s="40"/>
    </row>
    <row r="9" spans="1:32">
      <c r="B9" t="s">
        <v>16</v>
      </c>
      <c r="C9" s="22">
        <v>-210904.73201905272</v>
      </c>
      <c r="D9" s="22">
        <v>-99720.258184976061</v>
      </c>
      <c r="E9" s="22">
        <v>891.45112260826863</v>
      </c>
      <c r="F9" s="22">
        <v>69228.763512407197</v>
      </c>
      <c r="G9" s="22">
        <v>28449.84390751936</v>
      </c>
      <c r="H9" s="22">
        <v>22780.097278867528</v>
      </c>
      <c r="I9" s="22">
        <v>-4631.3103277296468</v>
      </c>
      <c r="J9" s="22">
        <v>-62287.009361184202</v>
      </c>
      <c r="K9" s="22">
        <v>-112287.42958285657</v>
      </c>
      <c r="L9" s="22">
        <v>-430287.29114954948</v>
      </c>
      <c r="M9" s="22">
        <v>-791294.08175971231</v>
      </c>
      <c r="N9" s="22">
        <v>-1073990.5980664445</v>
      </c>
      <c r="O9" s="48">
        <v>-2664052.5546301031</v>
      </c>
      <c r="P9" s="48">
        <v>-309733.53908142075</v>
      </c>
      <c r="Q9" s="48">
        <v>120458.70469879394</v>
      </c>
      <c r="R9" s="48">
        <v>-179205.74927177047</v>
      </c>
      <c r="S9" s="48">
        <v>-2295571.9709757064</v>
      </c>
      <c r="U9" s="40"/>
      <c r="V9" s="40"/>
      <c r="W9" s="40"/>
      <c r="X9" s="40"/>
      <c r="Y9" s="40"/>
      <c r="Z9" s="40"/>
      <c r="AA9" s="40"/>
      <c r="AB9" s="40"/>
      <c r="AC9" s="40"/>
      <c r="AD9" s="40"/>
      <c r="AE9" s="40"/>
      <c r="AF9" s="40"/>
    </row>
    <row r="10" spans="1:32">
      <c r="C10" s="1"/>
      <c r="D10" s="1"/>
      <c r="E10" s="1"/>
      <c r="F10" s="1"/>
      <c r="G10" s="1"/>
      <c r="H10" s="1"/>
      <c r="I10" s="1"/>
      <c r="J10" s="1"/>
      <c r="K10" s="1"/>
      <c r="L10" s="1"/>
      <c r="M10" s="1"/>
      <c r="N10" s="1"/>
      <c r="O10" s="40"/>
      <c r="P10" s="40"/>
      <c r="Q10" s="40"/>
      <c r="R10" s="40"/>
      <c r="S10" s="40"/>
      <c r="U10" s="40"/>
      <c r="V10" s="40"/>
      <c r="W10" s="40"/>
      <c r="X10" s="40"/>
      <c r="Y10" s="40"/>
      <c r="Z10" s="40"/>
      <c r="AA10" s="40"/>
      <c r="AB10" s="40"/>
      <c r="AC10" s="40"/>
      <c r="AD10" s="40"/>
      <c r="AE10" s="40"/>
      <c r="AF10" s="40"/>
    </row>
    <row r="11" spans="1:32">
      <c r="B11" t="s">
        <v>18</v>
      </c>
      <c r="C11" s="1">
        <v>436350.16666666669</v>
      </c>
      <c r="D11" s="1">
        <v>436350.16666666669</v>
      </c>
      <c r="E11" s="1">
        <v>436350.16666666669</v>
      </c>
      <c r="F11" s="1">
        <v>436350.16666666669</v>
      </c>
      <c r="G11" s="1">
        <v>436350.16666666669</v>
      </c>
      <c r="H11" s="1">
        <v>436350.16666666669</v>
      </c>
      <c r="I11" s="1">
        <v>436350.16666666669</v>
      </c>
      <c r="J11" s="1">
        <v>436350.16666666669</v>
      </c>
      <c r="K11" s="1">
        <v>436350.16666666669</v>
      </c>
      <c r="L11" s="1">
        <v>436350.16666666669</v>
      </c>
      <c r="M11" s="1">
        <v>436350.16666666669</v>
      </c>
      <c r="N11" s="1">
        <v>436350.16666666669</v>
      </c>
      <c r="O11" s="47">
        <v>5236202</v>
      </c>
      <c r="P11" s="47">
        <v>1309050.5</v>
      </c>
      <c r="Q11" s="47">
        <v>1309050.5</v>
      </c>
      <c r="R11" s="47">
        <v>1309050.5</v>
      </c>
      <c r="S11" s="47">
        <v>1309050.5</v>
      </c>
      <c r="U11" s="27">
        <v>0</v>
      </c>
      <c r="V11" s="27">
        <v>0</v>
      </c>
      <c r="W11" s="27">
        <v>0</v>
      </c>
      <c r="X11" s="27">
        <v>0</v>
      </c>
      <c r="Y11" s="27">
        <v>0</v>
      </c>
      <c r="Z11" s="27">
        <v>0</v>
      </c>
      <c r="AA11" s="27">
        <v>0</v>
      </c>
      <c r="AB11" s="27">
        <v>0</v>
      </c>
      <c r="AC11" s="27">
        <v>0</v>
      </c>
      <c r="AD11" s="27">
        <v>0</v>
      </c>
      <c r="AE11" s="27">
        <v>0</v>
      </c>
      <c r="AF11" s="27">
        <v>0</v>
      </c>
    </row>
    <row r="12" spans="1:32">
      <c r="A12" t="s">
        <v>20</v>
      </c>
      <c r="B12" t="s">
        <v>17</v>
      </c>
      <c r="C12" s="1">
        <v>313575.28000000003</v>
      </c>
      <c r="D12" s="1">
        <v>227563.25999999998</v>
      </c>
      <c r="E12" s="1">
        <v>335499.04000000004</v>
      </c>
      <c r="F12" s="1">
        <v>394071.97000000003</v>
      </c>
      <c r="G12" s="1">
        <v>218583.93000000002</v>
      </c>
      <c r="H12" s="1">
        <v>361443.83</v>
      </c>
      <c r="I12" s="1">
        <v>186693.53</v>
      </c>
      <c r="J12" s="1">
        <v>303896.78000000003</v>
      </c>
      <c r="K12" s="1">
        <v>297646.03999999998</v>
      </c>
      <c r="L12" s="1">
        <v>0</v>
      </c>
      <c r="M12" s="1">
        <v>0</v>
      </c>
      <c r="N12" s="1">
        <v>0</v>
      </c>
      <c r="O12" s="47">
        <v>2638973.66</v>
      </c>
      <c r="P12" s="47">
        <v>876637.58000000007</v>
      </c>
      <c r="Q12" s="47">
        <v>974099.73</v>
      </c>
      <c r="R12" s="47">
        <v>788236.35000000009</v>
      </c>
      <c r="S12" s="47">
        <v>0</v>
      </c>
      <c r="U12" s="45"/>
      <c r="V12" s="40"/>
      <c r="W12" s="40"/>
      <c r="X12" s="40"/>
      <c r="Y12" s="40"/>
      <c r="Z12" s="40"/>
      <c r="AA12" s="40"/>
      <c r="AB12" s="40"/>
      <c r="AC12" s="40"/>
      <c r="AD12" s="40"/>
      <c r="AE12" s="40"/>
      <c r="AF12" s="40"/>
    </row>
    <row r="13" spans="1:32">
      <c r="B13" t="s">
        <v>19</v>
      </c>
      <c r="C13" s="23">
        <v>122774.88666666666</v>
      </c>
      <c r="D13" s="23">
        <v>208786.90666666671</v>
      </c>
      <c r="E13" s="23">
        <v>100851.12666666665</v>
      </c>
      <c r="F13" s="23">
        <v>42278.196666666656</v>
      </c>
      <c r="G13" s="23">
        <v>217766.23666666666</v>
      </c>
      <c r="H13" s="23">
        <v>74906.33666666667</v>
      </c>
      <c r="I13" s="23">
        <v>249656.63666666669</v>
      </c>
      <c r="J13" s="23">
        <v>132453.38666666666</v>
      </c>
      <c r="K13" s="23">
        <v>138704.12666666671</v>
      </c>
      <c r="L13" s="23">
        <v>436350.16666666669</v>
      </c>
      <c r="M13" s="23">
        <v>436350.16666666669</v>
      </c>
      <c r="N13" s="23">
        <v>436350.16666666669</v>
      </c>
      <c r="O13" s="48">
        <v>2597228.34</v>
      </c>
      <c r="P13" s="49">
        <v>432412.91999999993</v>
      </c>
      <c r="Q13" s="49">
        <v>334950.77</v>
      </c>
      <c r="R13" s="49">
        <v>520814.14999999991</v>
      </c>
      <c r="S13" s="49">
        <v>1309050.5</v>
      </c>
      <c r="U13" s="40"/>
      <c r="V13" s="40"/>
      <c r="W13" s="40"/>
      <c r="X13" s="40"/>
      <c r="Y13" s="40"/>
      <c r="Z13" s="40"/>
      <c r="AA13" s="40"/>
      <c r="AB13" s="40"/>
      <c r="AC13" s="40"/>
      <c r="AD13" s="40"/>
      <c r="AE13" s="40"/>
      <c r="AF13" s="40"/>
    </row>
    <row r="14" spans="1:32">
      <c r="C14" s="1"/>
      <c r="D14" s="1"/>
      <c r="E14" s="1"/>
      <c r="F14" s="1"/>
      <c r="G14" s="1"/>
      <c r="H14" s="1"/>
      <c r="I14" s="1"/>
      <c r="J14" s="1"/>
      <c r="K14" s="1"/>
      <c r="L14" s="1"/>
      <c r="M14" s="1"/>
      <c r="N14" s="1"/>
      <c r="O14" s="40"/>
      <c r="P14" s="40"/>
      <c r="Q14" s="40"/>
      <c r="R14" s="40"/>
      <c r="S14" s="40"/>
      <c r="U14" s="40"/>
      <c r="V14" s="40"/>
      <c r="W14" s="40"/>
      <c r="X14" s="40"/>
      <c r="Y14" s="40"/>
      <c r="Z14" s="40"/>
      <c r="AA14" s="40"/>
      <c r="AB14" s="40"/>
      <c r="AC14" s="40"/>
      <c r="AD14" s="40"/>
      <c r="AE14" s="40"/>
      <c r="AF14" s="40"/>
    </row>
    <row r="15" spans="1:32" ht="30">
      <c r="A15" t="s">
        <v>24</v>
      </c>
      <c r="B15" s="4" t="s">
        <v>23</v>
      </c>
      <c r="C15" s="1">
        <v>529118.5230508988</v>
      </c>
      <c r="D15" s="1">
        <v>586544.02153698565</v>
      </c>
      <c r="E15" s="1">
        <v>396571.50853118033</v>
      </c>
      <c r="F15" s="1">
        <v>180298.04138786875</v>
      </c>
      <c r="G15" s="1">
        <v>113756.73246809791</v>
      </c>
      <c r="H15" s="1">
        <v>-140856.6154552371</v>
      </c>
      <c r="I15" s="1">
        <v>-38455.494381315366</v>
      </c>
      <c r="J15" s="1">
        <v>-207724.44148306004</v>
      </c>
      <c r="K15" s="1">
        <v>-221878.25445031998</v>
      </c>
      <c r="L15" s="1">
        <v>0</v>
      </c>
      <c r="M15" s="1">
        <v>0</v>
      </c>
      <c r="N15" s="1">
        <v>0</v>
      </c>
      <c r="O15" s="45">
        <v>1197374.0212050993</v>
      </c>
      <c r="P15" s="45">
        <v>1512234.0531190648</v>
      </c>
      <c r="Q15" s="45">
        <v>153198.15840072953</v>
      </c>
      <c r="R15" s="45">
        <v>-468058.19031469547</v>
      </c>
      <c r="S15" s="45">
        <v>0</v>
      </c>
      <c r="U15" s="40"/>
      <c r="V15" s="40"/>
      <c r="W15" s="40"/>
      <c r="X15" s="40"/>
      <c r="Y15" s="40"/>
      <c r="Z15" s="40"/>
      <c r="AA15" s="40"/>
      <c r="AB15" s="40"/>
      <c r="AC15" s="40"/>
      <c r="AD15" s="40"/>
      <c r="AE15" s="40"/>
      <c r="AF15" s="40"/>
    </row>
    <row r="16" spans="1:32">
      <c r="C16" s="1"/>
      <c r="D16" s="1"/>
      <c r="E16" s="1"/>
      <c r="F16" s="1"/>
      <c r="G16" s="1"/>
      <c r="H16" s="1"/>
      <c r="I16" s="1"/>
      <c r="J16" s="1"/>
      <c r="K16" s="1"/>
      <c r="L16" s="1"/>
      <c r="M16" s="1"/>
      <c r="N16" s="1"/>
      <c r="O16" s="40"/>
      <c r="P16" s="40"/>
      <c r="Q16" s="40"/>
      <c r="R16" s="40"/>
      <c r="S16" s="40"/>
      <c r="U16" s="40"/>
      <c r="V16" s="40"/>
      <c r="W16" s="40"/>
      <c r="X16" s="40"/>
      <c r="Y16" s="40"/>
      <c r="Z16" s="40"/>
      <c r="AA16" s="40"/>
      <c r="AB16" s="40"/>
      <c r="AC16" s="40"/>
      <c r="AD16" s="40"/>
      <c r="AE16" s="40"/>
      <c r="AF16" s="40"/>
    </row>
    <row r="17" spans="2:32" ht="15.75" thickBot="1">
      <c r="B17" t="s">
        <v>25</v>
      </c>
      <c r="C17" s="59">
        <v>242576.13694910123</v>
      </c>
      <c r="D17" s="59">
        <v>-343967.88458788441</v>
      </c>
      <c r="E17" s="59">
        <v>-740539.39311906474</v>
      </c>
      <c r="F17" s="59">
        <v>-920837.43450693344</v>
      </c>
      <c r="G17" s="59">
        <v>-1034594.1669750314</v>
      </c>
      <c r="H17" s="59">
        <v>-893737.55151979427</v>
      </c>
      <c r="I17" s="59">
        <v>-855282.05713847885</v>
      </c>
      <c r="J17" s="59">
        <v>-647557.61565541883</v>
      </c>
      <c r="K17" s="59">
        <v>-425679.36120509886</v>
      </c>
      <c r="L17" s="59">
        <v>-425679.36120509886</v>
      </c>
      <c r="M17" s="59">
        <v>-425679.36120509886</v>
      </c>
      <c r="N17" s="59">
        <v>-425679.36120509886</v>
      </c>
      <c r="O17" s="47"/>
      <c r="P17" s="47">
        <v>-740539.39311906474</v>
      </c>
      <c r="Q17" s="47">
        <v>-893737.55151979427</v>
      </c>
      <c r="R17" s="47">
        <v>-425679.3612050988</v>
      </c>
      <c r="S17" s="47">
        <v>-425679.3612050988</v>
      </c>
      <c r="U17" s="40"/>
      <c r="V17" s="40"/>
      <c r="W17" s="40"/>
      <c r="X17" s="40"/>
      <c r="Y17" s="40"/>
      <c r="Z17" s="40"/>
      <c r="AA17" s="40"/>
      <c r="AB17" s="40"/>
      <c r="AC17" s="40"/>
      <c r="AD17" s="40"/>
      <c r="AE17" s="40"/>
      <c r="AF17" s="40"/>
    </row>
    <row r="18" spans="2:32" ht="15.75" thickTop="1">
      <c r="O18" s="40"/>
      <c r="P18" s="40"/>
      <c r="Q18" s="40"/>
      <c r="R18" s="40"/>
      <c r="S18" s="40"/>
      <c r="U18" s="40"/>
      <c r="V18" s="40"/>
      <c r="W18" s="40"/>
      <c r="X18" s="40"/>
      <c r="Y18" s="40"/>
      <c r="Z18" s="40"/>
      <c r="AA18" s="40"/>
      <c r="AB18" s="40"/>
      <c r="AC18" s="40"/>
      <c r="AD18" s="40"/>
      <c r="AE18" s="40"/>
      <c r="AF18" s="40"/>
    </row>
    <row r="19" spans="2:32">
      <c r="B19" t="s">
        <v>28</v>
      </c>
      <c r="D19" s="3" t="s">
        <v>52</v>
      </c>
      <c r="E19" s="3" t="s">
        <v>52</v>
      </c>
      <c r="F19" s="3" t="s">
        <v>52</v>
      </c>
      <c r="G19" s="3" t="s">
        <v>52</v>
      </c>
      <c r="H19" s="3" t="s">
        <v>52</v>
      </c>
      <c r="I19" s="3" t="s">
        <v>52</v>
      </c>
      <c r="J19" s="3" t="s">
        <v>52</v>
      </c>
      <c r="K19" s="3" t="s">
        <v>52</v>
      </c>
      <c r="L19" s="3">
        <v>-419616.48568798165</v>
      </c>
      <c r="M19" s="3">
        <v>-780623.27629814437</v>
      </c>
      <c r="N19" s="3">
        <v>-1418263.7076979221</v>
      </c>
      <c r="O19" s="40"/>
      <c r="P19" s="47"/>
      <c r="Q19" s="40"/>
      <c r="R19" s="40"/>
      <c r="S19" s="40"/>
      <c r="U19" s="47">
        <v>-1418263.7076979221</v>
      </c>
      <c r="V19" s="47">
        <v>-1418263.7076979221</v>
      </c>
      <c r="W19" s="47">
        <v>-1418263.7076979221</v>
      </c>
      <c r="X19" s="47">
        <v>-1418263.7076979221</v>
      </c>
      <c r="Y19" s="47">
        <v>-1418263.7076979221</v>
      </c>
      <c r="Z19" s="47">
        <v>-1418263.7076979221</v>
      </c>
      <c r="AA19" s="47">
        <v>-1418263.7076979221</v>
      </c>
      <c r="AB19" s="47">
        <v>-1418263.7076979221</v>
      </c>
      <c r="AC19" s="47">
        <v>-1418263.7076979221</v>
      </c>
      <c r="AD19" s="47">
        <v>-1418263.7076979221</v>
      </c>
      <c r="AE19" s="47">
        <v>-1418263.7076979221</v>
      </c>
      <c r="AF19" s="47">
        <v>-1418263.7076979221</v>
      </c>
    </row>
    <row r="22" spans="2:32">
      <c r="B22" s="51" t="s">
        <v>26</v>
      </c>
      <c r="C22" s="39"/>
      <c r="D22" s="39"/>
      <c r="E22" s="39"/>
      <c r="F22" s="39"/>
      <c r="G22" s="39"/>
      <c r="H22" s="39"/>
      <c r="I22" s="39"/>
      <c r="J22" s="39"/>
      <c r="K22" s="39"/>
      <c r="L22" s="39"/>
      <c r="M22" s="39"/>
      <c r="N22" s="39"/>
      <c r="O22" s="39"/>
    </row>
    <row r="23" spans="2:32">
      <c r="B23" s="91" t="s">
        <v>116</v>
      </c>
      <c r="C23" s="91"/>
      <c r="D23" s="91"/>
      <c r="E23" s="91"/>
      <c r="F23" s="91"/>
      <c r="G23" s="91"/>
      <c r="H23" s="91"/>
      <c r="I23" s="91"/>
      <c r="J23" s="91"/>
      <c r="K23" s="91"/>
      <c r="L23" s="91"/>
      <c r="M23" s="91"/>
      <c r="N23" s="91"/>
      <c r="O23" s="91"/>
    </row>
    <row r="24" spans="2:32">
      <c r="B24" s="91" t="s">
        <v>115</v>
      </c>
      <c r="C24" s="91"/>
      <c r="D24" s="91"/>
      <c r="E24" s="91"/>
      <c r="F24" s="91"/>
      <c r="G24" s="91"/>
      <c r="H24" s="91"/>
      <c r="I24" s="91"/>
      <c r="J24" s="91"/>
      <c r="K24" s="91"/>
      <c r="L24" s="91"/>
      <c r="M24" s="91"/>
      <c r="N24" s="91"/>
      <c r="O24" s="91"/>
    </row>
    <row r="25" spans="2:32">
      <c r="B25" s="91" t="s">
        <v>123</v>
      </c>
      <c r="C25" s="91"/>
      <c r="D25" s="91"/>
      <c r="E25" s="91"/>
      <c r="F25" s="91"/>
      <c r="G25" s="91"/>
      <c r="H25" s="91"/>
      <c r="I25" s="91"/>
      <c r="J25" s="91"/>
      <c r="K25" s="91"/>
      <c r="L25" s="91"/>
      <c r="M25" s="91"/>
      <c r="N25" s="91"/>
      <c r="O25" s="91"/>
    </row>
    <row r="26" spans="2:32">
      <c r="B26" s="91" t="s">
        <v>131</v>
      </c>
      <c r="C26" s="91"/>
      <c r="D26" s="91"/>
      <c r="E26" s="91"/>
      <c r="F26" s="91"/>
      <c r="G26" s="91"/>
      <c r="H26" s="91"/>
      <c r="I26" s="91"/>
      <c r="J26" s="91"/>
      <c r="K26" s="91"/>
      <c r="L26" s="91"/>
      <c r="M26" s="91"/>
      <c r="N26" s="91"/>
      <c r="O26" s="91"/>
    </row>
    <row r="27" spans="2:32">
      <c r="B27" s="91" t="s">
        <v>141</v>
      </c>
      <c r="C27" s="91"/>
      <c r="D27" s="91"/>
      <c r="E27" s="91"/>
      <c r="F27" s="91"/>
      <c r="G27" s="91"/>
      <c r="H27" s="91"/>
      <c r="I27" s="91"/>
      <c r="J27" s="91"/>
      <c r="K27" s="91"/>
      <c r="L27" s="91"/>
      <c r="M27" s="91"/>
      <c r="N27" s="91"/>
      <c r="O27" s="91"/>
    </row>
    <row r="28" spans="2:32">
      <c r="B28" s="91" t="s">
        <v>150</v>
      </c>
      <c r="C28" s="91"/>
      <c r="D28" s="91"/>
      <c r="E28" s="91"/>
      <c r="F28" s="91"/>
      <c r="G28" s="91"/>
      <c r="H28" s="91"/>
      <c r="I28" s="91"/>
      <c r="J28" s="91"/>
      <c r="K28" s="91"/>
      <c r="L28" s="91"/>
      <c r="M28" s="91"/>
      <c r="N28" s="91"/>
      <c r="O28" s="91"/>
    </row>
    <row r="29" spans="2:32">
      <c r="B29" s="91" t="s">
        <v>158</v>
      </c>
      <c r="C29" s="91"/>
      <c r="D29" s="91"/>
      <c r="E29" s="91"/>
      <c r="F29" s="91"/>
      <c r="G29" s="91"/>
      <c r="H29" s="91"/>
      <c r="I29" s="91"/>
      <c r="J29" s="91"/>
      <c r="K29" s="91"/>
      <c r="L29" s="91"/>
      <c r="M29" s="91"/>
      <c r="N29" s="91"/>
      <c r="O29" s="91"/>
    </row>
    <row r="30" spans="2:32">
      <c r="B30" s="91" t="s">
        <v>165</v>
      </c>
      <c r="C30" s="91"/>
      <c r="D30" s="91"/>
      <c r="E30" s="91"/>
      <c r="F30" s="91"/>
      <c r="G30" s="91"/>
      <c r="H30" s="91"/>
      <c r="I30" s="91"/>
      <c r="J30" s="91"/>
      <c r="K30" s="91"/>
      <c r="L30" s="91"/>
      <c r="M30" s="91"/>
      <c r="N30" s="91"/>
      <c r="O30" s="91"/>
    </row>
    <row r="31" spans="2:32">
      <c r="B31" s="91" t="s">
        <v>176</v>
      </c>
      <c r="C31" s="91"/>
      <c r="D31" s="91"/>
      <c r="E31" s="91"/>
      <c r="F31" s="91"/>
      <c r="G31" s="91"/>
      <c r="H31" s="91"/>
      <c r="I31" s="91"/>
      <c r="J31" s="91"/>
      <c r="K31" s="91"/>
      <c r="L31" s="91"/>
      <c r="M31" s="91"/>
      <c r="N31" s="91"/>
      <c r="O31" s="91"/>
    </row>
    <row r="32" spans="2:32">
      <c r="B32" s="91" t="s">
        <v>52</v>
      </c>
      <c r="C32" s="91"/>
      <c r="D32" s="91"/>
      <c r="E32" s="91"/>
      <c r="F32" s="91"/>
      <c r="G32" s="91"/>
      <c r="H32" s="91"/>
      <c r="I32" s="91"/>
      <c r="J32" s="91"/>
      <c r="K32" s="91"/>
      <c r="L32" s="91"/>
      <c r="M32" s="91"/>
      <c r="N32" s="91"/>
      <c r="O32" s="91"/>
    </row>
    <row r="33" spans="2:2">
      <c r="B33" t="s">
        <v>52</v>
      </c>
    </row>
  </sheetData>
  <mergeCells count="10">
    <mergeCell ref="B32:O32"/>
    <mergeCell ref="B31:O31"/>
    <mergeCell ref="B30:O30"/>
    <mergeCell ref="B29:O29"/>
    <mergeCell ref="B28:O28"/>
    <mergeCell ref="B23:O23"/>
    <mergeCell ref="B24:O24"/>
    <mergeCell ref="B25:O25"/>
    <mergeCell ref="B26:O26"/>
    <mergeCell ref="B27:O27"/>
  </mergeCells>
  <pageMargins left="0" right="0" top="0.75" bottom="0.75" header="0.3" footer="0.3"/>
  <pageSetup scale="65" orientation="landscape" r:id="rId1"/>
</worksheet>
</file>

<file path=xl/worksheets/sheet7.xml><?xml version="1.0" encoding="utf-8"?>
<worksheet xmlns="http://schemas.openxmlformats.org/spreadsheetml/2006/main" xmlns:r="http://schemas.openxmlformats.org/officeDocument/2006/relationships">
  <sheetPr>
    <tabColor theme="9" tint="0.39997558519241921"/>
  </sheetPr>
  <dimension ref="A2:BD90"/>
  <sheetViews>
    <sheetView workbookViewId="0">
      <pane xSplit="2" ySplit="4" topLeftCell="C5" activePane="bottomRight" state="frozen"/>
      <selection activeCell="D35" sqref="D35"/>
      <selection pane="topRight" activeCell="D35" sqref="D35"/>
      <selection pane="bottomLeft" activeCell="D35" sqref="D35"/>
      <selection pane="bottomRight" activeCell="A4" sqref="A4"/>
    </sheetView>
  </sheetViews>
  <sheetFormatPr defaultRowHeight="15"/>
  <cols>
    <col min="1" max="1" width="10.28515625" bestFit="1" customWidth="1"/>
    <col min="2" max="2" width="43.28515625" customWidth="1"/>
    <col min="3" max="5" width="9.140625" style="20" bestFit="1" customWidth="1"/>
    <col min="6" max="14" width="9.85546875" style="13" bestFit="1" customWidth="1"/>
    <col min="15" max="15" width="10.7109375" style="13" bestFit="1" customWidth="1"/>
    <col min="16" max="28" width="11.7109375" style="13" hidden="1" customWidth="1"/>
    <col min="29" max="34" width="11.7109375" style="13" customWidth="1"/>
    <col min="35" max="56" width="11.7109375" style="7" customWidth="1"/>
  </cols>
  <sheetData>
    <row r="2" spans="1:28">
      <c r="B2" s="39" t="s">
        <v>47</v>
      </c>
    </row>
    <row r="3" spans="1:28">
      <c r="B3" s="5" t="s">
        <v>41</v>
      </c>
      <c r="C3" s="14">
        <v>2012</v>
      </c>
      <c r="D3" s="14">
        <f>C3</f>
        <v>2012</v>
      </c>
      <c r="E3" s="14">
        <f t="shared" ref="E3:N3" si="0">D3</f>
        <v>2012</v>
      </c>
      <c r="F3" s="14">
        <f t="shared" si="0"/>
        <v>2012</v>
      </c>
      <c r="G3" s="14">
        <f t="shared" si="0"/>
        <v>2012</v>
      </c>
      <c r="H3" s="14">
        <f t="shared" si="0"/>
        <v>2012</v>
      </c>
      <c r="I3" s="14">
        <f t="shared" si="0"/>
        <v>2012</v>
      </c>
      <c r="J3" s="14">
        <f t="shared" si="0"/>
        <v>2012</v>
      </c>
      <c r="K3" s="14">
        <f t="shared" si="0"/>
        <v>2012</v>
      </c>
      <c r="L3" s="14">
        <f t="shared" si="0"/>
        <v>2012</v>
      </c>
      <c r="M3" s="14">
        <f t="shared" si="0"/>
        <v>2012</v>
      </c>
      <c r="N3" s="14">
        <f t="shared" si="0"/>
        <v>2012</v>
      </c>
      <c r="O3" s="14" t="s">
        <v>90</v>
      </c>
      <c r="P3" s="14">
        <v>2011</v>
      </c>
      <c r="Q3" s="14">
        <v>2011</v>
      </c>
      <c r="R3" s="14">
        <v>2011</v>
      </c>
      <c r="S3" s="14">
        <v>2011</v>
      </c>
      <c r="T3" s="14">
        <v>2011</v>
      </c>
      <c r="U3" s="14">
        <v>2011</v>
      </c>
      <c r="V3" s="14">
        <v>2011</v>
      </c>
      <c r="W3" s="14">
        <v>2011</v>
      </c>
      <c r="X3" s="14">
        <v>2011</v>
      </c>
      <c r="Y3" s="14">
        <v>2011</v>
      </c>
      <c r="Z3" s="14">
        <v>2011</v>
      </c>
      <c r="AA3" s="14">
        <v>2011</v>
      </c>
      <c r="AB3" s="14" t="s">
        <v>29</v>
      </c>
    </row>
    <row r="4" spans="1:28">
      <c r="C4" s="37" t="s">
        <v>0</v>
      </c>
      <c r="D4" s="37" t="s">
        <v>1</v>
      </c>
      <c r="E4" s="37" t="s">
        <v>2</v>
      </c>
      <c r="F4" s="17" t="s">
        <v>3</v>
      </c>
      <c r="G4" s="17" t="s">
        <v>4</v>
      </c>
      <c r="H4" s="17" t="s">
        <v>5</v>
      </c>
      <c r="I4" s="17" t="s">
        <v>6</v>
      </c>
      <c r="J4" s="17" t="s">
        <v>7</v>
      </c>
      <c r="K4" s="17" t="s">
        <v>8</v>
      </c>
      <c r="L4" s="17" t="s">
        <v>9</v>
      </c>
      <c r="M4" s="17" t="s">
        <v>10</v>
      </c>
      <c r="N4" s="17" t="s">
        <v>11</v>
      </c>
      <c r="O4" s="17"/>
      <c r="P4" s="14" t="s">
        <v>0</v>
      </c>
      <c r="Q4" s="14" t="s">
        <v>1</v>
      </c>
      <c r="R4" s="14" t="s">
        <v>2</v>
      </c>
      <c r="S4" s="14" t="s">
        <v>3</v>
      </c>
      <c r="T4" s="14" t="s">
        <v>4</v>
      </c>
      <c r="U4" s="14" t="s">
        <v>5</v>
      </c>
      <c r="V4" s="14" t="s">
        <v>6</v>
      </c>
      <c r="W4" s="14" t="s">
        <v>7</v>
      </c>
      <c r="X4" s="14" t="s">
        <v>8</v>
      </c>
      <c r="Y4" s="14" t="s">
        <v>9</v>
      </c>
      <c r="Z4" s="14" t="s">
        <v>10</v>
      </c>
      <c r="AA4" s="14" t="s">
        <v>11</v>
      </c>
      <c r="AB4" s="14"/>
    </row>
    <row r="5" spans="1:28">
      <c r="F5" s="15"/>
      <c r="G5" s="15"/>
      <c r="H5" s="15"/>
      <c r="I5" s="15"/>
      <c r="J5" s="15"/>
      <c r="K5" s="15"/>
      <c r="L5" s="15"/>
      <c r="M5" s="15"/>
      <c r="N5" s="15"/>
    </row>
    <row r="6" spans="1:28">
      <c r="B6" s="9" t="s">
        <v>57</v>
      </c>
      <c r="F6" s="15"/>
      <c r="G6" s="15"/>
      <c r="H6" s="15"/>
      <c r="I6" s="15"/>
      <c r="J6" s="15"/>
      <c r="K6" s="15"/>
      <c r="L6" s="15"/>
      <c r="M6" s="15"/>
      <c r="N6" s="15"/>
      <c r="O6" s="16"/>
    </row>
    <row r="7" spans="1:28">
      <c r="B7" s="5" t="s">
        <v>31</v>
      </c>
      <c r="C7" s="20">
        <f>1139105/12</f>
        <v>94925.416666666672</v>
      </c>
      <c r="D7" s="18">
        <f t="shared" ref="D7:N9" si="1">C7</f>
        <v>94925.416666666672</v>
      </c>
      <c r="E7" s="18">
        <f t="shared" si="1"/>
        <v>94925.416666666672</v>
      </c>
      <c r="F7" s="18">
        <f t="shared" si="1"/>
        <v>94925.416666666672</v>
      </c>
      <c r="G7" s="18">
        <f t="shared" si="1"/>
        <v>94925.416666666672</v>
      </c>
      <c r="H7" s="18">
        <f t="shared" si="1"/>
        <v>94925.416666666672</v>
      </c>
      <c r="I7" s="18">
        <f t="shared" si="1"/>
        <v>94925.416666666672</v>
      </c>
      <c r="J7" s="18">
        <f t="shared" si="1"/>
        <v>94925.416666666672</v>
      </c>
      <c r="K7" s="18">
        <f t="shared" si="1"/>
        <v>94925.416666666672</v>
      </c>
      <c r="L7" s="18">
        <f t="shared" si="1"/>
        <v>94925.416666666672</v>
      </c>
      <c r="M7" s="18">
        <f t="shared" si="1"/>
        <v>94925.416666666672</v>
      </c>
      <c r="N7" s="18">
        <f t="shared" si="1"/>
        <v>94925.416666666672</v>
      </c>
      <c r="O7" s="52">
        <f t="shared" ref="O7:O13" si="2">SUM(C7:N7)</f>
        <v>1139104.9999999998</v>
      </c>
    </row>
    <row r="8" spans="1:28">
      <c r="B8" s="5" t="s">
        <v>32</v>
      </c>
      <c r="C8" s="18">
        <f>1314397/12</f>
        <v>109533.08333333333</v>
      </c>
      <c r="D8" s="18">
        <f t="shared" si="1"/>
        <v>109533.08333333333</v>
      </c>
      <c r="E8" s="18">
        <f t="shared" si="1"/>
        <v>109533.08333333333</v>
      </c>
      <c r="F8" s="18">
        <f t="shared" si="1"/>
        <v>109533.08333333333</v>
      </c>
      <c r="G8" s="18">
        <f t="shared" si="1"/>
        <v>109533.08333333333</v>
      </c>
      <c r="H8" s="18">
        <f t="shared" si="1"/>
        <v>109533.08333333333</v>
      </c>
      <c r="I8" s="18">
        <f t="shared" si="1"/>
        <v>109533.08333333333</v>
      </c>
      <c r="J8" s="18">
        <f t="shared" si="1"/>
        <v>109533.08333333333</v>
      </c>
      <c r="K8" s="18">
        <f t="shared" si="1"/>
        <v>109533.08333333333</v>
      </c>
      <c r="L8" s="18">
        <f t="shared" si="1"/>
        <v>109533.08333333333</v>
      </c>
      <c r="M8" s="18">
        <f t="shared" si="1"/>
        <v>109533.08333333333</v>
      </c>
      <c r="N8" s="18">
        <f t="shared" si="1"/>
        <v>109533.08333333333</v>
      </c>
      <c r="O8" s="52">
        <f t="shared" si="2"/>
        <v>1314397</v>
      </c>
    </row>
    <row r="9" spans="1:28">
      <c r="B9" s="5" t="s">
        <v>75</v>
      </c>
      <c r="C9" s="18">
        <f>640473/12</f>
        <v>53372.75</v>
      </c>
      <c r="D9" s="18">
        <f t="shared" si="1"/>
        <v>53372.75</v>
      </c>
      <c r="E9" s="18">
        <f t="shared" si="1"/>
        <v>53372.75</v>
      </c>
      <c r="F9" s="18">
        <f t="shared" si="1"/>
        <v>53372.75</v>
      </c>
      <c r="G9" s="18">
        <f t="shared" si="1"/>
        <v>53372.75</v>
      </c>
      <c r="H9" s="18">
        <f t="shared" si="1"/>
        <v>53372.75</v>
      </c>
      <c r="I9" s="18">
        <f t="shared" si="1"/>
        <v>53372.75</v>
      </c>
      <c r="J9" s="18">
        <f t="shared" si="1"/>
        <v>53372.75</v>
      </c>
      <c r="K9" s="18">
        <f t="shared" si="1"/>
        <v>53372.75</v>
      </c>
      <c r="L9" s="18">
        <f t="shared" si="1"/>
        <v>53372.75</v>
      </c>
      <c r="M9" s="18">
        <f t="shared" si="1"/>
        <v>53372.75</v>
      </c>
      <c r="N9" s="18">
        <f t="shared" si="1"/>
        <v>53372.75</v>
      </c>
      <c r="O9" s="52">
        <f t="shared" si="2"/>
        <v>640473</v>
      </c>
    </row>
    <row r="10" spans="1:28" hidden="1">
      <c r="B10" s="5" t="s">
        <v>33</v>
      </c>
      <c r="F10" s="15"/>
      <c r="G10" s="15"/>
      <c r="H10" s="15"/>
      <c r="I10" s="15"/>
      <c r="J10" s="15"/>
      <c r="K10" s="15"/>
      <c r="L10" s="15"/>
      <c r="M10" s="15"/>
      <c r="N10" s="15"/>
      <c r="O10" s="52">
        <f t="shared" si="2"/>
        <v>0</v>
      </c>
    </row>
    <row r="11" spans="1:28" hidden="1">
      <c r="B11" s="5" t="s">
        <v>34</v>
      </c>
      <c r="F11" s="15"/>
      <c r="G11" s="15"/>
      <c r="H11" s="15"/>
      <c r="I11" s="15"/>
      <c r="J11" s="15"/>
      <c r="K11" s="15"/>
      <c r="L11" s="15"/>
      <c r="M11" s="15"/>
      <c r="N11" s="15"/>
      <c r="O11" s="52">
        <f t="shared" si="2"/>
        <v>0</v>
      </c>
    </row>
    <row r="12" spans="1:28" hidden="1">
      <c r="B12" s="5" t="s">
        <v>35</v>
      </c>
      <c r="F12" s="15"/>
      <c r="G12" s="15"/>
      <c r="H12" s="15"/>
      <c r="I12" s="15"/>
      <c r="J12" s="15"/>
      <c r="K12" s="15"/>
      <c r="L12" s="15"/>
      <c r="M12" s="15"/>
      <c r="N12" s="15"/>
      <c r="O12" s="52">
        <f t="shared" si="2"/>
        <v>0</v>
      </c>
    </row>
    <row r="13" spans="1:28" hidden="1">
      <c r="B13" s="5" t="s">
        <v>36</v>
      </c>
      <c r="F13" s="15"/>
      <c r="G13" s="15"/>
      <c r="H13" s="15"/>
      <c r="I13" s="15"/>
      <c r="J13" s="15"/>
      <c r="K13" s="15"/>
      <c r="L13" s="15"/>
      <c r="M13" s="15"/>
      <c r="N13" s="15"/>
      <c r="O13" s="52">
        <f t="shared" si="2"/>
        <v>0</v>
      </c>
    </row>
    <row r="14" spans="1:28">
      <c r="A14" t="s">
        <v>22</v>
      </c>
      <c r="B14" s="9" t="s">
        <v>37</v>
      </c>
      <c r="C14" s="19">
        <f>SUM(C7:C13)</f>
        <v>257831.25</v>
      </c>
      <c r="D14" s="19">
        <f t="shared" ref="D14:N14" si="3">SUM(D7:D13)</f>
        <v>257831.25</v>
      </c>
      <c r="E14" s="19">
        <f t="shared" si="3"/>
        <v>257831.25</v>
      </c>
      <c r="F14" s="19">
        <f t="shared" si="3"/>
        <v>257831.25</v>
      </c>
      <c r="G14" s="19">
        <f t="shared" si="3"/>
        <v>257831.25</v>
      </c>
      <c r="H14" s="19">
        <f t="shared" si="3"/>
        <v>257831.25</v>
      </c>
      <c r="I14" s="19">
        <f t="shared" si="3"/>
        <v>257831.25</v>
      </c>
      <c r="J14" s="19">
        <f t="shared" si="3"/>
        <v>257831.25</v>
      </c>
      <c r="K14" s="19">
        <f t="shared" si="3"/>
        <v>257831.25</v>
      </c>
      <c r="L14" s="19">
        <f t="shared" si="3"/>
        <v>257831.25</v>
      </c>
      <c r="M14" s="19">
        <f t="shared" si="3"/>
        <v>257831.25</v>
      </c>
      <c r="N14" s="19">
        <f t="shared" si="3"/>
        <v>257831.25</v>
      </c>
      <c r="O14" s="53">
        <f>SUM(O7:O13)</f>
        <v>3093975</v>
      </c>
    </row>
    <row r="15" spans="1:28">
      <c r="B15" s="9"/>
      <c r="F15" s="15"/>
      <c r="G15" s="15"/>
      <c r="H15" s="15"/>
      <c r="I15" s="15"/>
      <c r="J15" s="15"/>
      <c r="K15" s="15"/>
      <c r="L15" s="15"/>
      <c r="M15" s="15"/>
      <c r="N15" s="15"/>
      <c r="O15" s="52"/>
    </row>
    <row r="16" spans="1:28">
      <c r="B16" s="9" t="s">
        <v>78</v>
      </c>
      <c r="F16" s="15"/>
      <c r="G16" s="15"/>
      <c r="H16" s="15"/>
      <c r="I16" s="15"/>
      <c r="J16" s="15"/>
      <c r="K16" s="15"/>
      <c r="L16" s="15"/>
      <c r="M16" s="15"/>
      <c r="N16" s="15"/>
      <c r="O16" s="52"/>
    </row>
    <row r="17" spans="1:29">
      <c r="B17" s="5" t="s">
        <v>31</v>
      </c>
      <c r="C17" s="20">
        <f>(21000+368153)/12</f>
        <v>32429.416666666668</v>
      </c>
      <c r="D17" s="18">
        <f>C17</f>
        <v>32429.416666666668</v>
      </c>
      <c r="E17" s="18">
        <f t="shared" ref="E17:N17" si="4">D17</f>
        <v>32429.416666666668</v>
      </c>
      <c r="F17" s="18">
        <f t="shared" si="4"/>
        <v>32429.416666666668</v>
      </c>
      <c r="G17" s="18">
        <f t="shared" si="4"/>
        <v>32429.416666666668</v>
      </c>
      <c r="H17" s="18">
        <f t="shared" si="4"/>
        <v>32429.416666666668</v>
      </c>
      <c r="I17" s="18">
        <f t="shared" si="4"/>
        <v>32429.416666666668</v>
      </c>
      <c r="J17" s="18">
        <f t="shared" si="4"/>
        <v>32429.416666666668</v>
      </c>
      <c r="K17" s="18">
        <f t="shared" si="4"/>
        <v>32429.416666666668</v>
      </c>
      <c r="L17" s="18">
        <f t="shared" si="4"/>
        <v>32429.416666666668</v>
      </c>
      <c r="M17" s="18">
        <f t="shared" si="4"/>
        <v>32429.416666666668</v>
      </c>
      <c r="N17" s="18">
        <f t="shared" si="4"/>
        <v>32429.416666666668</v>
      </c>
      <c r="O17" s="52">
        <f t="shared" ref="O17:O24" si="5">SUM(C17:N17)</f>
        <v>389153.00000000006</v>
      </c>
    </row>
    <row r="18" spans="1:29">
      <c r="B18" s="5" t="s">
        <v>32</v>
      </c>
      <c r="C18" s="18">
        <f>(253193)/12</f>
        <v>21099.416666666668</v>
      </c>
      <c r="D18" s="18">
        <f>C18</f>
        <v>21099.416666666668</v>
      </c>
      <c r="E18" s="18">
        <f t="shared" ref="E18:N18" si="6">D18</f>
        <v>21099.416666666668</v>
      </c>
      <c r="F18" s="18">
        <f t="shared" si="6"/>
        <v>21099.416666666668</v>
      </c>
      <c r="G18" s="18">
        <f t="shared" si="6"/>
        <v>21099.416666666668</v>
      </c>
      <c r="H18" s="18">
        <f t="shared" si="6"/>
        <v>21099.416666666668</v>
      </c>
      <c r="I18" s="18">
        <f t="shared" si="6"/>
        <v>21099.416666666668</v>
      </c>
      <c r="J18" s="18">
        <f t="shared" si="6"/>
        <v>21099.416666666668</v>
      </c>
      <c r="K18" s="18">
        <f t="shared" si="6"/>
        <v>21099.416666666668</v>
      </c>
      <c r="L18" s="18">
        <f t="shared" si="6"/>
        <v>21099.416666666668</v>
      </c>
      <c r="M18" s="18">
        <f t="shared" si="6"/>
        <v>21099.416666666668</v>
      </c>
      <c r="N18" s="18">
        <f t="shared" si="6"/>
        <v>21099.416666666668</v>
      </c>
      <c r="O18" s="52">
        <f t="shared" si="5"/>
        <v>253192.99999999997</v>
      </c>
    </row>
    <row r="19" spans="1:29">
      <c r="B19" s="5" t="s">
        <v>75</v>
      </c>
      <c r="C19" s="18">
        <f>(7633)/12</f>
        <v>636.08333333333337</v>
      </c>
      <c r="D19" s="18">
        <f>C19</f>
        <v>636.08333333333337</v>
      </c>
      <c r="E19" s="18">
        <f t="shared" ref="E19:N19" si="7">D19</f>
        <v>636.08333333333337</v>
      </c>
      <c r="F19" s="18">
        <f t="shared" si="7"/>
        <v>636.08333333333337</v>
      </c>
      <c r="G19" s="18">
        <f t="shared" si="7"/>
        <v>636.08333333333337</v>
      </c>
      <c r="H19" s="18">
        <f t="shared" si="7"/>
        <v>636.08333333333337</v>
      </c>
      <c r="I19" s="18">
        <f t="shared" si="7"/>
        <v>636.08333333333337</v>
      </c>
      <c r="J19" s="18">
        <f t="shared" si="7"/>
        <v>636.08333333333337</v>
      </c>
      <c r="K19" s="18">
        <f t="shared" si="7"/>
        <v>636.08333333333337</v>
      </c>
      <c r="L19" s="18">
        <f t="shared" si="7"/>
        <v>636.08333333333337</v>
      </c>
      <c r="M19" s="18">
        <f t="shared" si="7"/>
        <v>636.08333333333337</v>
      </c>
      <c r="N19" s="18">
        <f t="shared" si="7"/>
        <v>636.08333333333337</v>
      </c>
      <c r="O19" s="52">
        <f t="shared" si="5"/>
        <v>7632.9999999999991</v>
      </c>
    </row>
    <row r="20" spans="1:29" hidden="1">
      <c r="B20" s="5" t="s">
        <v>33</v>
      </c>
      <c r="C20" s="18"/>
      <c r="D20" s="18"/>
      <c r="E20" s="18"/>
      <c r="F20" s="18"/>
      <c r="G20" s="18"/>
      <c r="H20" s="18"/>
      <c r="I20" s="18"/>
      <c r="J20" s="18"/>
      <c r="K20" s="18"/>
      <c r="L20" s="18"/>
      <c r="M20" s="18"/>
      <c r="N20" s="18"/>
      <c r="O20" s="52">
        <f t="shared" si="5"/>
        <v>0</v>
      </c>
    </row>
    <row r="21" spans="1:29" hidden="1">
      <c r="B21" s="5" t="s">
        <v>34</v>
      </c>
      <c r="C21" s="18"/>
      <c r="D21" s="18"/>
      <c r="E21" s="18"/>
      <c r="F21" s="18"/>
      <c r="G21" s="18"/>
      <c r="H21" s="18"/>
      <c r="I21" s="18"/>
      <c r="J21" s="18"/>
      <c r="K21" s="18"/>
      <c r="L21" s="18"/>
      <c r="M21" s="18"/>
      <c r="N21" s="18"/>
      <c r="O21" s="52">
        <f t="shared" si="5"/>
        <v>0</v>
      </c>
    </row>
    <row r="22" spans="1:29">
      <c r="B22" s="5" t="s">
        <v>35</v>
      </c>
      <c r="C22" s="18">
        <f>116933/12</f>
        <v>9744.4166666666661</v>
      </c>
      <c r="D22" s="18">
        <f>C22</f>
        <v>9744.4166666666661</v>
      </c>
      <c r="E22" s="18">
        <f t="shared" ref="E22:N23" si="8">D22</f>
        <v>9744.4166666666661</v>
      </c>
      <c r="F22" s="18">
        <f t="shared" si="8"/>
        <v>9744.4166666666661</v>
      </c>
      <c r="G22" s="18">
        <f t="shared" si="8"/>
        <v>9744.4166666666661</v>
      </c>
      <c r="H22" s="18">
        <f t="shared" si="8"/>
        <v>9744.4166666666661</v>
      </c>
      <c r="I22" s="18">
        <f t="shared" si="8"/>
        <v>9744.4166666666661</v>
      </c>
      <c r="J22" s="18">
        <f t="shared" si="8"/>
        <v>9744.4166666666661</v>
      </c>
      <c r="K22" s="18">
        <f t="shared" si="8"/>
        <v>9744.4166666666661</v>
      </c>
      <c r="L22" s="18">
        <f t="shared" si="8"/>
        <v>9744.4166666666661</v>
      </c>
      <c r="M22" s="18">
        <f t="shared" si="8"/>
        <v>9744.4166666666661</v>
      </c>
      <c r="N22" s="18">
        <f t="shared" si="8"/>
        <v>9744.4166666666661</v>
      </c>
      <c r="O22" s="52">
        <f t="shared" si="5"/>
        <v>116933.00000000001</v>
      </c>
    </row>
    <row r="23" spans="1:29">
      <c r="B23" s="5" t="s">
        <v>77</v>
      </c>
      <c r="C23" s="18">
        <f>(236511)/12</f>
        <v>19709.25</v>
      </c>
      <c r="D23" s="18">
        <f>C23</f>
        <v>19709.25</v>
      </c>
      <c r="E23" s="18">
        <f t="shared" si="8"/>
        <v>19709.25</v>
      </c>
      <c r="F23" s="18">
        <f t="shared" si="8"/>
        <v>19709.25</v>
      </c>
      <c r="G23" s="18">
        <f t="shared" si="8"/>
        <v>19709.25</v>
      </c>
      <c r="H23" s="18">
        <f t="shared" si="8"/>
        <v>19709.25</v>
      </c>
      <c r="I23" s="18">
        <f t="shared" si="8"/>
        <v>19709.25</v>
      </c>
      <c r="J23" s="18">
        <f t="shared" si="8"/>
        <v>19709.25</v>
      </c>
      <c r="K23" s="18">
        <f t="shared" si="8"/>
        <v>19709.25</v>
      </c>
      <c r="L23" s="18">
        <f t="shared" si="8"/>
        <v>19709.25</v>
      </c>
      <c r="M23" s="18">
        <f t="shared" si="8"/>
        <v>19709.25</v>
      </c>
      <c r="N23" s="18">
        <f t="shared" si="8"/>
        <v>19709.25</v>
      </c>
      <c r="O23" s="52">
        <f t="shared" ref="O23" si="9">SUM(C23:N23)</f>
        <v>236511</v>
      </c>
    </row>
    <row r="24" spans="1:29">
      <c r="B24" s="5" t="s">
        <v>36</v>
      </c>
      <c r="C24" s="18">
        <f>((14000+1120+98000+7000+7000+2800+10000)+(56584+124279))/12</f>
        <v>26731.916666666668</v>
      </c>
      <c r="D24" s="18">
        <f>C24</f>
        <v>26731.916666666668</v>
      </c>
      <c r="E24" s="18">
        <f t="shared" ref="E24:N24" si="10">D24</f>
        <v>26731.916666666668</v>
      </c>
      <c r="F24" s="18">
        <f t="shared" si="10"/>
        <v>26731.916666666668</v>
      </c>
      <c r="G24" s="18">
        <f t="shared" si="10"/>
        <v>26731.916666666668</v>
      </c>
      <c r="H24" s="18">
        <f t="shared" si="10"/>
        <v>26731.916666666668</v>
      </c>
      <c r="I24" s="18">
        <f t="shared" si="10"/>
        <v>26731.916666666668</v>
      </c>
      <c r="J24" s="18">
        <f t="shared" si="10"/>
        <v>26731.916666666668</v>
      </c>
      <c r="K24" s="18">
        <f t="shared" si="10"/>
        <v>26731.916666666668</v>
      </c>
      <c r="L24" s="18">
        <f t="shared" si="10"/>
        <v>26731.916666666668</v>
      </c>
      <c r="M24" s="18">
        <f t="shared" si="10"/>
        <v>26731.916666666668</v>
      </c>
      <c r="N24" s="18">
        <f t="shared" si="10"/>
        <v>26731.916666666668</v>
      </c>
      <c r="O24" s="52">
        <f t="shared" si="5"/>
        <v>320783</v>
      </c>
    </row>
    <row r="25" spans="1:29">
      <c r="A25" t="s">
        <v>21</v>
      </c>
      <c r="B25" s="9" t="s">
        <v>87</v>
      </c>
      <c r="C25" s="19">
        <f t="shared" ref="C25:N25" si="11">SUM(C17:C24)</f>
        <v>110350.50000000001</v>
      </c>
      <c r="D25" s="19">
        <f t="shared" si="11"/>
        <v>110350.50000000001</v>
      </c>
      <c r="E25" s="19">
        <f t="shared" si="11"/>
        <v>110350.50000000001</v>
      </c>
      <c r="F25" s="19">
        <f t="shared" si="11"/>
        <v>110350.50000000001</v>
      </c>
      <c r="G25" s="19">
        <f t="shared" si="11"/>
        <v>110350.50000000001</v>
      </c>
      <c r="H25" s="19">
        <f t="shared" si="11"/>
        <v>110350.50000000001</v>
      </c>
      <c r="I25" s="19">
        <f t="shared" si="11"/>
        <v>110350.50000000001</v>
      </c>
      <c r="J25" s="19">
        <f t="shared" si="11"/>
        <v>110350.50000000001</v>
      </c>
      <c r="K25" s="19">
        <f t="shared" si="11"/>
        <v>110350.50000000001</v>
      </c>
      <c r="L25" s="19">
        <f t="shared" si="11"/>
        <v>110350.50000000001</v>
      </c>
      <c r="M25" s="19">
        <f t="shared" si="11"/>
        <v>110350.50000000001</v>
      </c>
      <c r="N25" s="19">
        <f t="shared" si="11"/>
        <v>110350.50000000001</v>
      </c>
      <c r="O25" s="53">
        <f>SUM(O17:O24)</f>
        <v>1324206</v>
      </c>
    </row>
    <row r="26" spans="1:29" ht="16.149999999999999" customHeight="1">
      <c r="B26" s="9"/>
      <c r="F26" s="15"/>
      <c r="G26" s="15"/>
      <c r="H26" s="15"/>
      <c r="I26" s="15"/>
      <c r="J26" s="15"/>
      <c r="K26" s="15"/>
      <c r="L26" s="15"/>
      <c r="M26" s="15"/>
      <c r="N26" s="15"/>
      <c r="O26" s="52"/>
    </row>
    <row r="27" spans="1:29" ht="15.75" thickBot="1">
      <c r="A27" t="s">
        <v>80</v>
      </c>
      <c r="B27" s="9" t="s">
        <v>135</v>
      </c>
      <c r="C27" s="38">
        <f>C25+C14</f>
        <v>368181.75</v>
      </c>
      <c r="D27" s="38">
        <f t="shared" ref="D27:O27" si="12">D25+D14</f>
        <v>368181.75</v>
      </c>
      <c r="E27" s="38">
        <f t="shared" si="12"/>
        <v>368181.75</v>
      </c>
      <c r="F27" s="38">
        <f t="shared" si="12"/>
        <v>368181.75</v>
      </c>
      <c r="G27" s="38">
        <f t="shared" si="12"/>
        <v>368181.75</v>
      </c>
      <c r="H27" s="38">
        <f t="shared" si="12"/>
        <v>368181.75</v>
      </c>
      <c r="I27" s="38">
        <f t="shared" si="12"/>
        <v>368181.75</v>
      </c>
      <c r="J27" s="38">
        <f t="shared" si="12"/>
        <v>368181.75</v>
      </c>
      <c r="K27" s="38">
        <f t="shared" si="12"/>
        <v>368181.75</v>
      </c>
      <c r="L27" s="38">
        <f t="shared" si="12"/>
        <v>368181.75</v>
      </c>
      <c r="M27" s="38">
        <f t="shared" si="12"/>
        <v>368181.75</v>
      </c>
      <c r="N27" s="38">
        <f t="shared" si="12"/>
        <v>368181.75</v>
      </c>
      <c r="O27" s="38">
        <f t="shared" si="12"/>
        <v>4418181</v>
      </c>
    </row>
    <row r="28" spans="1:29" ht="15.75" thickTop="1">
      <c r="B28" s="9"/>
      <c r="O28" s="54"/>
    </row>
    <row r="29" spans="1:29">
      <c r="B29" s="30" t="s">
        <v>58</v>
      </c>
      <c r="F29" s="18"/>
      <c r="G29" s="18"/>
      <c r="H29" s="18"/>
      <c r="I29" s="18"/>
      <c r="J29" s="18"/>
      <c r="K29" s="18"/>
      <c r="L29" s="18"/>
      <c r="M29" s="18"/>
      <c r="N29" s="18"/>
      <c r="O29" s="56"/>
      <c r="P29" s="18"/>
      <c r="Q29" s="18"/>
      <c r="R29" s="18"/>
      <c r="S29" s="18"/>
      <c r="T29" s="18"/>
      <c r="U29" s="18"/>
      <c r="V29" s="18"/>
      <c r="W29" s="18"/>
      <c r="X29" s="18"/>
      <c r="Y29" s="18"/>
      <c r="Z29" s="18"/>
      <c r="AA29" s="18"/>
      <c r="AB29" s="18"/>
      <c r="AC29" s="18"/>
    </row>
    <row r="30" spans="1:29">
      <c r="B30" s="31" t="s">
        <v>31</v>
      </c>
      <c r="C30" s="20">
        <v>73719.009999999995</v>
      </c>
      <c r="D30" s="18">
        <v>34136.43</v>
      </c>
      <c r="E30" s="18">
        <v>89321.46</v>
      </c>
      <c r="F30" s="18">
        <v>80545.430000000008</v>
      </c>
      <c r="G30" s="18">
        <v>32328.68</v>
      </c>
      <c r="H30" s="18">
        <v>74837.19</v>
      </c>
      <c r="I30" s="18">
        <v>23751.27</v>
      </c>
      <c r="J30" s="18">
        <v>65310.700000000004</v>
      </c>
      <c r="K30" s="18">
        <v>95027.91</v>
      </c>
      <c r="L30" s="18"/>
      <c r="M30" s="18"/>
      <c r="N30" s="18"/>
      <c r="O30" s="52">
        <f t="shared" ref="O30:O36" si="13">SUM(C30:N30)</f>
        <v>568978.08000000007</v>
      </c>
      <c r="P30" s="18"/>
      <c r="Q30" s="18"/>
      <c r="R30" s="18"/>
      <c r="S30" s="18"/>
      <c r="T30" s="18"/>
      <c r="U30" s="18"/>
      <c r="V30" s="18"/>
      <c r="W30" s="18"/>
      <c r="X30" s="18"/>
      <c r="Y30" s="18"/>
      <c r="Z30" s="18"/>
      <c r="AA30" s="18"/>
      <c r="AB30" s="18"/>
      <c r="AC30" s="18"/>
    </row>
    <row r="31" spans="1:29">
      <c r="B31" s="31" t="s">
        <v>32</v>
      </c>
      <c r="C31" s="18">
        <v>98988</v>
      </c>
      <c r="D31" s="18">
        <v>76197.570000000007</v>
      </c>
      <c r="E31" s="18">
        <v>129690.22000000002</v>
      </c>
      <c r="F31" s="18">
        <v>62231.929999999993</v>
      </c>
      <c r="G31" s="18">
        <v>32821.599999999999</v>
      </c>
      <c r="H31" s="18">
        <v>55104.160000000003</v>
      </c>
      <c r="I31" s="18">
        <v>43042.96</v>
      </c>
      <c r="J31" s="18">
        <v>53644.33</v>
      </c>
      <c r="K31" s="18">
        <v>93987.83</v>
      </c>
      <c r="L31" s="18"/>
      <c r="M31" s="18"/>
      <c r="N31" s="18"/>
      <c r="O31" s="52">
        <f t="shared" si="13"/>
        <v>645708.6</v>
      </c>
      <c r="P31" s="18"/>
      <c r="Q31" s="18"/>
      <c r="R31" s="18"/>
      <c r="S31" s="18"/>
      <c r="T31" s="18"/>
      <c r="U31" s="18"/>
      <c r="V31" s="18"/>
      <c r="W31" s="18"/>
      <c r="X31" s="18"/>
      <c r="Y31" s="18"/>
      <c r="Z31" s="18"/>
      <c r="AA31" s="18"/>
      <c r="AB31" s="18"/>
      <c r="AC31" s="18"/>
    </row>
    <row r="32" spans="1:29">
      <c r="B32" s="31" t="s">
        <v>75</v>
      </c>
      <c r="C32" s="18">
        <v>-2479.65</v>
      </c>
      <c r="D32" s="18"/>
      <c r="E32" s="18">
        <v>9.7799999999999994</v>
      </c>
      <c r="F32" s="18">
        <v>117631.21</v>
      </c>
      <c r="G32" s="18">
        <v>11433.380000000001</v>
      </c>
      <c r="H32" s="18">
        <v>75704.92</v>
      </c>
      <c r="I32" s="18"/>
      <c r="J32" s="18">
        <v>62800.56</v>
      </c>
      <c r="K32" s="18"/>
      <c r="L32" s="18"/>
      <c r="M32" s="18"/>
      <c r="N32" s="18"/>
      <c r="O32" s="52">
        <f t="shared" si="13"/>
        <v>265100.2</v>
      </c>
      <c r="P32" s="18"/>
      <c r="Q32" s="18"/>
      <c r="R32" s="18"/>
      <c r="S32" s="18"/>
      <c r="T32" s="18"/>
      <c r="U32" s="18"/>
      <c r="V32" s="18"/>
      <c r="W32" s="18"/>
      <c r="X32" s="18"/>
      <c r="Y32" s="18"/>
      <c r="Z32" s="18"/>
      <c r="AA32" s="18"/>
      <c r="AB32" s="18"/>
      <c r="AC32" s="18"/>
    </row>
    <row r="33" spans="1:29" hidden="1">
      <c r="B33" s="31" t="s">
        <v>33</v>
      </c>
      <c r="F33" s="18"/>
      <c r="G33" s="18"/>
      <c r="H33" s="18"/>
      <c r="I33" s="18"/>
      <c r="J33" s="18"/>
      <c r="K33" s="18"/>
      <c r="L33" s="18"/>
      <c r="M33" s="18"/>
      <c r="N33" s="18"/>
      <c r="O33" s="52">
        <f t="shared" si="13"/>
        <v>0</v>
      </c>
      <c r="P33" s="18"/>
      <c r="Q33" s="18"/>
      <c r="R33" s="18"/>
      <c r="S33" s="18"/>
      <c r="T33" s="18"/>
      <c r="U33" s="18"/>
      <c r="V33" s="18"/>
      <c r="W33" s="18"/>
      <c r="X33" s="18"/>
      <c r="Y33" s="18"/>
      <c r="Z33" s="18"/>
      <c r="AA33" s="18"/>
      <c r="AB33" s="18"/>
      <c r="AC33" s="18"/>
    </row>
    <row r="34" spans="1:29" hidden="1">
      <c r="B34" s="31" t="s">
        <v>34</v>
      </c>
      <c r="F34" s="18"/>
      <c r="G34" s="18"/>
      <c r="H34" s="18"/>
      <c r="I34" s="18"/>
      <c r="J34" s="18"/>
      <c r="K34" s="18"/>
      <c r="L34" s="18"/>
      <c r="M34" s="18"/>
      <c r="N34" s="18"/>
      <c r="O34" s="52">
        <f t="shared" si="13"/>
        <v>0</v>
      </c>
      <c r="P34" s="18"/>
      <c r="Q34" s="18"/>
      <c r="R34" s="18"/>
      <c r="S34" s="18"/>
      <c r="T34" s="18"/>
      <c r="U34" s="18"/>
      <c r="V34" s="18"/>
      <c r="W34" s="18"/>
      <c r="X34" s="18"/>
      <c r="Y34" s="18"/>
      <c r="Z34" s="18"/>
      <c r="AA34" s="18"/>
      <c r="AB34" s="18"/>
      <c r="AC34" s="18"/>
    </row>
    <row r="35" spans="1:29" hidden="1">
      <c r="B35" s="31" t="s">
        <v>35</v>
      </c>
      <c r="F35" s="18"/>
      <c r="G35" s="18"/>
      <c r="H35" s="18"/>
      <c r="I35" s="18"/>
      <c r="J35" s="18"/>
      <c r="K35" s="18"/>
      <c r="L35" s="18"/>
      <c r="M35" s="18"/>
      <c r="N35" s="18"/>
      <c r="O35" s="52">
        <f t="shared" si="13"/>
        <v>0</v>
      </c>
      <c r="P35" s="18"/>
      <c r="Q35" s="18"/>
      <c r="R35" s="18"/>
      <c r="S35" s="18"/>
      <c r="T35" s="18"/>
      <c r="U35" s="18"/>
      <c r="V35" s="18"/>
      <c r="W35" s="18"/>
      <c r="X35" s="18"/>
      <c r="Y35" s="18"/>
      <c r="Z35" s="18"/>
      <c r="AA35" s="18"/>
      <c r="AB35" s="18"/>
      <c r="AC35" s="18"/>
    </row>
    <row r="36" spans="1:29" hidden="1">
      <c r="B36" s="31" t="s">
        <v>36</v>
      </c>
      <c r="F36" s="18"/>
      <c r="G36" s="18"/>
      <c r="H36" s="18"/>
      <c r="I36" s="18"/>
      <c r="J36" s="18"/>
      <c r="K36" s="18"/>
      <c r="L36" s="18"/>
      <c r="M36" s="18"/>
      <c r="N36" s="18"/>
      <c r="O36" s="52">
        <f t="shared" si="13"/>
        <v>0</v>
      </c>
      <c r="P36" s="18"/>
      <c r="Q36" s="18"/>
      <c r="R36" s="18"/>
      <c r="S36" s="18"/>
      <c r="T36" s="18"/>
      <c r="U36" s="18"/>
      <c r="V36" s="18"/>
      <c r="W36" s="18"/>
      <c r="X36" s="18"/>
      <c r="Y36" s="18"/>
      <c r="Z36" s="18"/>
      <c r="AA36" s="18"/>
      <c r="AB36" s="18"/>
      <c r="AC36" s="18"/>
    </row>
    <row r="37" spans="1:29">
      <c r="A37" t="s">
        <v>20</v>
      </c>
      <c r="B37" s="30" t="s">
        <v>38</v>
      </c>
      <c r="C37" s="19">
        <f>SUM(C30:C36)</f>
        <v>170227.36000000002</v>
      </c>
      <c r="D37" s="19">
        <f t="shared" ref="D37:N37" si="14">SUM(D30:D36)</f>
        <v>110334</v>
      </c>
      <c r="E37" s="19">
        <f t="shared" si="14"/>
        <v>219021.46000000002</v>
      </c>
      <c r="F37" s="19">
        <f t="shared" si="14"/>
        <v>260408.57</v>
      </c>
      <c r="G37" s="19">
        <f t="shared" si="14"/>
        <v>76583.66</v>
      </c>
      <c r="H37" s="19">
        <f t="shared" si="14"/>
        <v>205646.27000000002</v>
      </c>
      <c r="I37" s="19">
        <f t="shared" si="14"/>
        <v>66794.23</v>
      </c>
      <c r="J37" s="19">
        <f t="shared" si="14"/>
        <v>181755.59</v>
      </c>
      <c r="K37" s="19">
        <f t="shared" si="14"/>
        <v>189015.74</v>
      </c>
      <c r="L37" s="19">
        <f t="shared" si="14"/>
        <v>0</v>
      </c>
      <c r="M37" s="19">
        <f t="shared" si="14"/>
        <v>0</v>
      </c>
      <c r="N37" s="19">
        <f t="shared" si="14"/>
        <v>0</v>
      </c>
      <c r="O37" s="53">
        <f>SUM(O30:O36)</f>
        <v>1479786.8800000001</v>
      </c>
      <c r="P37" s="18"/>
      <c r="Q37" s="18"/>
      <c r="R37" s="18"/>
      <c r="S37" s="18"/>
      <c r="T37" s="18"/>
      <c r="U37" s="18"/>
      <c r="V37" s="18"/>
      <c r="W37" s="18"/>
      <c r="X37" s="18"/>
      <c r="Y37" s="18"/>
      <c r="Z37" s="18"/>
      <c r="AA37" s="18"/>
      <c r="AB37" s="18"/>
      <c r="AC37" s="18"/>
    </row>
    <row r="38" spans="1:29">
      <c r="B38" s="30"/>
      <c r="F38" s="18"/>
      <c r="G38" s="18"/>
      <c r="H38" s="18"/>
      <c r="I38" s="18"/>
      <c r="J38" s="18"/>
      <c r="K38" s="18"/>
      <c r="L38" s="18"/>
      <c r="M38" s="18"/>
      <c r="N38" s="18"/>
      <c r="O38" s="56"/>
      <c r="P38" s="18"/>
      <c r="Q38" s="18"/>
      <c r="R38" s="18"/>
      <c r="S38" s="18"/>
      <c r="T38" s="18"/>
      <c r="U38" s="18"/>
      <c r="V38" s="18"/>
      <c r="W38" s="18"/>
      <c r="X38" s="18"/>
      <c r="Y38" s="18"/>
      <c r="Z38" s="18"/>
      <c r="AA38" s="18"/>
      <c r="AB38" s="18"/>
      <c r="AC38" s="18"/>
    </row>
    <row r="39" spans="1:29">
      <c r="B39" s="30" t="s">
        <v>82</v>
      </c>
      <c r="F39" s="18"/>
      <c r="G39" s="18"/>
      <c r="H39" s="18"/>
      <c r="I39" s="18"/>
      <c r="J39" s="18"/>
      <c r="K39" s="18"/>
      <c r="L39" s="18"/>
      <c r="M39" s="18"/>
      <c r="N39" s="18"/>
      <c r="O39" s="56"/>
      <c r="P39" s="18"/>
      <c r="Q39" s="18"/>
      <c r="R39" s="18"/>
      <c r="S39" s="18"/>
      <c r="T39" s="18"/>
      <c r="U39" s="18"/>
      <c r="V39" s="18"/>
      <c r="W39" s="18"/>
      <c r="X39" s="18"/>
      <c r="Y39" s="18"/>
      <c r="Z39" s="18"/>
      <c r="AA39" s="18"/>
      <c r="AB39" s="18"/>
      <c r="AC39" s="18"/>
    </row>
    <row r="40" spans="1:29">
      <c r="B40" s="31" t="s">
        <v>31</v>
      </c>
      <c r="C40" s="20">
        <v>7844.02</v>
      </c>
      <c r="D40" s="18">
        <v>6224.8200000000006</v>
      </c>
      <c r="E40" s="18">
        <v>14770.1</v>
      </c>
      <c r="F40" s="18">
        <v>8260.64</v>
      </c>
      <c r="G40" s="18">
        <v>13664.350000000002</v>
      </c>
      <c r="H40" s="18">
        <v>11699.240000000002</v>
      </c>
      <c r="I40" s="18">
        <v>11807.32</v>
      </c>
      <c r="J40" s="18">
        <v>10238.370000000001</v>
      </c>
      <c r="K40" s="18">
        <v>10879.57</v>
      </c>
      <c r="L40" s="18"/>
      <c r="M40" s="18"/>
      <c r="N40" s="18"/>
      <c r="O40" s="52">
        <f t="shared" ref="O40:O47" si="15">SUM(C40:N40)</f>
        <v>95388.430000000022</v>
      </c>
      <c r="P40" s="18"/>
      <c r="Q40" s="18"/>
      <c r="R40" s="18"/>
      <c r="S40" s="18"/>
      <c r="T40" s="18"/>
      <c r="U40" s="18"/>
      <c r="V40" s="18"/>
      <c r="W40" s="18"/>
      <c r="X40" s="18"/>
      <c r="Y40" s="18"/>
      <c r="Z40" s="18"/>
      <c r="AA40" s="18"/>
      <c r="AB40" s="18"/>
      <c r="AC40" s="18"/>
    </row>
    <row r="41" spans="1:29">
      <c r="B41" s="31" t="s">
        <v>32</v>
      </c>
      <c r="C41" s="18">
        <v>23299.649999999998</v>
      </c>
      <c r="D41" s="18">
        <v>26912.6</v>
      </c>
      <c r="E41" s="18">
        <v>29432.44</v>
      </c>
      <c r="F41" s="18">
        <v>18819.249999999996</v>
      </c>
      <c r="G41" s="18">
        <v>23517.62</v>
      </c>
      <c r="H41" s="18">
        <v>36017.220000000008</v>
      </c>
      <c r="I41" s="18">
        <v>21112.080000000005</v>
      </c>
      <c r="J41" s="18">
        <v>30996</v>
      </c>
      <c r="K41" s="18">
        <v>30963.260000000002</v>
      </c>
      <c r="L41" s="18"/>
      <c r="M41" s="18"/>
      <c r="N41" s="18"/>
      <c r="O41" s="52">
        <f t="shared" si="15"/>
        <v>241070.12000000002</v>
      </c>
      <c r="P41" s="18"/>
      <c r="Q41" s="18"/>
      <c r="R41" s="18"/>
      <c r="S41" s="18"/>
      <c r="T41" s="18"/>
      <c r="U41" s="18"/>
      <c r="V41" s="18"/>
      <c r="W41" s="18"/>
      <c r="X41" s="18"/>
      <c r="Y41" s="18"/>
      <c r="Z41" s="18"/>
      <c r="AA41" s="18"/>
      <c r="AB41" s="18"/>
      <c r="AC41" s="18"/>
    </row>
    <row r="42" spans="1:29">
      <c r="B42" s="31" t="s">
        <v>75</v>
      </c>
      <c r="C42" s="18">
        <v>2268</v>
      </c>
      <c r="D42" s="18">
        <v>2070.34</v>
      </c>
      <c r="E42" s="18">
        <v>246.27</v>
      </c>
      <c r="F42" s="18">
        <v>2415.61</v>
      </c>
      <c r="G42" s="18">
        <v>2307.0299999999997</v>
      </c>
      <c r="H42" s="18">
        <v>1347.15</v>
      </c>
      <c r="I42" s="18">
        <v>2645.2000000000003</v>
      </c>
      <c r="J42" s="18">
        <v>1261.67</v>
      </c>
      <c r="K42" s="18">
        <v>2269.41</v>
      </c>
      <c r="L42" s="18"/>
      <c r="M42" s="18"/>
      <c r="N42" s="18"/>
      <c r="O42" s="52">
        <f t="shared" si="15"/>
        <v>16830.68</v>
      </c>
      <c r="P42" s="18"/>
      <c r="Q42" s="18"/>
      <c r="R42" s="18"/>
      <c r="S42" s="18"/>
      <c r="T42" s="18"/>
      <c r="U42" s="18"/>
      <c r="V42" s="18"/>
      <c r="W42" s="18"/>
      <c r="X42" s="18"/>
      <c r="Y42" s="18"/>
      <c r="Z42" s="18"/>
      <c r="AA42" s="18"/>
      <c r="AB42" s="18"/>
      <c r="AC42" s="18"/>
    </row>
    <row r="43" spans="1:29" hidden="1">
      <c r="B43" s="31" t="s">
        <v>33</v>
      </c>
      <c r="C43" s="18">
        <v>0</v>
      </c>
      <c r="D43" s="18"/>
      <c r="E43" s="18"/>
      <c r="F43" s="18"/>
      <c r="G43" s="18"/>
      <c r="H43" s="18"/>
      <c r="I43" s="18"/>
      <c r="J43" s="18"/>
      <c r="K43" s="18"/>
      <c r="L43" s="18"/>
      <c r="M43" s="18"/>
      <c r="N43" s="18"/>
      <c r="O43" s="52">
        <f t="shared" si="15"/>
        <v>0</v>
      </c>
      <c r="P43" s="18"/>
      <c r="Q43" s="18"/>
      <c r="R43" s="18"/>
      <c r="S43" s="18"/>
      <c r="T43" s="18"/>
      <c r="U43" s="18"/>
      <c r="V43" s="18"/>
      <c r="W43" s="18"/>
      <c r="X43" s="18"/>
      <c r="Y43" s="18"/>
      <c r="Z43" s="18"/>
      <c r="AA43" s="18"/>
      <c r="AB43" s="18"/>
      <c r="AC43" s="18"/>
    </row>
    <row r="44" spans="1:29" hidden="1">
      <c r="B44" s="31" t="s">
        <v>34</v>
      </c>
      <c r="C44" s="18">
        <v>0</v>
      </c>
      <c r="D44" s="18"/>
      <c r="E44" s="18"/>
      <c r="F44" s="18"/>
      <c r="G44" s="18"/>
      <c r="H44" s="18"/>
      <c r="I44" s="18"/>
      <c r="J44" s="18"/>
      <c r="K44" s="18"/>
      <c r="L44" s="18"/>
      <c r="M44" s="18"/>
      <c r="N44" s="18"/>
      <c r="O44" s="52">
        <f t="shared" si="15"/>
        <v>0</v>
      </c>
      <c r="P44" s="18"/>
      <c r="Q44" s="18"/>
      <c r="R44" s="18"/>
      <c r="S44" s="18"/>
      <c r="T44" s="18"/>
      <c r="U44" s="18"/>
      <c r="V44" s="18"/>
      <c r="W44" s="18"/>
      <c r="X44" s="18"/>
      <c r="Y44" s="18"/>
      <c r="Z44" s="18"/>
      <c r="AA44" s="18"/>
      <c r="AB44" s="18"/>
      <c r="AC44" s="18"/>
    </row>
    <row r="45" spans="1:29">
      <c r="B45" s="31" t="s">
        <v>35</v>
      </c>
      <c r="C45" s="18">
        <v>0</v>
      </c>
      <c r="D45" s="18"/>
      <c r="E45" s="18"/>
      <c r="F45" s="18"/>
      <c r="G45" s="18"/>
      <c r="H45" s="18"/>
      <c r="I45" s="18">
        <v>569.21</v>
      </c>
      <c r="J45" s="18"/>
      <c r="K45" s="18"/>
      <c r="L45" s="18"/>
      <c r="M45" s="18"/>
      <c r="N45" s="18"/>
      <c r="O45" s="52">
        <f t="shared" si="15"/>
        <v>569.21</v>
      </c>
      <c r="P45" s="18"/>
      <c r="Q45" s="18"/>
      <c r="R45" s="18"/>
      <c r="S45" s="18"/>
      <c r="T45" s="18"/>
      <c r="U45" s="18"/>
      <c r="V45" s="18"/>
      <c r="W45" s="18"/>
      <c r="X45" s="18"/>
      <c r="Y45" s="18"/>
      <c r="Z45" s="18"/>
      <c r="AA45" s="18"/>
      <c r="AB45" s="18"/>
      <c r="AC45" s="18"/>
    </row>
    <row r="46" spans="1:29">
      <c r="B46" s="31" t="s">
        <v>77</v>
      </c>
      <c r="C46" s="18">
        <v>61598.890000000007</v>
      </c>
      <c r="D46" s="18">
        <v>22130.23</v>
      </c>
      <c r="E46" s="18">
        <v>11148.92</v>
      </c>
      <c r="F46" s="18">
        <v>32490.720000000001</v>
      </c>
      <c r="G46" s="18">
        <v>42492.86</v>
      </c>
      <c r="H46" s="18">
        <v>44917.36</v>
      </c>
      <c r="I46" s="18">
        <v>19316.25</v>
      </c>
      <c r="J46" s="18">
        <v>4322.82</v>
      </c>
      <c r="K46" s="18">
        <v>5034.13</v>
      </c>
      <c r="L46" s="18"/>
      <c r="M46" s="18"/>
      <c r="N46" s="18"/>
      <c r="O46" s="52">
        <f t="shared" ref="O46" si="16">SUM(C46:N46)</f>
        <v>243452.18</v>
      </c>
      <c r="P46" s="18"/>
      <c r="Q46" s="18"/>
      <c r="R46" s="18"/>
      <c r="S46" s="18"/>
      <c r="T46" s="18"/>
      <c r="U46" s="18"/>
      <c r="V46" s="18"/>
      <c r="W46" s="18"/>
      <c r="X46" s="18"/>
      <c r="Y46" s="18"/>
      <c r="Z46" s="18"/>
      <c r="AA46" s="18"/>
      <c r="AB46" s="18"/>
      <c r="AC46" s="18"/>
    </row>
    <row r="47" spans="1:29">
      <c r="B47" s="31" t="s">
        <v>36</v>
      </c>
      <c r="C47" s="18">
        <v>48337.36</v>
      </c>
      <c r="D47" s="18">
        <v>59891.27</v>
      </c>
      <c r="E47" s="18">
        <v>60879.850000000006</v>
      </c>
      <c r="F47" s="18">
        <v>71677.180000000008</v>
      </c>
      <c r="G47" s="18">
        <v>60018.41</v>
      </c>
      <c r="H47" s="18">
        <v>61816.59</v>
      </c>
      <c r="I47" s="18">
        <v>64449.24</v>
      </c>
      <c r="J47" s="18">
        <v>75322.33</v>
      </c>
      <c r="K47" s="18">
        <v>59483.93</v>
      </c>
      <c r="L47" s="18"/>
      <c r="M47" s="18"/>
      <c r="N47" s="18"/>
      <c r="O47" s="52">
        <f t="shared" si="15"/>
        <v>561876.16</v>
      </c>
      <c r="P47" s="18"/>
      <c r="Q47" s="18"/>
      <c r="R47" s="18"/>
      <c r="S47" s="18"/>
      <c r="T47" s="18"/>
      <c r="U47" s="18"/>
      <c r="V47" s="18"/>
      <c r="W47" s="18"/>
      <c r="X47" s="18"/>
      <c r="Y47" s="18"/>
      <c r="Z47" s="18"/>
      <c r="AA47" s="18"/>
      <c r="AB47" s="18"/>
      <c r="AC47" s="18"/>
    </row>
    <row r="48" spans="1:29">
      <c r="A48" t="s">
        <v>24</v>
      </c>
      <c r="B48" s="30" t="s">
        <v>83</v>
      </c>
      <c r="C48" s="19">
        <f t="shared" ref="C48:N48" si="17">SUM(C40:C47)</f>
        <v>143347.91999999998</v>
      </c>
      <c r="D48" s="19">
        <f t="shared" si="17"/>
        <v>117229.25999999998</v>
      </c>
      <c r="E48" s="19">
        <f t="shared" si="17"/>
        <v>116477.58</v>
      </c>
      <c r="F48" s="19">
        <f t="shared" si="17"/>
        <v>133663.40000000002</v>
      </c>
      <c r="G48" s="19">
        <f t="shared" si="17"/>
        <v>142000.27000000002</v>
      </c>
      <c r="H48" s="19">
        <f t="shared" si="17"/>
        <v>155797.56</v>
      </c>
      <c r="I48" s="19">
        <f t="shared" si="17"/>
        <v>119899.3</v>
      </c>
      <c r="J48" s="19">
        <f t="shared" si="17"/>
        <v>122141.19</v>
      </c>
      <c r="K48" s="19">
        <f t="shared" si="17"/>
        <v>108630.3</v>
      </c>
      <c r="L48" s="19">
        <f t="shared" si="17"/>
        <v>0</v>
      </c>
      <c r="M48" s="19">
        <f t="shared" si="17"/>
        <v>0</v>
      </c>
      <c r="N48" s="19">
        <f t="shared" si="17"/>
        <v>0</v>
      </c>
      <c r="O48" s="53">
        <f>SUM(O40:O47)</f>
        <v>1159186.7800000003</v>
      </c>
      <c r="P48" s="18"/>
      <c r="Q48" s="18"/>
      <c r="R48" s="18"/>
      <c r="S48" s="18"/>
      <c r="T48" s="18"/>
      <c r="U48" s="18"/>
      <c r="V48" s="18"/>
      <c r="W48" s="18"/>
      <c r="X48" s="18"/>
      <c r="Y48" s="18"/>
      <c r="Z48" s="18"/>
      <c r="AA48" s="18"/>
      <c r="AB48" s="18"/>
      <c r="AC48" s="18"/>
    </row>
    <row r="49" spans="1:29">
      <c r="B49" s="30"/>
      <c r="F49" s="18"/>
      <c r="G49" s="18"/>
      <c r="H49" s="18"/>
      <c r="I49" s="18"/>
      <c r="J49" s="18"/>
      <c r="K49" s="18"/>
      <c r="L49" s="18"/>
      <c r="M49" s="18"/>
      <c r="N49" s="18"/>
      <c r="O49" s="56"/>
      <c r="P49" s="18"/>
      <c r="Q49" s="18"/>
      <c r="R49" s="18"/>
      <c r="S49" s="18"/>
      <c r="T49" s="18"/>
      <c r="U49" s="18"/>
      <c r="V49" s="18"/>
      <c r="W49" s="18"/>
      <c r="X49" s="18"/>
      <c r="Y49" s="18"/>
      <c r="Z49" s="18"/>
      <c r="AA49" s="18"/>
      <c r="AB49" s="18"/>
      <c r="AC49" s="18"/>
    </row>
    <row r="50" spans="1:29" ht="15.75" thickBot="1">
      <c r="A50" t="s">
        <v>81</v>
      </c>
      <c r="B50" s="30" t="s">
        <v>136</v>
      </c>
      <c r="C50" s="38">
        <f>C48+C37</f>
        <v>313575.28000000003</v>
      </c>
      <c r="D50" s="38">
        <f t="shared" ref="D50:O50" si="18">D48+D37</f>
        <v>227563.25999999998</v>
      </c>
      <c r="E50" s="38">
        <f t="shared" si="18"/>
        <v>335499.04000000004</v>
      </c>
      <c r="F50" s="38">
        <f t="shared" si="18"/>
        <v>394071.97000000003</v>
      </c>
      <c r="G50" s="38">
        <f t="shared" si="18"/>
        <v>218583.93000000002</v>
      </c>
      <c r="H50" s="38">
        <f t="shared" si="18"/>
        <v>361443.83</v>
      </c>
      <c r="I50" s="38">
        <f t="shared" si="18"/>
        <v>186693.53</v>
      </c>
      <c r="J50" s="38">
        <f t="shared" si="18"/>
        <v>303896.78000000003</v>
      </c>
      <c r="K50" s="38">
        <f t="shared" si="18"/>
        <v>297646.03999999998</v>
      </c>
      <c r="L50" s="38">
        <f t="shared" si="18"/>
        <v>0</v>
      </c>
      <c r="M50" s="38">
        <f t="shared" si="18"/>
        <v>0</v>
      </c>
      <c r="N50" s="38">
        <f t="shared" si="18"/>
        <v>0</v>
      </c>
      <c r="O50" s="38">
        <f t="shared" si="18"/>
        <v>2638973.66</v>
      </c>
      <c r="P50" s="18"/>
      <c r="Q50" s="18"/>
      <c r="R50" s="18"/>
      <c r="S50" s="18"/>
      <c r="T50" s="18"/>
      <c r="U50" s="18"/>
      <c r="V50" s="18"/>
      <c r="W50" s="18"/>
      <c r="X50" s="18"/>
      <c r="Y50" s="18"/>
      <c r="Z50" s="18"/>
      <c r="AA50" s="18"/>
      <c r="AB50" s="18"/>
      <c r="AC50" s="18"/>
    </row>
    <row r="51" spans="1:29" ht="15.75" thickTop="1">
      <c r="B51" s="32"/>
      <c r="F51" s="18"/>
      <c r="G51" s="18"/>
      <c r="H51" s="18"/>
      <c r="I51" s="18"/>
      <c r="J51" s="18"/>
      <c r="K51" s="18"/>
      <c r="L51" s="18"/>
      <c r="M51" s="18"/>
      <c r="N51" s="18"/>
      <c r="O51" s="56"/>
      <c r="P51" s="18"/>
      <c r="Q51" s="18"/>
      <c r="R51" s="18"/>
      <c r="S51" s="18"/>
      <c r="T51" s="18"/>
      <c r="U51" s="18"/>
      <c r="V51" s="18"/>
      <c r="W51" s="18"/>
      <c r="X51" s="18"/>
      <c r="Y51" s="18"/>
      <c r="Z51" s="18"/>
      <c r="AA51" s="18"/>
      <c r="AB51" s="18"/>
      <c r="AC51" s="18"/>
    </row>
    <row r="52" spans="1:29">
      <c r="B52" s="33" t="s">
        <v>39</v>
      </c>
      <c r="F52" s="18"/>
      <c r="G52" s="18"/>
      <c r="H52" s="18"/>
      <c r="I52" s="18"/>
      <c r="J52" s="18"/>
      <c r="K52" s="18"/>
      <c r="L52" s="18"/>
      <c r="M52" s="18"/>
      <c r="N52" s="18"/>
      <c r="O52" s="56"/>
      <c r="P52" s="18"/>
      <c r="Q52" s="18"/>
      <c r="R52" s="18"/>
      <c r="S52" s="18"/>
      <c r="T52" s="18"/>
      <c r="U52" s="18"/>
      <c r="V52" s="18"/>
      <c r="W52" s="18"/>
      <c r="X52" s="18"/>
      <c r="Y52" s="18"/>
      <c r="Z52" s="18"/>
      <c r="AA52" s="18"/>
      <c r="AB52" s="18"/>
      <c r="AC52" s="18"/>
    </row>
    <row r="53" spans="1:29">
      <c r="B53" s="33" t="s">
        <v>59</v>
      </c>
      <c r="F53" s="18"/>
      <c r="G53" s="18"/>
      <c r="H53" s="18"/>
      <c r="I53" s="18"/>
      <c r="J53" s="18"/>
      <c r="K53" s="18"/>
      <c r="L53" s="18"/>
      <c r="M53" s="18"/>
      <c r="N53" s="18"/>
      <c r="O53" s="56"/>
      <c r="P53" s="18"/>
      <c r="Q53" s="18"/>
      <c r="R53" s="18"/>
      <c r="S53" s="18"/>
      <c r="T53" s="18"/>
      <c r="U53" s="18"/>
      <c r="V53" s="18"/>
      <c r="W53" s="18"/>
      <c r="X53" s="18"/>
      <c r="Y53" s="18"/>
      <c r="Z53" s="18"/>
      <c r="AA53" s="18"/>
      <c r="AB53" s="18"/>
      <c r="AC53" s="18"/>
    </row>
    <row r="54" spans="1:29">
      <c r="B54" s="34" t="s">
        <v>31</v>
      </c>
      <c r="C54" s="20">
        <f t="shared" ref="C54" si="19">C7-C30</f>
        <v>21206.406666666677</v>
      </c>
      <c r="D54" s="20">
        <f>IF(D50&lt;&gt;0,D7-D30," ")</f>
        <v>60788.986666666671</v>
      </c>
      <c r="E54" s="20">
        <f>IF(E50&lt;&gt;0,E7-E30," ")</f>
        <v>5603.9566666666651</v>
      </c>
      <c r="F54" s="20">
        <f t="shared" ref="F54:N54" si="20">IF(F50&lt;&gt;0,F7-F30," ")</f>
        <v>14379.986666666664</v>
      </c>
      <c r="G54" s="20">
        <f t="shared" si="20"/>
        <v>62596.736666666671</v>
      </c>
      <c r="H54" s="20">
        <f t="shared" si="20"/>
        <v>20088.226666666669</v>
      </c>
      <c r="I54" s="20">
        <f t="shared" si="20"/>
        <v>71174.146666666667</v>
      </c>
      <c r="J54" s="20">
        <f t="shared" si="20"/>
        <v>29614.716666666667</v>
      </c>
      <c r="K54" s="20">
        <f t="shared" si="20"/>
        <v>-102.49333333333198</v>
      </c>
      <c r="L54" s="20" t="str">
        <f t="shared" si="20"/>
        <v xml:space="preserve"> </v>
      </c>
      <c r="M54" s="20" t="str">
        <f t="shared" si="20"/>
        <v xml:space="preserve"> </v>
      </c>
      <c r="N54" s="20" t="str">
        <f t="shared" si="20"/>
        <v xml:space="preserve"> </v>
      </c>
      <c r="O54" s="52">
        <f t="shared" ref="O54:O60" si="21">SUM(C54:N54)</f>
        <v>285350.67</v>
      </c>
      <c r="P54" s="18"/>
      <c r="Q54" s="18"/>
      <c r="R54" s="18"/>
      <c r="S54" s="18"/>
      <c r="T54" s="18"/>
      <c r="U54" s="18"/>
      <c r="V54" s="18"/>
      <c r="W54" s="18"/>
      <c r="X54" s="18"/>
      <c r="Y54" s="18"/>
      <c r="Z54" s="18"/>
      <c r="AA54" s="18"/>
      <c r="AB54" s="18"/>
      <c r="AC54" s="18"/>
    </row>
    <row r="55" spans="1:29">
      <c r="B55" s="34" t="s">
        <v>32</v>
      </c>
      <c r="C55" s="20">
        <f t="shared" ref="C55" si="22">C8-C31</f>
        <v>10545.083333333328</v>
      </c>
      <c r="D55" s="20">
        <f>IF(D50&lt;&gt;0,D8-D31," ")</f>
        <v>33335.513333333321</v>
      </c>
      <c r="E55" s="20">
        <f>IF(E50&lt;&gt;0,E8-E31," ")</f>
        <v>-20157.136666666687</v>
      </c>
      <c r="F55" s="20">
        <f t="shared" ref="F55:N55" si="23">IF(F50&lt;&gt;0,F8-F31," ")</f>
        <v>47301.153333333335</v>
      </c>
      <c r="G55" s="20">
        <f t="shared" si="23"/>
        <v>76711.483333333337</v>
      </c>
      <c r="H55" s="20">
        <f t="shared" si="23"/>
        <v>54428.923333333325</v>
      </c>
      <c r="I55" s="20">
        <f t="shared" si="23"/>
        <v>66490.123333333322</v>
      </c>
      <c r="J55" s="20">
        <f t="shared" si="23"/>
        <v>55888.753333333327</v>
      </c>
      <c r="K55" s="20">
        <f t="shared" si="23"/>
        <v>15545.253333333327</v>
      </c>
      <c r="L55" s="20" t="str">
        <f t="shared" si="23"/>
        <v xml:space="preserve"> </v>
      </c>
      <c r="M55" s="20" t="str">
        <f t="shared" si="23"/>
        <v xml:space="preserve"> </v>
      </c>
      <c r="N55" s="20" t="str">
        <f t="shared" si="23"/>
        <v xml:space="preserve"> </v>
      </c>
      <c r="O55" s="52">
        <f t="shared" si="21"/>
        <v>340089.14999999991</v>
      </c>
      <c r="P55" s="18"/>
      <c r="Q55" s="18"/>
      <c r="R55" s="18"/>
      <c r="S55" s="18"/>
      <c r="T55" s="18"/>
      <c r="U55" s="18"/>
      <c r="V55" s="18"/>
      <c r="W55" s="18"/>
      <c r="X55" s="18"/>
      <c r="Y55" s="18"/>
      <c r="Z55" s="18"/>
      <c r="AA55" s="18"/>
      <c r="AB55" s="18"/>
      <c r="AC55" s="18"/>
    </row>
    <row r="56" spans="1:29">
      <c r="B56" s="34" t="s">
        <v>75</v>
      </c>
      <c r="C56" s="20">
        <f t="shared" ref="C56" si="24">C9-C32</f>
        <v>55852.4</v>
      </c>
      <c r="D56" s="20">
        <f>IF(D50&lt;&gt;0,D9-D32," ")</f>
        <v>53372.75</v>
      </c>
      <c r="E56" s="20">
        <f>IF(E50&lt;&gt;0,E9-E32," ")</f>
        <v>53362.97</v>
      </c>
      <c r="F56" s="20">
        <f t="shared" ref="F56:N56" si="25">IF(F50&lt;&gt;0,F9-F32," ")</f>
        <v>-64258.460000000006</v>
      </c>
      <c r="G56" s="20">
        <f t="shared" si="25"/>
        <v>41939.369999999995</v>
      </c>
      <c r="H56" s="20">
        <f t="shared" si="25"/>
        <v>-22332.17</v>
      </c>
      <c r="I56" s="20">
        <f t="shared" si="25"/>
        <v>53372.75</v>
      </c>
      <c r="J56" s="20">
        <f t="shared" si="25"/>
        <v>-9427.8099999999977</v>
      </c>
      <c r="K56" s="20">
        <f t="shared" si="25"/>
        <v>53372.75</v>
      </c>
      <c r="L56" s="20" t="str">
        <f t="shared" si="25"/>
        <v xml:space="preserve"> </v>
      </c>
      <c r="M56" s="20" t="str">
        <f t="shared" si="25"/>
        <v xml:space="preserve"> </v>
      </c>
      <c r="N56" s="20" t="str">
        <f t="shared" si="25"/>
        <v xml:space="preserve"> </v>
      </c>
      <c r="O56" s="52">
        <f t="shared" si="21"/>
        <v>215254.55</v>
      </c>
      <c r="P56" s="18"/>
      <c r="Q56" s="18"/>
      <c r="R56" s="18"/>
      <c r="S56" s="18"/>
      <c r="T56" s="18"/>
      <c r="U56" s="18"/>
      <c r="V56" s="18"/>
      <c r="W56" s="18"/>
      <c r="X56" s="18"/>
      <c r="Y56" s="18"/>
      <c r="Z56" s="18"/>
      <c r="AA56" s="18"/>
      <c r="AB56" s="18"/>
      <c r="AC56" s="18"/>
    </row>
    <row r="57" spans="1:29" hidden="1">
      <c r="B57" s="34" t="s">
        <v>33</v>
      </c>
      <c r="C57" s="20">
        <f t="shared" ref="C57:D57" si="26">C10-C33</f>
        <v>0</v>
      </c>
      <c r="D57" s="20">
        <f t="shared" si="26"/>
        <v>0</v>
      </c>
      <c r="E57" s="20">
        <f t="shared" ref="E57:N57" si="27">E10-E33</f>
        <v>0</v>
      </c>
      <c r="F57" s="20">
        <f t="shared" si="27"/>
        <v>0</v>
      </c>
      <c r="G57" s="20">
        <f t="shared" si="27"/>
        <v>0</v>
      </c>
      <c r="H57" s="20">
        <f t="shared" si="27"/>
        <v>0</v>
      </c>
      <c r="I57" s="20">
        <f t="shared" si="27"/>
        <v>0</v>
      </c>
      <c r="J57" s="20">
        <f t="shared" si="27"/>
        <v>0</v>
      </c>
      <c r="K57" s="20">
        <f t="shared" si="27"/>
        <v>0</v>
      </c>
      <c r="L57" s="20">
        <f t="shared" si="27"/>
        <v>0</v>
      </c>
      <c r="M57" s="20">
        <f t="shared" si="27"/>
        <v>0</v>
      </c>
      <c r="N57" s="20">
        <f t="shared" si="27"/>
        <v>0</v>
      </c>
      <c r="O57" s="52">
        <f t="shared" si="21"/>
        <v>0</v>
      </c>
      <c r="P57" s="18"/>
      <c r="Q57" s="18"/>
      <c r="R57" s="18"/>
      <c r="S57" s="18"/>
      <c r="T57" s="18"/>
      <c r="U57" s="18"/>
      <c r="V57" s="18"/>
      <c r="W57" s="18"/>
      <c r="X57" s="18"/>
      <c r="Y57" s="18"/>
      <c r="Z57" s="18"/>
      <c r="AA57" s="18"/>
      <c r="AB57" s="18"/>
      <c r="AC57" s="18"/>
    </row>
    <row r="58" spans="1:29" hidden="1">
      <c r="B58" s="34" t="s">
        <v>34</v>
      </c>
      <c r="C58" s="20">
        <f t="shared" ref="C58:D58" si="28">C11-C34</f>
        <v>0</v>
      </c>
      <c r="D58" s="20">
        <f t="shared" si="28"/>
        <v>0</v>
      </c>
      <c r="E58" s="20">
        <f t="shared" ref="E58:N58" si="29">E11-E34</f>
        <v>0</v>
      </c>
      <c r="F58" s="20">
        <f t="shared" si="29"/>
        <v>0</v>
      </c>
      <c r="G58" s="20">
        <f t="shared" si="29"/>
        <v>0</v>
      </c>
      <c r="H58" s="20">
        <f t="shared" si="29"/>
        <v>0</v>
      </c>
      <c r="I58" s="20">
        <f t="shared" si="29"/>
        <v>0</v>
      </c>
      <c r="J58" s="20">
        <f t="shared" si="29"/>
        <v>0</v>
      </c>
      <c r="K58" s="20">
        <f t="shared" si="29"/>
        <v>0</v>
      </c>
      <c r="L58" s="20">
        <f t="shared" si="29"/>
        <v>0</v>
      </c>
      <c r="M58" s="20">
        <f t="shared" si="29"/>
        <v>0</v>
      </c>
      <c r="N58" s="20">
        <f t="shared" si="29"/>
        <v>0</v>
      </c>
      <c r="O58" s="52">
        <f t="shared" si="21"/>
        <v>0</v>
      </c>
      <c r="P58" s="18"/>
      <c r="Q58" s="18"/>
      <c r="R58" s="18"/>
      <c r="S58" s="18"/>
      <c r="T58" s="18"/>
      <c r="U58" s="18"/>
      <c r="V58" s="18"/>
      <c r="W58" s="18"/>
      <c r="X58" s="18"/>
      <c r="Y58" s="18"/>
      <c r="Z58" s="18"/>
      <c r="AA58" s="18"/>
      <c r="AB58" s="18"/>
      <c r="AC58" s="18"/>
    </row>
    <row r="59" spans="1:29" hidden="1">
      <c r="B59" s="34" t="s">
        <v>35</v>
      </c>
      <c r="C59" s="20">
        <f t="shared" ref="C59:D59" si="30">C12-C35</f>
        <v>0</v>
      </c>
      <c r="D59" s="20">
        <f t="shared" si="30"/>
        <v>0</v>
      </c>
      <c r="E59" s="20">
        <f t="shared" ref="E59:N59" si="31">E12-E35</f>
        <v>0</v>
      </c>
      <c r="F59" s="20">
        <f t="shared" si="31"/>
        <v>0</v>
      </c>
      <c r="G59" s="20">
        <f t="shared" si="31"/>
        <v>0</v>
      </c>
      <c r="H59" s="20">
        <f t="shared" si="31"/>
        <v>0</v>
      </c>
      <c r="I59" s="20">
        <f t="shared" si="31"/>
        <v>0</v>
      </c>
      <c r="J59" s="20">
        <f t="shared" si="31"/>
        <v>0</v>
      </c>
      <c r="K59" s="20">
        <f t="shared" si="31"/>
        <v>0</v>
      </c>
      <c r="L59" s="20">
        <f t="shared" si="31"/>
        <v>0</v>
      </c>
      <c r="M59" s="20">
        <f t="shared" si="31"/>
        <v>0</v>
      </c>
      <c r="N59" s="20">
        <f t="shared" si="31"/>
        <v>0</v>
      </c>
      <c r="O59" s="52">
        <f t="shared" si="21"/>
        <v>0</v>
      </c>
      <c r="P59" s="18"/>
      <c r="Q59" s="18"/>
      <c r="R59" s="18"/>
      <c r="S59" s="18"/>
      <c r="T59" s="18"/>
      <c r="U59" s="18"/>
      <c r="V59" s="18"/>
      <c r="W59" s="18"/>
      <c r="X59" s="18"/>
      <c r="Y59" s="18"/>
      <c r="Z59" s="18"/>
      <c r="AA59" s="18"/>
      <c r="AB59" s="18"/>
      <c r="AC59" s="18"/>
    </row>
    <row r="60" spans="1:29" hidden="1">
      <c r="B60" s="34" t="s">
        <v>36</v>
      </c>
      <c r="C60" s="20">
        <f t="shared" ref="C60:D60" si="32">C13-C36</f>
        <v>0</v>
      </c>
      <c r="D60" s="20">
        <f t="shared" si="32"/>
        <v>0</v>
      </c>
      <c r="E60" s="20">
        <f t="shared" ref="E60:N60" si="33">E13-E36</f>
        <v>0</v>
      </c>
      <c r="F60" s="20">
        <f t="shared" si="33"/>
        <v>0</v>
      </c>
      <c r="G60" s="20">
        <f t="shared" si="33"/>
        <v>0</v>
      </c>
      <c r="H60" s="20">
        <f t="shared" si="33"/>
        <v>0</v>
      </c>
      <c r="I60" s="20">
        <f t="shared" si="33"/>
        <v>0</v>
      </c>
      <c r="J60" s="20">
        <f t="shared" si="33"/>
        <v>0</v>
      </c>
      <c r="K60" s="20">
        <f t="shared" si="33"/>
        <v>0</v>
      </c>
      <c r="L60" s="20">
        <f t="shared" si="33"/>
        <v>0</v>
      </c>
      <c r="M60" s="20">
        <f t="shared" si="33"/>
        <v>0</v>
      </c>
      <c r="N60" s="20">
        <f t="shared" si="33"/>
        <v>0</v>
      </c>
      <c r="O60" s="52">
        <f t="shared" si="21"/>
        <v>0</v>
      </c>
      <c r="P60" s="18"/>
      <c r="Q60" s="18"/>
      <c r="R60" s="18"/>
      <c r="S60" s="18"/>
      <c r="T60" s="18"/>
      <c r="U60" s="18"/>
      <c r="V60" s="18"/>
      <c r="W60" s="18"/>
      <c r="X60" s="18"/>
      <c r="Y60" s="18"/>
      <c r="Z60" s="18"/>
      <c r="AA60" s="18"/>
      <c r="AB60" s="18"/>
      <c r="AC60" s="18"/>
    </row>
    <row r="61" spans="1:29">
      <c r="A61" t="s">
        <v>84</v>
      </c>
      <c r="B61" s="33" t="s">
        <v>40</v>
      </c>
      <c r="C61" s="19">
        <f t="shared" ref="C61" si="34">C14-C37</f>
        <v>87603.889999999985</v>
      </c>
      <c r="D61" s="19">
        <f>IF(D50&lt;&gt;0,D14-D37," ")</f>
        <v>147497.25</v>
      </c>
      <c r="E61" s="19">
        <f t="shared" ref="E61:N61" si="35">IF(E50&lt;&gt;0,E14-E37," ")</f>
        <v>38809.789999999979</v>
      </c>
      <c r="F61" s="19">
        <f t="shared" si="35"/>
        <v>-2577.320000000007</v>
      </c>
      <c r="G61" s="19">
        <f t="shared" si="35"/>
        <v>181247.59</v>
      </c>
      <c r="H61" s="19">
        <f t="shared" si="35"/>
        <v>52184.979999999981</v>
      </c>
      <c r="I61" s="19">
        <f t="shared" si="35"/>
        <v>191037.02000000002</v>
      </c>
      <c r="J61" s="19">
        <f t="shared" si="35"/>
        <v>76075.66</v>
      </c>
      <c r="K61" s="19">
        <f t="shared" si="35"/>
        <v>68815.510000000009</v>
      </c>
      <c r="L61" s="19" t="str">
        <f t="shared" si="35"/>
        <v xml:space="preserve"> </v>
      </c>
      <c r="M61" s="19" t="str">
        <f t="shared" si="35"/>
        <v xml:space="preserve"> </v>
      </c>
      <c r="N61" s="19" t="str">
        <f t="shared" si="35"/>
        <v xml:space="preserve"> </v>
      </c>
      <c r="O61" s="53">
        <f t="shared" ref="O61" si="36">SUM(O54:O60)</f>
        <v>840694.36999999988</v>
      </c>
      <c r="P61" s="18"/>
      <c r="Q61" s="18"/>
      <c r="R61" s="18"/>
      <c r="S61" s="18"/>
      <c r="T61" s="18"/>
      <c r="U61" s="18"/>
      <c r="V61" s="18"/>
      <c r="W61" s="18"/>
      <c r="X61" s="18"/>
      <c r="Y61" s="18"/>
      <c r="Z61" s="18"/>
      <c r="AA61" s="18"/>
      <c r="AB61" s="18"/>
      <c r="AC61" s="18"/>
    </row>
    <row r="62" spans="1:29">
      <c r="B62" s="33"/>
      <c r="F62" s="20"/>
      <c r="G62" s="20"/>
      <c r="H62" s="20"/>
      <c r="I62" s="20"/>
      <c r="J62" s="20"/>
      <c r="K62" s="20"/>
      <c r="L62" s="20"/>
      <c r="M62" s="20"/>
      <c r="N62" s="20"/>
      <c r="O62" s="56"/>
      <c r="P62" s="18"/>
      <c r="Q62" s="18"/>
      <c r="R62" s="18"/>
      <c r="S62" s="18"/>
      <c r="T62" s="18"/>
      <c r="U62" s="18"/>
      <c r="V62" s="18"/>
      <c r="W62" s="18"/>
      <c r="X62" s="18"/>
      <c r="Y62" s="18"/>
      <c r="Z62" s="18"/>
      <c r="AA62" s="18"/>
      <c r="AB62" s="18"/>
      <c r="AC62" s="18"/>
    </row>
    <row r="63" spans="1:29">
      <c r="B63" s="33" t="s">
        <v>86</v>
      </c>
      <c r="F63" s="20"/>
      <c r="G63" s="20"/>
      <c r="H63" s="20"/>
      <c r="I63" s="20"/>
      <c r="J63" s="20"/>
      <c r="K63" s="20"/>
      <c r="L63" s="20"/>
      <c r="M63" s="20"/>
      <c r="N63" s="20"/>
      <c r="O63" s="52"/>
      <c r="P63" s="18"/>
      <c r="Q63" s="18"/>
      <c r="R63" s="18"/>
      <c r="S63" s="18"/>
      <c r="T63" s="18"/>
      <c r="U63" s="18"/>
      <c r="V63" s="18"/>
      <c r="W63" s="18"/>
      <c r="X63" s="18"/>
      <c r="Y63" s="18"/>
      <c r="Z63" s="18"/>
      <c r="AA63" s="18"/>
      <c r="AB63" s="18"/>
      <c r="AC63" s="18"/>
    </row>
    <row r="64" spans="1:29">
      <c r="B64" s="34" t="s">
        <v>31</v>
      </c>
      <c r="C64" s="20">
        <f t="shared" ref="C64" si="37">C17-C40</f>
        <v>24585.396666666667</v>
      </c>
      <c r="D64" s="20">
        <f>IF(D50&lt;&gt;0,D17-D40," ")</f>
        <v>26204.596666666668</v>
      </c>
      <c r="E64" s="20">
        <f t="shared" ref="E64:N64" si="38">IF(E50&lt;&gt;0,E17-E40," ")</f>
        <v>17659.316666666666</v>
      </c>
      <c r="F64" s="20">
        <f t="shared" si="38"/>
        <v>24168.776666666668</v>
      </c>
      <c r="G64" s="20">
        <f t="shared" si="38"/>
        <v>18765.066666666666</v>
      </c>
      <c r="H64" s="20">
        <f t="shared" si="38"/>
        <v>20730.176666666666</v>
      </c>
      <c r="I64" s="20">
        <f t="shared" si="38"/>
        <v>20622.096666666668</v>
      </c>
      <c r="J64" s="20">
        <f t="shared" si="38"/>
        <v>22191.046666666669</v>
      </c>
      <c r="K64" s="20">
        <f t="shared" si="38"/>
        <v>21549.846666666668</v>
      </c>
      <c r="L64" s="20" t="str">
        <f t="shared" si="38"/>
        <v xml:space="preserve"> </v>
      </c>
      <c r="M64" s="20" t="str">
        <f t="shared" si="38"/>
        <v xml:space="preserve"> </v>
      </c>
      <c r="N64" s="20" t="str">
        <f t="shared" si="38"/>
        <v xml:space="preserve"> </v>
      </c>
      <c r="O64" s="52">
        <f t="shared" ref="O64:O71" si="39">SUM(C64:N64)</f>
        <v>196476.32000000004</v>
      </c>
      <c r="P64" s="18"/>
      <c r="Q64" s="18"/>
      <c r="R64" s="18"/>
      <c r="S64" s="18"/>
      <c r="T64" s="18"/>
      <c r="U64" s="18"/>
      <c r="V64" s="18"/>
      <c r="W64" s="18"/>
      <c r="X64" s="18"/>
      <c r="Y64" s="18"/>
      <c r="Z64" s="18"/>
      <c r="AA64" s="18"/>
      <c r="AB64" s="18"/>
      <c r="AC64" s="18"/>
    </row>
    <row r="65" spans="1:29">
      <c r="B65" s="34" t="s">
        <v>32</v>
      </c>
      <c r="C65" s="20">
        <f t="shared" ref="C65" si="40">C18-C41</f>
        <v>-2200.2333333333299</v>
      </c>
      <c r="D65" s="20">
        <f>IF(D50&lt;&gt;0,D18-D41," ")</f>
        <v>-5813.1833333333307</v>
      </c>
      <c r="E65" s="20">
        <f t="shared" ref="E65:N65" si="41">IF(E50&lt;&gt;0,E18-E41," ")</f>
        <v>-8333.0233333333308</v>
      </c>
      <c r="F65" s="20">
        <f t="shared" si="41"/>
        <v>2280.1666666666715</v>
      </c>
      <c r="G65" s="20">
        <f t="shared" si="41"/>
        <v>-2418.2033333333311</v>
      </c>
      <c r="H65" s="20">
        <f t="shared" si="41"/>
        <v>-14917.803333333341</v>
      </c>
      <c r="I65" s="20">
        <f t="shared" si="41"/>
        <v>-12.663333333337505</v>
      </c>
      <c r="J65" s="20">
        <f t="shared" si="41"/>
        <v>-9896.5833333333321</v>
      </c>
      <c r="K65" s="20">
        <f t="shared" si="41"/>
        <v>-9863.8433333333342</v>
      </c>
      <c r="L65" s="20" t="str">
        <f t="shared" si="41"/>
        <v xml:space="preserve"> </v>
      </c>
      <c r="M65" s="20" t="str">
        <f t="shared" si="41"/>
        <v xml:space="preserve"> </v>
      </c>
      <c r="N65" s="20" t="str">
        <f t="shared" si="41"/>
        <v xml:space="preserve"> </v>
      </c>
      <c r="O65" s="52">
        <f t="shared" si="39"/>
        <v>-51175.369999999995</v>
      </c>
      <c r="P65" s="18"/>
      <c r="Q65" s="18"/>
      <c r="R65" s="18"/>
      <c r="S65" s="18"/>
      <c r="T65" s="18"/>
      <c r="U65" s="18"/>
      <c r="V65" s="18"/>
      <c r="W65" s="18"/>
      <c r="X65" s="18"/>
      <c r="Y65" s="18"/>
      <c r="Z65" s="18"/>
      <c r="AA65" s="18"/>
      <c r="AB65" s="18"/>
      <c r="AC65" s="18"/>
    </row>
    <row r="66" spans="1:29">
      <c r="B66" s="34" t="s">
        <v>75</v>
      </c>
      <c r="C66" s="20">
        <f t="shared" ref="C66" si="42">C19-C42</f>
        <v>-1631.9166666666665</v>
      </c>
      <c r="D66" s="20">
        <f>IF(D50&lt;&gt;0,D19-D42," ")</f>
        <v>-1434.2566666666667</v>
      </c>
      <c r="E66" s="20">
        <f t="shared" ref="E66:N66" si="43">IF(E50&lt;&gt;0,E19-E42," ")</f>
        <v>389.81333333333339</v>
      </c>
      <c r="F66" s="20">
        <f t="shared" si="43"/>
        <v>-1779.5266666666666</v>
      </c>
      <c r="G66" s="20">
        <f t="shared" si="43"/>
        <v>-1670.9466666666663</v>
      </c>
      <c r="H66" s="20">
        <f t="shared" si="43"/>
        <v>-711.06666666666672</v>
      </c>
      <c r="I66" s="20">
        <f t="shared" si="43"/>
        <v>-2009.1166666666668</v>
      </c>
      <c r="J66" s="20">
        <f t="shared" si="43"/>
        <v>-625.5866666666667</v>
      </c>
      <c r="K66" s="20">
        <f t="shared" si="43"/>
        <v>-1633.3266666666664</v>
      </c>
      <c r="L66" s="20" t="str">
        <f t="shared" si="43"/>
        <v xml:space="preserve"> </v>
      </c>
      <c r="M66" s="20" t="str">
        <f t="shared" si="43"/>
        <v xml:space="preserve"> </v>
      </c>
      <c r="N66" s="20" t="str">
        <f t="shared" si="43"/>
        <v xml:space="preserve"> </v>
      </c>
      <c r="O66" s="52">
        <f t="shared" si="39"/>
        <v>-11105.929999999998</v>
      </c>
      <c r="P66" s="18"/>
      <c r="Q66" s="18"/>
      <c r="R66" s="18"/>
      <c r="S66" s="18"/>
      <c r="T66" s="18"/>
      <c r="U66" s="18"/>
      <c r="V66" s="18"/>
      <c r="W66" s="18"/>
      <c r="X66" s="18"/>
      <c r="Y66" s="18"/>
      <c r="Z66" s="18"/>
      <c r="AA66" s="18"/>
      <c r="AB66" s="18"/>
      <c r="AC66" s="18"/>
    </row>
    <row r="67" spans="1:29" hidden="1">
      <c r="B67" s="34" t="s">
        <v>33</v>
      </c>
      <c r="C67" s="20">
        <f t="shared" ref="C67" si="44">C20-C43</f>
        <v>0</v>
      </c>
      <c r="D67" s="20" t="str">
        <f t="shared" ref="D67:N68" si="45">IF(D53&lt;&gt;0,D20-D43," ")</f>
        <v xml:space="preserve"> </v>
      </c>
      <c r="E67" s="20" t="str">
        <f t="shared" si="45"/>
        <v xml:space="preserve"> </v>
      </c>
      <c r="F67" s="20" t="str">
        <f t="shared" si="45"/>
        <v xml:space="preserve"> </v>
      </c>
      <c r="G67" s="20" t="str">
        <f t="shared" si="45"/>
        <v xml:space="preserve"> </v>
      </c>
      <c r="H67" s="20" t="str">
        <f t="shared" si="45"/>
        <v xml:space="preserve"> </v>
      </c>
      <c r="I67" s="20" t="str">
        <f t="shared" si="45"/>
        <v xml:space="preserve"> </v>
      </c>
      <c r="J67" s="20" t="str">
        <f t="shared" si="45"/>
        <v xml:space="preserve"> </v>
      </c>
      <c r="K67" s="20" t="str">
        <f t="shared" si="45"/>
        <v xml:space="preserve"> </v>
      </c>
      <c r="L67" s="20" t="str">
        <f t="shared" si="45"/>
        <v xml:space="preserve"> </v>
      </c>
      <c r="M67" s="20" t="str">
        <f t="shared" si="45"/>
        <v xml:space="preserve"> </v>
      </c>
      <c r="N67" s="20" t="str">
        <f t="shared" si="45"/>
        <v xml:space="preserve"> </v>
      </c>
      <c r="O67" s="52">
        <f t="shared" si="39"/>
        <v>0</v>
      </c>
      <c r="P67" s="18"/>
      <c r="Q67" s="18"/>
      <c r="R67" s="18"/>
      <c r="S67" s="18"/>
      <c r="T67" s="18"/>
      <c r="U67" s="18"/>
      <c r="V67" s="18"/>
      <c r="W67" s="18"/>
      <c r="X67" s="18"/>
      <c r="Y67" s="18"/>
      <c r="Z67" s="18"/>
      <c r="AA67" s="18"/>
      <c r="AB67" s="18"/>
      <c r="AC67" s="18"/>
    </row>
    <row r="68" spans="1:29" hidden="1">
      <c r="B68" s="34" t="s">
        <v>34</v>
      </c>
      <c r="C68" s="20">
        <f t="shared" ref="C68" si="46">C21-C44</f>
        <v>0</v>
      </c>
      <c r="D68" s="20">
        <f t="shared" si="45"/>
        <v>0</v>
      </c>
      <c r="E68" s="20">
        <f t="shared" si="45"/>
        <v>0</v>
      </c>
      <c r="F68" s="20">
        <f t="shared" si="45"/>
        <v>0</v>
      </c>
      <c r="G68" s="20">
        <f t="shared" si="45"/>
        <v>0</v>
      </c>
      <c r="H68" s="20">
        <f t="shared" si="45"/>
        <v>0</v>
      </c>
      <c r="I68" s="20">
        <f t="shared" si="45"/>
        <v>0</v>
      </c>
      <c r="J68" s="20">
        <f t="shared" si="45"/>
        <v>0</v>
      </c>
      <c r="K68" s="20">
        <f t="shared" si="45"/>
        <v>0</v>
      </c>
      <c r="L68" s="20">
        <f t="shared" si="45"/>
        <v>0</v>
      </c>
      <c r="M68" s="20">
        <f t="shared" si="45"/>
        <v>0</v>
      </c>
      <c r="N68" s="20">
        <f t="shared" si="45"/>
        <v>0</v>
      </c>
      <c r="O68" s="52">
        <f t="shared" si="39"/>
        <v>0</v>
      </c>
      <c r="P68" s="18"/>
      <c r="Q68" s="18"/>
      <c r="R68" s="18"/>
      <c r="S68" s="18"/>
      <c r="T68" s="18"/>
      <c r="U68" s="18"/>
      <c r="V68" s="18"/>
      <c r="W68" s="18"/>
      <c r="X68" s="18"/>
      <c r="Y68" s="18"/>
      <c r="Z68" s="18"/>
      <c r="AA68" s="18"/>
      <c r="AB68" s="18"/>
      <c r="AC68" s="18"/>
    </row>
    <row r="69" spans="1:29">
      <c r="B69" s="34" t="s">
        <v>35</v>
      </c>
      <c r="C69" s="20">
        <f t="shared" ref="C69" si="47">C22-C45</f>
        <v>9744.4166666666661</v>
      </c>
      <c r="D69" s="20">
        <f>IF(D50&lt;&gt;0,D22-D45," ")</f>
        <v>9744.4166666666661</v>
      </c>
      <c r="E69" s="20">
        <f t="shared" ref="E69:N69" si="48">IF(E50&lt;&gt;0,E22-E45," ")</f>
        <v>9744.4166666666661</v>
      </c>
      <c r="F69" s="20">
        <f t="shared" si="48"/>
        <v>9744.4166666666661</v>
      </c>
      <c r="G69" s="20">
        <f t="shared" si="48"/>
        <v>9744.4166666666661</v>
      </c>
      <c r="H69" s="20">
        <f t="shared" si="48"/>
        <v>9744.4166666666661</v>
      </c>
      <c r="I69" s="20">
        <f t="shared" si="48"/>
        <v>9175.2066666666651</v>
      </c>
      <c r="J69" s="20">
        <f t="shared" si="48"/>
        <v>9744.4166666666661</v>
      </c>
      <c r="K69" s="20">
        <f t="shared" si="48"/>
        <v>9744.4166666666661</v>
      </c>
      <c r="L69" s="20" t="str">
        <f t="shared" si="48"/>
        <v xml:space="preserve"> </v>
      </c>
      <c r="M69" s="20" t="str">
        <f t="shared" si="48"/>
        <v xml:space="preserve"> </v>
      </c>
      <c r="N69" s="20" t="str">
        <f t="shared" si="48"/>
        <v xml:space="preserve"> </v>
      </c>
      <c r="O69" s="52">
        <f t="shared" si="39"/>
        <v>87130.540000000008</v>
      </c>
      <c r="P69" s="18"/>
      <c r="Q69" s="18"/>
      <c r="R69" s="18"/>
      <c r="S69" s="18"/>
      <c r="T69" s="18"/>
      <c r="U69" s="18"/>
      <c r="V69" s="18"/>
      <c r="W69" s="18"/>
      <c r="X69" s="18"/>
      <c r="Y69" s="18"/>
      <c r="Z69" s="18"/>
      <c r="AA69" s="18"/>
      <c r="AB69" s="18"/>
      <c r="AC69" s="18"/>
    </row>
    <row r="70" spans="1:29">
      <c r="B70" s="34" t="s">
        <v>77</v>
      </c>
      <c r="C70" s="20">
        <f t="shared" ref="C70" si="49">C23-C46</f>
        <v>-41889.640000000007</v>
      </c>
      <c r="D70" s="20">
        <f>IF(D50&lt;&gt;0,D23-D46," ")</f>
        <v>-2420.9799999999996</v>
      </c>
      <c r="E70" s="20">
        <f t="shared" ref="E70:N70" si="50">IF(E50&lt;&gt;0,E23-E46," ")</f>
        <v>8560.33</v>
      </c>
      <c r="F70" s="20">
        <f t="shared" si="50"/>
        <v>-12781.470000000001</v>
      </c>
      <c r="G70" s="20">
        <f t="shared" si="50"/>
        <v>-22783.61</v>
      </c>
      <c r="H70" s="20">
        <f t="shared" si="50"/>
        <v>-25208.11</v>
      </c>
      <c r="I70" s="20">
        <f t="shared" si="50"/>
        <v>393</v>
      </c>
      <c r="J70" s="20">
        <f t="shared" si="50"/>
        <v>15386.43</v>
      </c>
      <c r="K70" s="20">
        <f t="shared" si="50"/>
        <v>14675.119999999999</v>
      </c>
      <c r="L70" s="20" t="str">
        <f t="shared" si="50"/>
        <v xml:space="preserve"> </v>
      </c>
      <c r="M70" s="20" t="str">
        <f t="shared" si="50"/>
        <v xml:space="preserve"> </v>
      </c>
      <c r="N70" s="20" t="str">
        <f t="shared" si="50"/>
        <v xml:space="preserve"> </v>
      </c>
      <c r="O70" s="52">
        <f t="shared" ref="O70" si="51">SUM(C70:N70)</f>
        <v>-66068.930000000022</v>
      </c>
      <c r="P70" s="18"/>
      <c r="Q70" s="18"/>
      <c r="R70" s="18"/>
      <c r="S70" s="18"/>
      <c r="T70" s="18"/>
      <c r="U70" s="18"/>
      <c r="V70" s="18"/>
      <c r="W70" s="18"/>
      <c r="X70" s="18"/>
      <c r="Y70" s="18"/>
      <c r="Z70" s="18"/>
      <c r="AA70" s="18"/>
      <c r="AB70" s="18"/>
      <c r="AC70" s="18"/>
    </row>
    <row r="71" spans="1:29">
      <c r="B71" s="34" t="s">
        <v>36</v>
      </c>
      <c r="C71" s="20">
        <f t="shared" ref="C71" si="52">C24-C47</f>
        <v>-21605.443333333333</v>
      </c>
      <c r="D71" s="20">
        <f>IF(D50&lt;&gt;0,D24-D47," ")</f>
        <v>-33159.353333333333</v>
      </c>
      <c r="E71" s="20">
        <f t="shared" ref="E71:N71" si="53">IF(E50&lt;&gt;0,E24-E47," ")</f>
        <v>-34147.933333333334</v>
      </c>
      <c r="F71" s="20">
        <f t="shared" si="53"/>
        <v>-44945.263333333336</v>
      </c>
      <c r="G71" s="20">
        <f t="shared" si="53"/>
        <v>-33286.493333333332</v>
      </c>
      <c r="H71" s="20">
        <f t="shared" si="53"/>
        <v>-35084.673333333325</v>
      </c>
      <c r="I71" s="20">
        <f t="shared" si="53"/>
        <v>-37717.323333333334</v>
      </c>
      <c r="J71" s="20">
        <f t="shared" si="53"/>
        <v>-48590.41333333333</v>
      </c>
      <c r="K71" s="20">
        <f t="shared" si="53"/>
        <v>-32752.013333333332</v>
      </c>
      <c r="L71" s="20" t="str">
        <f t="shared" si="53"/>
        <v xml:space="preserve"> </v>
      </c>
      <c r="M71" s="20" t="str">
        <f t="shared" si="53"/>
        <v xml:space="preserve"> </v>
      </c>
      <c r="N71" s="20" t="str">
        <f t="shared" si="53"/>
        <v xml:space="preserve"> </v>
      </c>
      <c r="O71" s="52">
        <f t="shared" si="39"/>
        <v>-321288.91000000003</v>
      </c>
      <c r="P71" s="18"/>
      <c r="Q71" s="18"/>
      <c r="R71" s="18"/>
      <c r="S71" s="18"/>
      <c r="T71" s="18"/>
      <c r="U71" s="18"/>
      <c r="V71" s="18"/>
      <c r="W71" s="18"/>
      <c r="X71" s="18"/>
      <c r="Y71" s="18"/>
      <c r="Z71" s="18"/>
      <c r="AA71" s="18"/>
      <c r="AB71" s="18"/>
      <c r="AC71" s="18"/>
    </row>
    <row r="72" spans="1:29">
      <c r="A72" t="s">
        <v>85</v>
      </c>
      <c r="B72" s="33" t="s">
        <v>40</v>
      </c>
      <c r="C72" s="19">
        <f t="shared" ref="C72" si="54">C25-C48</f>
        <v>-32997.419999999969</v>
      </c>
      <c r="D72" s="19">
        <f>IF(D50&lt;&gt;0,D25-D48," ")</f>
        <v>-6878.7599999999657</v>
      </c>
      <c r="E72" s="19">
        <f t="shared" ref="E72:N72" si="55">IF(E50&lt;&gt;0,E25-E48," ")</f>
        <v>-6127.0799999999872</v>
      </c>
      <c r="F72" s="19">
        <f t="shared" si="55"/>
        <v>-23312.900000000009</v>
      </c>
      <c r="G72" s="19">
        <f t="shared" si="55"/>
        <v>-31649.770000000004</v>
      </c>
      <c r="H72" s="19">
        <f t="shared" si="55"/>
        <v>-45447.059999999983</v>
      </c>
      <c r="I72" s="19">
        <f t="shared" si="55"/>
        <v>-9548.7999999999884</v>
      </c>
      <c r="J72" s="19">
        <f t="shared" si="55"/>
        <v>-11790.689999999988</v>
      </c>
      <c r="K72" s="19">
        <f t="shared" si="55"/>
        <v>1720.2000000000116</v>
      </c>
      <c r="L72" s="19" t="str">
        <f t="shared" si="55"/>
        <v xml:space="preserve"> </v>
      </c>
      <c r="M72" s="19" t="str">
        <f t="shared" si="55"/>
        <v xml:space="preserve"> </v>
      </c>
      <c r="N72" s="19" t="str">
        <f t="shared" si="55"/>
        <v xml:space="preserve"> </v>
      </c>
      <c r="O72" s="53">
        <f t="shared" ref="O72" si="56">SUM(O64:O71)</f>
        <v>-166032.28</v>
      </c>
      <c r="P72" s="18"/>
      <c r="Q72" s="18"/>
      <c r="R72" s="18"/>
      <c r="S72" s="18"/>
      <c r="T72" s="18"/>
      <c r="U72" s="18"/>
      <c r="V72" s="18"/>
      <c r="W72" s="18"/>
      <c r="X72" s="18"/>
      <c r="Y72" s="18"/>
      <c r="Z72" s="18"/>
      <c r="AA72" s="18"/>
      <c r="AB72" s="18"/>
      <c r="AC72" s="18"/>
    </row>
    <row r="73" spans="1:29">
      <c r="B73" s="33"/>
      <c r="F73" s="20"/>
      <c r="G73" s="20"/>
      <c r="H73" s="20"/>
      <c r="I73" s="20"/>
      <c r="J73" s="20"/>
      <c r="K73" s="20"/>
      <c r="L73" s="20"/>
      <c r="M73" s="20"/>
      <c r="N73" s="20"/>
      <c r="O73" s="56"/>
      <c r="P73" s="18"/>
      <c r="Q73" s="18"/>
      <c r="R73" s="18"/>
      <c r="S73" s="18"/>
      <c r="T73" s="18"/>
      <c r="U73" s="18"/>
      <c r="V73" s="18"/>
      <c r="W73" s="18"/>
      <c r="X73" s="18"/>
      <c r="Y73" s="18"/>
      <c r="Z73" s="18"/>
      <c r="AA73" s="18"/>
      <c r="AB73" s="18"/>
      <c r="AC73" s="18"/>
    </row>
    <row r="74" spans="1:29" ht="13.5" customHeight="1" thickBot="1">
      <c r="B74" s="33" t="s">
        <v>40</v>
      </c>
      <c r="C74" s="38">
        <f t="shared" ref="C74" si="57">C27-C50</f>
        <v>54606.469999999972</v>
      </c>
      <c r="D74" s="38">
        <f>IF(D50&lt;&gt;0,D27-D50," ")</f>
        <v>140618.49000000002</v>
      </c>
      <c r="E74" s="38">
        <f t="shared" ref="E74:N74" si="58">IF(E50&lt;&gt;0,E27-E50," ")</f>
        <v>32682.709999999963</v>
      </c>
      <c r="F74" s="38">
        <f t="shared" si="58"/>
        <v>-25890.22000000003</v>
      </c>
      <c r="G74" s="38">
        <f t="shared" si="58"/>
        <v>149597.81999999998</v>
      </c>
      <c r="H74" s="38">
        <f t="shared" si="58"/>
        <v>6737.9199999999837</v>
      </c>
      <c r="I74" s="38">
        <f t="shared" si="58"/>
        <v>181488.22</v>
      </c>
      <c r="J74" s="38">
        <f t="shared" si="58"/>
        <v>64284.969999999972</v>
      </c>
      <c r="K74" s="38">
        <f t="shared" si="58"/>
        <v>70535.710000000021</v>
      </c>
      <c r="L74" s="38" t="str">
        <f t="shared" si="58"/>
        <v xml:space="preserve"> </v>
      </c>
      <c r="M74" s="38" t="str">
        <f t="shared" si="58"/>
        <v xml:space="preserve"> </v>
      </c>
      <c r="N74" s="38" t="str">
        <f t="shared" si="58"/>
        <v xml:space="preserve"> </v>
      </c>
      <c r="O74" s="21">
        <f>O72+O61</f>
        <v>674662.08999999985</v>
      </c>
      <c r="P74" s="18"/>
      <c r="Q74" s="18"/>
      <c r="R74" s="18"/>
      <c r="S74" s="18"/>
      <c r="T74" s="18"/>
      <c r="U74" s="18"/>
      <c r="V74" s="18"/>
      <c r="W74" s="18"/>
      <c r="X74" s="18"/>
      <c r="Y74" s="18"/>
      <c r="Z74" s="18"/>
      <c r="AA74" s="18"/>
      <c r="AB74" s="18"/>
      <c r="AC74" s="18"/>
    </row>
    <row r="75" spans="1:29" ht="15.75" thickTop="1">
      <c r="B75" s="32"/>
      <c r="F75" s="18"/>
      <c r="G75" s="18"/>
      <c r="H75" s="18"/>
      <c r="I75" s="18"/>
      <c r="J75" s="18"/>
      <c r="K75" s="18"/>
      <c r="L75" s="18"/>
      <c r="M75" s="18"/>
      <c r="N75" s="18"/>
      <c r="O75" s="18"/>
      <c r="P75" s="18"/>
      <c r="Q75" s="18"/>
      <c r="R75" s="18"/>
      <c r="S75" s="18"/>
      <c r="T75" s="18"/>
      <c r="U75" s="18"/>
      <c r="V75" s="18"/>
      <c r="W75" s="18"/>
      <c r="X75" s="18"/>
      <c r="Y75" s="18"/>
      <c r="Z75" s="18"/>
      <c r="AA75" s="18"/>
      <c r="AB75" s="18"/>
      <c r="AC75" s="18"/>
    </row>
    <row r="76" spans="1:29">
      <c r="B76" s="32"/>
      <c r="F76" s="18"/>
      <c r="G76" s="18"/>
      <c r="H76" s="18"/>
      <c r="I76" s="18"/>
      <c r="J76" s="18"/>
      <c r="K76" s="18"/>
      <c r="L76" s="18"/>
      <c r="M76" s="18"/>
      <c r="N76" s="18"/>
      <c r="O76" s="18"/>
      <c r="P76" s="18"/>
      <c r="Q76" s="18"/>
      <c r="R76" s="18"/>
      <c r="S76" s="18"/>
      <c r="T76" s="18"/>
      <c r="U76" s="18"/>
      <c r="V76" s="18"/>
      <c r="W76" s="18"/>
      <c r="X76" s="18"/>
      <c r="Y76" s="18"/>
      <c r="Z76" s="18"/>
      <c r="AA76" s="18"/>
      <c r="AB76" s="18"/>
      <c r="AC76" s="18"/>
    </row>
    <row r="77" spans="1:29">
      <c r="B77" s="32" t="s">
        <v>49</v>
      </c>
      <c r="F77" s="18"/>
      <c r="G77" s="18"/>
      <c r="H77" s="18"/>
      <c r="I77" s="18"/>
      <c r="J77" s="18"/>
      <c r="K77" s="18"/>
      <c r="L77" s="18"/>
      <c r="M77" s="18"/>
      <c r="N77" s="18"/>
      <c r="O77" s="18"/>
      <c r="P77" s="18"/>
      <c r="Q77" s="18"/>
      <c r="R77" s="18"/>
      <c r="S77" s="18"/>
      <c r="T77" s="18"/>
      <c r="U77" s="18"/>
      <c r="V77" s="18"/>
      <c r="W77" s="18"/>
      <c r="X77" s="18"/>
      <c r="Y77" s="18"/>
      <c r="Z77" s="18"/>
      <c r="AA77" s="18"/>
      <c r="AB77" s="18"/>
      <c r="AC77" s="18"/>
    </row>
    <row r="78" spans="1:29">
      <c r="B78" s="92" t="s">
        <v>88</v>
      </c>
      <c r="C78" s="92"/>
      <c r="D78" s="92"/>
      <c r="E78" s="92"/>
      <c r="F78" s="92"/>
      <c r="G78" s="92"/>
      <c r="H78" s="92"/>
      <c r="I78" s="92"/>
      <c r="J78" s="92"/>
      <c r="K78" s="92"/>
      <c r="L78" s="92"/>
      <c r="M78" s="92"/>
      <c r="N78" s="92"/>
      <c r="O78" s="92"/>
      <c r="P78" s="18"/>
      <c r="Q78" s="18"/>
      <c r="R78" s="18"/>
      <c r="S78" s="18"/>
      <c r="T78" s="18"/>
      <c r="U78" s="18"/>
      <c r="V78" s="18"/>
      <c r="W78" s="18"/>
      <c r="X78" s="18"/>
      <c r="Y78" s="18"/>
      <c r="Z78" s="18"/>
      <c r="AA78" s="18"/>
      <c r="AB78" s="18"/>
      <c r="AC78" s="18"/>
    </row>
    <row r="79" spans="1:29">
      <c r="B79" s="1"/>
      <c r="F79" s="18"/>
      <c r="G79" s="18"/>
      <c r="H79" s="18"/>
      <c r="I79" s="18"/>
      <c r="J79" s="18"/>
      <c r="K79" s="18"/>
      <c r="L79" s="18"/>
      <c r="M79" s="18"/>
      <c r="N79" s="18"/>
      <c r="O79" s="18"/>
      <c r="P79" s="18"/>
      <c r="Q79" s="18"/>
      <c r="R79" s="18"/>
      <c r="S79" s="18"/>
      <c r="T79" s="18"/>
      <c r="U79" s="18"/>
      <c r="V79" s="18"/>
      <c r="W79" s="18"/>
      <c r="X79" s="18"/>
      <c r="Y79" s="18"/>
      <c r="Z79" s="18"/>
      <c r="AA79" s="18"/>
      <c r="AB79" s="18"/>
      <c r="AC79" s="18"/>
    </row>
    <row r="80" spans="1:29">
      <c r="B80" s="61" t="s">
        <v>51</v>
      </c>
      <c r="P80" s="18"/>
      <c r="Q80" s="18"/>
      <c r="R80" s="18"/>
      <c r="S80" s="18"/>
      <c r="T80" s="18"/>
      <c r="U80" s="18"/>
      <c r="V80" s="18"/>
      <c r="W80" s="18"/>
      <c r="X80" s="18"/>
      <c r="Y80" s="18"/>
      <c r="Z80" s="18"/>
      <c r="AA80" s="18"/>
      <c r="AB80" s="18"/>
      <c r="AC80" s="18"/>
    </row>
    <row r="81" spans="2:29">
      <c r="B81" s="91" t="s">
        <v>105</v>
      </c>
      <c r="C81" s="91"/>
      <c r="D81" s="91"/>
      <c r="E81" s="91"/>
      <c r="F81" s="91"/>
      <c r="G81" s="91"/>
      <c r="H81" s="91"/>
      <c r="I81" s="91"/>
      <c r="J81" s="91"/>
      <c r="K81" s="91"/>
      <c r="L81" s="91"/>
      <c r="M81" s="91"/>
      <c r="N81" s="91"/>
      <c r="O81" s="91"/>
      <c r="P81" s="18"/>
      <c r="Q81" s="18"/>
      <c r="R81" s="18"/>
      <c r="S81" s="18"/>
      <c r="T81" s="18"/>
      <c r="U81" s="18"/>
      <c r="V81" s="18"/>
      <c r="W81" s="18"/>
      <c r="X81" s="18"/>
      <c r="Y81" s="18"/>
      <c r="Z81" s="18"/>
      <c r="AA81" s="18"/>
      <c r="AB81" s="18"/>
      <c r="AC81" s="18"/>
    </row>
    <row r="82" spans="2:29">
      <c r="B82" s="91" t="s">
        <v>111</v>
      </c>
      <c r="C82" s="91"/>
      <c r="D82" s="91"/>
      <c r="E82" s="91"/>
      <c r="F82" s="91"/>
      <c r="G82" s="91"/>
      <c r="H82" s="91"/>
      <c r="I82" s="91"/>
      <c r="J82" s="91"/>
      <c r="K82" s="91"/>
      <c r="L82" s="91"/>
      <c r="M82" s="91"/>
      <c r="N82" s="91"/>
      <c r="O82" s="91"/>
    </row>
    <row r="83" spans="2:29">
      <c r="B83" s="91" t="s">
        <v>119</v>
      </c>
      <c r="C83" s="91"/>
      <c r="D83" s="91"/>
      <c r="E83" s="91"/>
      <c r="F83" s="91"/>
      <c r="G83" s="91"/>
      <c r="H83" s="91"/>
      <c r="I83" s="91"/>
      <c r="J83" s="91"/>
      <c r="K83" s="91"/>
      <c r="L83" s="91"/>
      <c r="M83" s="91"/>
      <c r="N83" s="91"/>
      <c r="O83" s="91"/>
    </row>
    <row r="84" spans="2:29">
      <c r="B84" s="91" t="s">
        <v>127</v>
      </c>
      <c r="C84" s="91"/>
      <c r="D84" s="91"/>
      <c r="E84" s="91"/>
      <c r="F84" s="91"/>
      <c r="G84" s="91"/>
      <c r="H84" s="91"/>
      <c r="I84" s="91"/>
      <c r="J84" s="91"/>
      <c r="K84" s="91"/>
      <c r="L84" s="91"/>
      <c r="M84" s="91"/>
      <c r="N84" s="91"/>
      <c r="O84" s="91"/>
    </row>
    <row r="85" spans="2:29">
      <c r="B85" s="91" t="s">
        <v>144</v>
      </c>
      <c r="C85" s="91"/>
      <c r="D85" s="91"/>
      <c r="E85" s="91"/>
      <c r="F85" s="91"/>
      <c r="G85" s="91"/>
      <c r="H85" s="91"/>
      <c r="I85" s="91"/>
      <c r="J85" s="91"/>
      <c r="K85" s="91"/>
      <c r="L85" s="91"/>
      <c r="M85" s="91"/>
      <c r="N85" s="91"/>
      <c r="O85" s="91"/>
    </row>
    <row r="86" spans="2:29">
      <c r="B86" s="91" t="s">
        <v>146</v>
      </c>
      <c r="C86" s="91"/>
      <c r="D86" s="91"/>
      <c r="E86" s="91"/>
      <c r="F86" s="91"/>
      <c r="G86" s="91"/>
      <c r="H86" s="91"/>
      <c r="I86" s="91"/>
      <c r="J86" s="91"/>
      <c r="K86" s="91"/>
      <c r="L86" s="91"/>
      <c r="M86" s="91"/>
      <c r="N86" s="91"/>
      <c r="O86" s="91"/>
    </row>
    <row r="87" spans="2:29">
      <c r="B87" s="91" t="s">
        <v>157</v>
      </c>
      <c r="C87" s="91"/>
      <c r="D87" s="91"/>
      <c r="E87" s="91"/>
      <c r="F87" s="91"/>
      <c r="G87" s="91"/>
      <c r="H87" s="91"/>
      <c r="I87" s="91"/>
      <c r="J87" s="91"/>
      <c r="K87" s="91"/>
      <c r="L87" s="91"/>
      <c r="M87" s="91"/>
      <c r="N87" s="91"/>
      <c r="O87" s="91"/>
    </row>
    <row r="88" spans="2:29">
      <c r="B88" s="91" t="s">
        <v>166</v>
      </c>
      <c r="C88" s="91"/>
      <c r="D88" s="91"/>
      <c r="E88" s="91"/>
      <c r="F88" s="91"/>
      <c r="G88" s="91"/>
      <c r="H88" s="91"/>
      <c r="I88" s="91"/>
      <c r="J88" s="91"/>
      <c r="K88" s="91"/>
      <c r="L88" s="91"/>
      <c r="M88" s="91"/>
      <c r="N88" s="91"/>
      <c r="O88" s="91"/>
    </row>
    <row r="89" spans="2:29">
      <c r="B89" s="91" t="s">
        <v>173</v>
      </c>
      <c r="C89" s="91"/>
      <c r="D89" s="91"/>
      <c r="E89" s="91"/>
      <c r="F89" s="91"/>
      <c r="G89" s="91"/>
      <c r="H89" s="91"/>
      <c r="I89" s="91"/>
      <c r="J89" s="91"/>
      <c r="K89" s="91"/>
      <c r="L89" s="91"/>
      <c r="M89" s="91"/>
      <c r="N89" s="91"/>
      <c r="O89" s="91"/>
    </row>
    <row r="90" spans="2:29">
      <c r="B90" s="91" t="s">
        <v>52</v>
      </c>
      <c r="C90" s="91"/>
      <c r="D90" s="91"/>
      <c r="E90" s="91"/>
      <c r="F90" s="91"/>
      <c r="G90" s="91"/>
      <c r="H90" s="91"/>
      <c r="I90" s="91"/>
      <c r="J90" s="91"/>
      <c r="K90" s="91"/>
      <c r="L90" s="91"/>
      <c r="M90" s="91"/>
      <c r="N90" s="91"/>
      <c r="O90" s="91"/>
    </row>
  </sheetData>
  <mergeCells count="11">
    <mergeCell ref="B90:O90"/>
    <mergeCell ref="B89:O89"/>
    <mergeCell ref="B88:O88"/>
    <mergeCell ref="B78:O78"/>
    <mergeCell ref="B82:O82"/>
    <mergeCell ref="B83:O83"/>
    <mergeCell ref="B87:O87"/>
    <mergeCell ref="B86:O86"/>
    <mergeCell ref="B85:O85"/>
    <mergeCell ref="B84:O84"/>
    <mergeCell ref="B81:O81"/>
  </mergeCells>
  <pageMargins left="0" right="0" top="0.75" bottom="0.75" header="0.3" footer="0.3"/>
  <pageSetup scale="75" orientation="landscape" r:id="rId1"/>
</worksheet>
</file>

<file path=xl/worksheets/sheet8.xml><?xml version="1.0" encoding="utf-8"?>
<worksheet xmlns="http://schemas.openxmlformats.org/spreadsheetml/2006/main" xmlns:r="http://schemas.openxmlformats.org/officeDocument/2006/relationships">
  <dimension ref="A2:B14"/>
  <sheetViews>
    <sheetView workbookViewId="0">
      <selection activeCell="B11" sqref="B11"/>
    </sheetView>
  </sheetViews>
  <sheetFormatPr defaultRowHeight="15"/>
  <cols>
    <col min="1" max="1" width="51.5703125" bestFit="1" customWidth="1"/>
    <col min="2" max="2" width="14.28515625" bestFit="1" customWidth="1"/>
  </cols>
  <sheetData>
    <row r="2" spans="1:2">
      <c r="A2" s="80" t="s">
        <v>68</v>
      </c>
      <c r="B2" s="1">
        <f>'ID-Sch91 Rider Balance'!J17</f>
        <v>-698080.0685668994</v>
      </c>
    </row>
    <row r="3" spans="1:2">
      <c r="A3" s="80"/>
    </row>
    <row r="4" spans="1:2">
      <c r="A4" s="80" t="s">
        <v>69</v>
      </c>
      <c r="B4" s="1">
        <v>2607000</v>
      </c>
    </row>
    <row r="5" spans="1:2">
      <c r="A5" s="80" t="s">
        <v>70</v>
      </c>
      <c r="B5" s="84">
        <f>SUM('ID-Sch91 Rider Balance'!K11:N11)</f>
        <v>1858259</v>
      </c>
    </row>
    <row r="6" spans="1:2">
      <c r="A6" s="80"/>
      <c r="B6" s="1">
        <f>B5-B4</f>
        <v>-748741</v>
      </c>
    </row>
    <row r="8" spans="1:2">
      <c r="A8" s="80" t="s">
        <v>71</v>
      </c>
      <c r="B8" s="3">
        <f>B2+B6</f>
        <v>-1446821.0685668993</v>
      </c>
    </row>
    <row r="10" spans="1:2">
      <c r="A10" s="80" t="s">
        <v>72</v>
      </c>
      <c r="B10" s="1">
        <v>7706000</v>
      </c>
    </row>
    <row r="11" spans="1:2">
      <c r="A11" t="s">
        <v>73</v>
      </c>
      <c r="B11" s="85"/>
    </row>
    <row r="12" spans="1:2">
      <c r="B12" s="3">
        <f>B11-B10</f>
        <v>-7706000</v>
      </c>
    </row>
    <row r="14" spans="1:2">
      <c r="A14" t="s">
        <v>74</v>
      </c>
      <c r="B14" s="3">
        <f>B8+B12</f>
        <v>-9152821.0685668997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sheetPr>
    <tabColor theme="4" tint="0.39997558519241921"/>
  </sheetPr>
  <dimension ref="A2:AF31"/>
  <sheetViews>
    <sheetView workbookViewId="0">
      <pane xSplit="2" ySplit="5" topLeftCell="C6" activePane="bottomRight" state="frozen"/>
      <selection pane="topRight" activeCell="C1" sqref="C1"/>
      <selection pane="bottomLeft" activeCell="A6" sqref="A6"/>
      <selection pane="bottomRight" activeCell="A4" sqref="A4"/>
    </sheetView>
  </sheetViews>
  <sheetFormatPr defaultRowHeight="15"/>
  <cols>
    <col min="1" max="1" width="3.42578125" bestFit="1" customWidth="1"/>
    <col min="2" max="2" width="34.85546875" customWidth="1"/>
    <col min="3" max="6" width="10.5703125" bestFit="1" customWidth="1"/>
    <col min="7" max="15" width="11.28515625" bestFit="1" customWidth="1"/>
    <col min="16" max="16" width="11.5703125" bestFit="1" customWidth="1"/>
    <col min="17" max="19" width="11.28515625" bestFit="1" customWidth="1"/>
    <col min="21" max="32" width="11.28515625" bestFit="1" customWidth="1"/>
  </cols>
  <sheetData>
    <row r="2" spans="1:32">
      <c r="B2" s="39" t="s">
        <v>27</v>
      </c>
    </row>
    <row r="3" spans="1:32">
      <c r="C3" s="25">
        <v>2012</v>
      </c>
      <c r="D3" s="25">
        <v>2012</v>
      </c>
      <c r="E3" s="25">
        <v>2012</v>
      </c>
      <c r="F3" s="25">
        <v>2012</v>
      </c>
      <c r="G3" s="25">
        <v>2012</v>
      </c>
      <c r="H3" s="25">
        <v>2012</v>
      </c>
      <c r="I3" s="25">
        <v>2012</v>
      </c>
      <c r="J3" s="25">
        <v>2012</v>
      </c>
      <c r="K3" s="25">
        <v>2012</v>
      </c>
      <c r="L3" s="25">
        <v>2012</v>
      </c>
      <c r="M3" s="25">
        <v>2012</v>
      </c>
      <c r="N3" s="25">
        <v>2012</v>
      </c>
      <c r="O3" s="42" t="s">
        <v>90</v>
      </c>
      <c r="P3" s="42">
        <v>2012</v>
      </c>
      <c r="Q3" s="42">
        <v>2012</v>
      </c>
      <c r="R3" s="42">
        <v>2012</v>
      </c>
      <c r="S3" s="42">
        <v>2012</v>
      </c>
      <c r="U3" s="42">
        <v>2013</v>
      </c>
      <c r="V3" s="42">
        <v>2013</v>
      </c>
      <c r="W3" s="42">
        <v>2013</v>
      </c>
      <c r="X3" s="42">
        <v>2013</v>
      </c>
      <c r="Y3" s="42">
        <v>2013</v>
      </c>
      <c r="Z3" s="42">
        <v>2013</v>
      </c>
      <c r="AA3" s="42">
        <v>2013</v>
      </c>
      <c r="AB3" s="42">
        <v>2013</v>
      </c>
      <c r="AC3" s="42">
        <v>2013</v>
      </c>
      <c r="AD3" s="42">
        <v>2013</v>
      </c>
      <c r="AE3" s="42">
        <v>2013</v>
      </c>
      <c r="AF3" s="42">
        <v>2013</v>
      </c>
    </row>
    <row r="4" spans="1:32">
      <c r="C4" s="25" t="s">
        <v>0</v>
      </c>
      <c r="D4" s="25" t="s">
        <v>1</v>
      </c>
      <c r="E4" s="25" t="s">
        <v>2</v>
      </c>
      <c r="F4" s="25" t="s">
        <v>3</v>
      </c>
      <c r="G4" s="25" t="s">
        <v>4</v>
      </c>
      <c r="H4" s="25" t="s">
        <v>5</v>
      </c>
      <c r="I4" s="25" t="s">
        <v>6</v>
      </c>
      <c r="J4" s="25" t="s">
        <v>7</v>
      </c>
      <c r="K4" s="25" t="s">
        <v>8</v>
      </c>
      <c r="L4" s="25" t="s">
        <v>9</v>
      </c>
      <c r="M4" s="25" t="s">
        <v>10</v>
      </c>
      <c r="N4" s="25" t="s">
        <v>11</v>
      </c>
      <c r="O4" s="42"/>
      <c r="P4" s="42" t="s">
        <v>53</v>
      </c>
      <c r="Q4" s="42" t="s">
        <v>54</v>
      </c>
      <c r="R4" s="42" t="s">
        <v>55</v>
      </c>
      <c r="S4" s="42" t="s">
        <v>56</v>
      </c>
      <c r="U4" s="42" t="s">
        <v>0</v>
      </c>
      <c r="V4" s="42" t="s">
        <v>1</v>
      </c>
      <c r="W4" s="42" t="s">
        <v>2</v>
      </c>
      <c r="X4" s="42" t="s">
        <v>3</v>
      </c>
      <c r="Y4" s="42" t="s">
        <v>4</v>
      </c>
      <c r="Z4" s="42" t="s">
        <v>5</v>
      </c>
      <c r="AA4" s="42" t="s">
        <v>6</v>
      </c>
      <c r="AB4" s="42" t="s">
        <v>7</v>
      </c>
      <c r="AC4" s="42" t="s">
        <v>8</v>
      </c>
      <c r="AD4" s="42" t="s">
        <v>9</v>
      </c>
      <c r="AE4" s="42" t="s">
        <v>10</v>
      </c>
      <c r="AF4" s="42" t="s">
        <v>11</v>
      </c>
    </row>
    <row r="5" spans="1:32">
      <c r="A5" t="s">
        <v>22</v>
      </c>
      <c r="B5" t="s">
        <v>13</v>
      </c>
      <c r="C5" s="1">
        <v>26723.27</v>
      </c>
      <c r="D5" s="1">
        <v>-423154.4736197032</v>
      </c>
      <c r="E5" s="1">
        <v>-486062.86058572447</v>
      </c>
      <c r="F5" s="1">
        <v>-698908.91362924397</v>
      </c>
      <c r="G5" s="1">
        <v>-674218.93012168724</v>
      </c>
      <c r="H5" s="1">
        <v>-656341.00854240905</v>
      </c>
      <c r="I5" s="1">
        <v>-316230.90051374095</v>
      </c>
      <c r="J5" s="1">
        <v>-490269.16451827041</v>
      </c>
      <c r="K5" s="1">
        <v>-698080.0685668994</v>
      </c>
      <c r="L5" s="1">
        <v>-980338.0810614106</v>
      </c>
      <c r="M5" s="1">
        <v>-980338.0810614106</v>
      </c>
      <c r="N5" s="1">
        <v>-980338.0810614106</v>
      </c>
      <c r="O5" s="40"/>
      <c r="P5" s="44">
        <v>26723.27</v>
      </c>
      <c r="Q5" s="47">
        <v>-698908.91362924362</v>
      </c>
      <c r="R5" s="47">
        <v>-316230.90051374049</v>
      </c>
      <c r="S5" s="47">
        <v>-980338.08106141048</v>
      </c>
      <c r="U5" s="47">
        <v>-1513721.4185456904</v>
      </c>
      <c r="V5" s="47">
        <v>-1513721.4185456904</v>
      </c>
      <c r="W5" s="47">
        <v>-1513721.4185456904</v>
      </c>
      <c r="X5" s="47">
        <v>-1513721.4185456904</v>
      </c>
      <c r="Y5" s="47">
        <v>-1513721.4185456904</v>
      </c>
      <c r="Z5" s="47">
        <v>-1513721.4185456904</v>
      </c>
      <c r="AA5" s="47">
        <v>-1513721.4185456904</v>
      </c>
      <c r="AB5" s="47">
        <v>-1513721.4185456904</v>
      </c>
      <c r="AC5" s="47">
        <v>-1513721.4185456904</v>
      </c>
      <c r="AD5" s="47">
        <v>-1513721.4185456904</v>
      </c>
      <c r="AE5" s="47">
        <v>-1513721.4185456904</v>
      </c>
      <c r="AF5" s="47">
        <v>-1513721.4185456904</v>
      </c>
    </row>
    <row r="6" spans="1:32">
      <c r="C6" s="1"/>
      <c r="D6" s="1"/>
      <c r="E6" s="1"/>
      <c r="F6" s="1"/>
      <c r="G6" s="1"/>
      <c r="H6" s="1"/>
      <c r="I6" s="1"/>
      <c r="J6" s="1"/>
      <c r="K6" s="1"/>
      <c r="L6" s="1"/>
      <c r="M6" s="1"/>
      <c r="N6" s="1"/>
      <c r="O6" s="40"/>
      <c r="P6" s="40"/>
      <c r="Q6" s="40"/>
      <c r="R6" s="40"/>
      <c r="S6" s="40"/>
      <c r="U6" s="40"/>
      <c r="V6" s="40"/>
      <c r="W6" s="40"/>
      <c r="X6" s="40"/>
      <c r="Y6" s="40"/>
      <c r="Z6" s="40"/>
      <c r="AA6" s="40"/>
      <c r="AB6" s="40"/>
      <c r="AC6" s="40"/>
      <c r="AD6" s="40"/>
      <c r="AE6" s="40"/>
      <c r="AF6" s="40"/>
    </row>
    <row r="7" spans="1:32">
      <c r="B7" t="s">
        <v>14</v>
      </c>
      <c r="C7" s="2">
        <v>779154.21601791016</v>
      </c>
      <c r="D7" s="2">
        <v>681130.55582262564</v>
      </c>
      <c r="E7" s="2">
        <v>676360.54941640713</v>
      </c>
      <c r="F7" s="2">
        <v>580176.04106633156</v>
      </c>
      <c r="G7" s="2">
        <v>578915.83149083343</v>
      </c>
      <c r="H7" s="2">
        <v>554962.55455580307</v>
      </c>
      <c r="I7" s="2">
        <v>609096.65834636311</v>
      </c>
      <c r="J7" s="2">
        <v>643963.15602852381</v>
      </c>
      <c r="K7" s="2">
        <v>579560.30315130227</v>
      </c>
      <c r="L7" s="2">
        <v>615384.89111558907</v>
      </c>
      <c r="M7" s="2">
        <v>663040.57480538066</v>
      </c>
      <c r="N7" s="2">
        <v>799472.26267889922</v>
      </c>
      <c r="O7" s="47">
        <v>7761217.5944959689</v>
      </c>
      <c r="P7" s="47">
        <v>2136645.321256943</v>
      </c>
      <c r="Q7" s="47">
        <v>1714054.4271129682</v>
      </c>
      <c r="R7" s="47">
        <v>1832620.1175261892</v>
      </c>
      <c r="S7" s="47">
        <v>2077897.7285998692</v>
      </c>
      <c r="U7" s="26">
        <v>0</v>
      </c>
      <c r="V7" s="26">
        <v>0</v>
      </c>
      <c r="W7" s="26">
        <v>0</v>
      </c>
      <c r="X7" s="26">
        <v>0</v>
      </c>
      <c r="Y7" s="26">
        <v>0</v>
      </c>
      <c r="Z7" s="26">
        <v>0</v>
      </c>
      <c r="AA7" s="26">
        <v>0</v>
      </c>
      <c r="AB7" s="26">
        <v>0</v>
      </c>
      <c r="AC7" s="26">
        <v>0</v>
      </c>
      <c r="AD7" s="26">
        <v>0</v>
      </c>
      <c r="AE7" s="26">
        <v>0</v>
      </c>
      <c r="AF7" s="26">
        <v>0</v>
      </c>
    </row>
    <row r="8" spans="1:32">
      <c r="A8" t="s">
        <v>21</v>
      </c>
      <c r="B8" t="s">
        <v>15</v>
      </c>
      <c r="C8" s="1">
        <v>759218.4736197032</v>
      </c>
      <c r="D8" s="1">
        <v>692096.4269660213</v>
      </c>
      <c r="E8" s="1">
        <v>651874.19304351951</v>
      </c>
      <c r="F8" s="1">
        <v>624237.40649244329</v>
      </c>
      <c r="G8" s="1">
        <v>573515.95842072193</v>
      </c>
      <c r="H8" s="1">
        <v>550240.0119713319</v>
      </c>
      <c r="I8" s="1">
        <v>576805.87400452944</v>
      </c>
      <c r="J8" s="1">
        <v>625173.044048629</v>
      </c>
      <c r="K8" s="1">
        <v>609070.37249451119</v>
      </c>
      <c r="L8" s="1">
        <v>0</v>
      </c>
      <c r="M8" s="1">
        <v>0</v>
      </c>
      <c r="N8" s="1">
        <v>0</v>
      </c>
      <c r="O8" s="47">
        <v>5662231.7610614104</v>
      </c>
      <c r="P8" s="47">
        <v>2103189.0936292438</v>
      </c>
      <c r="Q8" s="47">
        <v>1747993.376884497</v>
      </c>
      <c r="R8" s="47">
        <v>1811049.2905476699</v>
      </c>
      <c r="S8" s="47">
        <v>0</v>
      </c>
      <c r="U8" s="40"/>
      <c r="V8" s="40"/>
      <c r="W8" s="40"/>
      <c r="X8" s="40"/>
      <c r="Y8" s="40"/>
      <c r="Z8" s="40"/>
      <c r="AA8" s="40"/>
      <c r="AB8" s="40"/>
      <c r="AC8" s="40"/>
      <c r="AD8" s="40"/>
      <c r="AE8" s="40"/>
      <c r="AF8" s="40"/>
    </row>
    <row r="9" spans="1:32">
      <c r="B9" t="s">
        <v>16</v>
      </c>
      <c r="C9" s="22">
        <v>-19935.742398206959</v>
      </c>
      <c r="D9" s="22">
        <v>10965.871143395663</v>
      </c>
      <c r="E9" s="22">
        <v>-24486.356372887618</v>
      </c>
      <c r="F9" s="22">
        <v>44061.365426111734</v>
      </c>
      <c r="G9" s="22">
        <v>-5399.8730701114982</v>
      </c>
      <c r="H9" s="22">
        <v>-4722.5425844711717</v>
      </c>
      <c r="I9" s="22">
        <v>-32290.784341833671</v>
      </c>
      <c r="J9" s="22">
        <v>-18790.111979894806</v>
      </c>
      <c r="K9" s="22">
        <v>29510.069343208917</v>
      </c>
      <c r="L9" s="22">
        <v>-615384.89111558907</v>
      </c>
      <c r="M9" s="22">
        <v>-663040.57480538066</v>
      </c>
      <c r="N9" s="22">
        <v>-799472.26267889922</v>
      </c>
      <c r="O9" s="48">
        <v>-2098985.8334345585</v>
      </c>
      <c r="P9" s="48">
        <v>-33456.227627699263</v>
      </c>
      <c r="Q9" s="48">
        <v>33938.949771528831</v>
      </c>
      <c r="R9" s="48">
        <v>-21570.826978519326</v>
      </c>
      <c r="S9" s="48">
        <v>-2077897.7285998692</v>
      </c>
      <c r="U9" s="40"/>
      <c r="V9" s="40"/>
      <c r="W9" s="40"/>
      <c r="X9" s="40"/>
      <c r="Y9" s="40"/>
      <c r="Z9" s="40"/>
      <c r="AA9" s="40"/>
      <c r="AB9" s="40"/>
      <c r="AC9" s="40"/>
      <c r="AD9" s="40"/>
      <c r="AE9" s="40"/>
      <c r="AF9" s="40"/>
    </row>
    <row r="10" spans="1:32">
      <c r="C10" s="1"/>
      <c r="D10" s="1"/>
      <c r="E10" s="1"/>
      <c r="F10" s="1"/>
      <c r="G10" s="1"/>
      <c r="H10" s="1"/>
      <c r="I10" s="1"/>
      <c r="J10" s="1"/>
      <c r="K10" s="1"/>
      <c r="L10" s="1"/>
      <c r="M10" s="1"/>
      <c r="N10" s="1"/>
      <c r="O10" s="40"/>
      <c r="P10" s="40"/>
      <c r="Q10" s="40"/>
      <c r="R10" s="40"/>
      <c r="S10" s="40"/>
      <c r="U10" s="40"/>
      <c r="V10" s="40"/>
      <c r="W10" s="40"/>
      <c r="X10" s="40"/>
      <c r="Y10" s="40"/>
      <c r="Z10" s="40"/>
      <c r="AA10" s="40"/>
      <c r="AB10" s="40"/>
      <c r="AC10" s="40"/>
      <c r="AD10" s="40"/>
      <c r="AE10" s="40"/>
      <c r="AF10" s="40"/>
    </row>
    <row r="11" spans="1:32">
      <c r="B11" t="s">
        <v>18</v>
      </c>
      <c r="C11" s="1">
        <v>464564.75</v>
      </c>
      <c r="D11" s="1">
        <v>464564.75</v>
      </c>
      <c r="E11" s="1">
        <v>464564.75</v>
      </c>
      <c r="F11" s="1">
        <v>464564.75</v>
      </c>
      <c r="G11" s="1">
        <v>464564.75</v>
      </c>
      <c r="H11" s="1">
        <v>464564.75</v>
      </c>
      <c r="I11" s="1">
        <v>464564.75</v>
      </c>
      <c r="J11" s="1">
        <v>464564.75</v>
      </c>
      <c r="K11" s="1">
        <v>464564.75</v>
      </c>
      <c r="L11" s="1">
        <v>464564.75</v>
      </c>
      <c r="M11" s="1">
        <v>464564.75</v>
      </c>
      <c r="N11" s="1">
        <v>464564.75</v>
      </c>
      <c r="O11" s="47">
        <v>5574777</v>
      </c>
      <c r="P11" s="47">
        <v>1393694.25</v>
      </c>
      <c r="Q11" s="47">
        <v>1393694.25</v>
      </c>
      <c r="R11" s="47">
        <v>1393694.25</v>
      </c>
      <c r="S11" s="47">
        <v>1393694.25</v>
      </c>
      <c r="U11" s="26">
        <v>0</v>
      </c>
      <c r="V11" s="26">
        <v>0</v>
      </c>
      <c r="W11" s="26">
        <v>0</v>
      </c>
      <c r="X11" s="26">
        <v>0</v>
      </c>
      <c r="Y11" s="26">
        <v>0</v>
      </c>
      <c r="Z11" s="26">
        <v>0</v>
      </c>
      <c r="AA11" s="26">
        <v>0</v>
      </c>
      <c r="AB11" s="26">
        <v>0</v>
      </c>
      <c r="AC11" s="26">
        <v>0</v>
      </c>
      <c r="AD11" s="26">
        <v>0</v>
      </c>
      <c r="AE11" s="26">
        <v>0</v>
      </c>
      <c r="AF11" s="26">
        <v>0</v>
      </c>
    </row>
    <row r="12" spans="1:32">
      <c r="A12" t="s">
        <v>20</v>
      </c>
      <c r="B12" t="s">
        <v>17</v>
      </c>
      <c r="C12" s="1">
        <v>309340.73</v>
      </c>
      <c r="D12" s="1">
        <v>629188.04</v>
      </c>
      <c r="E12" s="1">
        <v>439028.14</v>
      </c>
      <c r="F12" s="1">
        <v>648927.39</v>
      </c>
      <c r="G12" s="1">
        <v>591393.88000000012</v>
      </c>
      <c r="H12" s="1">
        <v>890350.12</v>
      </c>
      <c r="I12" s="1">
        <v>402767.61</v>
      </c>
      <c r="J12" s="1">
        <v>417362.14</v>
      </c>
      <c r="K12" s="1">
        <v>326812.36</v>
      </c>
      <c r="L12" s="1">
        <v>0</v>
      </c>
      <c r="M12" s="1">
        <v>0</v>
      </c>
      <c r="N12" s="1">
        <v>0</v>
      </c>
      <c r="O12" s="47">
        <v>4655170.4100000011</v>
      </c>
      <c r="P12" s="47">
        <v>1377556.9100000001</v>
      </c>
      <c r="Q12" s="47">
        <v>2130671.39</v>
      </c>
      <c r="R12" s="47">
        <v>1146942.1099999999</v>
      </c>
      <c r="S12" s="47">
        <v>0</v>
      </c>
      <c r="U12" s="40"/>
      <c r="V12" s="40"/>
      <c r="W12" s="40"/>
      <c r="X12" s="40"/>
      <c r="Y12" s="40"/>
      <c r="Z12" s="40"/>
      <c r="AA12" s="40"/>
      <c r="AB12" s="40"/>
      <c r="AC12" s="40"/>
      <c r="AD12" s="40"/>
      <c r="AE12" s="40"/>
      <c r="AF12" s="40"/>
    </row>
    <row r="13" spans="1:32">
      <c r="B13" t="s">
        <v>19</v>
      </c>
      <c r="C13" s="23">
        <v>155224.02000000002</v>
      </c>
      <c r="D13" s="23">
        <v>-164623.29000000004</v>
      </c>
      <c r="E13" s="23">
        <v>25536.609999999986</v>
      </c>
      <c r="F13" s="23">
        <v>-184362.64</v>
      </c>
      <c r="G13" s="23">
        <v>-126829.13000000012</v>
      </c>
      <c r="H13" s="23">
        <v>-425785.37</v>
      </c>
      <c r="I13" s="23">
        <v>61797.140000000014</v>
      </c>
      <c r="J13" s="23">
        <v>47202.609999999986</v>
      </c>
      <c r="K13" s="23">
        <v>137752.39000000001</v>
      </c>
      <c r="L13" s="23">
        <v>464564.75</v>
      </c>
      <c r="M13" s="23">
        <v>464564.75</v>
      </c>
      <c r="N13" s="23">
        <v>464564.75</v>
      </c>
      <c r="O13" s="48">
        <v>919606.58999999985</v>
      </c>
      <c r="P13" s="49">
        <v>16137.339999999851</v>
      </c>
      <c r="Q13" s="49">
        <v>-736977.14000000013</v>
      </c>
      <c r="R13" s="49">
        <v>246752.14000000013</v>
      </c>
      <c r="S13" s="49">
        <v>1393694.25</v>
      </c>
      <c r="U13" s="40"/>
      <c r="V13" s="40"/>
      <c r="W13" s="40"/>
      <c r="X13" s="40"/>
      <c r="Y13" s="40"/>
      <c r="Z13" s="40"/>
      <c r="AA13" s="40"/>
      <c r="AB13" s="40"/>
      <c r="AC13" s="40"/>
      <c r="AD13" s="40"/>
      <c r="AE13" s="40"/>
      <c r="AF13" s="40"/>
    </row>
    <row r="14" spans="1:32">
      <c r="C14" s="1"/>
      <c r="D14" s="1"/>
      <c r="E14" s="1"/>
      <c r="F14" s="1"/>
      <c r="G14" s="1"/>
      <c r="H14" s="1"/>
      <c r="I14" s="1"/>
      <c r="J14" s="1"/>
      <c r="K14" s="1"/>
      <c r="L14" s="1"/>
      <c r="M14" s="1"/>
      <c r="N14" s="1"/>
      <c r="O14" s="40"/>
      <c r="P14" s="40"/>
      <c r="Q14" s="40"/>
      <c r="R14" s="40"/>
      <c r="S14" s="40"/>
      <c r="U14" s="40"/>
      <c r="V14" s="40"/>
      <c r="W14" s="40"/>
      <c r="X14" s="40"/>
      <c r="Y14" s="40"/>
      <c r="Z14" s="40"/>
      <c r="AA14" s="40"/>
      <c r="AB14" s="40"/>
      <c r="AC14" s="40"/>
      <c r="AD14" s="40"/>
      <c r="AE14" s="40"/>
      <c r="AF14" s="40"/>
    </row>
    <row r="15" spans="1:32" ht="30">
      <c r="A15" t="s">
        <v>24</v>
      </c>
      <c r="B15" s="4" t="s">
        <v>23</v>
      </c>
      <c r="C15" s="1">
        <v>449877.74361970322</v>
      </c>
      <c r="D15" s="1">
        <v>62908.386966021266</v>
      </c>
      <c r="E15" s="1">
        <v>212846.0530435195</v>
      </c>
      <c r="F15" s="1">
        <v>-24689.983507556724</v>
      </c>
      <c r="G15" s="1">
        <v>-17877.921579278191</v>
      </c>
      <c r="H15" s="1">
        <v>-340110.1080286681</v>
      </c>
      <c r="I15" s="1">
        <v>174038.26400452945</v>
      </c>
      <c r="J15" s="1">
        <v>207810.90404862899</v>
      </c>
      <c r="K15" s="1">
        <v>282258.0124945112</v>
      </c>
      <c r="L15" s="1">
        <v>0</v>
      </c>
      <c r="M15" s="1">
        <v>0</v>
      </c>
      <c r="N15" s="1">
        <v>0</v>
      </c>
      <c r="O15" s="45">
        <v>1007061.3510614093</v>
      </c>
      <c r="P15" s="45">
        <v>725632.18362924363</v>
      </c>
      <c r="Q15" s="45">
        <v>-382678.01311550313</v>
      </c>
      <c r="R15" s="45">
        <v>664107.18054767</v>
      </c>
      <c r="S15" s="45">
        <v>0</v>
      </c>
      <c r="U15" s="40"/>
      <c r="V15" s="40"/>
      <c r="W15" s="40"/>
      <c r="X15" s="40"/>
      <c r="Y15" s="40"/>
      <c r="Z15" s="40"/>
      <c r="AA15" s="40"/>
      <c r="AB15" s="40"/>
      <c r="AC15" s="40"/>
      <c r="AD15" s="40"/>
      <c r="AE15" s="40"/>
      <c r="AF15" s="40"/>
    </row>
    <row r="16" spans="1:32">
      <c r="C16" s="1"/>
      <c r="D16" s="1"/>
      <c r="E16" s="1"/>
      <c r="F16" s="1"/>
      <c r="G16" s="1"/>
      <c r="H16" s="1"/>
      <c r="I16" s="1"/>
      <c r="J16" s="1"/>
      <c r="K16" s="1"/>
      <c r="L16" s="1"/>
      <c r="M16" s="1"/>
      <c r="N16" s="1"/>
      <c r="O16" s="40"/>
      <c r="P16" s="40"/>
      <c r="Q16" s="40"/>
      <c r="R16" s="40"/>
      <c r="S16" s="40"/>
      <c r="U16" s="40"/>
      <c r="V16" s="40"/>
      <c r="W16" s="40"/>
      <c r="X16" s="40"/>
      <c r="Y16" s="40"/>
      <c r="Z16" s="40"/>
      <c r="AA16" s="40"/>
      <c r="AB16" s="40"/>
      <c r="AC16" s="40"/>
      <c r="AD16" s="40"/>
      <c r="AE16" s="40"/>
      <c r="AF16" s="40"/>
    </row>
    <row r="17" spans="2:32" ht="15.75" thickBot="1">
      <c r="B17" t="s">
        <v>25</v>
      </c>
      <c r="C17" s="59">
        <v>-423154.4736197032</v>
      </c>
      <c r="D17" s="59">
        <v>-486062.86058572447</v>
      </c>
      <c r="E17" s="59">
        <v>-698908.91362924397</v>
      </c>
      <c r="F17" s="59">
        <v>-674218.93012168724</v>
      </c>
      <c r="G17" s="59">
        <v>-656341.00854240905</v>
      </c>
      <c r="H17" s="59">
        <v>-316230.90051374095</v>
      </c>
      <c r="I17" s="59">
        <v>-490269.16451827041</v>
      </c>
      <c r="J17" s="59">
        <v>-698080.0685668994</v>
      </c>
      <c r="K17" s="59">
        <v>-980338.0810614106</v>
      </c>
      <c r="L17" s="59">
        <v>-980338.0810614106</v>
      </c>
      <c r="M17" s="59">
        <v>-980338.0810614106</v>
      </c>
      <c r="N17" s="59">
        <v>-980338.0810614106</v>
      </c>
      <c r="O17" s="47"/>
      <c r="P17" s="47">
        <v>-698908.91362924362</v>
      </c>
      <c r="Q17" s="47">
        <v>-316230.90051374049</v>
      </c>
      <c r="R17" s="47">
        <v>-980338.08106141048</v>
      </c>
      <c r="S17" s="47">
        <v>-980338.08106141048</v>
      </c>
      <c r="U17" s="40"/>
      <c r="V17" s="40"/>
      <c r="W17" s="40"/>
      <c r="X17" s="40"/>
      <c r="Y17" s="40"/>
      <c r="Z17" s="40"/>
      <c r="AA17" s="40"/>
      <c r="AB17" s="40"/>
      <c r="AC17" s="40"/>
      <c r="AD17" s="40"/>
      <c r="AE17" s="40"/>
      <c r="AF17" s="40"/>
    </row>
    <row r="18" spans="2:32" ht="15.75" thickTop="1">
      <c r="O18" s="40"/>
      <c r="P18" s="40"/>
      <c r="Q18" s="40"/>
      <c r="R18" s="40"/>
      <c r="S18" s="40"/>
      <c r="U18" s="40"/>
      <c r="V18" s="40"/>
      <c r="W18" s="40"/>
      <c r="X18" s="40"/>
      <c r="Y18" s="40"/>
      <c r="Z18" s="40"/>
      <c r="AA18" s="40"/>
      <c r="AB18" s="40"/>
      <c r="AC18" s="40"/>
      <c r="AD18" s="40"/>
      <c r="AE18" s="40"/>
      <c r="AF18" s="40"/>
    </row>
    <row r="19" spans="2:32">
      <c r="B19" t="s">
        <v>28</v>
      </c>
      <c r="D19" s="3" t="s">
        <v>52</v>
      </c>
      <c r="E19" s="3" t="s">
        <v>52</v>
      </c>
      <c r="F19" s="3" t="s">
        <v>52</v>
      </c>
      <c r="G19" s="3" t="s">
        <v>52</v>
      </c>
      <c r="H19" s="3" t="s">
        <v>52</v>
      </c>
      <c r="I19" s="3" t="s">
        <v>52</v>
      </c>
      <c r="J19" s="3" t="s">
        <v>52</v>
      </c>
      <c r="K19" s="3" t="s">
        <v>52</v>
      </c>
      <c r="L19" s="3">
        <v>-1131158.2221769998</v>
      </c>
      <c r="M19" s="3">
        <v>-1178813.9058667913</v>
      </c>
      <c r="N19" s="3">
        <v>-1513721.4185456904</v>
      </c>
      <c r="O19" s="40"/>
      <c r="P19" s="47"/>
      <c r="Q19" s="40"/>
      <c r="R19" s="40"/>
      <c r="S19" s="40"/>
      <c r="U19" s="47">
        <v>-1513721.4185456904</v>
      </c>
      <c r="V19" s="47">
        <v>-1513721.4185456904</v>
      </c>
      <c r="W19" s="47">
        <v>-1513721.4185456904</v>
      </c>
      <c r="X19" s="47">
        <v>-1513721.4185456904</v>
      </c>
      <c r="Y19" s="47">
        <v>-1513721.4185456904</v>
      </c>
      <c r="Z19" s="47">
        <v>-1513721.4185456904</v>
      </c>
      <c r="AA19" s="47">
        <v>-1513721.4185456904</v>
      </c>
      <c r="AB19" s="47">
        <v>-1513721.4185456904</v>
      </c>
      <c r="AC19" s="47">
        <v>-1513721.4185456904</v>
      </c>
      <c r="AD19" s="47">
        <v>-1513721.4185456904</v>
      </c>
      <c r="AE19" s="47">
        <v>-1513721.4185456904</v>
      </c>
      <c r="AF19" s="47">
        <v>-1513721.4185456904</v>
      </c>
    </row>
    <row r="21" spans="2:32">
      <c r="B21" s="51" t="s">
        <v>26</v>
      </c>
    </row>
    <row r="22" spans="2:32">
      <c r="B22" s="91" t="s">
        <v>109</v>
      </c>
      <c r="C22" s="91"/>
      <c r="D22" s="91"/>
      <c r="E22" s="91"/>
      <c r="F22" s="91"/>
      <c r="G22" s="91"/>
      <c r="H22" s="91"/>
      <c r="I22" s="91"/>
      <c r="J22" s="91"/>
      <c r="K22" s="91"/>
      <c r="L22" s="91"/>
      <c r="M22" s="91"/>
      <c r="N22" s="91"/>
      <c r="O22" s="91"/>
    </row>
    <row r="23" spans="2:32">
      <c r="B23" s="91" t="s">
        <v>117</v>
      </c>
      <c r="C23" s="91"/>
      <c r="D23" s="91"/>
      <c r="E23" s="91"/>
      <c r="F23" s="91"/>
      <c r="G23" s="91"/>
      <c r="H23" s="91"/>
      <c r="I23" s="91"/>
      <c r="J23" s="91"/>
      <c r="K23" s="91"/>
      <c r="L23" s="91"/>
      <c r="M23" s="91"/>
      <c r="N23" s="91"/>
      <c r="O23" s="91"/>
    </row>
    <row r="24" spans="2:32">
      <c r="B24" s="91" t="s">
        <v>124</v>
      </c>
      <c r="C24" s="91"/>
      <c r="D24" s="91"/>
      <c r="E24" s="91"/>
      <c r="F24" s="91"/>
      <c r="G24" s="91"/>
      <c r="H24" s="91"/>
      <c r="I24" s="91"/>
      <c r="J24" s="91"/>
      <c r="K24" s="91"/>
      <c r="L24" s="91"/>
      <c r="M24" s="91"/>
      <c r="N24" s="91"/>
      <c r="O24" s="91"/>
    </row>
    <row r="25" spans="2:32">
      <c r="B25" s="91" t="s">
        <v>132</v>
      </c>
      <c r="C25" s="91"/>
      <c r="D25" s="91"/>
      <c r="E25" s="91"/>
      <c r="F25" s="91"/>
      <c r="G25" s="91"/>
      <c r="H25" s="91"/>
      <c r="I25" s="91"/>
      <c r="J25" s="91"/>
      <c r="K25" s="91"/>
      <c r="L25" s="91"/>
      <c r="M25" s="91"/>
      <c r="N25" s="91"/>
      <c r="O25" s="91"/>
    </row>
    <row r="26" spans="2:32">
      <c r="B26" s="91" t="s">
        <v>142</v>
      </c>
      <c r="C26" s="91"/>
      <c r="D26" s="91"/>
      <c r="E26" s="91"/>
      <c r="F26" s="91"/>
      <c r="G26" s="91"/>
      <c r="H26" s="91"/>
      <c r="I26" s="91"/>
      <c r="J26" s="91"/>
      <c r="K26" s="91"/>
      <c r="L26" s="91"/>
      <c r="M26" s="91"/>
      <c r="N26" s="91"/>
      <c r="O26" s="91"/>
    </row>
    <row r="27" spans="2:32">
      <c r="B27" s="91" t="s">
        <v>151</v>
      </c>
      <c r="C27" s="91"/>
      <c r="D27" s="91"/>
      <c r="E27" s="91"/>
      <c r="F27" s="91"/>
      <c r="G27" s="91"/>
      <c r="H27" s="91"/>
      <c r="I27" s="91"/>
      <c r="J27" s="91"/>
      <c r="K27" s="91"/>
      <c r="L27" s="91"/>
      <c r="M27" s="91"/>
      <c r="N27" s="91"/>
      <c r="O27" s="91"/>
    </row>
    <row r="28" spans="2:32">
      <c r="B28" s="91" t="s">
        <v>160</v>
      </c>
      <c r="C28" s="91"/>
      <c r="D28" s="91"/>
      <c r="E28" s="91"/>
      <c r="F28" s="91"/>
      <c r="G28" s="91"/>
      <c r="H28" s="91"/>
      <c r="I28" s="91"/>
      <c r="J28" s="91"/>
      <c r="K28" s="91"/>
      <c r="L28" s="91"/>
      <c r="M28" s="91"/>
      <c r="N28" s="91"/>
      <c r="O28" s="91"/>
    </row>
    <row r="29" spans="2:32">
      <c r="B29" s="91" t="s">
        <v>167</v>
      </c>
      <c r="C29" s="91"/>
      <c r="D29" s="91"/>
      <c r="E29" s="91"/>
      <c r="F29" s="91"/>
      <c r="G29" s="91"/>
      <c r="H29" s="91"/>
      <c r="I29" s="91"/>
      <c r="J29" s="91"/>
      <c r="K29" s="91"/>
      <c r="L29" s="91"/>
      <c r="M29" s="91"/>
      <c r="N29" s="91"/>
      <c r="O29" s="91"/>
    </row>
    <row r="30" spans="2:32">
      <c r="B30" s="91" t="s">
        <v>177</v>
      </c>
      <c r="C30" s="91"/>
      <c r="D30" s="91"/>
      <c r="E30" s="91"/>
      <c r="F30" s="91"/>
      <c r="G30" s="91"/>
      <c r="H30" s="91"/>
      <c r="I30" s="91"/>
      <c r="J30" s="91"/>
      <c r="K30" s="91"/>
      <c r="L30" s="91"/>
      <c r="M30" s="91"/>
      <c r="N30" s="91"/>
      <c r="O30" s="91"/>
    </row>
    <row r="31" spans="2:32">
      <c r="B31" s="91" t="s">
        <v>52</v>
      </c>
      <c r="C31" s="91"/>
      <c r="D31" s="91"/>
      <c r="E31" s="91"/>
      <c r="F31" s="91"/>
      <c r="G31" s="91"/>
      <c r="H31" s="91"/>
      <c r="I31" s="91"/>
      <c r="J31" s="91"/>
      <c r="K31" s="91"/>
      <c r="L31" s="91"/>
      <c r="M31" s="91"/>
      <c r="N31" s="91"/>
      <c r="O31" s="91"/>
    </row>
  </sheetData>
  <mergeCells count="10">
    <mergeCell ref="B22:O22"/>
    <mergeCell ref="B23:O23"/>
    <mergeCell ref="B29:O29"/>
    <mergeCell ref="B30:O30"/>
    <mergeCell ref="B31:O31"/>
    <mergeCell ref="B24:O24"/>
    <mergeCell ref="B25:O25"/>
    <mergeCell ref="B26:O26"/>
    <mergeCell ref="B27:O27"/>
    <mergeCell ref="B28:O28"/>
  </mergeCells>
  <pageMargins left="0" right="0" top="0.75" bottom="0.75" header="0.3" footer="0.3"/>
  <pageSetup scale="75"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refix xmlns="dc463f71-b30c-4ab2-9473-d307f9d35888">UG</Prefix>
    <DocumentSetType xmlns="dc463f71-b30c-4ab2-9473-d307f9d35888">Compliance</DocumentSetType>
    <IsConfidential xmlns="dc463f71-b30c-4ab2-9473-d307f9d35888">false</IsConfidential>
    <AgendaOrder xmlns="dc463f71-b30c-4ab2-9473-d307f9d35888">false</AgendaOrder>
    <CaseType xmlns="dc463f71-b30c-4ab2-9473-d307f9d35888">Tariff Revision</CaseType>
    <IndustryCode xmlns="dc463f71-b30c-4ab2-9473-d307f9d35888">150</IndustryCode>
    <CaseStatus xmlns="dc463f71-b30c-4ab2-9473-d307f9d35888">Closed</CaseStatus>
    <OpenedDate xmlns="dc463f71-b30c-4ab2-9473-d307f9d35888">2008-12-31T08:00:00+00:00</OpenedDate>
    <Date1 xmlns="dc463f71-b30c-4ab2-9473-d307f9d35888">2012-10-12T07:00:00+00:00</Date1>
    <IsDocumentOrder xmlns="dc463f71-b30c-4ab2-9473-d307f9d35888" xsi:nil="true"/>
    <IsHighlyConfidential xmlns="dc463f71-b30c-4ab2-9473-d307f9d35888">false</IsHighlyConfidential>
    <CaseCompanyNames xmlns="dc463f71-b30c-4ab2-9473-d307f9d35888">Avista Corporation</CaseCompanyNames>
    <DocketNumber xmlns="dc463f71-b30c-4ab2-9473-d307f9d35888">090052</DocketNumber>
    <DelegatedOrder xmlns="dc463f71-b30c-4ab2-9473-d307f9d35888">false</DelegatedOrder>
    <Visibility xmlns="dc463f71-b30c-4ab2-9473-d307f9d35888" xsi:nil="true"/>
    <Nickname xmlns="http://schemas.microsoft.com/sharepoint/v3" xsi:nil="true"/>
    <SignificantOrder xmlns="dc463f71-b30c-4ab2-9473-d307f9d35888">false</SignificantOrder>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5063A9072D9D1C4099467E9BDD13868D" ma:contentTypeVersion="131" ma:contentTypeDescription="" ma:contentTypeScope="" ma:versionID="56588f3ce54e6e5cf9da39a9a82d055f">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4ccd4140794adb7bccf17b21b5812a9d"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haredContentType xmlns="Microsoft.SharePoint.Taxonomy.ContentTypeSync" SourceId="015f1b76-b32e-440f-80a7-f0ca4d8a872c" ContentTypeId="0x0101006E56B4D1795A2E4DB2F0B01679ED314A" PreviousValue="true"/>
</file>

<file path=customXml/itemProps1.xml><?xml version="1.0" encoding="utf-8"?>
<ds:datastoreItem xmlns:ds="http://schemas.openxmlformats.org/officeDocument/2006/customXml" ds:itemID="{0001DED9-7BB8-43E8-99C4-3882C4DF9B72}"/>
</file>

<file path=customXml/itemProps2.xml><?xml version="1.0" encoding="utf-8"?>
<ds:datastoreItem xmlns:ds="http://schemas.openxmlformats.org/officeDocument/2006/customXml" ds:itemID="{0068E149-9157-4316-9B4F-F43D280B5D58}"/>
</file>

<file path=customXml/itemProps3.xml><?xml version="1.0" encoding="utf-8"?>
<ds:datastoreItem xmlns:ds="http://schemas.openxmlformats.org/officeDocument/2006/customXml" ds:itemID="{0FF86C41-CA01-4C88-8909-666927B2BD83}"/>
</file>

<file path=customXml/itemProps4.xml><?xml version="1.0" encoding="utf-8"?>
<ds:datastoreItem xmlns:ds="http://schemas.openxmlformats.org/officeDocument/2006/customXml" ds:itemID="{8FC4A1CF-0326-4915-91AF-39E677EA148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6</vt:i4>
      </vt:variant>
    </vt:vector>
  </HeadingPairs>
  <TitlesOfParts>
    <vt:vector size="20" baseType="lpstr">
      <vt:lpstr>WAID Act vs Budget savings</vt:lpstr>
      <vt:lpstr>WA-Sch91 Bal Projection</vt:lpstr>
      <vt:lpstr>WA-Sch91 Rider Balance</vt:lpstr>
      <vt:lpstr>WA-Sch91 Budget-Act Exp</vt:lpstr>
      <vt:lpstr>WA-Sch191 Bal Projection </vt:lpstr>
      <vt:lpstr>WA-Sch191 Rider Balance</vt:lpstr>
      <vt:lpstr>WA-Sch191 Budget-Act Exp </vt:lpstr>
      <vt:lpstr>ID-Sch91 Bal Projection </vt:lpstr>
      <vt:lpstr>ID-Sch91 Rider Balance</vt:lpstr>
      <vt:lpstr>ID-Sch91 Budget-Act Exp</vt:lpstr>
      <vt:lpstr>ID-Sch191 Bal Projection</vt:lpstr>
      <vt:lpstr>ID-Sch191 Rider Balance</vt:lpstr>
      <vt:lpstr>ID-Sch191 Budget-Act Exp</vt:lpstr>
      <vt:lpstr>Sheet1</vt:lpstr>
      <vt:lpstr>'WA-Sch91 Rider Balance'!DSMFlag</vt:lpstr>
      <vt:lpstr>'WA-Sch91 Budget-Act Exp'!Print_Area</vt:lpstr>
      <vt:lpstr>'ID-Sch191 Rider Balance'!Print_Titles</vt:lpstr>
      <vt:lpstr>'ID-Sch91 Rider Balance'!Print_Titles</vt:lpstr>
      <vt:lpstr>'WA-Sch191 Rider Balance'!Print_Titles</vt:lpstr>
      <vt:lpstr>'WA-Sch91 Rider Balance'!Print_Titles</vt:lpstr>
    </vt:vector>
  </TitlesOfParts>
  <Company>Corp</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Lori</dc:creator>
  <cp:lastModifiedBy>Linda Gervais</cp:lastModifiedBy>
  <cp:lastPrinted>2012-10-09T15:28:40Z</cp:lastPrinted>
  <dcterms:created xsi:type="dcterms:W3CDTF">2010-03-25T21:27:14Z</dcterms:created>
  <dcterms:modified xsi:type="dcterms:W3CDTF">2012-10-12T19:30:37Z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0x0101006E56B4D1795A2E4DB2F0B01679ED314A005063A9072D9D1C4099467E9BDD13868D</vt:lpwstr>
  </property>
  <property fmtid="{D5CDD505-2E9C-101B-9397-08002B2CF9AE}" pid="4" name="_docset_NoMedatataSyncRequired">
    <vt:lpwstr>False</vt:lpwstr>
  </property>
</Properties>
</file>