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Rev,Exp" sheetId="1" r:id="rId1"/>
    <sheet name="Depr" sheetId="2" r:id="rId2"/>
    <sheet name="Recap Cust,$'s" sheetId="3" r:id="rId3"/>
    <sheet name="MF Cust,Yds" sheetId="4" r:id="rId4"/>
    <sheet name="Dump Fee" sheetId="5" r:id="rId5"/>
  </sheets>
  <definedNames>
    <definedName name="_xlnm.Print_Area" localSheetId="1">'Depr'!$A$1:$R$30</definedName>
    <definedName name="_xlnm.Print_Area" localSheetId="3">'MF Cust,Yds'!$A$1:$I$158</definedName>
    <definedName name="_xlnm.Print_Area" localSheetId="2">'Recap Cust,$''s'!$A$1:$I$83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<sst xmlns="http://schemas.openxmlformats.org/spreadsheetml/2006/main" count="575" uniqueCount="216">
  <si>
    <t>Jan</t>
  </si>
  <si>
    <t>Feb</t>
  </si>
  <si>
    <t>Mar</t>
  </si>
  <si>
    <t>Apr</t>
  </si>
  <si>
    <t>May</t>
  </si>
  <si>
    <t>Jun</t>
  </si>
  <si>
    <t>Jul</t>
  </si>
  <si>
    <t>Aug</t>
  </si>
  <si>
    <t xml:space="preserve"> </t>
  </si>
  <si>
    <t>Recycling</t>
  </si>
  <si>
    <t>Non-Recycling</t>
  </si>
  <si>
    <t>Can Count 2111</t>
  </si>
  <si>
    <t>Can Count 2131</t>
  </si>
  <si>
    <t>Total</t>
  </si>
  <si>
    <t>MF Cans 25th</t>
  </si>
  <si>
    <t>32MW1</t>
  </si>
  <si>
    <t>32MW1NR</t>
  </si>
  <si>
    <t>32MW2</t>
  </si>
  <si>
    <t>32MW2NR</t>
  </si>
  <si>
    <t>32MW3NR</t>
  </si>
  <si>
    <t>32MW3</t>
  </si>
  <si>
    <t>32MW4</t>
  </si>
  <si>
    <t>32MW4NR</t>
  </si>
  <si>
    <t>32MW6</t>
  </si>
  <si>
    <t>MIMPCN</t>
  </si>
  <si>
    <t>MRECYCLECR</t>
  </si>
  <si>
    <t>MRECYIN</t>
  </si>
  <si>
    <t>Sub-Total</t>
  </si>
  <si>
    <t>M1.5YD1W</t>
  </si>
  <si>
    <t>M1.5YD2W</t>
  </si>
  <si>
    <t>M1YD1W</t>
  </si>
  <si>
    <t>M1YD2W</t>
  </si>
  <si>
    <t>M1YDTPU</t>
  </si>
  <si>
    <t>M2YD1W</t>
  </si>
  <si>
    <t>M2YD2W</t>
  </si>
  <si>
    <t>M2YD3W</t>
  </si>
  <si>
    <t>M2YDTPU</t>
  </si>
  <si>
    <t>M4YD1W</t>
  </si>
  <si>
    <t>M4YD2W</t>
  </si>
  <si>
    <t>M6YD1W</t>
  </si>
  <si>
    <t>M6YD2W</t>
  </si>
  <si>
    <t>M6YD3W</t>
  </si>
  <si>
    <t>Yards</t>
  </si>
  <si>
    <t>MF Yards 25th</t>
  </si>
  <si>
    <t>Cans</t>
  </si>
  <si>
    <t>Credit</t>
  </si>
  <si>
    <t>Total Credit</t>
  </si>
  <si>
    <t>Murrey's Disposal Co Inc</t>
  </si>
  <si>
    <t>New Single-Stream Recycling Program</t>
  </si>
  <si>
    <t>American Disposal Co Inc</t>
  </si>
  <si>
    <t xml:space="preserve">Recycling  </t>
  </si>
  <si>
    <t>Repair-Shop, Bldg</t>
  </si>
  <si>
    <t>Wages-Mechanic</t>
  </si>
  <si>
    <t>Material/Suppies</t>
  </si>
  <si>
    <t>Outside Repair</t>
  </si>
  <si>
    <t>Accident Repair</t>
  </si>
  <si>
    <t>Tires-Tubes</t>
  </si>
  <si>
    <t>Other Maintenance</t>
  </si>
  <si>
    <t>Wages-Recycling Driver</t>
  </si>
  <si>
    <t>Fuel &amp; Oil</t>
  </si>
  <si>
    <t>Leased Equipment</t>
  </si>
  <si>
    <t>Other Collection Expense</t>
  </si>
  <si>
    <t>Dump Fee &amp; Charges</t>
  </si>
  <si>
    <t>Salaries &amp; Expenses</t>
  </si>
  <si>
    <t>Tariffs &amp; Schedules</t>
  </si>
  <si>
    <t>Advertising</t>
  </si>
  <si>
    <t>Public Liability</t>
  </si>
  <si>
    <t>Workmen's Comp</t>
  </si>
  <si>
    <t>Salaries - Office</t>
  </si>
  <si>
    <t>Office &amp; Other Expense</t>
  </si>
  <si>
    <t>Postage</t>
  </si>
  <si>
    <t>Legal &amp; Accounting</t>
  </si>
  <si>
    <t>Communication Phone</t>
  </si>
  <si>
    <t>Employee Welfare</t>
  </si>
  <si>
    <t>Pension</t>
  </si>
  <si>
    <t>Bad Debts</t>
  </si>
  <si>
    <t>Pierce County Outreach Program</t>
  </si>
  <si>
    <t>Utilities</t>
  </si>
  <si>
    <t>Depr-Building</t>
  </si>
  <si>
    <t>Depr-Collection Equipment</t>
  </si>
  <si>
    <t>Depr-Service Cars</t>
  </si>
  <si>
    <t>Depr-Shop Equipment</t>
  </si>
  <si>
    <t>Depr-Office Equipment</t>
  </si>
  <si>
    <t>Operating Tax &amp; License</t>
  </si>
  <si>
    <t>State Excise Tax</t>
  </si>
  <si>
    <t>Vehicle License</t>
  </si>
  <si>
    <t>Property Tax</t>
  </si>
  <si>
    <t>Social Security Tax</t>
  </si>
  <si>
    <t xml:space="preserve">Federal Unemployment </t>
  </si>
  <si>
    <t>State Unemployment</t>
  </si>
  <si>
    <t>Total Expenses</t>
  </si>
  <si>
    <t>Net Operating Income</t>
  </si>
  <si>
    <t>Operation Ratio</t>
  </si>
  <si>
    <t>Murrey's Disposal Co. Inc.</t>
  </si>
  <si>
    <t>American Disposal Co. Inc.</t>
  </si>
  <si>
    <t>Total # of Customers</t>
  </si>
  <si>
    <t>Non-recycling Customers</t>
  </si>
  <si>
    <t>Revenue</t>
  </si>
  <si>
    <t>Non-recycling revenue</t>
  </si>
  <si>
    <t>20RW1</t>
  </si>
  <si>
    <t>20RW1NR</t>
  </si>
  <si>
    <t>32RM1</t>
  </si>
  <si>
    <t>32RW1</t>
  </si>
  <si>
    <t>32RW1NR</t>
  </si>
  <si>
    <t>32RW2</t>
  </si>
  <si>
    <t>32RW2NR</t>
  </si>
  <si>
    <t>32RW3</t>
  </si>
  <si>
    <t>32RW3NR</t>
  </si>
  <si>
    <t>32RW4</t>
  </si>
  <si>
    <t>32RW4NR</t>
  </si>
  <si>
    <t>32RW5</t>
  </si>
  <si>
    <t>32RW5NR</t>
  </si>
  <si>
    <t>32RW6</t>
  </si>
  <si>
    <t>IMPCNR1</t>
  </si>
  <si>
    <t>IMPCNR2</t>
  </si>
  <si>
    <t>32RW6NR</t>
  </si>
  <si>
    <t xml:space="preserve">Recycling </t>
  </si>
  <si>
    <t xml:space="preserve">Murrey's/American </t>
  </si>
  <si>
    <t>Customer Count from CM018 Report</t>
  </si>
  <si>
    <t>Revenue:</t>
  </si>
  <si>
    <t xml:space="preserve">Revenue </t>
  </si>
  <si>
    <t>Chargable re-deliveries</t>
  </si>
  <si>
    <t xml:space="preserve">Total </t>
  </si>
  <si>
    <t>Multi-Family Cans</t>
  </si>
  <si>
    <t>Multi-Family Yardage</t>
  </si>
  <si>
    <t xml:space="preserve">Recycling Customers </t>
  </si>
  <si>
    <t xml:space="preserve">Recycling Incentive </t>
  </si>
  <si>
    <t>Trailer Courts</t>
  </si>
  <si>
    <t>Total Customers</t>
  </si>
  <si>
    <t>Single Stream Commingled</t>
  </si>
  <si>
    <t>Residential R</t>
  </si>
  <si>
    <t>Residential NR</t>
  </si>
  <si>
    <t>Multi-Family R</t>
  </si>
  <si>
    <t>Multi-Family NR</t>
  </si>
  <si>
    <t>Trailer Court R</t>
  </si>
  <si>
    <t>Trailer Court NR</t>
  </si>
  <si>
    <t xml:space="preserve">  Customers</t>
  </si>
  <si>
    <t xml:space="preserve">Residential </t>
  </si>
  <si>
    <t xml:space="preserve">Multi-Family </t>
  </si>
  <si>
    <t xml:space="preserve">Trailer Court </t>
  </si>
  <si>
    <t>Residential Customers</t>
  </si>
  <si>
    <t xml:space="preserve">Non-recycling </t>
  </si>
  <si>
    <t>Material Revenue:</t>
  </si>
  <si>
    <t>Commingled Material</t>
  </si>
  <si>
    <t>Current Credit</t>
  </si>
  <si>
    <t>Difference</t>
  </si>
  <si>
    <t>Retention 30%</t>
  </si>
  <si>
    <t>Credit per Customer</t>
  </si>
  <si>
    <t>Material Revenue at 70%</t>
  </si>
  <si>
    <t xml:space="preserve">  Hauling Revenue</t>
  </si>
  <si>
    <t>Hauling Revenue:</t>
  </si>
  <si>
    <t>Material Credits</t>
  </si>
  <si>
    <t xml:space="preserve">  Material Credits</t>
  </si>
  <si>
    <t xml:space="preserve">March </t>
  </si>
  <si>
    <t>April</t>
  </si>
  <si>
    <t>June</t>
  </si>
  <si>
    <t>July</t>
  </si>
  <si>
    <t>Other Recycling Exp - Processing</t>
  </si>
  <si>
    <t>Murrey's/American Disposal</t>
  </si>
  <si>
    <t>Effective 3/1/05</t>
  </si>
  <si>
    <t>Beginning</t>
  </si>
  <si>
    <t>Ending</t>
  </si>
  <si>
    <t>Date in</t>
  </si>
  <si>
    <t>Salvage</t>
  </si>
  <si>
    <t>Year</t>
  </si>
  <si>
    <t>Test</t>
  </si>
  <si>
    <t>Accum</t>
  </si>
  <si>
    <t>Average</t>
  </si>
  <si>
    <t>Truck</t>
  </si>
  <si>
    <t>DATE</t>
  </si>
  <si>
    <t xml:space="preserve">Service </t>
  </si>
  <si>
    <t>Value</t>
  </si>
  <si>
    <t>Method</t>
  </si>
  <si>
    <t xml:space="preserve">Life </t>
  </si>
  <si>
    <t xml:space="preserve">Fully </t>
  </si>
  <si>
    <t>Asset</t>
  </si>
  <si>
    <t>Depr</t>
  </si>
  <si>
    <t xml:space="preserve">Monthly </t>
  </si>
  <si>
    <t>Investment</t>
  </si>
  <si>
    <t>Codes</t>
  </si>
  <si>
    <t>No</t>
  </si>
  <si>
    <t>Asset Classification</t>
  </si>
  <si>
    <t>ACQUIRED</t>
  </si>
  <si>
    <t>Mo</t>
  </si>
  <si>
    <t>%</t>
  </si>
  <si>
    <t>M</t>
  </si>
  <si>
    <t>Years</t>
  </si>
  <si>
    <t>Cost</t>
  </si>
  <si>
    <t>CSR</t>
  </si>
  <si>
    <t>Semi-automated trks (N)</t>
  </si>
  <si>
    <t>05</t>
  </si>
  <si>
    <t>S/L</t>
  </si>
  <si>
    <t>96-Gallon Cart</t>
  </si>
  <si>
    <t>65-Gallon Cart</t>
  </si>
  <si>
    <t>Delivery Truck</t>
  </si>
  <si>
    <t>Service Truck (U)</t>
  </si>
  <si>
    <t>Average  Investment</t>
  </si>
  <si>
    <t>801A</t>
  </si>
  <si>
    <t>802A</t>
  </si>
  <si>
    <t>Other General Expense COH</t>
  </si>
  <si>
    <t>Recycling Program</t>
  </si>
  <si>
    <t>American</t>
  </si>
  <si>
    <t>Murrey's</t>
  </si>
  <si>
    <t>Murrey's/American</t>
  </si>
  <si>
    <t>Total Res Cust</t>
  </si>
  <si>
    <t>Non-recycling revenue $.75</t>
  </si>
  <si>
    <t>Residential Cust</t>
  </si>
  <si>
    <t>Land Lease (Levee Rd), Office</t>
  </si>
  <si>
    <t>Bin rental,Uniforms,Misc Labor</t>
  </si>
  <si>
    <t>Residential</t>
  </si>
  <si>
    <t>MF Containers</t>
  </si>
  <si>
    <t>MFCans, Can Count</t>
  </si>
  <si>
    <t>Dump Fee 05</t>
  </si>
  <si>
    <t>American 05</t>
  </si>
  <si>
    <t>Material Credit-Recycl Station</t>
  </si>
  <si>
    <t>Material Credit-Cont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</si>
</sst>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6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b/>
      <sz val="10"/>
      <name val="Helv"/>
      <family val="0"/>
    </font>
    <font>
      <b/>
      <sz val="10"/>
      <name val="SWISS"/>
      <family val="0"/>
    </font>
    <font>
      <sz val="10"/>
      <name val="SWISS"/>
      <family val="0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SWISS"/>
      <family val="0"/>
    </font>
    <font>
      <b/>
      <sz val="9"/>
      <name val="SWISS"/>
      <family val="0"/>
    </font>
    <font>
      <sz val="9"/>
      <name val="SWISS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2" borderId="1" xfId="0" applyNumberFormat="1" applyFont="1" applyFill="1" applyBorder="1" applyAlignment="1">
      <alignment/>
    </xf>
    <xf numFmtId="3" fontId="0" fillId="0" borderId="1" xfId="0" applyNumberFormat="1" applyBorder="1" applyAlignment="1">
      <alignment horizontal="center"/>
    </xf>
    <xf numFmtId="3" fontId="2" fillId="3" borderId="1" xfId="0" applyNumberFormat="1" applyFont="1" applyFill="1" applyBorder="1" applyAlignment="1">
      <alignment/>
    </xf>
    <xf numFmtId="1" fontId="1" fillId="3" borderId="1" xfId="0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3" fontId="0" fillId="4" borderId="1" xfId="0" applyNumberFormat="1" applyFill="1" applyBorder="1" applyAlignment="1">
      <alignment/>
    </xf>
    <xf numFmtId="3" fontId="0" fillId="0" borderId="1" xfId="15" applyNumberForma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3" fontId="8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 quotePrefix="1">
      <alignment horizontal="center"/>
    </xf>
    <xf numFmtId="0" fontId="0" fillId="4" borderId="1" xfId="0" applyFill="1" applyBorder="1" applyAlignment="1">
      <alignment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3" fontId="0" fillId="2" borderId="1" xfId="0" applyNumberFormat="1" applyFill="1" applyBorder="1" applyAlignment="1">
      <alignment/>
    </xf>
    <xf numFmtId="0" fontId="0" fillId="0" borderId="1" xfId="0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2" fontId="10" fillId="0" borderId="1" xfId="0" applyNumberFormat="1" applyFont="1" applyBorder="1" applyAlignment="1">
      <alignment/>
    </xf>
    <xf numFmtId="10" fontId="5" fillId="0" borderId="0" xfId="0" applyNumberFormat="1" applyFont="1" applyAlignment="1">
      <alignment horizontal="center"/>
    </xf>
    <xf numFmtId="4" fontId="7" fillId="0" borderId="1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2" fontId="12" fillId="0" borderId="1" xfId="0" applyNumberFormat="1" applyFont="1" applyBorder="1" applyAlignment="1">
      <alignment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14" fontId="13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14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 quotePrefix="1">
      <alignment horizontal="center"/>
    </xf>
    <xf numFmtId="1" fontId="14" fillId="0" borderId="1" xfId="0" applyNumberFormat="1" applyFont="1" applyBorder="1" applyAlignment="1">
      <alignment horizontal="center"/>
    </xf>
    <xf numFmtId="9" fontId="14" fillId="0" borderId="1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right"/>
    </xf>
    <xf numFmtId="39" fontId="14" fillId="0" borderId="1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3" fontId="11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10" fontId="5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1" fontId="1" fillId="3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0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30.00390625" style="0" customWidth="1"/>
    <col min="3" max="3" width="12.421875" style="0" customWidth="1"/>
  </cols>
  <sheetData>
    <row r="1" spans="1:4" ht="12.75">
      <c r="A1" s="12" t="s">
        <v>47</v>
      </c>
      <c r="B1" s="12"/>
      <c r="C1" s="12" t="s">
        <v>200</v>
      </c>
      <c r="D1" s="11"/>
    </row>
    <row r="2" spans="1:4" ht="12.75">
      <c r="A2" s="12" t="s">
        <v>49</v>
      </c>
      <c r="B2" s="12"/>
      <c r="C2" s="11"/>
      <c r="D2" s="11"/>
    </row>
    <row r="3" spans="1:4" ht="12.75">
      <c r="A3" s="11"/>
      <c r="B3" s="11"/>
      <c r="C3" s="13"/>
      <c r="D3" s="11"/>
    </row>
    <row r="4" spans="1:7" ht="12.75">
      <c r="A4" s="13"/>
      <c r="B4" s="11"/>
      <c r="C4" s="45"/>
      <c r="D4" s="45"/>
      <c r="E4" s="45"/>
      <c r="F4" s="45"/>
      <c r="G4" s="45"/>
    </row>
    <row r="5" spans="1:9" ht="12.75">
      <c r="A5" s="67"/>
      <c r="B5" s="68" t="s">
        <v>97</v>
      </c>
      <c r="C5" s="67" t="s">
        <v>153</v>
      </c>
      <c r="D5" s="67" t="s">
        <v>154</v>
      </c>
      <c r="E5" s="67" t="s">
        <v>4</v>
      </c>
      <c r="F5" s="67" t="s">
        <v>155</v>
      </c>
      <c r="G5" s="67" t="s">
        <v>156</v>
      </c>
      <c r="H5" s="13"/>
      <c r="I5" s="13"/>
    </row>
    <row r="6" spans="1:7" ht="12.75">
      <c r="A6" s="69">
        <v>31100</v>
      </c>
      <c r="B6" s="70" t="s">
        <v>50</v>
      </c>
      <c r="C6" s="71">
        <f>'Recap Cust,$''s'!D74</f>
        <v>199563.20000000004</v>
      </c>
      <c r="D6" s="71">
        <f>'Recap Cust,$''s'!E74</f>
        <v>200788.05000000002</v>
      </c>
      <c r="E6" s="71">
        <f>'Recap Cust,$''s'!F74</f>
        <v>202468.72</v>
      </c>
      <c r="F6" s="71">
        <f>'Recap Cust,$''s'!G74</f>
        <v>201932.13</v>
      </c>
      <c r="G6" s="71">
        <f>'Recap Cust,$''s'!H74</f>
        <v>204975.90000000005</v>
      </c>
    </row>
    <row r="7" spans="1:7" ht="12.75">
      <c r="A7" s="69"/>
      <c r="B7" s="70"/>
      <c r="C7" s="71"/>
      <c r="D7" s="71"/>
      <c r="E7" s="71"/>
      <c r="F7" s="71"/>
      <c r="G7" s="71"/>
    </row>
    <row r="8" spans="1:7" ht="12.75">
      <c r="A8" s="69"/>
      <c r="B8" s="68" t="s">
        <v>122</v>
      </c>
      <c r="C8" s="72">
        <f>SUM(C6:C7)</f>
        <v>199563.20000000004</v>
      </c>
      <c r="D8" s="72">
        <f>SUM(D6:D7)</f>
        <v>200788.05000000002</v>
      </c>
      <c r="E8" s="72">
        <f>SUM(E6:E7)</f>
        <v>202468.72</v>
      </c>
      <c r="F8" s="72">
        <f>SUM(F6:F7)</f>
        <v>201932.13</v>
      </c>
      <c r="G8" s="72">
        <f>SUM(G6:G7)</f>
        <v>204975.90000000005</v>
      </c>
    </row>
    <row r="9" spans="1:7" ht="12.75">
      <c r="A9" s="69"/>
      <c r="B9" s="70"/>
      <c r="C9" s="70"/>
      <c r="D9" s="70"/>
      <c r="E9" s="1"/>
      <c r="F9" s="1"/>
      <c r="G9" s="1"/>
    </row>
    <row r="10" spans="1:7" ht="12.75">
      <c r="A10" s="69">
        <v>41200</v>
      </c>
      <c r="B10" s="70" t="s">
        <v>51</v>
      </c>
      <c r="C10" s="71">
        <v>150</v>
      </c>
      <c r="D10" s="71">
        <v>150</v>
      </c>
      <c r="E10" s="71">
        <v>150</v>
      </c>
      <c r="F10" s="71">
        <v>150</v>
      </c>
      <c r="G10" s="71">
        <v>150</v>
      </c>
    </row>
    <row r="11" spans="1:7" ht="12.75">
      <c r="A11" s="69">
        <v>41310</v>
      </c>
      <c r="B11" s="70" t="s">
        <v>52</v>
      </c>
      <c r="C11" s="71">
        <v>3892</v>
      </c>
      <c r="D11" s="71">
        <v>3892</v>
      </c>
      <c r="E11" s="71">
        <v>3892</v>
      </c>
      <c r="F11" s="71">
        <v>3892</v>
      </c>
      <c r="G11" s="71">
        <v>3892</v>
      </c>
    </row>
    <row r="12" spans="1:8" ht="12.75">
      <c r="A12" s="69">
        <v>41320</v>
      </c>
      <c r="B12" s="70" t="s">
        <v>53</v>
      </c>
      <c r="C12" s="71">
        <v>2252</v>
      </c>
      <c r="D12" s="71">
        <v>843</v>
      </c>
      <c r="E12" s="74">
        <v>1404</v>
      </c>
      <c r="F12" s="18">
        <v>654</v>
      </c>
      <c r="G12" s="18">
        <v>669</v>
      </c>
      <c r="H12" s="19"/>
    </row>
    <row r="13" spans="1:8" ht="12.75">
      <c r="A13" s="69">
        <v>41330</v>
      </c>
      <c r="B13" s="70" t="s">
        <v>54</v>
      </c>
      <c r="C13" s="71">
        <v>476</v>
      </c>
      <c r="D13" s="71">
        <v>223</v>
      </c>
      <c r="E13" s="3">
        <v>476</v>
      </c>
      <c r="F13" s="3">
        <v>884</v>
      </c>
      <c r="G13" s="3">
        <v>635</v>
      </c>
      <c r="H13" s="19"/>
    </row>
    <row r="14" spans="1:7" ht="12.75">
      <c r="A14" s="69">
        <v>41340</v>
      </c>
      <c r="B14" s="70" t="s">
        <v>55</v>
      </c>
      <c r="C14" s="71">
        <v>0</v>
      </c>
      <c r="D14" s="71">
        <v>0</v>
      </c>
      <c r="E14" s="71">
        <v>0</v>
      </c>
      <c r="F14" s="71">
        <v>0</v>
      </c>
      <c r="G14" s="71">
        <v>15458</v>
      </c>
    </row>
    <row r="15" spans="1:8" ht="12.75">
      <c r="A15" s="69">
        <v>41600</v>
      </c>
      <c r="B15" s="70" t="s">
        <v>56</v>
      </c>
      <c r="C15" s="71">
        <v>1232</v>
      </c>
      <c r="D15" s="71">
        <v>0</v>
      </c>
      <c r="E15" s="71">
        <v>1195</v>
      </c>
      <c r="F15" s="71">
        <v>0</v>
      </c>
      <c r="G15" s="71">
        <v>411</v>
      </c>
      <c r="H15" s="19"/>
    </row>
    <row r="16" spans="1:8" ht="12.75">
      <c r="A16" s="69">
        <v>41800</v>
      </c>
      <c r="B16" s="70" t="s">
        <v>57</v>
      </c>
      <c r="C16" s="71">
        <v>200</v>
      </c>
      <c r="D16" s="71">
        <v>200</v>
      </c>
      <c r="E16" s="3">
        <v>200</v>
      </c>
      <c r="F16" s="3">
        <v>200</v>
      </c>
      <c r="G16" s="3">
        <v>200</v>
      </c>
      <c r="H16" s="19"/>
    </row>
    <row r="17" spans="1:8" ht="12.75">
      <c r="A17" s="69">
        <v>42310</v>
      </c>
      <c r="B17" s="70" t="s">
        <v>58</v>
      </c>
      <c r="C17" s="71">
        <v>36676</v>
      </c>
      <c r="D17" s="71">
        <v>34957</v>
      </c>
      <c r="E17" s="71">
        <v>42013</v>
      </c>
      <c r="F17" s="71">
        <v>39512</v>
      </c>
      <c r="G17" s="71">
        <v>42669</v>
      </c>
      <c r="H17" s="19"/>
    </row>
    <row r="18" spans="1:8" ht="12.75">
      <c r="A18" s="69">
        <v>42400</v>
      </c>
      <c r="B18" s="70" t="s">
        <v>59</v>
      </c>
      <c r="C18" s="71">
        <f>10870</f>
        <v>10870</v>
      </c>
      <c r="D18" s="71">
        <f>7826+1250</f>
        <v>9076</v>
      </c>
      <c r="E18" s="71">
        <f>7826+1050</f>
        <v>8876</v>
      </c>
      <c r="F18" s="71">
        <f>7826+900</f>
        <v>8726</v>
      </c>
      <c r="G18" s="3">
        <v>8920</v>
      </c>
      <c r="H18" s="19"/>
    </row>
    <row r="19" spans="1:8" ht="12.75">
      <c r="A19" s="69">
        <v>42600</v>
      </c>
      <c r="B19" s="70" t="s">
        <v>60</v>
      </c>
      <c r="C19" s="71"/>
      <c r="D19" s="71"/>
      <c r="E19" s="71">
        <v>1661</v>
      </c>
      <c r="F19" s="71"/>
      <c r="G19" s="71"/>
      <c r="H19" s="19"/>
    </row>
    <row r="20" spans="1:8" ht="12.75">
      <c r="A20" s="69">
        <v>42800</v>
      </c>
      <c r="B20" s="70" t="s">
        <v>61</v>
      </c>
      <c r="C20" s="71">
        <f>1690+1115+275</f>
        <v>3080</v>
      </c>
      <c r="D20" s="71">
        <f>2805+275+5070</f>
        <v>8150</v>
      </c>
      <c r="E20" s="71">
        <f>1690+1115+275</f>
        <v>3080</v>
      </c>
      <c r="F20" s="71">
        <f>1690+1115+275</f>
        <v>3080</v>
      </c>
      <c r="G20" s="71">
        <f>1690+1115+275</f>
        <v>3080</v>
      </c>
      <c r="H20" t="s">
        <v>208</v>
      </c>
    </row>
    <row r="21" spans="1:8" ht="12.75">
      <c r="A21" s="69">
        <v>42810</v>
      </c>
      <c r="B21" s="70" t="s">
        <v>157</v>
      </c>
      <c r="C21" s="71">
        <v>29216</v>
      </c>
      <c r="D21" s="71">
        <v>28832</v>
      </c>
      <c r="E21" s="3">
        <v>40254</v>
      </c>
      <c r="F21" s="3">
        <v>42132</v>
      </c>
      <c r="G21" s="3">
        <v>38781</v>
      </c>
      <c r="H21" s="19"/>
    </row>
    <row r="22" spans="1:8" ht="12.75">
      <c r="A22" s="69">
        <v>43600</v>
      </c>
      <c r="B22" s="70" t="s">
        <v>62</v>
      </c>
      <c r="C22" s="3">
        <v>1296</v>
      </c>
      <c r="D22" s="3">
        <v>1878</v>
      </c>
      <c r="E22" s="3">
        <v>2753</v>
      </c>
      <c r="F22" s="71">
        <v>2582</v>
      </c>
      <c r="G22" s="3">
        <v>2387</v>
      </c>
      <c r="H22" s="14"/>
    </row>
    <row r="23" spans="1:7" ht="12.75">
      <c r="A23" s="69">
        <v>44100</v>
      </c>
      <c r="B23" s="70" t="s">
        <v>63</v>
      </c>
      <c r="C23" s="71">
        <v>4334</v>
      </c>
      <c r="D23" s="71">
        <v>4334</v>
      </c>
      <c r="E23" s="71">
        <v>4334</v>
      </c>
      <c r="F23" s="71">
        <v>4334</v>
      </c>
      <c r="G23" s="71">
        <v>4334</v>
      </c>
    </row>
    <row r="24" spans="1:7" ht="12.75">
      <c r="A24" s="69">
        <v>44300</v>
      </c>
      <c r="B24" s="70" t="s">
        <v>64</v>
      </c>
      <c r="C24" s="71">
        <f>(C8*0.004)</f>
        <v>798.2528000000002</v>
      </c>
      <c r="D24" s="71">
        <f>(D8*0.004)</f>
        <v>803.1522000000001</v>
      </c>
      <c r="E24" s="71">
        <f>(E8*0.004)</f>
        <v>809.8748800000001</v>
      </c>
      <c r="F24" s="71">
        <f>(F8*0.004)</f>
        <v>807.72852</v>
      </c>
      <c r="G24" s="71">
        <f>(G8*0.004)</f>
        <v>819.9036000000002</v>
      </c>
    </row>
    <row r="25" spans="1:7" ht="12.75">
      <c r="A25" s="69">
        <v>44500</v>
      </c>
      <c r="B25" s="70" t="s">
        <v>65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</row>
    <row r="26" spans="1:7" ht="12.75">
      <c r="A26" s="69">
        <v>45300</v>
      </c>
      <c r="B26" s="70" t="s">
        <v>66</v>
      </c>
      <c r="C26" s="71">
        <v>1742</v>
      </c>
      <c r="D26" s="71">
        <v>1742</v>
      </c>
      <c r="E26" s="71">
        <v>1742</v>
      </c>
      <c r="F26" s="71">
        <v>1742</v>
      </c>
      <c r="G26" s="71">
        <v>1742</v>
      </c>
    </row>
    <row r="27" spans="1:7" ht="12.75">
      <c r="A27" s="69">
        <v>45400</v>
      </c>
      <c r="B27" s="70" t="s">
        <v>67</v>
      </c>
      <c r="C27" s="71">
        <f>(C11+C17+C23+C28)*0.055</f>
        <v>3070.54</v>
      </c>
      <c r="D27" s="71">
        <f>(D11+D17+D23+D28)*0.055</f>
        <v>2921.38</v>
      </c>
      <c r="E27" s="71">
        <f>(E11+E17+E23+E28)*0.055</f>
        <v>3338.17</v>
      </c>
      <c r="F27" s="71">
        <f>(F11+F17+F23+F28)*0.055</f>
        <v>3199.46</v>
      </c>
      <c r="G27" s="71">
        <f>(G11+G17+G23+G28)*0.055</f>
        <v>3389.815</v>
      </c>
    </row>
    <row r="28" spans="1:7" ht="12.75">
      <c r="A28" s="69">
        <v>46130</v>
      </c>
      <c r="B28" s="70" t="s">
        <v>68</v>
      </c>
      <c r="C28" s="71">
        <f>9926+1000</f>
        <v>10926</v>
      </c>
      <c r="D28" s="71">
        <f>8933+1000</f>
        <v>9933</v>
      </c>
      <c r="E28" s="71">
        <f>9455+1000</f>
        <v>10455</v>
      </c>
      <c r="F28" s="71">
        <f>9434+1000</f>
        <v>10434</v>
      </c>
      <c r="G28" s="71">
        <f>9738+1000</f>
        <v>10738</v>
      </c>
    </row>
    <row r="29" spans="1:7" ht="12.75">
      <c r="A29" s="69">
        <v>46200</v>
      </c>
      <c r="B29" s="70" t="s">
        <v>69</v>
      </c>
      <c r="C29" s="71">
        <v>2415</v>
      </c>
      <c r="D29" s="71">
        <v>2415</v>
      </c>
      <c r="E29" s="71">
        <v>2415</v>
      </c>
      <c r="F29" s="71">
        <v>2415</v>
      </c>
      <c r="G29" s="71">
        <v>2415</v>
      </c>
    </row>
    <row r="30" spans="1:7" ht="12.75">
      <c r="A30" s="69">
        <v>46210</v>
      </c>
      <c r="B30" s="70" t="s">
        <v>70</v>
      </c>
      <c r="C30" s="71">
        <v>1300</v>
      </c>
      <c r="D30" s="71">
        <v>1300</v>
      </c>
      <c r="E30" s="3">
        <v>1000</v>
      </c>
      <c r="F30" s="3">
        <v>1000</v>
      </c>
      <c r="G30" s="3">
        <v>1000</v>
      </c>
    </row>
    <row r="31" spans="1:7" ht="12.75">
      <c r="A31" s="69">
        <v>46300</v>
      </c>
      <c r="B31" s="70" t="s">
        <v>71</v>
      </c>
      <c r="C31" s="71">
        <f>5.3*280</f>
        <v>1484</v>
      </c>
      <c r="D31" s="71">
        <f>5.2*280</f>
        <v>1456</v>
      </c>
      <c r="E31" s="3">
        <f>2.1*280</f>
        <v>588</v>
      </c>
      <c r="F31" s="3">
        <f>5.9*280</f>
        <v>1652</v>
      </c>
      <c r="G31" s="3">
        <f>1.6*280</f>
        <v>448</v>
      </c>
    </row>
    <row r="32" spans="1:7" ht="12.75">
      <c r="A32" s="69">
        <v>46410</v>
      </c>
      <c r="B32" s="70" t="s">
        <v>72</v>
      </c>
      <c r="C32" s="71">
        <v>1000</v>
      </c>
      <c r="D32" s="71">
        <v>1000</v>
      </c>
      <c r="E32" s="71">
        <v>1000</v>
      </c>
      <c r="F32" s="71">
        <v>1000</v>
      </c>
      <c r="G32" s="71">
        <v>1000</v>
      </c>
    </row>
    <row r="33" spans="1:7" ht="12.75">
      <c r="A33" s="69">
        <v>46500</v>
      </c>
      <c r="B33" s="70" t="s">
        <v>73</v>
      </c>
      <c r="C33" s="71">
        <v>13160</v>
      </c>
      <c r="D33" s="71">
        <v>13160</v>
      </c>
      <c r="E33" s="71">
        <v>13160</v>
      </c>
      <c r="F33" s="71">
        <v>13160</v>
      </c>
      <c r="G33" s="71">
        <v>13160</v>
      </c>
    </row>
    <row r="34" spans="1:7" ht="12.75">
      <c r="A34" s="69">
        <v>46510</v>
      </c>
      <c r="B34" s="70" t="s">
        <v>74</v>
      </c>
      <c r="C34" s="71">
        <f>(C11+C17+C23+C28)*0.07</f>
        <v>3907.9600000000005</v>
      </c>
      <c r="D34" s="71">
        <f>(D11+D17+D23+D28)*0.07</f>
        <v>3718.1200000000003</v>
      </c>
      <c r="E34" s="71">
        <f>(E11+E17+E23+E28)*0.07</f>
        <v>4248.580000000001</v>
      </c>
      <c r="F34" s="71">
        <f>(F11+F17+F23+F28)*0.07</f>
        <v>4072.0400000000004</v>
      </c>
      <c r="G34" s="71">
        <f>(G11+G17+G23+G28)*0.07</f>
        <v>4314.31</v>
      </c>
    </row>
    <row r="35" spans="1:9" ht="12.75">
      <c r="A35" s="69">
        <v>46700</v>
      </c>
      <c r="B35" s="70" t="s">
        <v>75</v>
      </c>
      <c r="C35" s="71">
        <f>225+61</f>
        <v>286</v>
      </c>
      <c r="D35" s="71">
        <f>1813+161</f>
        <v>1974</v>
      </c>
      <c r="E35" s="3">
        <f>11+78</f>
        <v>89</v>
      </c>
      <c r="F35" s="3">
        <f>1664+22</f>
        <v>1686</v>
      </c>
      <c r="G35" s="3">
        <v>0</v>
      </c>
      <c r="I35" s="19"/>
    </row>
    <row r="36" spans="1:7" ht="12.75">
      <c r="A36" s="69">
        <v>46900</v>
      </c>
      <c r="B36" s="70" t="s">
        <v>199</v>
      </c>
      <c r="C36" s="71">
        <f>C8*0.025</f>
        <v>4989.080000000002</v>
      </c>
      <c r="D36" s="71">
        <f>D8*0.025</f>
        <v>5019.701250000001</v>
      </c>
      <c r="E36" s="71">
        <f>E8*0.025</f>
        <v>5061.718000000001</v>
      </c>
      <c r="F36" s="71">
        <f>F8*0.025</f>
        <v>5048.303250000001</v>
      </c>
      <c r="G36" s="71">
        <f>G8*0.025</f>
        <v>5124.397500000002</v>
      </c>
    </row>
    <row r="37" spans="1:7" ht="12.75">
      <c r="A37" s="69">
        <v>46910</v>
      </c>
      <c r="B37" s="70" t="s">
        <v>76</v>
      </c>
      <c r="C37" s="71"/>
      <c r="D37" s="71"/>
      <c r="E37" s="3"/>
      <c r="F37" s="3"/>
      <c r="G37" s="3"/>
    </row>
    <row r="38" spans="1:7" ht="12.75">
      <c r="A38" s="69">
        <v>46920</v>
      </c>
      <c r="B38" s="70" t="s">
        <v>77</v>
      </c>
      <c r="C38" s="71">
        <v>100</v>
      </c>
      <c r="D38" s="71">
        <v>100</v>
      </c>
      <c r="E38" s="71">
        <v>100</v>
      </c>
      <c r="F38" s="71">
        <v>100</v>
      </c>
      <c r="G38" s="71">
        <v>100</v>
      </c>
    </row>
    <row r="39" spans="1:7" ht="12.75">
      <c r="A39" s="69">
        <v>50100</v>
      </c>
      <c r="B39" s="70" t="s">
        <v>78</v>
      </c>
      <c r="C39" s="71">
        <v>0</v>
      </c>
      <c r="D39" s="71"/>
      <c r="E39" s="3"/>
      <c r="F39" s="3"/>
      <c r="G39" s="3"/>
    </row>
    <row r="40" spans="1:7" ht="12.75">
      <c r="A40" s="69">
        <v>50200</v>
      </c>
      <c r="B40" s="70" t="s">
        <v>79</v>
      </c>
      <c r="C40" s="71">
        <f>13347+14576+640</f>
        <v>28563</v>
      </c>
      <c r="D40" s="71">
        <f>13347+14576+640</f>
        <v>28563</v>
      </c>
      <c r="E40" s="71">
        <f>13347+14576+640</f>
        <v>28563</v>
      </c>
      <c r="F40" s="71">
        <f>13347+14576+640</f>
        <v>28563</v>
      </c>
      <c r="G40" s="71">
        <f>13347+14576+640</f>
        <v>28563</v>
      </c>
    </row>
    <row r="41" spans="1:7" ht="12.75">
      <c r="A41" s="69">
        <v>50300</v>
      </c>
      <c r="B41" s="70" t="s">
        <v>80</v>
      </c>
      <c r="C41" s="71">
        <v>243</v>
      </c>
      <c r="D41" s="71">
        <v>243</v>
      </c>
      <c r="E41" s="71">
        <v>243</v>
      </c>
      <c r="F41" s="71">
        <v>243</v>
      </c>
      <c r="G41" s="71">
        <v>243</v>
      </c>
    </row>
    <row r="42" spans="1:7" ht="12.75">
      <c r="A42" s="69">
        <v>50400</v>
      </c>
      <c r="B42" s="70" t="s">
        <v>81</v>
      </c>
      <c r="C42" s="71">
        <v>1600</v>
      </c>
      <c r="D42" s="71">
        <v>1600</v>
      </c>
      <c r="E42" s="71">
        <v>1600</v>
      </c>
      <c r="F42" s="71">
        <v>1600</v>
      </c>
      <c r="G42" s="71">
        <v>1600</v>
      </c>
    </row>
    <row r="43" spans="1:7" ht="12.75">
      <c r="A43" s="69">
        <v>50500</v>
      </c>
      <c r="B43" s="70" t="s">
        <v>82</v>
      </c>
      <c r="C43" s="71">
        <v>0</v>
      </c>
      <c r="D43" s="71"/>
      <c r="E43" s="3"/>
      <c r="F43" s="3"/>
      <c r="G43" s="3"/>
    </row>
    <row r="44" spans="1:7" ht="12.75">
      <c r="A44" s="69">
        <v>52000</v>
      </c>
      <c r="B44" s="70" t="s">
        <v>83</v>
      </c>
      <c r="C44" s="71">
        <v>90</v>
      </c>
      <c r="D44" s="71">
        <v>90</v>
      </c>
      <c r="E44" s="71">
        <v>90</v>
      </c>
      <c r="F44" s="71">
        <v>90</v>
      </c>
      <c r="G44" s="71">
        <v>90</v>
      </c>
    </row>
    <row r="45" spans="1:9" ht="12.75">
      <c r="A45" s="69">
        <v>52030</v>
      </c>
      <c r="B45" s="70" t="s">
        <v>84</v>
      </c>
      <c r="C45" s="71">
        <f>C8*0.015</f>
        <v>2993.4480000000003</v>
      </c>
      <c r="D45" s="71">
        <f>D8*0.015</f>
        <v>3011.8207500000003</v>
      </c>
      <c r="E45" s="71">
        <f>E8*0.015</f>
        <v>3037.0308</v>
      </c>
      <c r="F45" s="71">
        <f>F8*0.015</f>
        <v>3028.98195</v>
      </c>
      <c r="G45" s="71">
        <f>G8*0.015</f>
        <v>3074.6385000000005</v>
      </c>
      <c r="I45" s="19"/>
    </row>
    <row r="46" spans="1:7" ht="12.75">
      <c r="A46" s="69">
        <v>52200</v>
      </c>
      <c r="B46" s="70" t="s">
        <v>85</v>
      </c>
      <c r="C46" s="71">
        <f>6764/9</f>
        <v>751.5555555555555</v>
      </c>
      <c r="D46" s="71">
        <f>6764/9</f>
        <v>751.5555555555555</v>
      </c>
      <c r="E46" s="71">
        <f>6764/9</f>
        <v>751.5555555555555</v>
      </c>
      <c r="F46" s="71">
        <f>6764/9</f>
        <v>751.5555555555555</v>
      </c>
      <c r="G46" s="71">
        <f>6764/9</f>
        <v>751.5555555555555</v>
      </c>
    </row>
    <row r="47" spans="1:7" ht="12.75">
      <c r="A47" s="69">
        <v>52300</v>
      </c>
      <c r="B47" s="70" t="s">
        <v>86</v>
      </c>
      <c r="C47" s="71">
        <f>((1749082-141470)*0.01309)/12</f>
        <v>1753.6367566666665</v>
      </c>
      <c r="D47" s="71">
        <f>((1749082-141470)*0.01309)/12</f>
        <v>1753.6367566666665</v>
      </c>
      <c r="E47" s="71">
        <f>((1749082-141470)*0.01309)/12</f>
        <v>1753.6367566666665</v>
      </c>
      <c r="F47" s="71">
        <f>((1749082-141470)*0.01309)/12</f>
        <v>1753.6367566666665</v>
      </c>
      <c r="G47" s="71">
        <f>((1749082-141470)*0.01309)/12</f>
        <v>1753.6367566666665</v>
      </c>
    </row>
    <row r="48" spans="1:8" ht="12.75">
      <c r="A48" s="69">
        <v>52400</v>
      </c>
      <c r="B48" s="70" t="s">
        <v>87</v>
      </c>
      <c r="C48" s="71">
        <f>(C11+C17+C23+C28)*0.0765</f>
        <v>4270.842</v>
      </c>
      <c r="D48" s="71">
        <f>(D11+D17+D23+D28)*0.0765</f>
        <v>4063.374</v>
      </c>
      <c r="E48" s="71">
        <f>(E11+E17+E23+E28)*0.0765</f>
        <v>4643.091</v>
      </c>
      <c r="F48" s="71">
        <f>(F11+F17+F23+F28)*0.0765</f>
        <v>4450.158</v>
      </c>
      <c r="G48" s="71">
        <f>(G11+G17+G23+G28)*0.0765</f>
        <v>4714.9245</v>
      </c>
      <c r="H48" s="14"/>
    </row>
    <row r="49" spans="1:7" ht="12.75">
      <c r="A49" s="69">
        <v>52410</v>
      </c>
      <c r="B49" s="70" t="s">
        <v>88</v>
      </c>
      <c r="C49" s="71">
        <f>(C11+C17+C23+C28)*0.008</f>
        <v>446.624</v>
      </c>
      <c r="D49" s="71">
        <f>(D11+D17+D23+D28)*0.008</f>
        <v>424.928</v>
      </c>
      <c r="E49" s="71">
        <f>(E11+E17+E23+E28)*0.008</f>
        <v>485.552</v>
      </c>
      <c r="F49" s="71">
        <f>(F11+F17+F23+F28)*0.008</f>
        <v>465.37600000000003</v>
      </c>
      <c r="G49" s="71">
        <f>(G11+G17+G23+G28)*0.008</f>
        <v>493.064</v>
      </c>
    </row>
    <row r="50" spans="1:7" ht="12.75">
      <c r="A50" s="69">
        <v>52420</v>
      </c>
      <c r="B50" s="70" t="s">
        <v>89</v>
      </c>
      <c r="C50" s="71">
        <f>(C11+C17+C23+C28)*0.0253</f>
        <v>1412.4484</v>
      </c>
      <c r="D50" s="71">
        <f>(D11+D17+D23+D28)*0.0253</f>
        <v>1343.8348</v>
      </c>
      <c r="E50" s="71">
        <f>(E11+E17+E23+E28)*0.0253</f>
        <v>1535.5582</v>
      </c>
      <c r="F50" s="71">
        <f>(F11+F17+F23+F28)*0.0253</f>
        <v>1471.7516</v>
      </c>
      <c r="G50" s="71">
        <f>(G11+G17+G23+G28)*0.0253</f>
        <v>1559.3149</v>
      </c>
    </row>
    <row r="51" spans="1:7" ht="12.75">
      <c r="A51" s="69">
        <v>53200</v>
      </c>
      <c r="B51" s="70" t="s">
        <v>207</v>
      </c>
      <c r="C51" s="71">
        <f>2000+600</f>
        <v>2600</v>
      </c>
      <c r="D51" s="71">
        <f>2000+600</f>
        <v>2600</v>
      </c>
      <c r="E51" s="71">
        <f>2000+600</f>
        <v>2600</v>
      </c>
      <c r="F51" s="71">
        <f>2000+600</f>
        <v>2600</v>
      </c>
      <c r="G51" s="71">
        <f>2000+600</f>
        <v>2600</v>
      </c>
    </row>
    <row r="52" spans="1:7" ht="12.75">
      <c r="A52" s="69"/>
      <c r="B52" s="68" t="s">
        <v>90</v>
      </c>
      <c r="C52" s="72">
        <f>SUM(C10:C51)</f>
        <v>183577.38751222222</v>
      </c>
      <c r="D52" s="72">
        <f>SUM(D10:D51)</f>
        <v>182522.5033122223</v>
      </c>
      <c r="E52" s="72">
        <f>SUM(E10:E51)</f>
        <v>199597.76719222224</v>
      </c>
      <c r="F52" s="72">
        <f>SUM(F10:F51)</f>
        <v>197479.99163222223</v>
      </c>
      <c r="G52" s="72">
        <f>SUM(G10:G51)</f>
        <v>211280.56031222225</v>
      </c>
    </row>
    <row r="53" spans="1:7" ht="12.75">
      <c r="A53" s="69"/>
      <c r="B53" s="70"/>
      <c r="C53" s="71" t="s">
        <v>8</v>
      </c>
      <c r="D53" s="70"/>
      <c r="E53" s="1"/>
      <c r="F53" s="1"/>
      <c r="G53" s="1"/>
    </row>
    <row r="54" spans="1:7" ht="12.75">
      <c r="A54" s="69"/>
      <c r="B54" s="68" t="s">
        <v>91</v>
      </c>
      <c r="C54" s="72">
        <f>(C8-C52)</f>
        <v>15985.812487777817</v>
      </c>
      <c r="D54" s="72">
        <f>(D8-D52)</f>
        <v>18265.546687777707</v>
      </c>
      <c r="E54" s="72">
        <f>(E8-E52)</f>
        <v>2870.952807777765</v>
      </c>
      <c r="F54" s="72">
        <f>(F8-F52)</f>
        <v>4452.138367777778</v>
      </c>
      <c r="G54" s="72">
        <f>(G8-G52)</f>
        <v>-6304.6603122222</v>
      </c>
    </row>
    <row r="55" spans="1:7" ht="12.75">
      <c r="A55" s="69"/>
      <c r="B55" s="70"/>
      <c r="C55" s="70"/>
      <c r="D55" s="70"/>
      <c r="E55" s="1"/>
      <c r="F55" s="1"/>
      <c r="G55" s="1"/>
    </row>
    <row r="56" spans="1:7" ht="12.75">
      <c r="A56" s="69"/>
      <c r="B56" s="68" t="s">
        <v>92</v>
      </c>
      <c r="C56" s="73">
        <f>ROUND(C54/C8,2)</f>
        <v>0.08</v>
      </c>
      <c r="D56" s="73">
        <f>ROUND(D54/D8,2)</f>
        <v>0.09</v>
      </c>
      <c r="E56" s="73">
        <f>ROUND(E54/E8,2)</f>
        <v>0.01</v>
      </c>
      <c r="F56" s="73">
        <f>ROUND(F54/F8,2)</f>
        <v>0.02</v>
      </c>
      <c r="G56" s="73">
        <f>ROUND(G54/G8,2)</f>
        <v>-0.03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F4">
      <selection activeCell="K25" sqref="K25"/>
    </sheetView>
  </sheetViews>
  <sheetFormatPr defaultColWidth="9.140625" defaultRowHeight="12.75"/>
  <cols>
    <col min="3" max="3" width="21.8515625" style="0" customWidth="1"/>
    <col min="4" max="4" width="10.57421875" style="0" customWidth="1"/>
    <col min="11" max="11" width="12.140625" style="0" customWidth="1"/>
    <col min="12" max="12" width="10.28125" style="0" customWidth="1"/>
    <col min="13" max="13" width="12.57421875" style="0" customWidth="1"/>
    <col min="14" max="14" width="11.57421875" style="0" bestFit="1" customWidth="1"/>
    <col min="15" max="15" width="10.421875" style="0" customWidth="1"/>
    <col min="16" max="16" width="10.8515625" style="0" bestFit="1" customWidth="1"/>
    <col min="17" max="17" width="10.7109375" style="0" customWidth="1"/>
    <col min="18" max="18" width="11.421875" style="0" customWidth="1"/>
  </cols>
  <sheetData>
    <row r="1" spans="1:19" ht="12.75">
      <c r="A1" s="47" t="s">
        <v>48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12.75">
      <c r="A2" s="48" t="s">
        <v>158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ht="12.75">
      <c r="A3" s="48" t="s">
        <v>159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19" ht="12.75">
      <c r="A4" s="49"/>
      <c r="B4" s="49"/>
      <c r="C4" s="49"/>
      <c r="D4" s="50"/>
      <c r="E4" s="50"/>
      <c r="F4" s="50"/>
      <c r="G4" s="50"/>
      <c r="H4" s="50"/>
      <c r="I4" s="50"/>
      <c r="J4" s="50"/>
      <c r="K4" s="50"/>
      <c r="L4" s="50"/>
      <c r="M4" s="50"/>
      <c r="N4" s="50" t="s">
        <v>8</v>
      </c>
      <c r="O4" s="50"/>
      <c r="P4" s="51" t="s">
        <v>160</v>
      </c>
      <c r="Q4" s="51" t="s">
        <v>161</v>
      </c>
      <c r="R4" s="50"/>
      <c r="S4" s="48"/>
    </row>
    <row r="5" spans="1:19" ht="12.75">
      <c r="A5" s="51" t="s">
        <v>8</v>
      </c>
      <c r="B5" s="51" t="s">
        <v>8</v>
      </c>
      <c r="C5" s="52" t="s">
        <v>8</v>
      </c>
      <c r="D5" s="52" t="s">
        <v>8</v>
      </c>
      <c r="E5" s="51" t="s">
        <v>162</v>
      </c>
      <c r="F5" s="51"/>
      <c r="G5" s="51" t="s">
        <v>163</v>
      </c>
      <c r="H5" s="51" t="s">
        <v>8</v>
      </c>
      <c r="I5" s="51"/>
      <c r="J5" s="51" t="s">
        <v>164</v>
      </c>
      <c r="K5" s="51" t="s">
        <v>8</v>
      </c>
      <c r="L5" s="51" t="s">
        <v>8</v>
      </c>
      <c r="M5" s="52" t="s">
        <v>8</v>
      </c>
      <c r="N5" s="52"/>
      <c r="O5" s="51" t="s">
        <v>165</v>
      </c>
      <c r="P5" s="51" t="s">
        <v>166</v>
      </c>
      <c r="Q5" s="51" t="s">
        <v>166</v>
      </c>
      <c r="R5" s="51" t="s">
        <v>167</v>
      </c>
      <c r="S5" s="48"/>
    </row>
    <row r="6" spans="1:19" ht="12.75">
      <c r="A6" s="51" t="s">
        <v>8</v>
      </c>
      <c r="B6" s="51" t="s">
        <v>168</v>
      </c>
      <c r="C6" s="52"/>
      <c r="D6" s="51" t="s">
        <v>169</v>
      </c>
      <c r="E6" s="51" t="s">
        <v>170</v>
      </c>
      <c r="F6" s="51"/>
      <c r="G6" s="51" t="s">
        <v>171</v>
      </c>
      <c r="H6" s="51" t="s">
        <v>172</v>
      </c>
      <c r="I6" s="51" t="s">
        <v>173</v>
      </c>
      <c r="J6" s="51" t="s">
        <v>174</v>
      </c>
      <c r="K6" s="51" t="s">
        <v>175</v>
      </c>
      <c r="L6" s="51" t="s">
        <v>163</v>
      </c>
      <c r="M6" s="51" t="s">
        <v>176</v>
      </c>
      <c r="N6" s="51" t="s">
        <v>177</v>
      </c>
      <c r="O6" s="51" t="s">
        <v>164</v>
      </c>
      <c r="P6" s="51" t="s">
        <v>176</v>
      </c>
      <c r="Q6" s="51" t="s">
        <v>176</v>
      </c>
      <c r="R6" s="51" t="s">
        <v>178</v>
      </c>
      <c r="S6" s="48"/>
    </row>
    <row r="7" spans="1:19" ht="12.75">
      <c r="A7" s="53" t="s">
        <v>179</v>
      </c>
      <c r="B7" s="53" t="s">
        <v>180</v>
      </c>
      <c r="C7" s="54" t="s">
        <v>181</v>
      </c>
      <c r="D7" s="53" t="s">
        <v>182</v>
      </c>
      <c r="E7" s="53" t="s">
        <v>164</v>
      </c>
      <c r="F7" s="53" t="s">
        <v>183</v>
      </c>
      <c r="G7" s="53" t="s">
        <v>184</v>
      </c>
      <c r="H7" s="53" t="s">
        <v>185</v>
      </c>
      <c r="I7" s="53" t="s">
        <v>186</v>
      </c>
      <c r="J7" s="53" t="s">
        <v>176</v>
      </c>
      <c r="K7" s="53" t="s">
        <v>187</v>
      </c>
      <c r="L7" s="51" t="s">
        <v>171</v>
      </c>
      <c r="M7" s="53" t="s">
        <v>187</v>
      </c>
      <c r="N7" s="53" t="s">
        <v>176</v>
      </c>
      <c r="O7" s="53" t="s">
        <v>176</v>
      </c>
      <c r="P7" s="55">
        <v>38412</v>
      </c>
      <c r="Q7" s="55">
        <v>38776</v>
      </c>
      <c r="R7" s="51" t="s">
        <v>8</v>
      </c>
      <c r="S7" s="48"/>
    </row>
    <row r="8" spans="1:19" ht="12.75">
      <c r="A8" s="56" t="s">
        <v>188</v>
      </c>
      <c r="B8" s="56">
        <v>806</v>
      </c>
      <c r="C8" s="57" t="s">
        <v>189</v>
      </c>
      <c r="D8" s="58">
        <v>38398</v>
      </c>
      <c r="E8" s="59" t="s">
        <v>190</v>
      </c>
      <c r="F8" s="60">
        <v>3</v>
      </c>
      <c r="G8" s="61">
        <v>0.2</v>
      </c>
      <c r="H8" s="56" t="s">
        <v>191</v>
      </c>
      <c r="I8" s="56">
        <v>7</v>
      </c>
      <c r="J8" s="60">
        <f>+E8+I8</f>
        <v>12</v>
      </c>
      <c r="K8" s="62">
        <f>100692.45+97966.02</f>
        <v>198658.47</v>
      </c>
      <c r="L8" s="63">
        <f>K8*0.2</f>
        <v>39731.694</v>
      </c>
      <c r="M8" s="62">
        <f>K8-L8</f>
        <v>158926.776</v>
      </c>
      <c r="N8" s="62">
        <f>M8/(I8*12)</f>
        <v>1891.9854285714287</v>
      </c>
      <c r="O8" s="62">
        <f>N8*12</f>
        <v>22703.825142857146</v>
      </c>
      <c r="P8" s="62">
        <v>0</v>
      </c>
      <c r="Q8" s="62">
        <f aca="true" t="shared" si="0" ref="Q8:Q14">P8+O8</f>
        <v>22703.825142857146</v>
      </c>
      <c r="R8" s="62">
        <f aca="true" t="shared" si="1" ref="R8:R14">+K8-Q8</f>
        <v>175954.64485714285</v>
      </c>
      <c r="S8" s="48" t="s">
        <v>8</v>
      </c>
    </row>
    <row r="9" spans="1:19" ht="12.75">
      <c r="A9" s="56" t="s">
        <v>188</v>
      </c>
      <c r="B9" s="56">
        <v>807</v>
      </c>
      <c r="C9" s="57" t="s">
        <v>189</v>
      </c>
      <c r="D9" s="58">
        <v>38398</v>
      </c>
      <c r="E9" s="59" t="s">
        <v>190</v>
      </c>
      <c r="F9" s="60">
        <v>3</v>
      </c>
      <c r="G9" s="61">
        <v>0.2</v>
      </c>
      <c r="H9" s="56" t="s">
        <v>191</v>
      </c>
      <c r="I9" s="56">
        <v>7</v>
      </c>
      <c r="J9" s="60">
        <f aca="true" t="shared" si="2" ref="J9:J20">+E9+I9</f>
        <v>12</v>
      </c>
      <c r="K9" s="62">
        <f>100692.45+97966.02</f>
        <v>198658.47</v>
      </c>
      <c r="L9" s="63">
        <f aca="true" t="shared" si="3" ref="L9:L14">K9*0.2</f>
        <v>39731.694</v>
      </c>
      <c r="M9" s="62">
        <f aca="true" t="shared" si="4" ref="M9:M14">K9-L9</f>
        <v>158926.776</v>
      </c>
      <c r="N9" s="62">
        <f aca="true" t="shared" si="5" ref="N9:N14">M9/(I9*12)</f>
        <v>1891.9854285714287</v>
      </c>
      <c r="O9" s="62">
        <f aca="true" t="shared" si="6" ref="O9:O14">N9*12</f>
        <v>22703.825142857146</v>
      </c>
      <c r="P9" s="62">
        <v>0</v>
      </c>
      <c r="Q9" s="62">
        <f t="shared" si="0"/>
        <v>22703.825142857146</v>
      </c>
      <c r="R9" s="62">
        <f t="shared" si="1"/>
        <v>175954.64485714285</v>
      </c>
      <c r="S9" s="48"/>
    </row>
    <row r="10" spans="1:19" ht="12.75">
      <c r="A10" s="56" t="s">
        <v>188</v>
      </c>
      <c r="B10" s="56">
        <v>808</v>
      </c>
      <c r="C10" s="57" t="s">
        <v>189</v>
      </c>
      <c r="D10" s="58">
        <v>38398</v>
      </c>
      <c r="E10" s="59" t="s">
        <v>190</v>
      </c>
      <c r="F10" s="60">
        <v>3</v>
      </c>
      <c r="G10" s="61">
        <v>0.2</v>
      </c>
      <c r="H10" s="56" t="s">
        <v>191</v>
      </c>
      <c r="I10" s="56">
        <v>7</v>
      </c>
      <c r="J10" s="60">
        <f t="shared" si="2"/>
        <v>12</v>
      </c>
      <c r="K10" s="62">
        <f>100692.45+97966.02+3602.39</f>
        <v>202260.86000000002</v>
      </c>
      <c r="L10" s="63">
        <f t="shared" si="3"/>
        <v>40452.172000000006</v>
      </c>
      <c r="M10" s="62">
        <f t="shared" si="4"/>
        <v>161808.68800000002</v>
      </c>
      <c r="N10" s="62">
        <f t="shared" si="5"/>
        <v>1926.293904761905</v>
      </c>
      <c r="O10" s="62">
        <f t="shared" si="6"/>
        <v>23115.52685714286</v>
      </c>
      <c r="P10" s="62">
        <v>0</v>
      </c>
      <c r="Q10" s="62">
        <f t="shared" si="0"/>
        <v>23115.52685714286</v>
      </c>
      <c r="R10" s="62">
        <f t="shared" si="1"/>
        <v>179145.33314285715</v>
      </c>
      <c r="S10" s="48"/>
    </row>
    <row r="11" spans="1:19" ht="12.75">
      <c r="A11" s="56" t="s">
        <v>188</v>
      </c>
      <c r="B11" s="56">
        <v>809</v>
      </c>
      <c r="C11" s="57" t="s">
        <v>189</v>
      </c>
      <c r="D11" s="58">
        <v>38398</v>
      </c>
      <c r="E11" s="59" t="s">
        <v>190</v>
      </c>
      <c r="F11" s="60">
        <v>3</v>
      </c>
      <c r="G11" s="61">
        <v>0.2</v>
      </c>
      <c r="H11" s="56" t="s">
        <v>191</v>
      </c>
      <c r="I11" s="56">
        <v>7</v>
      </c>
      <c r="J11" s="60">
        <f t="shared" si="2"/>
        <v>12</v>
      </c>
      <c r="K11" s="62">
        <f>100692.45+97966.02</f>
        <v>198658.47</v>
      </c>
      <c r="L11" s="63">
        <f t="shared" si="3"/>
        <v>39731.694</v>
      </c>
      <c r="M11" s="62">
        <f t="shared" si="4"/>
        <v>158926.776</v>
      </c>
      <c r="N11" s="62">
        <f t="shared" si="5"/>
        <v>1891.9854285714287</v>
      </c>
      <c r="O11" s="62">
        <f t="shared" si="6"/>
        <v>22703.825142857146</v>
      </c>
      <c r="P11" s="62">
        <v>0</v>
      </c>
      <c r="Q11" s="62">
        <f t="shared" si="0"/>
        <v>22703.825142857146</v>
      </c>
      <c r="R11" s="62">
        <f t="shared" si="1"/>
        <v>175954.64485714285</v>
      </c>
      <c r="S11" s="48"/>
    </row>
    <row r="12" spans="1:19" ht="12.75">
      <c r="A12" s="56" t="s">
        <v>188</v>
      </c>
      <c r="B12" s="56">
        <v>810</v>
      </c>
      <c r="C12" s="57" t="s">
        <v>189</v>
      </c>
      <c r="D12" s="58">
        <v>38398</v>
      </c>
      <c r="E12" s="59" t="s">
        <v>190</v>
      </c>
      <c r="F12" s="60">
        <v>3</v>
      </c>
      <c r="G12" s="61">
        <v>0.2</v>
      </c>
      <c r="H12" s="56" t="s">
        <v>191</v>
      </c>
      <c r="I12" s="56">
        <v>7</v>
      </c>
      <c r="J12" s="60">
        <f t="shared" si="2"/>
        <v>12</v>
      </c>
      <c r="K12" s="62">
        <f>100692.45+97966.02</f>
        <v>198658.47</v>
      </c>
      <c r="L12" s="63">
        <f t="shared" si="3"/>
        <v>39731.694</v>
      </c>
      <c r="M12" s="62">
        <f t="shared" si="4"/>
        <v>158926.776</v>
      </c>
      <c r="N12" s="62">
        <f t="shared" si="5"/>
        <v>1891.9854285714287</v>
      </c>
      <c r="O12" s="62">
        <f t="shared" si="6"/>
        <v>22703.825142857146</v>
      </c>
      <c r="P12" s="62">
        <v>0</v>
      </c>
      <c r="Q12" s="62">
        <f t="shared" si="0"/>
        <v>22703.825142857146</v>
      </c>
      <c r="R12" s="62">
        <f t="shared" si="1"/>
        <v>175954.64485714285</v>
      </c>
      <c r="S12" s="48"/>
    </row>
    <row r="13" spans="1:19" ht="12.75">
      <c r="A13" s="56" t="s">
        <v>188</v>
      </c>
      <c r="B13" s="56" t="s">
        <v>197</v>
      </c>
      <c r="C13" s="57" t="s">
        <v>189</v>
      </c>
      <c r="D13" s="58">
        <v>38398</v>
      </c>
      <c r="E13" s="59" t="s">
        <v>190</v>
      </c>
      <c r="F13" s="60">
        <v>3</v>
      </c>
      <c r="G13" s="61">
        <v>0.2</v>
      </c>
      <c r="H13" s="56" t="s">
        <v>191</v>
      </c>
      <c r="I13" s="56">
        <v>7</v>
      </c>
      <c r="J13" s="60">
        <f t="shared" si="2"/>
        <v>12</v>
      </c>
      <c r="K13" s="62">
        <v>202255.42</v>
      </c>
      <c r="L13" s="63">
        <f t="shared" si="3"/>
        <v>40451.084</v>
      </c>
      <c r="M13" s="62">
        <f t="shared" si="4"/>
        <v>161804.336</v>
      </c>
      <c r="N13" s="62">
        <f t="shared" si="5"/>
        <v>1926.2420952380953</v>
      </c>
      <c r="O13" s="62">
        <f t="shared" si="6"/>
        <v>23114.905142857144</v>
      </c>
      <c r="P13" s="62">
        <v>0</v>
      </c>
      <c r="Q13" s="62">
        <f t="shared" si="0"/>
        <v>23114.905142857144</v>
      </c>
      <c r="R13" s="62">
        <f t="shared" si="1"/>
        <v>179140.51485714287</v>
      </c>
      <c r="S13" s="48"/>
    </row>
    <row r="14" spans="1:19" ht="12.75">
      <c r="A14" s="56" t="s">
        <v>188</v>
      </c>
      <c r="B14" s="56" t="s">
        <v>198</v>
      </c>
      <c r="C14" s="57" t="s">
        <v>189</v>
      </c>
      <c r="D14" s="58">
        <v>38398</v>
      </c>
      <c r="E14" s="59" t="s">
        <v>190</v>
      </c>
      <c r="F14" s="60">
        <v>3</v>
      </c>
      <c r="G14" s="61">
        <v>0.2</v>
      </c>
      <c r="H14" s="56" t="s">
        <v>191</v>
      </c>
      <c r="I14" s="56">
        <v>7</v>
      </c>
      <c r="J14" s="60">
        <f t="shared" si="2"/>
        <v>12</v>
      </c>
      <c r="K14" s="62">
        <v>202255.42</v>
      </c>
      <c r="L14" s="63">
        <f t="shared" si="3"/>
        <v>40451.084</v>
      </c>
      <c r="M14" s="62">
        <f t="shared" si="4"/>
        <v>161804.336</v>
      </c>
      <c r="N14" s="62">
        <f t="shared" si="5"/>
        <v>1926.2420952380953</v>
      </c>
      <c r="O14" s="62">
        <f t="shared" si="6"/>
        <v>23114.905142857144</v>
      </c>
      <c r="P14" s="62">
        <v>0</v>
      </c>
      <c r="Q14" s="62">
        <f t="shared" si="0"/>
        <v>23114.905142857144</v>
      </c>
      <c r="R14" s="62">
        <f t="shared" si="1"/>
        <v>179140.51485714287</v>
      </c>
      <c r="S14" s="48"/>
    </row>
    <row r="15" spans="1:19" ht="12.75">
      <c r="A15" s="56"/>
      <c r="B15" s="56"/>
      <c r="C15" s="57" t="s">
        <v>8</v>
      </c>
      <c r="D15" s="58" t="s">
        <v>8</v>
      </c>
      <c r="E15" s="60" t="s">
        <v>8</v>
      </c>
      <c r="F15" s="60" t="s">
        <v>8</v>
      </c>
      <c r="G15" s="60" t="s">
        <v>8</v>
      </c>
      <c r="H15" s="56" t="s">
        <v>8</v>
      </c>
      <c r="I15" s="56" t="s">
        <v>8</v>
      </c>
      <c r="J15" s="60" t="s">
        <v>8</v>
      </c>
      <c r="K15" s="64">
        <f>SUM(K8:K14)</f>
        <v>1401405.5799999998</v>
      </c>
      <c r="L15" s="64">
        <f>SUM(L8:L14)</f>
        <v>280281.11600000004</v>
      </c>
      <c r="M15" s="64">
        <f>SUM(M8:M14)</f>
        <v>1121124.4640000002</v>
      </c>
      <c r="N15" s="64">
        <f>SUM(N8:N14)</f>
        <v>13346.719809523809</v>
      </c>
      <c r="O15" s="64">
        <f>SUM(O8:O14)</f>
        <v>160160.63771428572</v>
      </c>
      <c r="P15" s="62" t="s">
        <v>8</v>
      </c>
      <c r="Q15" s="64">
        <f>SUM(Q8:Q14)</f>
        <v>160160.63771428572</v>
      </c>
      <c r="R15" s="64">
        <f>SUM(R8:R14)</f>
        <v>1241244.9422857142</v>
      </c>
      <c r="S15" s="48"/>
    </row>
    <row r="16" spans="1:19" ht="12.75">
      <c r="A16" s="56" t="s">
        <v>8</v>
      </c>
      <c r="B16" s="56" t="s">
        <v>8</v>
      </c>
      <c r="C16" s="57" t="s">
        <v>8</v>
      </c>
      <c r="D16" s="58"/>
      <c r="E16" s="60" t="s">
        <v>8</v>
      </c>
      <c r="F16" s="60" t="s">
        <v>8</v>
      </c>
      <c r="G16" s="60" t="s">
        <v>8</v>
      </c>
      <c r="H16" s="56" t="s">
        <v>8</v>
      </c>
      <c r="I16" s="56" t="s">
        <v>8</v>
      </c>
      <c r="J16" s="60" t="s">
        <v>8</v>
      </c>
      <c r="K16" s="62" t="s">
        <v>8</v>
      </c>
      <c r="L16" s="62"/>
      <c r="M16" s="62" t="s">
        <v>8</v>
      </c>
      <c r="N16" s="62" t="s">
        <v>8</v>
      </c>
      <c r="O16" s="62"/>
      <c r="P16" s="62" t="s">
        <v>8</v>
      </c>
      <c r="Q16" s="62" t="s">
        <v>8</v>
      </c>
      <c r="R16" s="62" t="s">
        <v>8</v>
      </c>
      <c r="S16" s="48" t="s">
        <v>8</v>
      </c>
    </row>
    <row r="17" spans="1:19" ht="12.75">
      <c r="A17" s="56" t="s">
        <v>188</v>
      </c>
      <c r="B17" s="65">
        <v>28700</v>
      </c>
      <c r="C17" s="57" t="s">
        <v>192</v>
      </c>
      <c r="D17" s="58">
        <v>38412</v>
      </c>
      <c r="E17" s="59" t="s">
        <v>190</v>
      </c>
      <c r="F17" s="60">
        <v>3</v>
      </c>
      <c r="G17" s="60">
        <v>0</v>
      </c>
      <c r="H17" s="56" t="s">
        <v>191</v>
      </c>
      <c r="I17" s="56">
        <v>10</v>
      </c>
      <c r="J17" s="60">
        <f t="shared" si="2"/>
        <v>15</v>
      </c>
      <c r="K17" s="62">
        <f>B17*39.71</f>
        <v>1139677</v>
      </c>
      <c r="L17" s="62">
        <v>0</v>
      </c>
      <c r="M17" s="62">
        <f>K17-L17</f>
        <v>1139677</v>
      </c>
      <c r="N17" s="62">
        <f>M17/(I17*12)</f>
        <v>9497.308333333332</v>
      </c>
      <c r="O17" s="62">
        <f>N17*12</f>
        <v>113967.69999999998</v>
      </c>
      <c r="P17" s="62">
        <v>0</v>
      </c>
      <c r="Q17" s="62">
        <f>P17+O17</f>
        <v>113967.69999999998</v>
      </c>
      <c r="R17" s="62">
        <f>+K17-Q17</f>
        <v>1025709.3</v>
      </c>
      <c r="S17" s="48"/>
    </row>
    <row r="18" spans="1:19" ht="12.75">
      <c r="A18" s="56" t="s">
        <v>188</v>
      </c>
      <c r="B18" s="65">
        <v>1000</v>
      </c>
      <c r="C18" s="57" t="s">
        <v>193</v>
      </c>
      <c r="D18" s="58">
        <v>38412</v>
      </c>
      <c r="E18" s="59" t="s">
        <v>190</v>
      </c>
      <c r="F18" s="60">
        <v>3</v>
      </c>
      <c r="G18" s="60">
        <v>0</v>
      </c>
      <c r="H18" s="56" t="s">
        <v>191</v>
      </c>
      <c r="I18" s="56">
        <v>10</v>
      </c>
      <c r="J18" s="60">
        <f>+E18+I18</f>
        <v>15</v>
      </c>
      <c r="K18" s="62">
        <f>B18*37.27</f>
        <v>37270</v>
      </c>
      <c r="L18" s="62">
        <v>0</v>
      </c>
      <c r="M18" s="62">
        <f>K18-L18</f>
        <v>37270</v>
      </c>
      <c r="N18" s="62">
        <f>M18/(I18*12)</f>
        <v>310.5833333333333</v>
      </c>
      <c r="O18" s="62">
        <f>N18*12</f>
        <v>3727</v>
      </c>
      <c r="P18" s="62">
        <v>0</v>
      </c>
      <c r="Q18" s="62">
        <f>P18+O18</f>
        <v>3727</v>
      </c>
      <c r="R18" s="62">
        <f>+K18-Q18</f>
        <v>33543</v>
      </c>
      <c r="S18" s="48"/>
    </row>
    <row r="19" spans="1:19" ht="12.75">
      <c r="A19" s="56" t="s">
        <v>188</v>
      </c>
      <c r="B19" s="65">
        <v>13000</v>
      </c>
      <c r="C19" s="57" t="s">
        <v>192</v>
      </c>
      <c r="D19" s="58">
        <v>38412</v>
      </c>
      <c r="E19" s="59" t="s">
        <v>190</v>
      </c>
      <c r="F19" s="60">
        <v>3</v>
      </c>
      <c r="G19" s="60">
        <v>0</v>
      </c>
      <c r="H19" s="56" t="s">
        <v>191</v>
      </c>
      <c r="I19" s="56">
        <v>10</v>
      </c>
      <c r="J19" s="60">
        <f t="shared" si="2"/>
        <v>15</v>
      </c>
      <c r="K19" s="62">
        <f>B19*39.71</f>
        <v>516230</v>
      </c>
      <c r="L19" s="62">
        <v>0</v>
      </c>
      <c r="M19" s="62">
        <f>K19-L19</f>
        <v>516230</v>
      </c>
      <c r="N19" s="62">
        <f>M19/(I19*12)</f>
        <v>4301.916666666667</v>
      </c>
      <c r="O19" s="62">
        <f>N19*12</f>
        <v>51623</v>
      </c>
      <c r="P19" s="62">
        <v>0</v>
      </c>
      <c r="Q19" s="62">
        <f>P19+O19</f>
        <v>51623</v>
      </c>
      <c r="R19" s="62">
        <f>+K19-Q19</f>
        <v>464607</v>
      </c>
      <c r="S19" s="48"/>
    </row>
    <row r="20" spans="1:19" ht="12.75">
      <c r="A20" s="56" t="s">
        <v>188</v>
      </c>
      <c r="B20" s="65">
        <v>1500</v>
      </c>
      <c r="C20" s="57" t="s">
        <v>193</v>
      </c>
      <c r="D20" s="58">
        <v>38412</v>
      </c>
      <c r="E20" s="59" t="s">
        <v>190</v>
      </c>
      <c r="F20" s="60">
        <v>3</v>
      </c>
      <c r="G20" s="60">
        <v>0</v>
      </c>
      <c r="H20" s="56" t="s">
        <v>191</v>
      </c>
      <c r="I20" s="56">
        <v>10</v>
      </c>
      <c r="J20" s="60">
        <f t="shared" si="2"/>
        <v>15</v>
      </c>
      <c r="K20" s="62">
        <f>B20*37.27</f>
        <v>55905.00000000001</v>
      </c>
      <c r="L20" s="62">
        <v>0</v>
      </c>
      <c r="M20" s="62">
        <f>K20-L20</f>
        <v>55905.00000000001</v>
      </c>
      <c r="N20" s="62">
        <f>M20/(I20*12)</f>
        <v>465.87500000000006</v>
      </c>
      <c r="O20" s="62">
        <f>N20*12</f>
        <v>5590.500000000001</v>
      </c>
      <c r="P20" s="62">
        <v>0</v>
      </c>
      <c r="Q20" s="62">
        <f>P20+O20</f>
        <v>5590.500000000001</v>
      </c>
      <c r="R20" s="62">
        <f>+K20-Q20</f>
        <v>50314.50000000001</v>
      </c>
      <c r="S20" s="48"/>
    </row>
    <row r="21" spans="1:19" ht="12.75">
      <c r="A21" s="56"/>
      <c r="B21" s="56">
        <f>SUM(B17:B20)</f>
        <v>44200</v>
      </c>
      <c r="C21" s="57" t="s">
        <v>8</v>
      </c>
      <c r="D21" s="58"/>
      <c r="E21" s="60" t="s">
        <v>8</v>
      </c>
      <c r="F21" s="60" t="s">
        <v>8</v>
      </c>
      <c r="G21" s="60" t="s">
        <v>8</v>
      </c>
      <c r="H21" s="56" t="s">
        <v>8</v>
      </c>
      <c r="I21" s="56" t="s">
        <v>8</v>
      </c>
      <c r="J21" s="60" t="s">
        <v>8</v>
      </c>
      <c r="K21" s="64">
        <f aca="true" t="shared" si="7" ref="K21:R21">SUM(K17:K20)</f>
        <v>1749082</v>
      </c>
      <c r="L21" s="64">
        <f t="shared" si="7"/>
        <v>0</v>
      </c>
      <c r="M21" s="64">
        <f t="shared" si="7"/>
        <v>1749082</v>
      </c>
      <c r="N21" s="64">
        <f t="shared" si="7"/>
        <v>14575.683333333334</v>
      </c>
      <c r="O21" s="64">
        <f t="shared" si="7"/>
        <v>174908.19999999998</v>
      </c>
      <c r="P21" s="64">
        <f t="shared" si="7"/>
        <v>0</v>
      </c>
      <c r="Q21" s="64">
        <f t="shared" si="7"/>
        <v>174908.19999999998</v>
      </c>
      <c r="R21" s="64">
        <f t="shared" si="7"/>
        <v>1574173.8</v>
      </c>
      <c r="S21" s="48"/>
    </row>
    <row r="22" spans="1:19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 t="s">
        <v>8</v>
      </c>
      <c r="L22" s="48"/>
      <c r="M22" s="48"/>
      <c r="N22" s="48"/>
      <c r="O22" s="48"/>
      <c r="P22" s="48"/>
      <c r="Q22" s="48"/>
      <c r="R22" s="48"/>
      <c r="S22" s="48" t="s">
        <v>8</v>
      </c>
    </row>
    <row r="23" spans="1:19" ht="12.75">
      <c r="A23" s="56" t="s">
        <v>188</v>
      </c>
      <c r="B23" s="56">
        <v>1</v>
      </c>
      <c r="C23" s="48" t="s">
        <v>194</v>
      </c>
      <c r="D23" s="58">
        <v>38398</v>
      </c>
      <c r="E23" s="59" t="s">
        <v>190</v>
      </c>
      <c r="F23" s="60">
        <v>3</v>
      </c>
      <c r="G23" s="61">
        <v>0.33</v>
      </c>
      <c r="H23" s="56" t="s">
        <v>191</v>
      </c>
      <c r="I23" s="56">
        <v>7</v>
      </c>
      <c r="J23" s="60">
        <f>+E23+I23</f>
        <v>12</v>
      </c>
      <c r="K23" s="64">
        <f>58641.25+8595.55</f>
        <v>67236.8</v>
      </c>
      <c r="L23" s="63">
        <f>K23*0.2</f>
        <v>13447.36</v>
      </c>
      <c r="M23" s="64">
        <f>K23-L23</f>
        <v>53789.44</v>
      </c>
      <c r="N23" s="62">
        <f>M23/(I23*12)</f>
        <v>640.3504761904762</v>
      </c>
      <c r="O23" s="64">
        <f>N23*12</f>
        <v>7684.205714285715</v>
      </c>
      <c r="P23" s="62">
        <v>0</v>
      </c>
      <c r="Q23" s="64">
        <f>P23+O23</f>
        <v>7684.205714285715</v>
      </c>
      <c r="R23" s="64">
        <f>+K23-Q23</f>
        <v>59552.59428571429</v>
      </c>
      <c r="S23" s="48"/>
    </row>
    <row r="24" spans="1:19" ht="12.75">
      <c r="A24" s="56"/>
      <c r="B24" s="56"/>
      <c r="C24" s="48"/>
      <c r="D24" s="48"/>
      <c r="E24" s="59"/>
      <c r="F24" s="60"/>
      <c r="G24" s="61"/>
      <c r="H24" s="56"/>
      <c r="I24" s="56"/>
      <c r="J24" s="60"/>
      <c r="K24" s="62"/>
      <c r="L24" s="63"/>
      <c r="M24" s="62"/>
      <c r="N24" s="62"/>
      <c r="O24" s="62"/>
      <c r="P24" s="62"/>
      <c r="Q24" s="64"/>
      <c r="R24" s="64"/>
      <c r="S24" s="48"/>
    </row>
    <row r="25" spans="1:19" ht="12.75">
      <c r="A25" s="56" t="s">
        <v>188</v>
      </c>
      <c r="B25" s="56">
        <v>1</v>
      </c>
      <c r="C25" s="48" t="s">
        <v>195</v>
      </c>
      <c r="D25" s="48"/>
      <c r="E25" s="59" t="s">
        <v>190</v>
      </c>
      <c r="F25" s="60">
        <v>3</v>
      </c>
      <c r="G25" s="61">
        <v>0.33</v>
      </c>
      <c r="H25" s="56" t="s">
        <v>191</v>
      </c>
      <c r="I25" s="56">
        <v>5</v>
      </c>
      <c r="J25" s="60">
        <v>5</v>
      </c>
      <c r="K25" s="64">
        <v>21760</v>
      </c>
      <c r="L25" s="63">
        <f>K25*G25</f>
        <v>7180.8</v>
      </c>
      <c r="M25" s="64">
        <f>K25-L25</f>
        <v>14579.2</v>
      </c>
      <c r="N25" s="62">
        <f>M25/(I25*12)</f>
        <v>242.98666666666668</v>
      </c>
      <c r="O25" s="64">
        <f>N25*12</f>
        <v>2915.84</v>
      </c>
      <c r="P25" s="62">
        <v>0</v>
      </c>
      <c r="Q25" s="64">
        <f>P25+O25</f>
        <v>2915.84</v>
      </c>
      <c r="R25" s="64">
        <f>+K25-Q25</f>
        <v>18844.16</v>
      </c>
      <c r="S25" s="48"/>
    </row>
    <row r="26" spans="1:19" ht="12.75">
      <c r="A26" s="56"/>
      <c r="B26" s="56"/>
      <c r="C26" s="48"/>
      <c r="D26" s="48"/>
      <c r="E26" s="59"/>
      <c r="F26" s="60"/>
      <c r="G26" s="61"/>
      <c r="H26" s="56"/>
      <c r="I26" s="56"/>
      <c r="J26" s="60"/>
      <c r="K26" s="62"/>
      <c r="L26" s="63"/>
      <c r="M26" s="62"/>
      <c r="N26" s="62"/>
      <c r="O26" s="62"/>
      <c r="P26" s="62"/>
      <c r="Q26" s="64"/>
      <c r="R26" s="64"/>
      <c r="S26" s="48"/>
    </row>
    <row r="27" spans="1:19" ht="12.75">
      <c r="A27" s="56"/>
      <c r="B27" s="56"/>
      <c r="C27" s="57"/>
      <c r="D27" s="58"/>
      <c r="E27" s="59"/>
      <c r="F27" s="60"/>
      <c r="G27" s="60"/>
      <c r="H27" s="56"/>
      <c r="I27" s="56"/>
      <c r="J27" s="60"/>
      <c r="K27" s="64">
        <f>K15+K21+K23+K25</f>
        <v>3239484.38</v>
      </c>
      <c r="L27" s="64">
        <f>L15+L21+L23+L25</f>
        <v>300909.276</v>
      </c>
      <c r="M27" s="64">
        <f>M15+M21+M23+M25</f>
        <v>2938575.1040000003</v>
      </c>
      <c r="N27" s="62"/>
      <c r="O27" s="64">
        <f>O15+O21+O23+O25</f>
        <v>345668.88342857145</v>
      </c>
      <c r="P27" s="64" t="s">
        <v>8</v>
      </c>
      <c r="Q27" s="64">
        <f>Q15+Q21+Q23+Q25</f>
        <v>345668.88342857145</v>
      </c>
      <c r="R27" s="64">
        <f>R15+R21+R23+R25</f>
        <v>2893815.496571429</v>
      </c>
      <c r="S27" s="48"/>
    </row>
    <row r="28" spans="1:19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7" t="s">
        <v>8</v>
      </c>
      <c r="L28" s="48"/>
      <c r="M28" s="48"/>
      <c r="N28" s="48"/>
      <c r="O28" s="48"/>
      <c r="P28" s="48"/>
      <c r="Q28" s="48"/>
      <c r="R28" s="48"/>
      <c r="S28" s="48"/>
    </row>
    <row r="29" spans="1:19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 t="s">
        <v>8</v>
      </c>
      <c r="L29" s="48"/>
      <c r="M29" s="48"/>
      <c r="N29" s="48"/>
      <c r="O29" s="48"/>
      <c r="P29" s="47" t="s">
        <v>196</v>
      </c>
      <c r="Q29" s="48"/>
      <c r="R29" s="66">
        <f>0+R27/2</f>
        <v>1446907.7482857145</v>
      </c>
      <c r="S29" s="48"/>
    </row>
    <row r="30" spans="1:19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 t="s">
        <v>8</v>
      </c>
      <c r="L30" s="48"/>
      <c r="M30" s="48"/>
      <c r="N30" s="48"/>
      <c r="O30" s="48"/>
      <c r="P30" s="48"/>
      <c r="Q30" s="48"/>
      <c r="R30" s="48"/>
      <c r="S30" s="48"/>
    </row>
  </sheetData>
  <printOptions/>
  <pageMargins left="0.75" right="0.75" top="1" bottom="1" header="0.5" footer="0.5"/>
  <pageSetup horizontalDpi="300" verticalDpi="300" orientation="landscape" scale="62" r:id="rId1"/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701"/>
  <sheetViews>
    <sheetView workbookViewId="0" topLeftCell="A49">
      <selection activeCell="D65" sqref="D65"/>
    </sheetView>
  </sheetViews>
  <sheetFormatPr defaultColWidth="9.140625" defaultRowHeight="12.75"/>
  <cols>
    <col min="1" max="1" width="25.8515625" style="1" customWidth="1"/>
    <col min="2" max="2" width="10.8515625" style="1" customWidth="1"/>
    <col min="3" max="3" width="9.8515625" style="1" customWidth="1"/>
    <col min="4" max="4" width="10.8515625" style="1" customWidth="1"/>
    <col min="5" max="5" width="10.7109375" style="1" customWidth="1"/>
    <col min="6" max="6" width="10.57421875" style="1" customWidth="1"/>
    <col min="7" max="7" width="10.28125" style="1" customWidth="1"/>
    <col min="8" max="9" width="10.421875" style="1" customWidth="1"/>
    <col min="10" max="16384" width="9.140625" style="1" customWidth="1"/>
  </cols>
  <sheetData>
    <row r="1" spans="1:5" ht="12.75">
      <c r="A1" s="21" t="s">
        <v>93</v>
      </c>
      <c r="B1" s="22"/>
      <c r="C1" s="22"/>
      <c r="D1" s="22"/>
      <c r="E1" s="22"/>
    </row>
    <row r="2" spans="1:5" ht="12.75">
      <c r="A2" s="21" t="s">
        <v>94</v>
      </c>
      <c r="B2" s="22"/>
      <c r="C2" s="22"/>
      <c r="D2" s="22"/>
      <c r="E2" s="22"/>
    </row>
    <row r="3" spans="1:5" ht="12.75">
      <c r="A3" s="21" t="s">
        <v>8</v>
      </c>
      <c r="B3" s="22"/>
      <c r="C3" s="22"/>
      <c r="D3" s="22"/>
      <c r="E3" s="22"/>
    </row>
    <row r="4" spans="1:5" ht="12.75">
      <c r="A4" s="22"/>
      <c r="B4" s="23"/>
      <c r="C4" s="21"/>
      <c r="D4" s="23"/>
      <c r="E4" s="23"/>
    </row>
    <row r="5" spans="1:11" ht="12.75">
      <c r="A5" s="21" t="s">
        <v>140</v>
      </c>
      <c r="B5" s="23" t="s">
        <v>0</v>
      </c>
      <c r="C5" s="23" t="s">
        <v>1</v>
      </c>
      <c r="D5" s="23" t="s">
        <v>2</v>
      </c>
      <c r="E5" s="23" t="s">
        <v>3</v>
      </c>
      <c r="F5" s="23" t="s">
        <v>4</v>
      </c>
      <c r="G5" s="23" t="s">
        <v>5</v>
      </c>
      <c r="H5" s="23" t="s">
        <v>6</v>
      </c>
      <c r="I5" s="23" t="s">
        <v>7</v>
      </c>
      <c r="J5" s="23"/>
      <c r="K5" s="23"/>
    </row>
    <row r="6" spans="1:10" ht="12.75">
      <c r="A6" s="22" t="s">
        <v>116</v>
      </c>
      <c r="B6" s="24">
        <v>39814</v>
      </c>
      <c r="C6" s="24">
        <v>39867</v>
      </c>
      <c r="D6" s="24">
        <v>40248</v>
      </c>
      <c r="E6" s="24">
        <v>40588</v>
      </c>
      <c r="F6" s="24">
        <v>41392</v>
      </c>
      <c r="G6" s="24">
        <v>41335</v>
      </c>
      <c r="H6" s="24">
        <v>42301</v>
      </c>
      <c r="I6" s="24">
        <v>42186</v>
      </c>
      <c r="J6" s="3"/>
    </row>
    <row r="7" spans="1:10" ht="12.75">
      <c r="A7" s="22" t="s">
        <v>141</v>
      </c>
      <c r="B7" s="24">
        <v>3918</v>
      </c>
      <c r="C7" s="24">
        <v>3861</v>
      </c>
      <c r="D7" s="24">
        <v>3785</v>
      </c>
      <c r="E7" s="24">
        <v>3698</v>
      </c>
      <c r="F7" s="3">
        <v>3417</v>
      </c>
      <c r="G7" s="3">
        <v>3370</v>
      </c>
      <c r="H7" s="3">
        <v>3180</v>
      </c>
      <c r="I7" s="3">
        <v>3188</v>
      </c>
      <c r="J7" s="3"/>
    </row>
    <row r="8" spans="1:10" ht="12.75">
      <c r="A8" s="21" t="s">
        <v>95</v>
      </c>
      <c r="B8" s="25">
        <f>SUM(B6:B7)</f>
        <v>43732</v>
      </c>
      <c r="C8" s="25">
        <f aca="true" t="shared" si="0" ref="C8:I8">SUM(C6:C7)</f>
        <v>43728</v>
      </c>
      <c r="D8" s="25">
        <f t="shared" si="0"/>
        <v>44033</v>
      </c>
      <c r="E8" s="25">
        <f t="shared" si="0"/>
        <v>44286</v>
      </c>
      <c r="F8" s="25">
        <f t="shared" si="0"/>
        <v>44809</v>
      </c>
      <c r="G8" s="25">
        <f t="shared" si="0"/>
        <v>44705</v>
      </c>
      <c r="H8" s="25">
        <f t="shared" si="0"/>
        <v>45481</v>
      </c>
      <c r="I8" s="25">
        <f t="shared" si="0"/>
        <v>45374</v>
      </c>
      <c r="J8" s="3"/>
    </row>
    <row r="9" spans="1:10" ht="12.75">
      <c r="A9" s="22" t="s">
        <v>8</v>
      </c>
      <c r="B9" s="24"/>
      <c r="C9" s="24"/>
      <c r="D9" s="24"/>
      <c r="E9" s="24"/>
      <c r="F9" s="3"/>
      <c r="G9" s="3"/>
      <c r="H9" s="3"/>
      <c r="I9" s="3"/>
      <c r="J9" s="3"/>
    </row>
    <row r="10" spans="1:5" ht="12.75">
      <c r="A10" s="21" t="s">
        <v>150</v>
      </c>
      <c r="B10" s="26"/>
      <c r="C10" s="22"/>
      <c r="D10" s="26"/>
      <c r="E10" s="27"/>
    </row>
    <row r="11" spans="1:9" ht="12.75">
      <c r="A11" s="22" t="s">
        <v>120</v>
      </c>
      <c r="B11" s="24">
        <f>B8*2.56</f>
        <v>111953.92</v>
      </c>
      <c r="C11" s="24">
        <f>C8*2.56</f>
        <v>111943.68000000001</v>
      </c>
      <c r="D11" s="24">
        <f aca="true" t="shared" si="1" ref="D11:I11">D8*4.23</f>
        <v>186259.59000000003</v>
      </c>
      <c r="E11" s="24">
        <f t="shared" si="1"/>
        <v>187329.78000000003</v>
      </c>
      <c r="F11" s="24">
        <f t="shared" si="1"/>
        <v>189542.07</v>
      </c>
      <c r="G11" s="24">
        <f t="shared" si="1"/>
        <v>189102.15000000002</v>
      </c>
      <c r="H11" s="24">
        <f t="shared" si="1"/>
        <v>192384.63000000003</v>
      </c>
      <c r="I11" s="24">
        <f t="shared" si="1"/>
        <v>191932.02000000002</v>
      </c>
    </row>
    <row r="12" spans="1:9" s="3" customFormat="1" ht="12.75">
      <c r="A12" s="24" t="s">
        <v>98</v>
      </c>
      <c r="B12" s="24">
        <f>3716+1700</f>
        <v>5416</v>
      </c>
      <c r="C12" s="24">
        <f>3650+1580</f>
        <v>5230</v>
      </c>
      <c r="D12" s="24">
        <f>3458+1557</f>
        <v>5015</v>
      </c>
      <c r="E12" s="24">
        <f>3451+1541</f>
        <v>4992</v>
      </c>
      <c r="F12" s="3">
        <f>2989+1602</f>
        <v>4591</v>
      </c>
      <c r="G12" s="3">
        <f>3139+1421</f>
        <v>4560</v>
      </c>
      <c r="H12" s="3">
        <f>2917+1412</f>
        <v>4329</v>
      </c>
      <c r="I12" s="3">
        <f>2961+1364</f>
        <v>4325</v>
      </c>
    </row>
    <row r="13" spans="1:5" ht="12.75">
      <c r="A13" s="22" t="s">
        <v>121</v>
      </c>
      <c r="B13" s="24"/>
      <c r="C13" s="22"/>
      <c r="D13" s="24"/>
      <c r="E13" s="24"/>
    </row>
    <row r="14" spans="1:9" ht="12.75">
      <c r="A14" s="21" t="s">
        <v>122</v>
      </c>
      <c r="B14" s="38">
        <f>SUM(B11:B13)</f>
        <v>117369.92</v>
      </c>
      <c r="C14" s="38">
        <f aca="true" t="shared" si="2" ref="C14:I14">SUM(C11:C13)</f>
        <v>117173.68000000001</v>
      </c>
      <c r="D14" s="38">
        <f t="shared" si="2"/>
        <v>191274.59000000003</v>
      </c>
      <c r="E14" s="38">
        <f t="shared" si="2"/>
        <v>192321.78000000003</v>
      </c>
      <c r="F14" s="38">
        <f t="shared" si="2"/>
        <v>194133.07</v>
      </c>
      <c r="G14" s="38">
        <f t="shared" si="2"/>
        <v>193662.15000000002</v>
      </c>
      <c r="H14" s="38">
        <f t="shared" si="2"/>
        <v>196713.63000000003</v>
      </c>
      <c r="I14" s="38">
        <f t="shared" si="2"/>
        <v>196257.02000000002</v>
      </c>
    </row>
    <row r="15" spans="1:5" ht="12.75">
      <c r="A15" s="22"/>
      <c r="B15" s="24"/>
      <c r="C15" s="22"/>
      <c r="D15" s="24"/>
      <c r="E15" s="24"/>
    </row>
    <row r="16" spans="1:13" ht="12.75">
      <c r="A16" s="44" t="s">
        <v>151</v>
      </c>
      <c r="B16" s="39">
        <f>B8*0.28</f>
        <v>12244.960000000001</v>
      </c>
      <c r="C16" s="39">
        <f>C8*0.28</f>
        <v>12243.840000000002</v>
      </c>
      <c r="D16" s="39">
        <f aca="true" t="shared" si="3" ref="D16:I16">D8*0.51</f>
        <v>22456.83</v>
      </c>
      <c r="E16" s="39">
        <f t="shared" si="3"/>
        <v>22585.86</v>
      </c>
      <c r="F16" s="39">
        <f t="shared" si="3"/>
        <v>22852.59</v>
      </c>
      <c r="G16" s="39">
        <f t="shared" si="3"/>
        <v>22799.55</v>
      </c>
      <c r="H16" s="39">
        <f t="shared" si="3"/>
        <v>23195.31</v>
      </c>
      <c r="I16" s="39">
        <f t="shared" si="3"/>
        <v>23140.74</v>
      </c>
      <c r="J16" s="3"/>
      <c r="K16" s="3"/>
      <c r="L16" s="3"/>
      <c r="M16" s="3"/>
    </row>
    <row r="17" spans="2:13" s="31" customFormat="1" ht="12.75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12.75">
      <c r="A18" s="21" t="s">
        <v>123</v>
      </c>
      <c r="B18" s="23" t="s">
        <v>0</v>
      </c>
      <c r="C18" s="23" t="s">
        <v>1</v>
      </c>
      <c r="D18" s="23" t="s">
        <v>2</v>
      </c>
      <c r="E18" s="23" t="s">
        <v>3</v>
      </c>
      <c r="F18" s="23" t="s">
        <v>4</v>
      </c>
      <c r="G18" s="23" t="s">
        <v>5</v>
      </c>
      <c r="H18" s="23" t="s">
        <v>6</v>
      </c>
      <c r="I18" s="23" t="s">
        <v>7</v>
      </c>
      <c r="J18" s="3"/>
      <c r="K18" s="3"/>
      <c r="L18" s="3"/>
      <c r="M18" s="3"/>
    </row>
    <row r="19" spans="1:13" ht="12.75">
      <c r="A19" s="22" t="s">
        <v>125</v>
      </c>
      <c r="B19" s="24">
        <f>423+136</f>
        <v>559</v>
      </c>
      <c r="C19" s="24">
        <f>422+134</f>
        <v>556</v>
      </c>
      <c r="D19" s="24">
        <f>423+130</f>
        <v>553</v>
      </c>
      <c r="E19" s="24">
        <f>426+126</f>
        <v>552</v>
      </c>
      <c r="F19" s="24">
        <f>402+130</f>
        <v>532</v>
      </c>
      <c r="G19" s="24">
        <f>401+131</f>
        <v>532</v>
      </c>
      <c r="H19" s="24">
        <f>396+131</f>
        <v>527</v>
      </c>
      <c r="I19" s="24">
        <v>0</v>
      </c>
      <c r="J19" s="3"/>
      <c r="K19" s="3"/>
      <c r="L19" s="3"/>
      <c r="M19" s="3"/>
    </row>
    <row r="20" spans="1:13" ht="12.75">
      <c r="A20" s="22" t="s">
        <v>96</v>
      </c>
      <c r="B20" s="24">
        <f>27+2</f>
        <v>29</v>
      </c>
      <c r="C20" s="24">
        <v>28</v>
      </c>
      <c r="D20" s="24">
        <v>28</v>
      </c>
      <c r="E20" s="24">
        <v>28</v>
      </c>
      <c r="F20" s="24">
        <v>28</v>
      </c>
      <c r="G20" s="3">
        <v>23</v>
      </c>
      <c r="H20" s="3">
        <v>24</v>
      </c>
      <c r="I20" s="3">
        <v>0</v>
      </c>
      <c r="J20" s="3"/>
      <c r="K20" s="3"/>
      <c r="L20" s="3"/>
      <c r="M20" s="3"/>
    </row>
    <row r="21" spans="1:13" ht="12.75">
      <c r="A21" s="21" t="s">
        <v>95</v>
      </c>
      <c r="B21" s="25">
        <f aca="true" t="shared" si="4" ref="B21:I21">SUM(B19:B20)</f>
        <v>588</v>
      </c>
      <c r="C21" s="25">
        <f t="shared" si="4"/>
        <v>584</v>
      </c>
      <c r="D21" s="25">
        <f t="shared" si="4"/>
        <v>581</v>
      </c>
      <c r="E21" s="25">
        <f t="shared" si="4"/>
        <v>580</v>
      </c>
      <c r="F21" s="25">
        <f t="shared" si="4"/>
        <v>560</v>
      </c>
      <c r="G21" s="25">
        <f t="shared" si="4"/>
        <v>555</v>
      </c>
      <c r="H21" s="25">
        <f t="shared" si="4"/>
        <v>551</v>
      </c>
      <c r="I21" s="25">
        <f t="shared" si="4"/>
        <v>0</v>
      </c>
      <c r="J21" s="3"/>
      <c r="K21" s="3"/>
      <c r="L21" s="3"/>
      <c r="M21" s="3"/>
    </row>
    <row r="22" spans="2:13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21" t="s">
        <v>150</v>
      </c>
      <c r="B23" s="26"/>
      <c r="C23" s="22"/>
      <c r="D23" s="26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22" t="s">
        <v>120</v>
      </c>
      <c r="B24" s="24">
        <f>B21*2.56</f>
        <v>1505.28</v>
      </c>
      <c r="C24" s="24">
        <f>C21*2.56</f>
        <v>1495.04</v>
      </c>
      <c r="D24" s="24">
        <f>D21*4.23</f>
        <v>2457.63</v>
      </c>
      <c r="E24" s="24">
        <f>E21*4.23</f>
        <v>2453.4</v>
      </c>
      <c r="F24" s="24">
        <f>F21*4.23</f>
        <v>2368.8</v>
      </c>
      <c r="G24" s="24">
        <f>G21*4.23</f>
        <v>2347.65</v>
      </c>
      <c r="H24" s="24">
        <f>H21*4.23</f>
        <v>2330.73</v>
      </c>
      <c r="I24" s="3"/>
      <c r="J24" s="3"/>
      <c r="K24" s="3"/>
      <c r="L24" s="3"/>
      <c r="M24" s="3"/>
    </row>
    <row r="25" spans="1:13" ht="12.75">
      <c r="A25" s="24" t="s">
        <v>205</v>
      </c>
      <c r="B25" s="24">
        <f>B20*0.75</f>
        <v>21.75</v>
      </c>
      <c r="C25" s="24">
        <f aca="true" t="shared" si="5" ref="C25:H25">C20*0.75</f>
        <v>21</v>
      </c>
      <c r="D25" s="24">
        <f t="shared" si="5"/>
        <v>21</v>
      </c>
      <c r="E25" s="24">
        <f t="shared" si="5"/>
        <v>21</v>
      </c>
      <c r="F25" s="24">
        <f t="shared" si="5"/>
        <v>21</v>
      </c>
      <c r="G25" s="24">
        <f t="shared" si="5"/>
        <v>17.25</v>
      </c>
      <c r="H25" s="24">
        <f t="shared" si="5"/>
        <v>18</v>
      </c>
      <c r="I25" s="3"/>
      <c r="J25" s="3"/>
      <c r="K25" s="3"/>
      <c r="L25" s="3"/>
      <c r="M25" s="3"/>
    </row>
    <row r="26" spans="1:13" ht="12.75">
      <c r="A26" s="22" t="s">
        <v>121</v>
      </c>
      <c r="B26" s="24"/>
      <c r="C26" s="22"/>
      <c r="D26" s="24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21" t="s">
        <v>122</v>
      </c>
      <c r="B27" s="38">
        <f>SUM(B24:B26)</f>
        <v>1527.03</v>
      </c>
      <c r="C27" s="38">
        <f aca="true" t="shared" si="6" ref="C27:H27">SUM(C24:C26)</f>
        <v>1516.04</v>
      </c>
      <c r="D27" s="38">
        <f t="shared" si="6"/>
        <v>2478.63</v>
      </c>
      <c r="E27" s="38">
        <f t="shared" si="6"/>
        <v>2474.4</v>
      </c>
      <c r="F27" s="38">
        <f t="shared" si="6"/>
        <v>2389.8</v>
      </c>
      <c r="G27" s="38">
        <f t="shared" si="6"/>
        <v>2364.9</v>
      </c>
      <c r="H27" s="38">
        <f t="shared" si="6"/>
        <v>2348.73</v>
      </c>
      <c r="I27" s="25">
        <f>SUM(I24:I26)</f>
        <v>0</v>
      </c>
      <c r="J27" s="3"/>
      <c r="K27" s="3"/>
      <c r="L27" s="3"/>
      <c r="M27" s="3"/>
    </row>
    <row r="28" spans="2:13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44" t="s">
        <v>151</v>
      </c>
      <c r="B29" s="39">
        <f>B21*0.28</f>
        <v>164.64000000000001</v>
      </c>
      <c r="C29" s="39">
        <f>C21*0.28</f>
        <v>163.52</v>
      </c>
      <c r="D29" s="39">
        <f>D21*0.51</f>
        <v>296.31</v>
      </c>
      <c r="E29" s="39">
        <f>E21*0.51</f>
        <v>295.8</v>
      </c>
      <c r="F29" s="39">
        <f>F21*0.51</f>
        <v>285.6</v>
      </c>
      <c r="G29" s="39">
        <f>G21*0.51</f>
        <v>283.05</v>
      </c>
      <c r="H29" s="39">
        <f>H21*0.51</f>
        <v>281.01</v>
      </c>
      <c r="I29" s="3"/>
      <c r="J29" s="3"/>
      <c r="K29" s="3"/>
      <c r="L29" s="3"/>
      <c r="M29" s="3"/>
    </row>
    <row r="30" spans="2:13" s="31" customFormat="1" ht="12.7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1:13" s="28" customFormat="1" ht="12.75">
      <c r="A31" s="2" t="s">
        <v>127</v>
      </c>
      <c r="B31" s="23" t="s">
        <v>0</v>
      </c>
      <c r="C31" s="23" t="s">
        <v>1</v>
      </c>
      <c r="D31" s="23" t="s">
        <v>2</v>
      </c>
      <c r="E31" s="23" t="s">
        <v>3</v>
      </c>
      <c r="F31" s="23" t="s">
        <v>4</v>
      </c>
      <c r="G31" s="23" t="s">
        <v>5</v>
      </c>
      <c r="H31" s="23" t="s">
        <v>6</v>
      </c>
      <c r="I31" s="23" t="s">
        <v>7</v>
      </c>
      <c r="J31" s="15"/>
      <c r="K31" s="15"/>
      <c r="L31" s="15"/>
      <c r="M31" s="15"/>
    </row>
    <row r="32" spans="1:13" s="28" customFormat="1" ht="12.75">
      <c r="A32" s="1" t="s">
        <v>9</v>
      </c>
      <c r="B32" s="3">
        <v>1270</v>
      </c>
      <c r="C32" s="3">
        <v>1146</v>
      </c>
      <c r="D32" s="3">
        <v>1224</v>
      </c>
      <c r="E32" s="3">
        <v>1267</v>
      </c>
      <c r="F32" s="3">
        <v>1335</v>
      </c>
      <c r="G32" s="3">
        <v>1396</v>
      </c>
      <c r="H32" s="3">
        <v>1398</v>
      </c>
      <c r="I32" s="3"/>
      <c r="J32" s="15"/>
      <c r="K32" s="15"/>
      <c r="L32" s="15"/>
      <c r="M32" s="15"/>
    </row>
    <row r="33" spans="1:13" s="28" customFormat="1" ht="12.75">
      <c r="A33" s="22" t="s">
        <v>10</v>
      </c>
      <c r="B33" s="3">
        <v>113</v>
      </c>
      <c r="C33" s="3">
        <v>113</v>
      </c>
      <c r="D33" s="3">
        <v>127</v>
      </c>
      <c r="E33" s="3">
        <v>127</v>
      </c>
      <c r="F33" s="3">
        <v>60</v>
      </c>
      <c r="G33" s="3">
        <v>0</v>
      </c>
      <c r="H33" s="3">
        <v>0</v>
      </c>
      <c r="I33" s="3"/>
      <c r="J33" s="15"/>
      <c r="K33" s="15"/>
      <c r="L33" s="15"/>
      <c r="M33" s="15"/>
    </row>
    <row r="34" spans="1:13" s="28" customFormat="1" ht="12.75">
      <c r="A34" s="2" t="s">
        <v>128</v>
      </c>
      <c r="B34" s="4">
        <f aca="true" t="shared" si="7" ref="B34:I34">SUM(B32:B33)</f>
        <v>1383</v>
      </c>
      <c r="C34" s="4">
        <f t="shared" si="7"/>
        <v>1259</v>
      </c>
      <c r="D34" s="4">
        <f t="shared" si="7"/>
        <v>1351</v>
      </c>
      <c r="E34" s="4">
        <f t="shared" si="7"/>
        <v>1394</v>
      </c>
      <c r="F34" s="4">
        <f t="shared" si="7"/>
        <v>1395</v>
      </c>
      <c r="G34" s="4">
        <f t="shared" si="7"/>
        <v>1396</v>
      </c>
      <c r="H34" s="4">
        <f t="shared" si="7"/>
        <v>1398</v>
      </c>
      <c r="I34" s="4">
        <f t="shared" si="7"/>
        <v>0</v>
      </c>
      <c r="J34" s="15"/>
      <c r="K34" s="15"/>
      <c r="L34" s="15"/>
      <c r="M34" s="15"/>
    </row>
    <row r="35" spans="1:13" s="28" customFormat="1" ht="12.75">
      <c r="A35" s="1"/>
      <c r="B35" s="3"/>
      <c r="C35" s="3"/>
      <c r="D35" s="3"/>
      <c r="E35" s="3"/>
      <c r="F35" s="3"/>
      <c r="G35" s="3"/>
      <c r="H35" s="3"/>
      <c r="I35" s="3"/>
      <c r="J35" s="15"/>
      <c r="K35" s="15"/>
      <c r="L35" s="15"/>
      <c r="M35" s="15"/>
    </row>
    <row r="36" spans="1:13" s="28" customFormat="1" ht="12.75">
      <c r="A36" s="21" t="s">
        <v>150</v>
      </c>
      <c r="B36" s="26"/>
      <c r="C36" s="22"/>
      <c r="D36" s="26"/>
      <c r="E36" s="3"/>
      <c r="F36" s="3"/>
      <c r="G36" s="3"/>
      <c r="H36" s="3"/>
      <c r="I36" s="3"/>
      <c r="J36" s="15"/>
      <c r="K36" s="15"/>
      <c r="L36" s="15"/>
      <c r="M36" s="15"/>
    </row>
    <row r="37" spans="1:13" s="28" customFormat="1" ht="12.75">
      <c r="A37" s="22" t="s">
        <v>120</v>
      </c>
      <c r="B37" s="24">
        <f>B34*2.56</f>
        <v>3540.48</v>
      </c>
      <c r="C37" s="24">
        <f>C34*2.56</f>
        <v>3223.04</v>
      </c>
      <c r="D37" s="24">
        <f>D34*4.23</f>
        <v>5714.7300000000005</v>
      </c>
      <c r="E37" s="24">
        <f>E34*4.23</f>
        <v>5896.620000000001</v>
      </c>
      <c r="F37" s="24">
        <f>F34*4.23</f>
        <v>5900.85</v>
      </c>
      <c r="G37" s="24">
        <f>G34*4.23</f>
        <v>5905.080000000001</v>
      </c>
      <c r="H37" s="24">
        <f>H34*4.23</f>
        <v>5913.540000000001</v>
      </c>
      <c r="I37" s="3"/>
      <c r="J37" s="15"/>
      <c r="K37" s="15"/>
      <c r="L37" s="15"/>
      <c r="M37" s="15"/>
    </row>
    <row r="38" spans="1:13" s="28" customFormat="1" ht="12.75">
      <c r="A38" s="24" t="s">
        <v>205</v>
      </c>
      <c r="B38" s="24">
        <f>B33*0.75</f>
        <v>84.75</v>
      </c>
      <c r="C38" s="24">
        <f aca="true" t="shared" si="8" ref="C38:H38">C33*0.75</f>
        <v>84.75</v>
      </c>
      <c r="D38" s="24">
        <f t="shared" si="8"/>
        <v>95.25</v>
      </c>
      <c r="E38" s="24">
        <f t="shared" si="8"/>
        <v>95.25</v>
      </c>
      <c r="F38" s="24">
        <f t="shared" si="8"/>
        <v>45</v>
      </c>
      <c r="G38" s="24">
        <f t="shared" si="8"/>
        <v>0</v>
      </c>
      <c r="H38" s="24">
        <f t="shared" si="8"/>
        <v>0</v>
      </c>
      <c r="I38" s="3"/>
      <c r="J38" s="15"/>
      <c r="K38" s="15"/>
      <c r="L38" s="15"/>
      <c r="M38" s="15"/>
    </row>
    <row r="39" spans="1:13" s="28" customFormat="1" ht="12.75">
      <c r="A39" s="21" t="s">
        <v>122</v>
      </c>
      <c r="B39" s="40">
        <f>SUM(B37:B38)</f>
        <v>3625.23</v>
      </c>
      <c r="C39" s="40">
        <f aca="true" t="shared" si="9" ref="C39:H39">SUM(C37:C38)</f>
        <v>3307.79</v>
      </c>
      <c r="D39" s="40">
        <f t="shared" si="9"/>
        <v>5809.9800000000005</v>
      </c>
      <c r="E39" s="40">
        <f t="shared" si="9"/>
        <v>5991.870000000001</v>
      </c>
      <c r="F39" s="40">
        <f t="shared" si="9"/>
        <v>5945.85</v>
      </c>
      <c r="G39" s="40">
        <f t="shared" si="9"/>
        <v>5905.080000000001</v>
      </c>
      <c r="H39" s="40">
        <f t="shared" si="9"/>
        <v>5913.540000000001</v>
      </c>
      <c r="I39" s="3"/>
      <c r="J39" s="15"/>
      <c r="K39" s="15"/>
      <c r="L39" s="15"/>
      <c r="M39" s="15"/>
    </row>
    <row r="40" spans="1:13" s="28" customFormat="1" ht="12.75">
      <c r="A40" s="29"/>
      <c r="B40" s="30"/>
      <c r="C40" s="30"/>
      <c r="D40" s="30"/>
      <c r="E40" s="30"/>
      <c r="F40" s="30"/>
      <c r="G40" s="30"/>
      <c r="H40" s="30"/>
      <c r="I40" s="30"/>
      <c r="J40" s="15"/>
      <c r="K40" s="15"/>
      <c r="L40" s="15"/>
      <c r="M40" s="15"/>
    </row>
    <row r="41" spans="2:13" s="31" customFormat="1" ht="12.7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12.75">
      <c r="A42" s="21" t="s">
        <v>124</v>
      </c>
      <c r="B42" s="23" t="s">
        <v>0</v>
      </c>
      <c r="C42" s="23" t="s">
        <v>1</v>
      </c>
      <c r="D42" s="23" t="s">
        <v>2</v>
      </c>
      <c r="E42" s="23" t="s">
        <v>3</v>
      </c>
      <c r="F42" s="23" t="s">
        <v>4</v>
      </c>
      <c r="G42" s="23" t="s">
        <v>5</v>
      </c>
      <c r="H42" s="23" t="s">
        <v>6</v>
      </c>
      <c r="I42" s="23" t="s">
        <v>7</v>
      </c>
      <c r="J42" s="3"/>
      <c r="K42" s="3"/>
      <c r="L42" s="3"/>
      <c r="M42" s="3"/>
    </row>
    <row r="43" spans="1:13" ht="12.75">
      <c r="A43" s="22" t="s">
        <v>42</v>
      </c>
      <c r="B43" s="24">
        <f>6449</f>
        <v>6449</v>
      </c>
      <c r="C43" s="24">
        <f>6483</f>
        <v>6483</v>
      </c>
      <c r="D43" s="24">
        <f>6552</f>
        <v>6552</v>
      </c>
      <c r="E43" s="24">
        <f>6571</f>
        <v>6571</v>
      </c>
      <c r="F43" s="24">
        <f>6519</f>
        <v>6519</v>
      </c>
      <c r="G43" s="24">
        <f>6503</f>
        <v>6503</v>
      </c>
      <c r="H43" s="24">
        <f>6480</f>
        <v>6480</v>
      </c>
      <c r="I43" s="24">
        <v>0</v>
      </c>
      <c r="J43" s="3"/>
      <c r="K43" s="3"/>
      <c r="L43" s="3"/>
      <c r="M43" s="3"/>
    </row>
    <row r="44" spans="1:13" ht="12.75">
      <c r="A44" s="22" t="s">
        <v>126</v>
      </c>
      <c r="B44" s="24">
        <v>519</v>
      </c>
      <c r="C44" s="24">
        <v>519</v>
      </c>
      <c r="D44" s="24">
        <v>518</v>
      </c>
      <c r="E44" s="24">
        <v>518</v>
      </c>
      <c r="F44" s="24">
        <v>635</v>
      </c>
      <c r="G44" s="3">
        <v>635</v>
      </c>
      <c r="H44" s="3">
        <v>635</v>
      </c>
      <c r="I44" s="3">
        <v>0</v>
      </c>
      <c r="J44" s="3"/>
      <c r="K44" s="3"/>
      <c r="L44" s="3"/>
      <c r="M44" s="3"/>
    </row>
    <row r="45" spans="1:13" ht="12.75">
      <c r="A45" s="21" t="s">
        <v>122</v>
      </c>
      <c r="B45" s="25">
        <f aca="true" t="shared" si="10" ref="B45:I45">SUM(B43:B44)</f>
        <v>6968</v>
      </c>
      <c r="C45" s="25">
        <f t="shared" si="10"/>
        <v>7002</v>
      </c>
      <c r="D45" s="25">
        <f t="shared" si="10"/>
        <v>7070</v>
      </c>
      <c r="E45" s="25">
        <f t="shared" si="10"/>
        <v>7089</v>
      </c>
      <c r="F45" s="25">
        <f t="shared" si="10"/>
        <v>7154</v>
      </c>
      <c r="G45" s="25">
        <f t="shared" si="10"/>
        <v>7138</v>
      </c>
      <c r="H45" s="25">
        <f t="shared" si="10"/>
        <v>7115</v>
      </c>
      <c r="I45" s="25">
        <f t="shared" si="10"/>
        <v>0</v>
      </c>
      <c r="J45" s="3"/>
      <c r="K45" s="3"/>
      <c r="L45" s="3"/>
      <c r="M45" s="3"/>
    </row>
    <row r="46" spans="2:13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21" t="s">
        <v>119</v>
      </c>
      <c r="B47" s="26"/>
      <c r="C47" s="22"/>
      <c r="D47" s="26"/>
      <c r="E47" s="3"/>
      <c r="F47" s="3"/>
      <c r="G47" s="3"/>
      <c r="H47" s="3"/>
      <c r="I47" s="3"/>
      <c r="J47" s="3"/>
      <c r="K47" s="3"/>
      <c r="L47" s="3"/>
      <c r="M47" s="3"/>
    </row>
    <row r="48" spans="1:13" ht="12.75">
      <c r="A48" s="22" t="s">
        <v>120</v>
      </c>
      <c r="B48" s="24">
        <f>B43*3.19</f>
        <v>20572.31</v>
      </c>
      <c r="C48" s="24">
        <f aca="true" t="shared" si="11" ref="C48:H48">C43*3.19</f>
        <v>20680.77</v>
      </c>
      <c r="D48" s="24">
        <f t="shared" si="11"/>
        <v>20900.88</v>
      </c>
      <c r="E48" s="24">
        <f t="shared" si="11"/>
        <v>20961.489999999998</v>
      </c>
      <c r="F48" s="24">
        <f t="shared" si="11"/>
        <v>20795.61</v>
      </c>
      <c r="G48" s="24">
        <f t="shared" si="11"/>
        <v>20744.57</v>
      </c>
      <c r="H48" s="24">
        <f t="shared" si="11"/>
        <v>20671.2</v>
      </c>
      <c r="I48" s="3"/>
      <c r="J48" s="3"/>
      <c r="K48" s="3"/>
      <c r="L48" s="3"/>
      <c r="M48" s="3"/>
    </row>
    <row r="49" spans="1:13" ht="12.75">
      <c r="A49" s="22" t="s">
        <v>126</v>
      </c>
      <c r="B49" s="24">
        <f>B44*0.75</f>
        <v>389.25</v>
      </c>
      <c r="C49" s="24">
        <f aca="true" t="shared" si="12" ref="C49:H49">C44*0.75</f>
        <v>389.25</v>
      </c>
      <c r="D49" s="24">
        <f t="shared" si="12"/>
        <v>388.5</v>
      </c>
      <c r="E49" s="24">
        <f t="shared" si="12"/>
        <v>388.5</v>
      </c>
      <c r="F49" s="24">
        <f t="shared" si="12"/>
        <v>476.25</v>
      </c>
      <c r="G49" s="24">
        <f t="shared" si="12"/>
        <v>476.25</v>
      </c>
      <c r="H49" s="24">
        <f t="shared" si="12"/>
        <v>476.25</v>
      </c>
      <c r="I49" s="3"/>
      <c r="J49" s="3"/>
      <c r="K49" s="3"/>
      <c r="L49" s="3"/>
      <c r="M49" s="3"/>
    </row>
    <row r="50" spans="1:13" ht="12.75">
      <c r="A50" s="22" t="s">
        <v>121</v>
      </c>
      <c r="B50" s="24"/>
      <c r="C50" s="22"/>
      <c r="D50" s="24"/>
      <c r="E50" s="3"/>
      <c r="F50" s="3"/>
      <c r="G50" s="3"/>
      <c r="H50" s="3"/>
      <c r="I50" s="3"/>
      <c r="J50" s="3"/>
      <c r="K50" s="3"/>
      <c r="L50" s="3"/>
      <c r="M50" s="3"/>
    </row>
    <row r="51" spans="1:13" ht="12.75">
      <c r="A51" s="21" t="s">
        <v>122</v>
      </c>
      <c r="B51" s="38">
        <f>SUM(B48:B50)</f>
        <v>20961.56</v>
      </c>
      <c r="C51" s="38">
        <f aca="true" t="shared" si="13" ref="C51:H51">SUM(C48:C50)</f>
        <v>21070.02</v>
      </c>
      <c r="D51" s="38">
        <f t="shared" si="13"/>
        <v>21289.38</v>
      </c>
      <c r="E51" s="38">
        <f t="shared" si="13"/>
        <v>21349.989999999998</v>
      </c>
      <c r="F51" s="38">
        <f t="shared" si="13"/>
        <v>21271.86</v>
      </c>
      <c r="G51" s="38">
        <f t="shared" si="13"/>
        <v>21220.82</v>
      </c>
      <c r="H51" s="38">
        <f t="shared" si="13"/>
        <v>21147.45</v>
      </c>
      <c r="I51" s="25">
        <f>SUM(I48:I50)</f>
        <v>0</v>
      </c>
      <c r="J51" s="3"/>
      <c r="K51" s="3"/>
      <c r="L51" s="3"/>
      <c r="M51" s="3"/>
    </row>
    <row r="52" spans="2:13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75">
      <c r="A53" s="44" t="s">
        <v>215</v>
      </c>
      <c r="B53" s="39">
        <f>B43*0.15</f>
        <v>967.3499999999999</v>
      </c>
      <c r="C53" s="39">
        <f aca="true" t="shared" si="14" ref="C53:H53">C43*0.15</f>
        <v>972.4499999999999</v>
      </c>
      <c r="D53" s="39">
        <f t="shared" si="14"/>
        <v>982.8</v>
      </c>
      <c r="E53" s="39">
        <f t="shared" si="14"/>
        <v>985.65</v>
      </c>
      <c r="F53" s="39">
        <f t="shared" si="14"/>
        <v>977.8499999999999</v>
      </c>
      <c r="G53" s="39">
        <f t="shared" si="14"/>
        <v>975.4499999999999</v>
      </c>
      <c r="H53" s="39">
        <f t="shared" si="14"/>
        <v>972</v>
      </c>
      <c r="I53" s="3"/>
      <c r="J53" s="3"/>
      <c r="K53" s="3"/>
      <c r="L53" s="3"/>
      <c r="M53" s="3"/>
    </row>
    <row r="54" spans="1:13" ht="12.75">
      <c r="A54" s="44" t="s">
        <v>214</v>
      </c>
      <c r="B54" s="39">
        <f>60+10</f>
        <v>70</v>
      </c>
      <c r="C54" s="39">
        <f aca="true" t="shared" si="15" ref="C54:H54">60+10</f>
        <v>70</v>
      </c>
      <c r="D54" s="39">
        <f t="shared" si="15"/>
        <v>70</v>
      </c>
      <c r="E54" s="39">
        <f t="shared" si="15"/>
        <v>70</v>
      </c>
      <c r="F54" s="39">
        <f t="shared" si="15"/>
        <v>70</v>
      </c>
      <c r="G54" s="39">
        <f t="shared" si="15"/>
        <v>70</v>
      </c>
      <c r="H54" s="39">
        <f t="shared" si="15"/>
        <v>70</v>
      </c>
      <c r="I54" s="3"/>
      <c r="J54" s="3"/>
      <c r="K54" s="3"/>
      <c r="L54" s="3"/>
      <c r="M54" s="3"/>
    </row>
    <row r="55" spans="2:13" s="31" customFormat="1" ht="12.7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2.75">
      <c r="A56" s="2" t="s">
        <v>129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2" t="s">
        <v>136</v>
      </c>
      <c r="B57" s="23" t="s">
        <v>0</v>
      </c>
      <c r="C57" s="23" t="s">
        <v>1</v>
      </c>
      <c r="D57" s="23" t="s">
        <v>2</v>
      </c>
      <c r="E57" s="23" t="s">
        <v>3</v>
      </c>
      <c r="F57" s="23" t="s">
        <v>4</v>
      </c>
      <c r="G57" s="23" t="s">
        <v>5</v>
      </c>
      <c r="H57" s="23" t="s">
        <v>6</v>
      </c>
      <c r="I57" s="23" t="s">
        <v>7</v>
      </c>
      <c r="J57" s="3"/>
      <c r="K57" s="3"/>
      <c r="L57" s="3"/>
      <c r="M57" s="3"/>
    </row>
    <row r="58" spans="1:13" ht="12.75">
      <c r="A58" s="1" t="s">
        <v>130</v>
      </c>
      <c r="B58" s="3">
        <f>B6</f>
        <v>39814</v>
      </c>
      <c r="C58" s="3">
        <f aca="true" t="shared" si="16" ref="C58:I58">C6</f>
        <v>39867</v>
      </c>
      <c r="D58" s="3">
        <f t="shared" si="16"/>
        <v>40248</v>
      </c>
      <c r="E58" s="3">
        <f t="shared" si="16"/>
        <v>40588</v>
      </c>
      <c r="F58" s="3">
        <f t="shared" si="16"/>
        <v>41392</v>
      </c>
      <c r="G58" s="3">
        <f t="shared" si="16"/>
        <v>41335</v>
      </c>
      <c r="H58" s="3">
        <f t="shared" si="16"/>
        <v>42301</v>
      </c>
      <c r="I58" s="3">
        <f t="shared" si="16"/>
        <v>42186</v>
      </c>
      <c r="J58" s="3"/>
      <c r="K58" s="3"/>
      <c r="L58" s="3"/>
      <c r="M58" s="3"/>
    </row>
    <row r="59" spans="1:13" ht="12.75">
      <c r="A59" s="1" t="s">
        <v>131</v>
      </c>
      <c r="B59" s="3">
        <f>B7</f>
        <v>3918</v>
      </c>
      <c r="C59" s="3">
        <f aca="true" t="shared" si="17" ref="C59:I59">C7</f>
        <v>3861</v>
      </c>
      <c r="D59" s="3">
        <f t="shared" si="17"/>
        <v>3785</v>
      </c>
      <c r="E59" s="3">
        <f t="shared" si="17"/>
        <v>3698</v>
      </c>
      <c r="F59" s="3">
        <f t="shared" si="17"/>
        <v>3417</v>
      </c>
      <c r="G59" s="3">
        <f t="shared" si="17"/>
        <v>3370</v>
      </c>
      <c r="H59" s="3">
        <f t="shared" si="17"/>
        <v>3180</v>
      </c>
      <c r="I59" s="3">
        <f t="shared" si="17"/>
        <v>3188</v>
      </c>
      <c r="J59" s="3"/>
      <c r="K59" s="3"/>
      <c r="L59" s="3"/>
      <c r="M59" s="3"/>
    </row>
    <row r="60" spans="1:13" ht="12.75">
      <c r="A60" s="33" t="s">
        <v>132</v>
      </c>
      <c r="B60" s="18">
        <f>+B19</f>
        <v>559</v>
      </c>
      <c r="C60" s="18">
        <f aca="true" t="shared" si="18" ref="C60:I60">+C19</f>
        <v>556</v>
      </c>
      <c r="D60" s="18">
        <f t="shared" si="18"/>
        <v>553</v>
      </c>
      <c r="E60" s="18">
        <f t="shared" si="18"/>
        <v>552</v>
      </c>
      <c r="F60" s="18">
        <f t="shared" si="18"/>
        <v>532</v>
      </c>
      <c r="G60" s="18">
        <f t="shared" si="18"/>
        <v>532</v>
      </c>
      <c r="H60" s="18">
        <f t="shared" si="18"/>
        <v>527</v>
      </c>
      <c r="I60" s="18">
        <f t="shared" si="18"/>
        <v>0</v>
      </c>
      <c r="J60" s="3"/>
      <c r="K60" s="3"/>
      <c r="L60" s="3"/>
      <c r="M60" s="3"/>
    </row>
    <row r="61" spans="1:13" ht="12.75">
      <c r="A61" s="33" t="s">
        <v>133</v>
      </c>
      <c r="B61" s="18">
        <f>+B20</f>
        <v>29</v>
      </c>
      <c r="C61" s="18">
        <f aca="true" t="shared" si="19" ref="C61:I61">+C20</f>
        <v>28</v>
      </c>
      <c r="D61" s="18">
        <f t="shared" si="19"/>
        <v>28</v>
      </c>
      <c r="E61" s="18">
        <f t="shared" si="19"/>
        <v>28</v>
      </c>
      <c r="F61" s="18">
        <f t="shared" si="19"/>
        <v>28</v>
      </c>
      <c r="G61" s="18">
        <f t="shared" si="19"/>
        <v>23</v>
      </c>
      <c r="H61" s="18">
        <f t="shared" si="19"/>
        <v>24</v>
      </c>
      <c r="I61" s="18">
        <f t="shared" si="19"/>
        <v>0</v>
      </c>
      <c r="J61" s="3"/>
      <c r="K61" s="3"/>
      <c r="L61" s="3"/>
      <c r="M61" s="3"/>
    </row>
    <row r="62" spans="1:13" ht="12.75">
      <c r="A62" s="1" t="s">
        <v>134</v>
      </c>
      <c r="B62" s="3">
        <f>+B32</f>
        <v>1270</v>
      </c>
      <c r="C62" s="3">
        <f aca="true" t="shared" si="20" ref="C62:I62">+C32</f>
        <v>1146</v>
      </c>
      <c r="D62" s="3">
        <f t="shared" si="20"/>
        <v>1224</v>
      </c>
      <c r="E62" s="3">
        <f t="shared" si="20"/>
        <v>1267</v>
      </c>
      <c r="F62" s="3">
        <f t="shared" si="20"/>
        <v>1335</v>
      </c>
      <c r="G62" s="3">
        <f t="shared" si="20"/>
        <v>1396</v>
      </c>
      <c r="H62" s="3">
        <f t="shared" si="20"/>
        <v>1398</v>
      </c>
      <c r="I62" s="3">
        <f t="shared" si="20"/>
        <v>0</v>
      </c>
      <c r="J62" s="3"/>
      <c r="K62" s="3"/>
      <c r="L62" s="3"/>
      <c r="M62" s="3"/>
    </row>
    <row r="63" spans="1:13" ht="12.75">
      <c r="A63" s="1" t="s">
        <v>135</v>
      </c>
      <c r="B63" s="3">
        <f>+B33</f>
        <v>113</v>
      </c>
      <c r="C63" s="3">
        <f aca="true" t="shared" si="21" ref="C63:I63">+C33</f>
        <v>113</v>
      </c>
      <c r="D63" s="3">
        <f t="shared" si="21"/>
        <v>127</v>
      </c>
      <c r="E63" s="3">
        <f t="shared" si="21"/>
        <v>127</v>
      </c>
      <c r="F63" s="3">
        <f t="shared" si="21"/>
        <v>60</v>
      </c>
      <c r="G63" s="3">
        <f t="shared" si="21"/>
        <v>0</v>
      </c>
      <c r="H63" s="3">
        <f t="shared" si="21"/>
        <v>0</v>
      </c>
      <c r="I63" s="3">
        <f t="shared" si="21"/>
        <v>0</v>
      </c>
      <c r="J63" s="3"/>
      <c r="K63" s="3"/>
      <c r="L63" s="3"/>
      <c r="M63" s="3"/>
    </row>
    <row r="64" spans="1:13" ht="12.75">
      <c r="A64" s="21" t="s">
        <v>13</v>
      </c>
      <c r="B64" s="34">
        <f>SUM(B58:B63)</f>
        <v>45703</v>
      </c>
      <c r="C64" s="34">
        <f aca="true" t="shared" si="22" ref="C64:I64">SUM(C58:C63)</f>
        <v>45571</v>
      </c>
      <c r="D64" s="34">
        <f t="shared" si="22"/>
        <v>45965</v>
      </c>
      <c r="E64" s="34">
        <f t="shared" si="22"/>
        <v>46260</v>
      </c>
      <c r="F64" s="34">
        <f t="shared" si="22"/>
        <v>46764</v>
      </c>
      <c r="G64" s="34">
        <f t="shared" si="22"/>
        <v>46656</v>
      </c>
      <c r="H64" s="34">
        <f t="shared" si="22"/>
        <v>47430</v>
      </c>
      <c r="I64" s="34">
        <f t="shared" si="22"/>
        <v>45374</v>
      </c>
      <c r="J64" s="3"/>
      <c r="K64" s="3"/>
      <c r="L64" s="3"/>
      <c r="M64" s="3"/>
    </row>
    <row r="65" spans="1:13" ht="12.75">
      <c r="A65" s="22"/>
      <c r="B65" s="24"/>
      <c r="C65" s="24"/>
      <c r="D65" s="46"/>
      <c r="E65" s="24"/>
      <c r="F65" s="24"/>
      <c r="G65" s="24"/>
      <c r="H65" s="24"/>
      <c r="I65" s="3"/>
      <c r="J65" s="3"/>
      <c r="K65" s="3"/>
      <c r="L65" s="3"/>
      <c r="M65" s="3"/>
    </row>
    <row r="66" spans="1:13" ht="12.75">
      <c r="A66" s="2" t="s">
        <v>129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75">
      <c r="A67" s="2" t="s">
        <v>149</v>
      </c>
      <c r="B67" s="23" t="s">
        <v>0</v>
      </c>
      <c r="C67" s="23" t="s">
        <v>1</v>
      </c>
      <c r="D67" s="23" t="s">
        <v>2</v>
      </c>
      <c r="E67" s="23" t="s">
        <v>3</v>
      </c>
      <c r="F67" s="23" t="s">
        <v>4</v>
      </c>
      <c r="G67" s="23" t="s">
        <v>5</v>
      </c>
      <c r="H67" s="23" t="s">
        <v>6</v>
      </c>
      <c r="I67" s="23" t="s">
        <v>7</v>
      </c>
      <c r="J67" s="3"/>
      <c r="K67" s="3"/>
      <c r="L67" s="3"/>
      <c r="M67" s="3"/>
    </row>
    <row r="68" spans="1:13" ht="12.75">
      <c r="A68" s="1" t="s">
        <v>130</v>
      </c>
      <c r="B68" s="3">
        <f>+B11</f>
        <v>111953.92</v>
      </c>
      <c r="C68" s="3">
        <f aca="true" t="shared" si="23" ref="C68:I68">+C11</f>
        <v>111943.68000000001</v>
      </c>
      <c r="D68" s="3">
        <f t="shared" si="23"/>
        <v>186259.59000000003</v>
      </c>
      <c r="E68" s="3">
        <f t="shared" si="23"/>
        <v>187329.78000000003</v>
      </c>
      <c r="F68" s="3">
        <f t="shared" si="23"/>
        <v>189542.07</v>
      </c>
      <c r="G68" s="3">
        <f t="shared" si="23"/>
        <v>189102.15000000002</v>
      </c>
      <c r="H68" s="3">
        <f t="shared" si="23"/>
        <v>192384.63000000003</v>
      </c>
      <c r="I68" s="3">
        <f t="shared" si="23"/>
        <v>191932.02000000002</v>
      </c>
      <c r="J68" s="3"/>
      <c r="K68" s="3"/>
      <c r="L68" s="3"/>
      <c r="M68" s="3"/>
    </row>
    <row r="69" spans="1:13" ht="12.75">
      <c r="A69" s="1" t="s">
        <v>131</v>
      </c>
      <c r="B69" s="3">
        <f>+B12</f>
        <v>5416</v>
      </c>
      <c r="C69" s="3">
        <f aca="true" t="shared" si="24" ref="C69:I69">+C12</f>
        <v>5230</v>
      </c>
      <c r="D69" s="3">
        <f t="shared" si="24"/>
        <v>5015</v>
      </c>
      <c r="E69" s="3">
        <f t="shared" si="24"/>
        <v>4992</v>
      </c>
      <c r="F69" s="3">
        <f t="shared" si="24"/>
        <v>4591</v>
      </c>
      <c r="G69" s="3">
        <f t="shared" si="24"/>
        <v>4560</v>
      </c>
      <c r="H69" s="3">
        <f t="shared" si="24"/>
        <v>4329</v>
      </c>
      <c r="I69" s="3">
        <f t="shared" si="24"/>
        <v>4325</v>
      </c>
      <c r="J69" s="3"/>
      <c r="K69" s="3"/>
      <c r="L69" s="3"/>
      <c r="M69" s="3"/>
    </row>
    <row r="70" spans="1:13" ht="12.75">
      <c r="A70" s="33" t="s">
        <v>132</v>
      </c>
      <c r="B70" s="18">
        <f>B24</f>
        <v>1505.28</v>
      </c>
      <c r="C70" s="18">
        <f aca="true" t="shared" si="25" ref="C70:I70">C24</f>
        <v>1495.04</v>
      </c>
      <c r="D70" s="18">
        <f t="shared" si="25"/>
        <v>2457.63</v>
      </c>
      <c r="E70" s="18">
        <f t="shared" si="25"/>
        <v>2453.4</v>
      </c>
      <c r="F70" s="18">
        <f t="shared" si="25"/>
        <v>2368.8</v>
      </c>
      <c r="G70" s="18">
        <f t="shared" si="25"/>
        <v>2347.65</v>
      </c>
      <c r="H70" s="18">
        <f t="shared" si="25"/>
        <v>2330.73</v>
      </c>
      <c r="I70" s="18">
        <f t="shared" si="25"/>
        <v>0</v>
      </c>
      <c r="J70" s="3"/>
      <c r="K70" s="3"/>
      <c r="L70" s="3"/>
      <c r="M70" s="3"/>
    </row>
    <row r="71" spans="1:13" ht="12.75">
      <c r="A71" s="33" t="s">
        <v>133</v>
      </c>
      <c r="B71" s="18">
        <f>B25</f>
        <v>21.75</v>
      </c>
      <c r="C71" s="18">
        <f aca="true" t="shared" si="26" ref="C71:I71">C25</f>
        <v>21</v>
      </c>
      <c r="D71" s="18">
        <f t="shared" si="26"/>
        <v>21</v>
      </c>
      <c r="E71" s="18">
        <f t="shared" si="26"/>
        <v>21</v>
      </c>
      <c r="F71" s="18">
        <f t="shared" si="26"/>
        <v>21</v>
      </c>
      <c r="G71" s="18">
        <f t="shared" si="26"/>
        <v>17.25</v>
      </c>
      <c r="H71" s="18">
        <f t="shared" si="26"/>
        <v>18</v>
      </c>
      <c r="I71" s="18">
        <f t="shared" si="26"/>
        <v>0</v>
      </c>
      <c r="J71" s="3"/>
      <c r="K71" s="3"/>
      <c r="L71" s="3"/>
      <c r="M71" s="3"/>
    </row>
    <row r="72" spans="1:13" ht="12.75">
      <c r="A72" s="1" t="s">
        <v>134</v>
      </c>
      <c r="B72" s="3">
        <f>B37</f>
        <v>3540.48</v>
      </c>
      <c r="C72" s="3">
        <f aca="true" t="shared" si="27" ref="C72:I72">C37</f>
        <v>3223.04</v>
      </c>
      <c r="D72" s="3">
        <f t="shared" si="27"/>
        <v>5714.7300000000005</v>
      </c>
      <c r="E72" s="3">
        <f t="shared" si="27"/>
        <v>5896.620000000001</v>
      </c>
      <c r="F72" s="3">
        <f t="shared" si="27"/>
        <v>5900.85</v>
      </c>
      <c r="G72" s="3">
        <f t="shared" si="27"/>
        <v>5905.080000000001</v>
      </c>
      <c r="H72" s="3">
        <f t="shared" si="27"/>
        <v>5913.540000000001</v>
      </c>
      <c r="I72" s="3">
        <f t="shared" si="27"/>
        <v>0</v>
      </c>
      <c r="J72" s="3"/>
      <c r="K72" s="3"/>
      <c r="L72" s="3"/>
      <c r="M72" s="3"/>
    </row>
    <row r="73" spans="1:13" ht="12.75">
      <c r="A73" s="1" t="s">
        <v>135</v>
      </c>
      <c r="B73" s="3">
        <f>B38</f>
        <v>84.75</v>
      </c>
      <c r="C73" s="3">
        <f aca="true" t="shared" si="28" ref="C73:I73">C38</f>
        <v>84.75</v>
      </c>
      <c r="D73" s="3">
        <f t="shared" si="28"/>
        <v>95.25</v>
      </c>
      <c r="E73" s="3">
        <f t="shared" si="28"/>
        <v>95.25</v>
      </c>
      <c r="F73" s="3">
        <f t="shared" si="28"/>
        <v>45</v>
      </c>
      <c r="G73" s="3">
        <f t="shared" si="28"/>
        <v>0</v>
      </c>
      <c r="H73" s="3">
        <f t="shared" si="28"/>
        <v>0</v>
      </c>
      <c r="I73" s="3">
        <f t="shared" si="28"/>
        <v>0</v>
      </c>
      <c r="J73" s="3"/>
      <c r="K73" s="3"/>
      <c r="L73" s="3"/>
      <c r="M73" s="3"/>
    </row>
    <row r="74" spans="1:13" ht="12.75">
      <c r="A74" s="21" t="s">
        <v>13</v>
      </c>
      <c r="B74" s="41">
        <f>SUM(B68:B73)</f>
        <v>122522.18</v>
      </c>
      <c r="C74" s="41">
        <f aca="true" t="shared" si="29" ref="C74:I74">SUM(C68:C73)</f>
        <v>121997.51</v>
      </c>
      <c r="D74" s="41">
        <f t="shared" si="29"/>
        <v>199563.20000000004</v>
      </c>
      <c r="E74" s="41">
        <f t="shared" si="29"/>
        <v>200788.05000000002</v>
      </c>
      <c r="F74" s="41">
        <f t="shared" si="29"/>
        <v>202468.72</v>
      </c>
      <c r="G74" s="41">
        <f t="shared" si="29"/>
        <v>201932.13</v>
      </c>
      <c r="H74" s="41">
        <f t="shared" si="29"/>
        <v>204975.90000000005</v>
      </c>
      <c r="I74" s="41">
        <f t="shared" si="29"/>
        <v>196257.02000000002</v>
      </c>
      <c r="J74" s="3"/>
      <c r="K74" s="3"/>
      <c r="L74" s="3"/>
      <c r="M74" s="3"/>
    </row>
    <row r="75" spans="2:13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75">
      <c r="A76" s="2" t="s">
        <v>129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75">
      <c r="A77" s="35" t="s">
        <v>152</v>
      </c>
      <c r="B77" s="23" t="s">
        <v>0</v>
      </c>
      <c r="C77" s="23" t="s">
        <v>1</v>
      </c>
      <c r="D77" s="23" t="s">
        <v>2</v>
      </c>
      <c r="E77" s="23" t="s">
        <v>3</v>
      </c>
      <c r="F77" s="23" t="s">
        <v>4</v>
      </c>
      <c r="G77" s="23" t="s">
        <v>5</v>
      </c>
      <c r="H77" s="23" t="s">
        <v>6</v>
      </c>
      <c r="I77" s="23" t="s">
        <v>7</v>
      </c>
      <c r="J77" s="3"/>
      <c r="K77" s="3"/>
      <c r="L77" s="3"/>
      <c r="M77" s="3"/>
    </row>
    <row r="78" spans="1:13" ht="12.75">
      <c r="A78" s="1" t="s">
        <v>137</v>
      </c>
      <c r="B78" s="3">
        <f>+B16</f>
        <v>12244.960000000001</v>
      </c>
      <c r="C78" s="3">
        <f aca="true" t="shared" si="30" ref="C78:I78">+C16</f>
        <v>12243.840000000002</v>
      </c>
      <c r="D78" s="3">
        <f t="shared" si="30"/>
        <v>22456.83</v>
      </c>
      <c r="E78" s="3">
        <f t="shared" si="30"/>
        <v>22585.86</v>
      </c>
      <c r="F78" s="3">
        <f t="shared" si="30"/>
        <v>22852.59</v>
      </c>
      <c r="G78" s="3">
        <f t="shared" si="30"/>
        <v>22799.55</v>
      </c>
      <c r="H78" s="3">
        <f t="shared" si="30"/>
        <v>23195.31</v>
      </c>
      <c r="I78" s="3">
        <f t="shared" si="30"/>
        <v>23140.74</v>
      </c>
      <c r="J78" s="3"/>
      <c r="K78" s="3"/>
      <c r="L78" s="3"/>
      <c r="M78" s="3"/>
    </row>
    <row r="79" spans="1:13" ht="12.75">
      <c r="A79" s="33" t="s">
        <v>138</v>
      </c>
      <c r="B79" s="18">
        <f>+B29</f>
        <v>164.64000000000001</v>
      </c>
      <c r="C79" s="18">
        <f aca="true" t="shared" si="31" ref="C79:I79">+C29</f>
        <v>163.52</v>
      </c>
      <c r="D79" s="18">
        <f t="shared" si="31"/>
        <v>296.31</v>
      </c>
      <c r="E79" s="18">
        <f t="shared" si="31"/>
        <v>295.8</v>
      </c>
      <c r="F79" s="18">
        <f t="shared" si="31"/>
        <v>285.6</v>
      </c>
      <c r="G79" s="18">
        <f t="shared" si="31"/>
        <v>283.05</v>
      </c>
      <c r="H79" s="18">
        <f t="shared" si="31"/>
        <v>281.01</v>
      </c>
      <c r="I79" s="18">
        <f t="shared" si="31"/>
        <v>0</v>
      </c>
      <c r="J79" s="3"/>
      <c r="K79" s="3"/>
      <c r="L79" s="3"/>
      <c r="M79" s="3"/>
    </row>
    <row r="80" spans="1:13" ht="12.75">
      <c r="A80" s="1" t="s">
        <v>139</v>
      </c>
      <c r="B80" s="18">
        <v>0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3"/>
      <c r="K80" s="3"/>
      <c r="L80" s="3"/>
      <c r="M80" s="3"/>
    </row>
    <row r="81" spans="1:13" ht="12.75">
      <c r="A81" s="2" t="s">
        <v>13</v>
      </c>
      <c r="B81" s="40">
        <f>SUM(B78:B80)</f>
        <v>12409.6</v>
      </c>
      <c r="C81" s="40">
        <f aca="true" t="shared" si="32" ref="C81:I81">SUM(C78:C80)</f>
        <v>12407.360000000002</v>
      </c>
      <c r="D81" s="40">
        <f t="shared" si="32"/>
        <v>22753.140000000003</v>
      </c>
      <c r="E81" s="40">
        <f t="shared" si="32"/>
        <v>22881.66</v>
      </c>
      <c r="F81" s="40">
        <f t="shared" si="32"/>
        <v>23138.19</v>
      </c>
      <c r="G81" s="40">
        <f t="shared" si="32"/>
        <v>23082.6</v>
      </c>
      <c r="H81" s="40">
        <f t="shared" si="32"/>
        <v>23476.32</v>
      </c>
      <c r="I81" s="40">
        <f t="shared" si="32"/>
        <v>23140.74</v>
      </c>
      <c r="J81" s="3"/>
      <c r="K81" s="3"/>
      <c r="L81" s="3"/>
      <c r="M81" s="3"/>
    </row>
    <row r="82" spans="2:13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>
      <c r="A83" s="2" t="s">
        <v>142</v>
      </c>
      <c r="B83" s="23" t="s">
        <v>0</v>
      </c>
      <c r="C83" s="23" t="s">
        <v>1</v>
      </c>
      <c r="D83" s="23" t="s">
        <v>2</v>
      </c>
      <c r="E83" s="23" t="s">
        <v>3</v>
      </c>
      <c r="F83" s="23" t="s">
        <v>4</v>
      </c>
      <c r="G83" s="23" t="s">
        <v>5</v>
      </c>
      <c r="H83" s="23" t="s">
        <v>6</v>
      </c>
      <c r="I83" s="23" t="s">
        <v>7</v>
      </c>
      <c r="J83" s="3"/>
      <c r="K83" s="3"/>
      <c r="L83" s="3"/>
      <c r="M83" s="3"/>
    </row>
    <row r="84" spans="1:13" ht="12.75">
      <c r="A84" s="1" t="s">
        <v>143</v>
      </c>
      <c r="B84" s="3">
        <v>14665</v>
      </c>
      <c r="C84" s="3">
        <v>11467</v>
      </c>
      <c r="D84" s="3">
        <v>62605</v>
      </c>
      <c r="E84" s="3">
        <v>58836</v>
      </c>
      <c r="F84" s="3">
        <v>92446</v>
      </c>
      <c r="G84" s="3">
        <v>85065</v>
      </c>
      <c r="H84" s="3">
        <v>77709</v>
      </c>
      <c r="I84" s="3"/>
      <c r="J84" s="3"/>
      <c r="K84" s="3"/>
      <c r="L84" s="3"/>
      <c r="M84" s="3"/>
    </row>
    <row r="85" spans="1:13" ht="12.75">
      <c r="A85" s="1" t="s">
        <v>146</v>
      </c>
      <c r="B85" s="3"/>
      <c r="C85" s="3"/>
      <c r="D85" s="3">
        <f>D84*0.3</f>
        <v>18781.5</v>
      </c>
      <c r="E85" s="3">
        <f>E84*0.3</f>
        <v>17650.8</v>
      </c>
      <c r="F85" s="3">
        <f>F84*0.3</f>
        <v>27733.8</v>
      </c>
      <c r="G85" s="3">
        <f>G84*0.3</f>
        <v>25519.5</v>
      </c>
      <c r="H85" s="3">
        <f>H84*0.3</f>
        <v>23312.7</v>
      </c>
      <c r="I85" s="3"/>
      <c r="J85" s="3"/>
      <c r="K85" s="3"/>
      <c r="L85" s="3"/>
      <c r="M85" s="3"/>
    </row>
    <row r="86" spans="1:13" ht="12.75">
      <c r="A86" s="1" t="s">
        <v>148</v>
      </c>
      <c r="B86" s="36"/>
      <c r="C86" s="36"/>
      <c r="D86" s="42">
        <f>D84-D85</f>
        <v>43823.5</v>
      </c>
      <c r="E86" s="42">
        <f>E84-E85</f>
        <v>41185.2</v>
      </c>
      <c r="F86" s="42">
        <f>F84-F85</f>
        <v>64712.2</v>
      </c>
      <c r="G86" s="42">
        <f>G84-G85</f>
        <v>59545.5</v>
      </c>
      <c r="H86" s="42">
        <f>H84-H85</f>
        <v>54396.3</v>
      </c>
      <c r="I86" s="3"/>
      <c r="J86" s="3"/>
      <c r="K86" s="3"/>
      <c r="L86" s="3"/>
      <c r="M86" s="3"/>
    </row>
    <row r="87" spans="2:13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>
      <c r="A88" s="1" t="s">
        <v>147</v>
      </c>
      <c r="B88" s="3"/>
      <c r="C88" s="3"/>
      <c r="D88" s="43">
        <f>D86/D64</f>
        <v>0.9534102034156423</v>
      </c>
      <c r="E88" s="43">
        <f>E86/E64</f>
        <v>0.8902983138780803</v>
      </c>
      <c r="F88" s="43">
        <f>F86/F64</f>
        <v>1.3838037806859977</v>
      </c>
      <c r="G88" s="43">
        <f>G86/G64</f>
        <v>1.276266718106996</v>
      </c>
      <c r="H88" s="43">
        <f>H86/H64</f>
        <v>1.1468753953194182</v>
      </c>
      <c r="I88" s="3"/>
      <c r="J88" s="3"/>
      <c r="K88" s="3"/>
      <c r="L88" s="3"/>
      <c r="M88" s="3"/>
    </row>
    <row r="89" spans="2:13" ht="12.75">
      <c r="B89" s="3"/>
      <c r="C89" s="3"/>
      <c r="D89" s="36"/>
      <c r="E89" s="36"/>
      <c r="F89" s="36"/>
      <c r="G89" s="36"/>
      <c r="H89" s="36"/>
      <c r="I89" s="3"/>
      <c r="J89" s="3"/>
      <c r="K89" s="3"/>
      <c r="L89" s="3"/>
      <c r="M89" s="3"/>
    </row>
    <row r="90" spans="1:13" ht="12.75">
      <c r="A90" s="1" t="s">
        <v>144</v>
      </c>
      <c r="B90" s="43">
        <v>0.28</v>
      </c>
      <c r="C90" s="43">
        <v>0.28</v>
      </c>
      <c r="D90" s="43">
        <v>0.51</v>
      </c>
      <c r="E90" s="43">
        <v>0.51</v>
      </c>
      <c r="F90" s="43">
        <v>0.51</v>
      </c>
      <c r="G90" s="43">
        <v>0.51</v>
      </c>
      <c r="H90" s="43">
        <v>0.51</v>
      </c>
      <c r="I90" s="3"/>
      <c r="J90" s="3"/>
      <c r="K90" s="3"/>
      <c r="L90" s="3"/>
      <c r="M90" s="3"/>
    </row>
    <row r="91" spans="2:13" ht="12.75">
      <c r="B91" s="43"/>
      <c r="C91" s="43"/>
      <c r="D91" s="43"/>
      <c r="E91" s="43"/>
      <c r="F91" s="43"/>
      <c r="G91" s="43"/>
      <c r="H91" s="43"/>
      <c r="I91" s="3"/>
      <c r="J91" s="3"/>
      <c r="K91" s="3"/>
      <c r="L91" s="3"/>
      <c r="M91" s="3"/>
    </row>
    <row r="92" spans="1:13" ht="12.75">
      <c r="A92" s="1" t="s">
        <v>145</v>
      </c>
      <c r="B92" s="43"/>
      <c r="C92" s="43"/>
      <c r="D92" s="43">
        <f>D88-D90</f>
        <v>0.4434102034156423</v>
      </c>
      <c r="E92" s="43">
        <f>E88-E90</f>
        <v>0.38029831387808033</v>
      </c>
      <c r="F92" s="43">
        <f>F88-F90</f>
        <v>0.8738037806859977</v>
      </c>
      <c r="G92" s="43">
        <f>G88-G90</f>
        <v>0.766266718106996</v>
      </c>
      <c r="H92" s="43">
        <f>H88-H90</f>
        <v>0.6368753953194182</v>
      </c>
      <c r="I92" s="36"/>
      <c r="J92" s="3"/>
      <c r="K92" s="3"/>
      <c r="L92" s="3"/>
      <c r="M92" s="3"/>
    </row>
    <row r="93" spans="2:13" ht="12.75">
      <c r="B93" s="36"/>
      <c r="C93" s="36"/>
      <c r="D93" s="36"/>
      <c r="E93" s="36"/>
      <c r="F93" s="36"/>
      <c r="G93" s="36"/>
      <c r="H93" s="36"/>
      <c r="I93" s="3"/>
      <c r="J93" s="3"/>
      <c r="K93" s="3"/>
      <c r="L93" s="3"/>
      <c r="M93" s="3"/>
    </row>
    <row r="94" spans="2:13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2:13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2:13" ht="12.75">
      <c r="B96" s="3"/>
      <c r="C96" s="3"/>
      <c r="D96" s="37"/>
      <c r="E96" s="37"/>
      <c r="F96" s="37"/>
      <c r="G96" s="37"/>
      <c r="H96" s="37"/>
      <c r="I96" s="3"/>
      <c r="J96" s="3"/>
      <c r="K96" s="3"/>
      <c r="L96" s="3"/>
      <c r="M96" s="3"/>
    </row>
    <row r="97" spans="2:13" ht="12.75">
      <c r="B97" s="3"/>
      <c r="C97" s="3"/>
      <c r="D97" s="3"/>
      <c r="E97" s="3"/>
      <c r="F97" s="3"/>
      <c r="G97" s="3"/>
      <c r="H97" s="3"/>
      <c r="I97" s="36"/>
      <c r="J97" s="3"/>
      <c r="K97" s="3"/>
      <c r="L97" s="3"/>
      <c r="M97" s="3"/>
    </row>
    <row r="98" spans="2:13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2:13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2:13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2:13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2:13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2:13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2:13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2:13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2:13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2:13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2:13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2:13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2:13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2:13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2:13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2:13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2:13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2:13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2:13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2:13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2:13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2:13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2:13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2:13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2:13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2:13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2:13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2:13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2:13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13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2:13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2:13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2:13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2:13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2:13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2:13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2:13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2:13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2:13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2:13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2:13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2:13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2:13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2:13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2:13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2:13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2:13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2:13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2:13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2:13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2:13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2:13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2:13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2:13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2:13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2:13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2:13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2:13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2:13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2:13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2:13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2:13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2:13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2:13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2:13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2:13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2:13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2:13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2:13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2:13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2:13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2:13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2:13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2:13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2:13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2:13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2:13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2:13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2:13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2:13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2:13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2:13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2:13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2:13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2:13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2:13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2:13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2:13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2:13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2:13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2:13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2:13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2:13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2:13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2:13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2:13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2:13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2:13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2:13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2:13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2:13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2:13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2:13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2:13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2:13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2:13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2:13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2:13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2:13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2:13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2:13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2:13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2:13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2:13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2:13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2:13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2:13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2:13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2:13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2:13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2:13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2:13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2:13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2:13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2:13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2:13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2:13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2:13" ht="12.7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2:13" ht="12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2:13" ht="12.7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2:13" ht="12.7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2:13" ht="12.7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2:13" ht="12.7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2:13" ht="12.7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2:13" ht="12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2:13" ht="12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2:13" ht="12.7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2:13" ht="12.7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2:13" ht="12.7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2:13" ht="12.7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2:13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2:13" ht="12.7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2:13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2:13" ht="12.7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2:13" ht="12.7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2:13" ht="12.7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2:13" ht="12.7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2:13" ht="12.7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2:13" ht="12.7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2:13" ht="12.7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2:13" ht="12.7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2:13" ht="12.7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2:13" ht="12.7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2:13" ht="12.7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2:13" ht="12.7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2:13" ht="12.7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2:13" ht="12.7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2:13" ht="12.7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2:13" ht="12.7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2:13" ht="12.7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2:13" ht="12.7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2:13" ht="12.7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2:13" ht="12.7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2:13" ht="12.7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2:13" ht="12.7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2:13" ht="12.7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2:13" ht="12.7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2:13" ht="12.7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2:13" ht="12.7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2:13" ht="12.7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2:13" ht="12.7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2:13" ht="12.7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2:13" ht="12.7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2:13" ht="12.7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2:13" ht="12.7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2:13" ht="12.7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2:13" ht="12.7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2:13" ht="12.7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2:13" ht="12.7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2:13" ht="12.7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2:13" ht="12.7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2:13" ht="12.7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2:13" ht="12.7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2:13" ht="12.7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2:13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2:13" ht="12.7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2:13" ht="12.7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2:13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2:13" ht="12.7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2:13" ht="12.7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2:13" ht="12.7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2:13" ht="12.7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2:13" ht="12.7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2:13" ht="12.7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2:13" ht="12.7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2:13" ht="12.7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2:13" ht="12.7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2:13" ht="12.7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2:13" ht="12.7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2:13" ht="12.7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2:13" ht="12.7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2:13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2:13" ht="12.7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2:13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2:13" ht="12.7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2:13" ht="12.7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2:13" ht="12.7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2:13" ht="12.7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2:13" ht="12.7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2:13" ht="12.7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2:13" ht="12.7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2:13" ht="12.7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2:13" ht="12.7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2:13" ht="12.7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2:13" ht="12.7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2:13" ht="12.7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2:13" ht="12.7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2:13" ht="12.7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2:13" ht="12.7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2:13" ht="12.7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2:13" ht="12.7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2:13" ht="12.7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2:13" ht="12.7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2:13" ht="12.7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2:13" ht="12.7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2:13" ht="12.7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2:13" ht="12.7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2:13" ht="12.7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2:13" ht="12.7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2:13" ht="12.7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2:13" ht="12.7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2:13" ht="12.7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2:13" ht="12.7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2:13" ht="12.7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2:13" ht="12.7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2:13" ht="12.7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2:13" ht="12.7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2:13" ht="12.7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2:13" ht="12.7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2:13" ht="12.7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2:13" ht="12.7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2:13" ht="12.7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2:13" ht="12.7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2:13" ht="12.7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2:13" ht="12.7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2:13" ht="12.7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2:13" ht="12.7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2:13" ht="12.7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2:13" ht="12.7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2:13" ht="12.7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2:13" ht="12.7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2:13" ht="12.7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2:13" ht="12.7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2:13" ht="12.7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2:13" ht="12.7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2:13" ht="12.7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2:13" ht="12.7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2:13" ht="12.7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2:13" ht="12.7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2:13" ht="12.7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2:13" ht="12.7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2:13" ht="12.7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2:13" ht="12.7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2:13" ht="12.7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2:13" ht="12.7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2:13" ht="12.7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2:13" ht="12.7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2:13" ht="12.7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2:13" ht="12.7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2:13" ht="12.7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2:13" ht="12.7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2:13" ht="12.7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2:13" ht="12.7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2:13" ht="12.7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2:13" ht="12.7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2:13" ht="12.7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2:13" ht="12.7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2:13" ht="12.7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2:13" ht="12.7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2:13" ht="12.7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2:13" ht="12.7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2:13" ht="12.7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2:13" ht="12.7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2:13" ht="12.7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2:13" ht="12.7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2:13" ht="12.7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2:13" ht="12.7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2:13" ht="12.7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2:13" ht="12.7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2:13" ht="12.7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2:13" ht="12.7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2:13" ht="12.7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2:13" ht="12.7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2:13" ht="12.7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2:13" ht="12.7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2:13" ht="12.7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2:13" ht="12.7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2:13" ht="12.7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2:13" ht="12.7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2:13" ht="12.7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2:13" ht="12.7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2:13" ht="12.7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2:13" ht="12.7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2:13" ht="12.7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2:13" ht="12.7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2:13" ht="12.7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2:13" ht="12.7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2:13" ht="12.7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2:13" ht="12.7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2:13" ht="12.7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2:13" ht="12.7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2:13" ht="12.7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2:13" ht="12.7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2:13" ht="12.7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2:13" ht="12.7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2:13" ht="12.7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2:13" ht="12.7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2:13" ht="12.7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2:13" ht="12.7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2:13" ht="12.7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2:13" ht="12.7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2:13" ht="12.7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2:13" ht="12.7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2:13" ht="12.7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2:13" ht="12.7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2:13" ht="12.7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2:13" ht="12.7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2:13" ht="12.7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2:13" ht="12.7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2:13" ht="12.7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2:13" ht="12.7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2:13" ht="12.7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2:13" ht="12.7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2:13" ht="12.7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2:13" ht="12.7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2:13" ht="12.7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2:13" ht="12.7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2:13" ht="12.7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2:13" ht="12.7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2:13" ht="12.7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2:13" ht="12.7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2:13" ht="12.7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2:13" ht="12.7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2:13" ht="12.7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2:13" ht="12.7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2:13" ht="12.7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2:13" ht="12.7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2:13" ht="12.7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2:13" ht="12.7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2:13" ht="12.7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2:13" ht="12.7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2:13" ht="12.7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2:13" ht="12.7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2:13" ht="12.7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2:13" ht="12.7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2:13" ht="12.7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2:13" ht="12.7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2:13" ht="12.7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2:13" ht="12.7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2:13" ht="12.7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2:13" ht="12.7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2:13" ht="12.7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2:13" ht="12.7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2:13" ht="12.7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2:13" ht="12.7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2:13" ht="12.7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2:13" ht="12.7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2:13" ht="12.7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2:13" ht="12.7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2:13" ht="12.7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2:13" ht="12.7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2:13" ht="12.7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2:13" ht="12.7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2:13" ht="12.7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2:13" ht="12.7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2:13" ht="12.7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2:13" ht="12.7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2:13" ht="12.7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2:13" ht="12.7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2:13" ht="12.7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2:13" ht="12.7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2:13" ht="12.7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2:13" ht="12.7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2:13" ht="12.7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2:13" ht="12.7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2:13" ht="12.7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2:13" ht="12.7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2:13" ht="12.7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2:13" ht="12.7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2:13" ht="12.7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2:13" ht="12.7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2:13" ht="12.7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2:13" ht="12.7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2:13" ht="12.7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2:13" ht="12.7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2:13" ht="12.7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2:13" ht="12.7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2:13" ht="12.7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2:13" ht="12.7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2:13" ht="12.7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2:13" ht="12.7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2:13" ht="12.7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2:13" ht="12.7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2:13" ht="12.7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2:13" ht="12.7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2:13" ht="12.7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2:13" ht="12.7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2:13" ht="12.7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2:13" ht="12.7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2:13" ht="12.7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2:13" ht="12.7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2:13" ht="12.7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2:13" ht="12.7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2:13" ht="12.7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2:13" ht="12.7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2:13" ht="12.7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2:13" ht="12.7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2:13" ht="12.7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2:13" ht="12.7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2:13" ht="12.7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2:13" ht="12.7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2:13" ht="12.7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2:13" ht="12.7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2:13" ht="12.7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2:13" ht="12.7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2:13" ht="12.7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2:13" ht="12.7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2:13" ht="12.7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2:13" ht="12.7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2:13" ht="12.7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2:13" ht="12.7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2:13" ht="12.7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2:13" ht="12.7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2:13" ht="12.7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2:13" ht="12.7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2:13" ht="12.7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2:13" ht="12.7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2:13" ht="12.7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2:13" ht="12.7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2:13" ht="12.7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2:13" ht="12.7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2:13" ht="12.7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2:13" ht="12.7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2:13" ht="12.7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2:13" ht="12.7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2:13" ht="12.7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2:13" ht="12.7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2:13" ht="12.7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2:13" ht="12.7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2:13" ht="12.7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2:13" ht="12.7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2:13" ht="12.7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2:13" ht="12.7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2:13" ht="12.7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2:13" ht="12.7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2:13" ht="12.7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2:13" ht="12.7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2:13" ht="12.7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2:13" ht="12.7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2:13" ht="12.7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2:13" ht="12.7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2:13" ht="12.7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2:13" ht="12.7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2:13" ht="12.7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2:13" ht="12.7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2:13" ht="12.7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2:13" ht="12.7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2:13" ht="12.7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2:13" ht="12.7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2:13" ht="12.7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2:13" ht="12.7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2:13" ht="12.7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2:13" ht="12.7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2:13" ht="12.7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2:13" ht="12.7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2:13" ht="12.7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2:13" ht="12.7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2:13" ht="12.7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2:13" ht="12.7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2:13" ht="12.7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2:13" ht="12.7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2:13" ht="12.7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2:13" ht="12.7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2:13" ht="12.7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2:13" ht="12.7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2:13" ht="12.7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2:13" ht="12.7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2:13" ht="12.7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2:13" ht="12.7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2:13" ht="12.7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2:13" ht="12.7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2:13" ht="12.7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2:13" ht="12.7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2:13" ht="12.7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2:13" ht="12.7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2:13" ht="12.75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2:13" ht="12.75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2:13" ht="12.7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2:13" ht="12.7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2:13" ht="12.7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2:13" ht="12.75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2:13" ht="12.75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2:13" ht="12.75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2:13" ht="12.7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2:13" ht="12.75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2:13" ht="12.75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2:13" ht="12.75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2:13" ht="12.75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2:13" ht="12.75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2:13" ht="12.75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2:13" ht="12.75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2:13" ht="12.7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2:13" ht="12.75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2:13" ht="12.75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2:13" ht="12.75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2:13" ht="12.75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2:13" ht="12.75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2:13" ht="12.7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2:13" ht="12.75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2:13" ht="12.75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2:13" ht="12.75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2:13" ht="12.7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2:13" ht="12.75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2:13" ht="12.75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2:13" ht="12.7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2:13" ht="12.75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2:13" ht="12.75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2:13" ht="12.75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2:13" ht="12.75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2:13" ht="12.75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2:13" ht="12.75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2:13" ht="12.75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2:13" ht="12.75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2:13" ht="12.7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2:13" ht="12.7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2:13" ht="12.75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2:13" ht="12.75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2:13" ht="12.75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2:13" ht="12.75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2:13" ht="12.7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2:13" ht="12.75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2:13" ht="12.75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2:13" ht="12.75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2:13" ht="12.7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2:13" ht="12.7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2:13" ht="12.75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2:13" ht="12.75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2:13" ht="12.75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2:13" ht="12.75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2:13" ht="12.75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2:13" ht="12.75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2:13" ht="12.75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2:13" ht="12.75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2:13" ht="12.75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2:13" ht="12.75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2:13" ht="12.75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2:13" ht="12.75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2:13" ht="12.75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2:13" ht="12.75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2:13" ht="12.75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2:13" ht="12.75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2:13" ht="12.75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2:13" ht="12.75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2:13" ht="12.75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2:13" ht="12.75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2:13" ht="12.75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2:13" ht="12.75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2:13" ht="12.75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2:13" ht="12.75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2:13" ht="12.75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2:13" ht="12.75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2:13" ht="12.75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2:13" ht="12.75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2:13" ht="12.75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2:13" ht="12.75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2:13" ht="12.75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2:13" ht="12.75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2:13" ht="12.75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2:13" ht="12.75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2:13" ht="12.75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2:13" ht="12.75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2:13" ht="12.75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2:13" ht="12.75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2:13" ht="12.75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2:13" ht="12.75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2:13" ht="12.75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2:13" ht="12.75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2:13" ht="12.75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2:13" ht="12.75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2:13" ht="12.75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2:13" ht="12.75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2:13" ht="12.75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2:13" ht="12.75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2:13" ht="12.75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2:13" ht="12.75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2:13" ht="12.75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2:13" ht="12.75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2:13" ht="12.75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2:13" ht="12.75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2:13" ht="12.75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2:13" ht="12.75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2:13" ht="12.75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2:13" ht="12.75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2:13" ht="12.75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2:13" ht="12.75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2:13" ht="12.75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2:13" ht="12.75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2:13" ht="12.75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2:13" ht="12.75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2:13" ht="12.75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2:13" ht="12.75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2:13" ht="12.75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2:13" ht="12.75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2:13" ht="12.75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2:13" ht="12.75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2:13" ht="12.75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2:13" ht="12.75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2:13" ht="12.75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2:13" ht="12.75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2:13" ht="12.75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2:13" ht="12.75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2:13" ht="12.75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2:13" ht="12.75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2:13" ht="12.75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2:13" ht="12.75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2:13" ht="12.75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2:13" ht="12.75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2:13" ht="12.75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2:13" ht="12.75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2:13" ht="12.75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2:13" ht="12.75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2:13" ht="12.75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2:13" ht="12.75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2:13" ht="12.75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2:13" ht="12.75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2:13" ht="12.75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2:13" ht="12.75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2:13" ht="12.75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2:13" ht="12.75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2:13" ht="12.75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2:13" ht="12.75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2:13" ht="12.75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2:13" ht="12.75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2:13" ht="12.75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2:13" ht="12.75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2:13" ht="12.75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2:13" ht="12.75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2:13" ht="12.75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2:13" ht="12.75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2:13" ht="12.75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2:13" ht="12.75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2:13" ht="12.75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2:13" ht="12.75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2:13" ht="12.75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2:13" ht="12.75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2:13" ht="12.75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2:13" ht="12.75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2:13" ht="12.75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2:13" ht="12.75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2:13" ht="12.75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2:13" ht="12.75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2:13" ht="12.75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2:13" ht="12.75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2:13" ht="12.75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2:13" ht="12.75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2:13" ht="12.75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2:13" ht="12.75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2:13" ht="12.75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2:13" ht="12.75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2:13" ht="12.75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2:13" ht="12.75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2:13" ht="12.75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2:13" ht="12.75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2:13" ht="12.75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2:13" ht="12.75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2:13" ht="12.75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2:13" ht="12.75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2:13" ht="12.75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2:13" ht="12.75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2:13" ht="12.75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2:13" ht="12.75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2:13" ht="12.75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2:13" ht="12.75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2:13" ht="12.75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2:13" ht="12.75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2:13" ht="12.75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2:13" ht="12.75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2:13" ht="12.75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2:13" ht="12.75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2:13" ht="12.75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2:13" ht="12.75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2:13" ht="12.75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2:13" ht="12.75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2:13" ht="12.75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2:13" ht="12.75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2:13" ht="12.75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2:13" ht="12.75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2:13" ht="12.75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2:13" ht="12.75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2:13" ht="12.75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2:13" ht="12.75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2:13" ht="12.75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2:13" ht="12.75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2:13" ht="12.75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2:13" ht="12.75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2:13" ht="12.75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2:13" ht="12.75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2:13" ht="12.75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2:13" ht="12.75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2:13" ht="12.75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2:13" ht="12.75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2:13" ht="12.75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2:13" ht="12.75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2:13" ht="12.75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2:13" ht="12.75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2:13" ht="12.75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2:13" ht="12.75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2:13" ht="12.75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2:13" ht="12.75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2:13" ht="12.75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2:13" ht="12.75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2:13" ht="12.75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2:13" ht="12.75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2:13" ht="12.75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2:13" ht="12.75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2:13" ht="12.75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2:13" ht="12.75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2:13" ht="12.75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2:13" ht="12.75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2:13" ht="12.75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2:13" ht="12.75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2:13" ht="12.75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2:13" ht="12.75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2:13" ht="12.75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2:13" ht="12.75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2:13" ht="12.75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2:13" ht="12.75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2:13" ht="12.75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2:13" ht="12.75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2:13" ht="12.75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2:13" ht="12.75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2:13" ht="12.75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2:13" ht="12.75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2:13" ht="12.75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2:13" ht="12.75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2:13" ht="12.75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2:13" ht="12.75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2:13" ht="12.75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2:13" ht="12.75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2:13" ht="12.75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2:13" ht="12.75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2:13" ht="12.75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2:13" ht="12.75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2:13" ht="12.75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2:13" ht="12.75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2:13" ht="12.75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2:13" ht="12.75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2:13" ht="12.75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2:13" ht="12.75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2:13" ht="12.75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2:13" ht="12.75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2:13" ht="12.75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2:13" ht="12.75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2:13" ht="12.75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2:13" ht="12.75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2:13" ht="12.75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2:13" ht="12.75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2:13" ht="12.75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2:13" ht="12.75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2:13" ht="12.75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2:13" ht="12.75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2:13" ht="12.75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2:13" ht="12.75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2:13" ht="12.75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2:13" ht="12.75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2:13" ht="12.75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2:13" ht="12.75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2:13" ht="12.75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2:13" ht="12.75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2:13" ht="12.75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2:13" ht="12.75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2:13" ht="12.75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2:13" ht="12.75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2:13" ht="12.75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2:13" ht="12.75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2:13" ht="12.75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2:13" ht="12.75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2:13" ht="12.75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2:13" ht="12.75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2:13" ht="12.75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2:13" ht="12.75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2:13" ht="12.75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2:13" ht="12.75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2:13" ht="12.75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2:13" ht="12.75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2:13" ht="12.75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2:13" ht="12.75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2:13" ht="12.75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2:13" ht="12.75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2:13" ht="12.75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2:13" ht="12.75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2:13" ht="12.75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2:13" ht="12.75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2:13" ht="12.75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2:13" ht="12.75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2:13" ht="12.75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2:13" ht="12.75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2:13" ht="12.75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2:13" ht="12.75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2:13" ht="12.75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2:13" ht="12.75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2:13" ht="12.75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2:13" ht="12.75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2:13" ht="12.75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2:13" ht="12.75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2:13" ht="12.75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2:13" ht="12.75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2:13" ht="12.75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2:13" ht="12.75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2:13" ht="12.75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2:13" ht="12.75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2:13" ht="12.75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2:13" ht="12.75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2:13" ht="12.75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2:13" ht="12.75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2:13" ht="12.75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2:13" ht="12.75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2:13" ht="12.75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2:13" ht="12.75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2:13" ht="12.75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2:13" ht="12.75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2:13" ht="12.75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2:13" ht="12.75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2:13" ht="12.75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2:13" ht="12.75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2:13" ht="12.75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2:13" ht="12.75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2:13" ht="12.75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2:13" ht="12.75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2:13" ht="12.75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2:13" ht="12.75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2:13" ht="12.75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2:13" ht="12.75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2:13" ht="12.75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2:13" ht="12.75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2:13" ht="12.75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2:13" ht="12.75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2:13" ht="12.75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2:13" ht="12.75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2:13" ht="12.75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2:13" ht="12.75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2:13" ht="12.75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2:13" ht="12.75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2:13" ht="12.75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2:13" ht="12.75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2:13" ht="12.75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2:13" ht="12.75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2:13" ht="12.75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2:13" ht="12.75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2:13" ht="12.75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2:13" ht="12.75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2:13" ht="12.75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2:13" ht="12.75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2:13" ht="12.75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2:13" ht="12.75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2:13" ht="12.75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2:13" ht="12.75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2:13" ht="12.75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2:13" ht="12.75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2:13" ht="12.75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2:13" ht="12.75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2:13" ht="12.75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2:13" ht="12.75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2:13" ht="12.75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2:13" ht="12.75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2:13" ht="12.75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2:13" ht="12.75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2:13" ht="12.75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2:13" ht="12.75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2:13" ht="12.75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2:13" ht="12.75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2:13" ht="12.75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2:13" ht="12.75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2:13" ht="12.75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2:13" ht="12.75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2:13" ht="12.75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2:13" ht="12.75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2:13" ht="12.75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2:13" ht="12.75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2:13" ht="12.75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2:13" ht="12.75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2:13" ht="12.75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2:13" ht="12.75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 spans="2:13" ht="12.75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  <row r="1001" spans="2:13" ht="12.75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</row>
    <row r="1002" spans="2:13" ht="12.75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</row>
    <row r="1003" spans="2:13" ht="12.75"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</row>
    <row r="1004" spans="2:13" ht="12.75"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</row>
    <row r="1005" spans="2:13" ht="12.75"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</row>
    <row r="1006" spans="2:13" ht="12.75"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</row>
    <row r="1007" spans="2:13" ht="12.75"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</row>
    <row r="1008" spans="2:13" ht="12.75"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</row>
    <row r="1009" spans="2:13" ht="12.75"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</row>
    <row r="1010" spans="2:13" ht="12.75"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</row>
    <row r="1011" spans="2:13" ht="12.75"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</row>
    <row r="1012" spans="2:13" ht="12.75"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</row>
    <row r="1013" spans="2:13" ht="12.75"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</row>
    <row r="1014" spans="2:13" ht="12.75"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</row>
    <row r="1015" spans="2:13" ht="12.75"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</row>
    <row r="1016" spans="2:13" ht="12.75"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</row>
    <row r="1017" spans="2:13" ht="12.75"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</row>
    <row r="1018" spans="2:13" ht="12.75"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</row>
    <row r="1019" spans="2:13" ht="12.75"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</row>
    <row r="1020" spans="2:13" ht="12.75"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</row>
    <row r="1021" spans="2:13" ht="12.75"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</row>
    <row r="1022" spans="2:13" ht="12.75"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</row>
    <row r="1023" spans="2:13" ht="12.75"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</row>
    <row r="1024" spans="2:13" ht="12.75"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</row>
    <row r="1025" spans="2:13" ht="12.75"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</row>
    <row r="1026" spans="2:13" ht="12.75"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</row>
    <row r="1027" spans="2:13" ht="12.75"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</row>
    <row r="1028" spans="2:13" ht="12.75"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</row>
    <row r="1029" spans="2:13" ht="12.75"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</row>
    <row r="1030" spans="2:13" ht="12.75"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</row>
    <row r="1031" spans="2:13" ht="12.75"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</row>
    <row r="1032" spans="2:13" ht="12.75"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</row>
    <row r="1033" spans="2:13" ht="12.75"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</row>
    <row r="1034" spans="2:13" ht="12.75"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</row>
    <row r="1035" spans="2:13" ht="12.75"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</row>
    <row r="1036" spans="2:13" ht="12.75"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</row>
    <row r="1037" spans="2:13" ht="12.75"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</row>
    <row r="1038" spans="2:13" ht="12.75"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</row>
    <row r="1039" spans="2:13" ht="12.75"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</row>
    <row r="1040" spans="2:13" ht="12.75"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</row>
    <row r="1041" spans="2:13" ht="12.75"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</row>
    <row r="1042" spans="2:13" ht="12.75"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</row>
    <row r="1043" spans="2:13" ht="12.75"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</row>
    <row r="1044" spans="2:13" ht="12.75"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</row>
    <row r="1045" spans="2:13" ht="12.75"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</row>
    <row r="1046" spans="2:13" ht="12.75"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</row>
    <row r="1047" spans="2:13" ht="12.75"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</row>
    <row r="1048" spans="2:13" ht="12.75"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</row>
    <row r="1049" spans="2:13" ht="12.75"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</row>
    <row r="1050" spans="2:13" ht="12.75"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</row>
    <row r="1051" spans="2:13" ht="12.75"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</row>
    <row r="1052" spans="2:13" ht="12.75"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</row>
    <row r="1053" spans="2:13" ht="12.75"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</row>
    <row r="1054" spans="2:13" ht="12.75"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</row>
    <row r="1055" spans="2:13" ht="12.75"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</row>
    <row r="1056" spans="2:13" ht="12.75"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</row>
    <row r="1057" spans="2:13" ht="12.75"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</row>
    <row r="1058" spans="2:13" ht="12.75"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</row>
    <row r="1059" spans="2:13" ht="12.75"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</row>
    <row r="1060" spans="2:13" ht="12.75"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</row>
    <row r="1061" spans="2:13" ht="12.75"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</row>
    <row r="1062" spans="2:13" ht="12.75"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</row>
    <row r="1063" spans="2:13" ht="12.75"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</row>
    <row r="1064" spans="2:13" ht="12.75"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</row>
    <row r="1065" spans="2:13" ht="12.75"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</row>
    <row r="1066" spans="2:13" ht="12.75"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</row>
    <row r="1067" spans="2:13" ht="12.75"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</row>
    <row r="1068" spans="2:13" ht="12.75"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</row>
    <row r="1069" spans="2:13" ht="12.75"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</row>
    <row r="1070" spans="2:13" ht="12.75"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</row>
    <row r="1071" spans="2:13" ht="12.75"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</row>
    <row r="1072" spans="2:13" ht="12.75"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</row>
    <row r="1073" spans="2:13" ht="12.75"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</row>
    <row r="1074" spans="2:13" ht="12.75"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</row>
    <row r="1075" spans="2:13" ht="12.75"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</row>
    <row r="1076" spans="2:13" ht="12.75"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</row>
    <row r="1077" spans="2:13" ht="12.75"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</row>
    <row r="1078" spans="2:13" ht="12.75"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</row>
    <row r="1079" spans="2:13" ht="12.75"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</row>
    <row r="1080" spans="2:13" ht="12.75"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</row>
    <row r="1081" spans="2:13" ht="12.75"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</row>
    <row r="1082" spans="2:13" ht="12.75"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</row>
    <row r="1083" spans="2:13" ht="12.75"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</row>
    <row r="1084" spans="2:13" ht="12.75"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</row>
    <row r="1085" spans="2:13" ht="12.75"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</row>
    <row r="1086" spans="2:13" ht="12.75"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</row>
    <row r="1087" spans="2:13" ht="12.75"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</row>
    <row r="1088" spans="2:13" ht="12.75"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</row>
    <row r="1089" spans="2:13" ht="12.75"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</row>
    <row r="1090" spans="2:13" ht="12.75"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</row>
    <row r="1091" spans="2:13" ht="12.75"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</row>
    <row r="1092" spans="2:13" ht="12.75"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</row>
    <row r="1093" spans="2:13" ht="12.75"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</row>
    <row r="1094" spans="2:13" ht="12.75"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</row>
    <row r="1095" spans="2:13" ht="12.75"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</row>
    <row r="1096" spans="2:13" ht="12.75"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</row>
    <row r="1097" spans="2:13" ht="12.75"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</row>
    <row r="1098" spans="2:13" ht="12.75"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</row>
    <row r="1099" spans="2:13" ht="12.75"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</row>
    <row r="1100" spans="2:13" ht="12.75"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</row>
    <row r="1101" spans="2:13" ht="12.75"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</row>
    <row r="1102" spans="2:13" ht="12.75"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</row>
    <row r="1103" spans="2:13" ht="12.75"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</row>
    <row r="1104" spans="2:13" ht="12.75"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</row>
    <row r="1105" spans="2:13" ht="12.75"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</row>
    <row r="1106" spans="2:13" ht="12.75"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</row>
    <row r="1107" spans="2:13" ht="12.75"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</row>
    <row r="1108" spans="2:13" ht="12.75"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</row>
    <row r="1109" spans="2:13" ht="12.75"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</row>
    <row r="1110" spans="2:13" ht="12.75"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</row>
    <row r="1111" spans="2:13" ht="12.75"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</row>
    <row r="1112" spans="2:13" ht="12.75"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</row>
    <row r="1113" spans="2:13" ht="12.75"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</row>
    <row r="1114" spans="2:13" ht="12.75"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</row>
    <row r="1115" spans="2:13" ht="12.75"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</row>
    <row r="1116" spans="2:13" ht="12.75"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</row>
    <row r="1117" spans="2:13" ht="12.75"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</row>
    <row r="1118" spans="2:13" ht="12.75"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</row>
    <row r="1119" spans="2:13" ht="12.75"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</row>
    <row r="1120" spans="2:13" ht="12.75"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</row>
    <row r="1121" spans="2:13" ht="12.75"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</row>
    <row r="1122" spans="2:13" ht="12.75"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</row>
    <row r="1123" spans="2:13" ht="12.75"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</row>
    <row r="1124" spans="2:13" ht="12.75"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</row>
    <row r="1125" spans="2:13" ht="12.75"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</row>
    <row r="1126" spans="2:13" ht="12.75"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</row>
    <row r="1127" spans="2:13" ht="12.75"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</row>
    <row r="1128" spans="2:13" ht="12.75"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</row>
    <row r="1129" spans="2:13" ht="12.75"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</row>
    <row r="1130" spans="2:13" ht="12.75"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</row>
    <row r="1131" spans="2:13" ht="12.75"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</row>
    <row r="1132" spans="2:13" ht="12.75"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</row>
    <row r="1133" spans="2:13" ht="12.75"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</row>
    <row r="1134" spans="2:13" ht="12.75"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</row>
    <row r="1135" spans="2:13" ht="12.75"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</row>
    <row r="1136" spans="2:13" ht="12.75"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</row>
    <row r="1137" spans="2:13" ht="12.75"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</row>
    <row r="1138" spans="2:13" ht="12.75"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</row>
    <row r="1139" spans="2:13" ht="12.75"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</row>
    <row r="1140" spans="2:13" ht="12.75"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</row>
    <row r="1141" spans="2:13" ht="12.75"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</row>
    <row r="1142" spans="2:13" ht="12.75"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</row>
    <row r="1143" spans="2:13" ht="12.75"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</row>
    <row r="1144" spans="2:13" ht="12.75"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</row>
    <row r="1145" spans="2:13" ht="12.75"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</row>
    <row r="1146" spans="2:13" ht="12.75"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</row>
    <row r="1147" spans="2:13" ht="12.75"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</row>
    <row r="1148" spans="2:13" ht="12.75"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</row>
    <row r="1149" spans="2:13" ht="12.75"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</row>
    <row r="1150" spans="2:13" ht="12.75"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</row>
    <row r="1151" spans="2:13" ht="12.75"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</row>
    <row r="1152" spans="2:13" ht="12.75"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</row>
    <row r="1153" spans="2:13" ht="12.75"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</row>
    <row r="1154" spans="2:13" ht="12.75"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</row>
    <row r="1155" spans="2:13" ht="12.75"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</row>
    <row r="1156" spans="2:13" ht="12.75"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</row>
    <row r="1157" spans="2:13" ht="12.75"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</row>
    <row r="1158" spans="2:13" ht="12.75"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</row>
    <row r="1159" spans="2:13" ht="12.75"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</row>
    <row r="1160" spans="2:13" ht="12.75"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</row>
    <row r="1161" spans="2:13" ht="12.75"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</row>
    <row r="1162" spans="2:13" ht="12.75"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</row>
    <row r="1163" spans="2:13" ht="12.75"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</row>
    <row r="1164" spans="2:13" ht="12.75"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</row>
    <row r="1165" spans="2:13" ht="12.75"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</row>
    <row r="1166" spans="2:13" ht="12.75"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</row>
    <row r="1167" spans="2:13" ht="12.75"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</row>
    <row r="1168" spans="2:13" ht="12.75"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</row>
    <row r="1169" spans="2:13" ht="12.75"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</row>
    <row r="1170" spans="2:13" ht="12.75"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</row>
    <row r="1171" spans="2:13" ht="12.75"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</row>
    <row r="1172" spans="2:13" ht="12.75"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</row>
    <row r="1173" spans="2:13" ht="12.75"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</row>
    <row r="1174" spans="2:13" ht="12.75"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</row>
    <row r="1175" spans="2:13" ht="12.75"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</row>
    <row r="1176" spans="2:13" ht="12.75"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</row>
    <row r="1177" spans="2:13" ht="12.75"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</row>
    <row r="1178" spans="2:13" ht="12.75"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</row>
    <row r="1179" spans="2:13" ht="12.75"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</row>
    <row r="1180" spans="2:13" ht="12.75"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</row>
    <row r="1181" spans="2:13" ht="12.75"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</row>
    <row r="1182" spans="2:13" ht="12.75"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</row>
    <row r="1183" spans="2:13" ht="12.75"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</row>
    <row r="1184" spans="2:13" ht="12.75"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</row>
    <row r="1185" spans="2:13" ht="12.75"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</row>
    <row r="1186" spans="2:13" ht="12.75"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</row>
    <row r="1187" spans="2:13" ht="12.75"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</row>
    <row r="1188" spans="2:13" ht="12.75"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</row>
    <row r="1189" spans="2:13" ht="12.75"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</row>
    <row r="1190" spans="2:13" ht="12.75"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</row>
    <row r="1191" spans="2:13" ht="12.75"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</row>
    <row r="1192" spans="2:13" ht="12.75"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</row>
    <row r="1193" spans="2:13" ht="12.75"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</row>
    <row r="1194" spans="2:13" ht="12.75"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</row>
    <row r="1195" spans="2:13" ht="12.75"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</row>
    <row r="1196" spans="2:13" ht="12.75"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</row>
    <row r="1197" spans="2:13" ht="12.75"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</row>
    <row r="1198" spans="2:13" ht="12.75"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</row>
    <row r="1199" spans="2:13" ht="12.75"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</row>
    <row r="1200" spans="2:13" ht="12.75"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</row>
    <row r="1201" spans="2:13" ht="12.75"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</row>
    <row r="1202" spans="2:13" ht="12.75"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</row>
    <row r="1203" spans="2:13" ht="12.75"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</row>
    <row r="1204" spans="2:13" ht="12.75"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</row>
    <row r="1205" spans="2:13" ht="12.75"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</row>
    <row r="1206" spans="2:13" ht="12.75"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</row>
    <row r="1207" spans="2:13" ht="12.75"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</row>
    <row r="1208" spans="2:13" ht="12.75"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</row>
    <row r="1209" spans="2:13" ht="12.75"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</row>
    <row r="1210" spans="2:13" ht="12.75"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</row>
    <row r="1211" spans="2:13" ht="12.75"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</row>
    <row r="1212" spans="2:13" ht="12.75"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</row>
    <row r="1213" spans="2:13" ht="12.75"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</row>
    <row r="1214" spans="2:13" ht="12.75"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</row>
    <row r="1215" spans="2:13" ht="12.75"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</row>
    <row r="1216" spans="2:13" ht="12.75"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</row>
    <row r="1217" spans="2:13" ht="12.75"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</row>
    <row r="1218" spans="2:13" ht="12.75"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</row>
    <row r="1219" spans="2:13" ht="12.75"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</row>
    <row r="1220" spans="2:13" ht="12.75"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</row>
    <row r="1221" spans="2:13" ht="12.75"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</row>
    <row r="1222" spans="2:13" ht="12.75"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</row>
    <row r="1223" spans="2:13" ht="12.75"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</row>
    <row r="1224" spans="2:13" ht="12.75"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</row>
    <row r="1225" spans="2:13" ht="12.75"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</row>
    <row r="1226" spans="2:13" ht="12.75"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</row>
    <row r="1227" spans="2:13" ht="12.75"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</row>
    <row r="1228" spans="2:13" ht="12.75"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</row>
    <row r="1229" spans="2:13" ht="12.75"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</row>
    <row r="1230" spans="2:13" ht="12.75"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</row>
    <row r="1231" spans="2:13" ht="12.75"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</row>
    <row r="1232" spans="2:13" ht="12.75"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</row>
    <row r="1233" spans="2:13" ht="12.75"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</row>
    <row r="1234" spans="2:13" ht="12.75"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</row>
    <row r="1235" spans="2:13" ht="12.75"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</row>
    <row r="1236" spans="2:13" ht="12.75"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</row>
    <row r="1237" spans="2:13" ht="12.75"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</row>
    <row r="1238" spans="2:13" ht="12.75"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</row>
    <row r="1239" spans="2:13" ht="12.75"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</row>
    <row r="1240" spans="2:13" ht="12.75"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</row>
    <row r="1241" spans="2:13" ht="12.75"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</row>
    <row r="1242" spans="2:13" ht="12.75"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</row>
    <row r="1243" spans="2:13" ht="12.75"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</row>
    <row r="1244" spans="2:13" ht="12.75"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</row>
    <row r="1245" spans="2:13" ht="12.75"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</row>
    <row r="1246" spans="2:13" ht="12.75"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</row>
    <row r="1247" spans="2:13" ht="12.75"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</row>
    <row r="1248" spans="2:13" ht="12.75"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</row>
    <row r="1249" spans="2:13" ht="12.75"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</row>
    <row r="1250" spans="2:13" ht="12.75"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</row>
    <row r="1251" spans="2:13" ht="12.75"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</row>
    <row r="1252" spans="2:13" ht="12.75"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</row>
    <row r="1253" spans="2:13" ht="12.75"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</row>
    <row r="1254" spans="2:13" ht="12.75"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</row>
    <row r="1255" spans="2:13" ht="12.75"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</row>
    <row r="1256" spans="2:13" ht="12.75"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</row>
    <row r="1257" spans="2:13" ht="12.75"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</row>
    <row r="1258" spans="2:13" ht="12.75"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</row>
    <row r="1259" spans="2:13" ht="12.75"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</row>
    <row r="1260" spans="2:13" ht="12.75"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</row>
    <row r="1261" spans="2:13" ht="12.75"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</row>
    <row r="1262" spans="2:13" ht="12.75"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</row>
    <row r="1263" spans="2:13" ht="12.75"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</row>
    <row r="1264" spans="2:13" ht="12.75"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</row>
    <row r="1265" spans="2:13" ht="12.75"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</row>
    <row r="1266" spans="2:13" ht="12.75"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</row>
    <row r="1267" spans="2:13" ht="12.75"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</row>
    <row r="1268" spans="2:13" ht="12.75"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</row>
    <row r="1269" spans="2:13" ht="12.75"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</row>
    <row r="1270" spans="2:13" ht="12.75"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</row>
    <row r="1271" spans="2:13" ht="12.75"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</row>
    <row r="1272" spans="2:13" ht="12.75"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</row>
    <row r="1273" spans="2:13" ht="12.75"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</row>
    <row r="1274" spans="2:13" ht="12.75"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</row>
    <row r="1275" spans="2:13" ht="12.75"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</row>
    <row r="1276" spans="2:13" ht="12.75"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</row>
    <row r="1277" spans="2:13" ht="12.75"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</row>
    <row r="1278" spans="2:13" ht="12.75"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</row>
    <row r="1279" spans="2:13" ht="12.75"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</row>
    <row r="1280" spans="2:13" ht="12.75"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</row>
    <row r="1281" spans="2:13" ht="12.75"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</row>
    <row r="1282" spans="2:13" ht="12.75"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</row>
    <row r="1283" spans="2:13" ht="12.75"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</row>
    <row r="1284" spans="2:13" ht="12.75"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</row>
    <row r="1285" spans="2:13" ht="12.75"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</row>
    <row r="1286" spans="2:13" ht="12.75"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</row>
    <row r="1287" spans="2:13" ht="12.75"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</row>
    <row r="1288" spans="2:13" ht="12.75"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</row>
    <row r="1289" spans="2:13" ht="12.75"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</row>
    <row r="1290" spans="2:13" ht="12.75"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</row>
    <row r="1291" spans="2:13" ht="12.75"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</row>
    <row r="1292" spans="2:13" ht="12.75"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</row>
    <row r="1293" spans="2:13" ht="12.75"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</row>
    <row r="1294" spans="2:13" ht="12.75"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</row>
    <row r="1295" spans="2:13" ht="12.75"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</row>
    <row r="1296" spans="2:13" ht="12.75"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</row>
    <row r="1297" spans="2:13" ht="12.75"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</row>
    <row r="1298" spans="2:13" ht="12.75"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</row>
    <row r="1299" spans="2:13" ht="12.75"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</row>
    <row r="1300" spans="2:13" ht="12.75"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</row>
    <row r="1301" spans="2:13" ht="12.75"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</row>
    <row r="1302" spans="2:13" ht="12.75"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</row>
    <row r="1303" spans="2:13" ht="12.75"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</row>
    <row r="1304" spans="2:13" ht="12.75"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</row>
    <row r="1305" spans="2:13" ht="12.75"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</row>
    <row r="1306" spans="2:13" ht="12.75"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</row>
    <row r="1307" spans="2:13" ht="12.75"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</row>
    <row r="1308" spans="2:13" ht="12.75"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</row>
    <row r="1309" spans="2:13" ht="12.75"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</row>
    <row r="1310" spans="2:13" ht="12.75"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</row>
    <row r="1311" spans="2:13" ht="12.75"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</row>
    <row r="1312" spans="2:13" ht="12.75"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</row>
    <row r="1313" spans="2:13" ht="12.75"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</row>
    <row r="1314" spans="2:13" ht="12.75"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</row>
    <row r="1315" spans="2:13" ht="12.75"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</row>
    <row r="1316" spans="2:13" ht="12.75"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</row>
    <row r="1317" spans="2:13" ht="12.75"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</row>
    <row r="1318" spans="2:13" ht="12.75"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</row>
    <row r="1319" spans="2:13" ht="12.75"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</row>
    <row r="1320" spans="2:13" ht="12.75"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</row>
    <row r="1321" spans="2:13" ht="12.75"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</row>
    <row r="1322" spans="2:13" ht="12.75"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</row>
    <row r="1323" spans="2:13" ht="12.75"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</row>
    <row r="1324" spans="2:13" ht="12.75"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</row>
    <row r="1325" spans="2:13" ht="12.75"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</row>
    <row r="1326" spans="2:13" ht="12.75"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</row>
    <row r="1327" spans="2:13" ht="12.75"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</row>
    <row r="1328" spans="2:13" ht="12.75"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</row>
    <row r="1329" spans="2:13" ht="12.75"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</row>
    <row r="1330" spans="2:13" ht="12.75"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</row>
    <row r="1331" spans="2:13" ht="12.75"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</row>
    <row r="1332" spans="2:13" ht="12.75"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</row>
    <row r="1333" spans="2:13" ht="12.75"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</row>
    <row r="1334" spans="2:13" ht="12.75"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</row>
    <row r="1335" spans="2:13" ht="12.75"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</row>
    <row r="1336" spans="2:13" ht="12.75"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</row>
    <row r="1337" spans="2:13" ht="12.75"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</row>
    <row r="1338" spans="2:13" ht="12.75"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</row>
    <row r="1339" spans="2:13" ht="12.75"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</row>
    <row r="1340" spans="2:13" ht="12.75"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</row>
    <row r="1341" spans="2:13" ht="12.75"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</row>
    <row r="1342" spans="2:13" ht="12.75"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</row>
    <row r="1343" spans="2:13" ht="12.75"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</row>
    <row r="1344" spans="2:13" ht="12.75"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</row>
    <row r="1345" spans="2:13" ht="12.75"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</row>
    <row r="1346" spans="2:13" ht="12.75"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</row>
    <row r="1347" spans="2:13" ht="12.75"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</row>
    <row r="1348" spans="2:13" ht="12.75"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</row>
    <row r="1349" spans="2:13" ht="12.75"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</row>
    <row r="1350" spans="2:13" ht="12.75"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</row>
    <row r="1351" spans="2:13" ht="12.75"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</row>
    <row r="1352" spans="2:13" ht="12.75"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</row>
    <row r="1353" spans="2:13" ht="12.75"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</row>
    <row r="1354" spans="2:13" ht="12.75"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</row>
    <row r="1355" spans="2:13" ht="12.75"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</row>
    <row r="1356" spans="2:13" ht="12.75"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</row>
    <row r="1357" spans="2:13" ht="12.75"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</row>
    <row r="1358" spans="2:13" ht="12.75"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</row>
    <row r="1359" spans="2:13" ht="12.75"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</row>
    <row r="1360" spans="2:13" ht="12.75"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</row>
    <row r="1361" spans="2:13" ht="12.75"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</row>
    <row r="1362" spans="2:13" ht="12.75"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</row>
    <row r="1363" spans="2:13" ht="12.75"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</row>
    <row r="1364" spans="2:13" ht="12.75"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</row>
    <row r="1365" spans="2:13" ht="12.75"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</row>
    <row r="1366" spans="2:13" ht="12.75"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</row>
    <row r="1367" spans="2:13" ht="12.75"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</row>
    <row r="1368" spans="2:13" ht="12.75"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</row>
    <row r="1369" spans="2:13" ht="12.75"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</row>
    <row r="1370" spans="2:13" ht="12.75"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</row>
    <row r="1371" spans="2:13" ht="12.75"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</row>
    <row r="1372" spans="2:13" ht="12.75"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</row>
    <row r="1373" spans="2:13" ht="12.75"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</row>
    <row r="1374" spans="2:13" ht="12.75"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</row>
    <row r="1375" spans="2:13" ht="12.75"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</row>
    <row r="1376" spans="2:13" ht="12.75"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</row>
    <row r="1377" spans="2:13" ht="12.75"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</row>
    <row r="1378" spans="2:13" ht="12.75"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</row>
    <row r="1379" spans="2:13" ht="12.75"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</row>
    <row r="1380" spans="2:13" ht="12.75"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</row>
    <row r="1381" spans="2:13" ht="12.75"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</row>
    <row r="1382" spans="2:13" ht="12.75"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</row>
    <row r="1383" spans="2:13" ht="12.75"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</row>
    <row r="1384" spans="2:13" ht="12.75"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</row>
    <row r="1385" spans="2:13" ht="12.75"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</row>
    <row r="1386" spans="2:13" ht="12.75"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</row>
    <row r="1387" spans="2:13" ht="12.75"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</row>
    <row r="1388" spans="2:13" ht="12.75"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</row>
    <row r="1389" spans="2:13" ht="12.75"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</row>
    <row r="1390" spans="2:13" ht="12.75"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</row>
    <row r="1391" spans="2:13" ht="12.75"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</row>
    <row r="1392" spans="2:13" ht="12.75"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</row>
    <row r="1393" spans="2:13" ht="12.75"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</row>
    <row r="1394" spans="2:13" ht="12.75"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</row>
    <row r="1395" spans="2:13" ht="12.75"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</row>
    <row r="1396" spans="2:13" ht="12.75"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</row>
    <row r="1397" spans="2:13" ht="12.75"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</row>
    <row r="1398" spans="2:13" ht="12.75"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</row>
    <row r="1399" spans="2:13" ht="12.75"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</row>
    <row r="1400" spans="2:13" ht="12.75"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</row>
    <row r="1401" spans="2:13" ht="12.75"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</row>
    <row r="1402" spans="2:13" ht="12.75"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</row>
    <row r="1403" spans="2:13" ht="12.75"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</row>
    <row r="1404" spans="2:13" ht="12.75"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</row>
    <row r="1405" spans="2:13" ht="12.75"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</row>
    <row r="1406" spans="2:13" ht="12.75"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</row>
    <row r="1407" spans="2:13" ht="12.75"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</row>
    <row r="1408" spans="2:13" ht="12.75"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</row>
    <row r="1409" spans="2:13" ht="12.75"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</row>
    <row r="1410" spans="2:13" ht="12.75"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</row>
    <row r="1411" spans="2:13" ht="12.75"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</row>
    <row r="1412" spans="2:13" ht="12.75"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</row>
    <row r="1413" spans="2:13" ht="12.75"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</row>
    <row r="1414" spans="2:13" ht="12.75"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</row>
    <row r="1415" spans="2:13" ht="12.75"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</row>
    <row r="1416" spans="2:13" ht="12.75"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</row>
    <row r="1417" spans="2:13" ht="12.75"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</row>
    <row r="1418" spans="2:13" ht="12.75"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</row>
    <row r="1419" spans="2:13" ht="12.75"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</row>
    <row r="1420" spans="2:13" ht="12.75"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</row>
    <row r="1421" spans="2:13" ht="12.75"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</row>
    <row r="1422" spans="2:13" ht="12.75"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</row>
    <row r="1423" spans="2:13" ht="12.75"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</row>
    <row r="1424" spans="2:13" ht="12.75"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</row>
    <row r="1425" spans="2:13" ht="12.75"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</row>
    <row r="1426" spans="2:13" ht="12.75"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</row>
    <row r="1427" spans="2:13" ht="12.75"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</row>
    <row r="1428" spans="2:13" ht="12.75"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</row>
    <row r="1429" spans="2:13" ht="12.75"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</row>
    <row r="1430" spans="2:13" ht="12.75"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</row>
    <row r="1431" spans="2:13" ht="12.75"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</row>
    <row r="1432" spans="2:13" ht="12.75"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</row>
    <row r="1433" spans="2:13" ht="12.75"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</row>
    <row r="1434" spans="2:13" ht="12.75"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</row>
    <row r="1435" spans="2:13" ht="12.75"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</row>
    <row r="1436" spans="2:13" ht="12.75"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</row>
    <row r="1437" spans="2:13" ht="12.75"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</row>
    <row r="1438" spans="2:13" ht="12.75"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</row>
    <row r="1439" spans="2:13" ht="12.75"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</row>
    <row r="1440" spans="2:13" ht="12.75"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</row>
    <row r="1441" spans="2:13" ht="12.75"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</row>
    <row r="1442" spans="2:13" ht="12.75"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</row>
    <row r="1443" spans="2:13" ht="12.75"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</row>
    <row r="1444" spans="2:13" ht="12.75"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</row>
    <row r="1445" spans="2:13" ht="12.75"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</row>
    <row r="1446" spans="2:13" ht="12.75"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</row>
    <row r="1447" spans="2:13" ht="12.75"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</row>
    <row r="1448" spans="2:13" ht="12.75"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</row>
    <row r="1449" spans="2:13" ht="12.75"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</row>
    <row r="1450" spans="2:13" ht="12.75"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</row>
    <row r="1451" spans="2:13" ht="12.75"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</row>
    <row r="1452" spans="2:13" ht="12.75"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</row>
    <row r="1453" spans="2:13" ht="12.75"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</row>
    <row r="1454" spans="2:13" ht="12.75"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</row>
    <row r="1455" spans="2:13" ht="12.75"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</row>
    <row r="1456" spans="2:13" ht="12.75"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</row>
    <row r="1457" spans="2:13" ht="12.75"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</row>
    <row r="1458" spans="2:13" ht="12.75"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</row>
    <row r="1459" spans="2:13" ht="12.75"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</row>
    <row r="1460" spans="2:13" ht="12.75"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</row>
    <row r="1461" spans="2:13" ht="12.75"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</row>
    <row r="1462" spans="2:13" ht="12.75"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</row>
    <row r="1463" spans="2:13" ht="12.75"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</row>
    <row r="1464" spans="2:13" ht="12.75"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</row>
    <row r="1465" spans="2:13" ht="12.75"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</row>
    <row r="1466" spans="2:13" ht="12.75"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</row>
    <row r="1467" spans="2:13" ht="12.75"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</row>
    <row r="1468" spans="2:13" ht="12.75"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</row>
    <row r="1469" spans="2:13" ht="12.75"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</row>
    <row r="1470" spans="2:13" ht="12.75"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</row>
    <row r="1471" spans="2:13" ht="12.75"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</row>
    <row r="1472" spans="2:13" ht="12.75"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</row>
    <row r="1473" spans="2:13" ht="12.75"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</row>
    <row r="1474" spans="2:13" ht="12.75"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</row>
    <row r="1475" spans="2:13" ht="12.75"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</row>
    <row r="1476" spans="2:13" ht="12.75"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</row>
    <row r="1477" spans="2:13" ht="12.75"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</row>
    <row r="1478" spans="2:13" ht="12.75"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</row>
    <row r="1479" spans="2:13" ht="12.75"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</row>
    <row r="1480" spans="2:13" ht="12.75"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</row>
    <row r="1481" spans="2:13" ht="12.75"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</row>
    <row r="1482" spans="2:13" ht="12.75"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</row>
    <row r="1483" spans="2:13" ht="12.75"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</row>
    <row r="1484" spans="2:13" ht="12.75"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</row>
    <row r="1485" spans="2:13" ht="12.75"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</row>
    <row r="1486" spans="2:13" ht="12.75"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</row>
    <row r="1487" spans="2:13" ht="12.75"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</row>
    <row r="1488" spans="2:13" ht="12.75"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</row>
    <row r="1489" spans="2:13" ht="12.75"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</row>
    <row r="1490" spans="2:13" ht="12.75"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</row>
    <row r="1491" spans="2:13" ht="12.75"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</row>
    <row r="1492" spans="2:13" ht="12.75"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</row>
    <row r="1493" spans="2:13" ht="12.75"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</row>
    <row r="1494" spans="2:13" ht="12.75"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</row>
    <row r="1495" spans="2:13" ht="12.75"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</row>
    <row r="1496" spans="2:13" ht="12.75"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</row>
    <row r="1497" spans="2:13" ht="12.75"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</row>
    <row r="1498" spans="2:13" ht="12.75"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</row>
    <row r="1499" spans="2:13" ht="12.75"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</row>
    <row r="1500" spans="2:13" ht="12.75"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</row>
    <row r="1501" spans="2:13" ht="12.75"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</row>
    <row r="1502" spans="2:13" ht="12.75"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</row>
    <row r="1503" spans="2:13" ht="12.75"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</row>
    <row r="1504" spans="2:13" ht="12.75"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</row>
    <row r="1505" spans="2:13" ht="12.75"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</row>
    <row r="1506" spans="2:13" ht="12.75"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</row>
    <row r="1507" spans="2:13" ht="12.75"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</row>
    <row r="1508" spans="2:13" ht="12.75"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</row>
    <row r="1509" spans="2:13" ht="12.75"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</row>
    <row r="1510" spans="2:13" ht="12.75"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</row>
    <row r="1511" spans="2:13" ht="12.75"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</row>
    <row r="1512" spans="2:13" ht="12.75"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</row>
    <row r="1513" spans="2:13" ht="12.75"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</row>
    <row r="1514" spans="2:13" ht="12.75"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</row>
    <row r="1515" spans="2:13" ht="12.75"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</row>
    <row r="1516" spans="2:13" ht="12.75"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</row>
    <row r="1517" spans="2:13" ht="12.75"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</row>
    <row r="1518" spans="2:13" ht="12.75"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</row>
    <row r="1519" spans="2:13" ht="12.75"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</row>
    <row r="1520" spans="2:13" ht="12.75"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</row>
    <row r="1521" spans="2:13" ht="12.75"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</row>
    <row r="1522" spans="2:13" ht="12.75"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</row>
    <row r="1523" spans="2:13" ht="12.75"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</row>
    <row r="1524" spans="2:13" ht="12.75"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</row>
    <row r="1525" spans="2:13" ht="12.75"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</row>
    <row r="1526" spans="2:13" ht="12.75"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</row>
    <row r="1527" spans="2:13" ht="12.75"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</row>
    <row r="1528" spans="2:13" ht="12.75"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</row>
    <row r="1529" spans="2:13" ht="12.75"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</row>
    <row r="1530" spans="2:13" ht="12.75"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</row>
    <row r="1531" spans="2:13" ht="12.75"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</row>
    <row r="1532" spans="2:13" ht="12.75"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</row>
    <row r="1533" spans="2:13" ht="12.75"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</row>
    <row r="1534" spans="2:13" ht="12.75"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</row>
    <row r="1535" spans="2:13" ht="12.75"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</row>
    <row r="1536" spans="2:13" ht="12.75"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</row>
    <row r="1537" spans="2:13" ht="12.75"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</row>
    <row r="1538" spans="2:13" ht="12.75"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</row>
    <row r="1539" spans="2:13" ht="12.75"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</row>
    <row r="1540" spans="2:13" ht="12.75"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</row>
    <row r="1541" spans="2:13" ht="12.75"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</row>
    <row r="1542" spans="2:13" ht="12.75"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</row>
    <row r="1543" spans="2:13" ht="12.75"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</row>
    <row r="1544" spans="2:13" ht="12.75"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</row>
    <row r="1545" spans="2:13" ht="12.75"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</row>
    <row r="1546" spans="2:13" ht="12.75"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</row>
    <row r="1547" spans="2:13" ht="12.75"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</row>
    <row r="1548" spans="2:13" ht="12.75"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</row>
    <row r="1549" spans="2:13" ht="12.75"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</row>
    <row r="1550" spans="2:13" ht="12.75"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</row>
    <row r="1551" spans="2:13" ht="12.75"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</row>
    <row r="1552" spans="2:13" ht="12.75"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</row>
    <row r="1553" spans="2:13" ht="12.75"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</row>
    <row r="1554" spans="2:13" ht="12.75"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</row>
    <row r="1555" spans="2:13" ht="12.75"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</row>
    <row r="1556" spans="2:13" ht="12.75"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</row>
    <row r="1557" spans="2:13" ht="12.75"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</row>
    <row r="1558" spans="2:13" ht="12.75"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</row>
    <row r="1559" spans="2:13" ht="12.75"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</row>
    <row r="1560" spans="2:13" ht="12.75"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</row>
    <row r="1561" spans="2:13" ht="12.75"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</row>
    <row r="1562" spans="2:13" ht="12.75"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</row>
    <row r="1563" spans="2:13" ht="12.75"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</row>
    <row r="1564" spans="2:13" ht="12.75"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</row>
    <row r="1565" spans="2:13" ht="12.75"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</row>
    <row r="1566" spans="2:13" ht="12.75"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</row>
    <row r="1567" spans="2:13" ht="12.75"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</row>
    <row r="1568" spans="2:13" ht="12.75"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</row>
    <row r="1569" spans="2:13" ht="12.75"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</row>
    <row r="1570" spans="2:13" ht="12.75"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</row>
    <row r="1571" spans="2:13" ht="12.75"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</row>
    <row r="1572" spans="2:13" ht="12.75"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</row>
    <row r="1573" spans="2:13" ht="12.75"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</row>
    <row r="1574" spans="2:13" ht="12.75"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</row>
    <row r="1575" spans="2:13" ht="12.75"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</row>
    <row r="1576" spans="2:13" ht="12.75"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</row>
    <row r="1577" spans="2:13" ht="12.75"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</row>
    <row r="1578" spans="2:13" ht="12.75"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</row>
    <row r="1579" spans="2:13" ht="12.75"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</row>
    <row r="1580" spans="2:13" ht="12.75"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</row>
    <row r="1581" spans="2:13" ht="12.75"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</row>
    <row r="1582" spans="2:13" ht="12.75"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</row>
    <row r="1583" spans="2:13" ht="12.75"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</row>
    <row r="1584" spans="2:13" ht="12.75"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</row>
    <row r="1585" spans="2:13" ht="12.75"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</row>
    <row r="1586" spans="2:13" ht="12.75"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</row>
    <row r="1587" spans="2:13" ht="12.75"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</row>
    <row r="1588" spans="2:13" ht="12.75"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</row>
    <row r="1589" spans="2:13" ht="12.75"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</row>
    <row r="1590" spans="2:13" ht="12.75"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</row>
    <row r="1591" spans="2:13" ht="12.75"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</row>
    <row r="1592" spans="2:13" ht="12.75"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</row>
    <row r="1593" spans="2:13" ht="12.75"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</row>
    <row r="1594" spans="2:13" ht="12.75"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</row>
    <row r="1595" spans="2:13" ht="12.75"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</row>
    <row r="1596" spans="2:13" ht="12.75"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</row>
    <row r="1597" spans="2:13" ht="12.75"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</row>
    <row r="1598" spans="2:13" ht="12.75"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</row>
    <row r="1599" spans="2:13" ht="12.75"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</row>
    <row r="1600" spans="2:13" ht="12.75"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</row>
    <row r="1601" spans="2:13" ht="12.75"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</row>
    <row r="1602" spans="2:13" ht="12.75"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</row>
    <row r="1603" spans="2:13" ht="12.75"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</row>
    <row r="1604" spans="2:13" ht="12.75"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</row>
    <row r="1605" spans="2:13" ht="12.75"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</row>
    <row r="1606" spans="2:13" ht="12.75"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</row>
    <row r="1607" spans="2:13" ht="12.75"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</row>
    <row r="1608" spans="2:13" ht="12.75"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</row>
    <row r="1609" spans="2:13" ht="12.75"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</row>
    <row r="1610" spans="2:13" ht="12.75"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</row>
    <row r="1611" spans="2:13" ht="12.75"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</row>
    <row r="1612" spans="2:13" ht="12.75"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</row>
    <row r="1613" spans="2:13" ht="12.75"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</row>
    <row r="1614" spans="2:13" ht="12.75"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</row>
    <row r="1615" spans="2:13" ht="12.75"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</row>
    <row r="1616" spans="2:13" ht="12.75"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</row>
    <row r="1617" spans="2:13" ht="12.75"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</row>
    <row r="1618" spans="2:13" ht="12.75"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</row>
    <row r="1619" spans="2:13" ht="12.75"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</row>
    <row r="1620" spans="2:13" ht="12.75"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</row>
    <row r="1621" spans="2:13" ht="12.75"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</row>
    <row r="1622" spans="2:13" ht="12.75"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</row>
    <row r="1623" spans="2:13" ht="12.75"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</row>
    <row r="1624" spans="2:13" ht="12.75"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</row>
    <row r="1625" spans="2:13" ht="12.75"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</row>
    <row r="1626" spans="2:13" ht="12.75"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</row>
    <row r="1627" spans="2:13" ht="12.75"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</row>
    <row r="1628" spans="2:13" ht="12.75"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</row>
    <row r="1629" spans="2:13" ht="12.75"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</row>
    <row r="1630" spans="2:13" ht="12.75"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</row>
    <row r="1631" spans="2:13" ht="12.75"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</row>
    <row r="1632" spans="2:13" ht="12.75"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</row>
    <row r="1633" spans="2:13" ht="12.75"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</row>
    <row r="1634" spans="2:13" ht="12.75"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</row>
    <row r="1635" spans="2:13" ht="12.75"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</row>
    <row r="1636" spans="2:13" ht="12.75"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</row>
    <row r="1637" spans="2:13" ht="12.75"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</row>
    <row r="1638" spans="2:13" ht="12.75"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</row>
    <row r="1639" spans="2:13" ht="12.75"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</row>
    <row r="1640" spans="2:13" ht="12.75"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</row>
    <row r="1641" spans="2:13" ht="12.75"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</row>
    <row r="1642" spans="2:13" ht="12.75"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</row>
    <row r="1643" spans="2:13" ht="12.75"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</row>
    <row r="1644" spans="2:13" ht="12.75"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</row>
    <row r="1645" spans="2:13" ht="12.75"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</row>
    <row r="1646" spans="2:13" ht="12.75"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</row>
    <row r="1647" spans="2:13" ht="12.75"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</row>
    <row r="1648" spans="2:13" ht="12.75"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</row>
    <row r="1649" spans="2:13" ht="12.75"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</row>
    <row r="1650" spans="2:13" ht="12.75"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</row>
    <row r="1651" spans="2:13" ht="12.75"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</row>
    <row r="1652" spans="2:13" ht="12.75"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</row>
    <row r="1653" spans="2:13" ht="12.75"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</row>
    <row r="1654" spans="2:13" ht="12.75"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</row>
    <row r="1655" spans="2:13" ht="12.75"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</row>
    <row r="1656" spans="2:13" ht="12.75"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</row>
    <row r="1657" spans="2:13" ht="12.75"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</row>
    <row r="1658" spans="2:13" ht="12.75"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</row>
    <row r="1659" spans="2:13" ht="12.75"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</row>
    <row r="1660" spans="2:13" ht="12.75"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</row>
    <row r="1661" spans="2:13" ht="12.75"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</row>
    <row r="1662" spans="2:13" ht="12.75"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</row>
    <row r="1663" spans="2:13" ht="12.75"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</row>
    <row r="1664" spans="2:13" ht="12.75"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</row>
    <row r="1665" spans="2:13" ht="12.75"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</row>
    <row r="1666" spans="2:13" ht="12.75"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</row>
    <row r="1667" spans="2:13" ht="12.75"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</row>
    <row r="1668" spans="2:13" ht="12.75"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</row>
    <row r="1669" spans="2:13" ht="12.75"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</row>
    <row r="1670" spans="2:13" ht="12.75"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</row>
    <row r="1671" spans="2:13" ht="12.75"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</row>
    <row r="1672" spans="2:13" ht="12.75"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</row>
    <row r="1673" spans="2:13" ht="12.75"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</row>
    <row r="1674" spans="2:13" ht="12.75"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</row>
    <row r="1675" spans="2:13" ht="12.75"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</row>
    <row r="1676" spans="2:13" ht="12.75"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</row>
    <row r="1677" spans="2:13" ht="12.75"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</row>
    <row r="1678" spans="2:13" ht="12.75"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</row>
    <row r="1679" spans="2:13" ht="12.75"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</row>
    <row r="1680" spans="2:13" ht="12.75"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</row>
    <row r="1681" spans="2:13" ht="12.75"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</row>
    <row r="1682" spans="2:13" ht="12.75"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</row>
    <row r="1683" spans="2:13" ht="12.75"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</row>
    <row r="1684" spans="2:13" ht="12.75"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</row>
    <row r="1685" spans="2:13" ht="12.75"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</row>
    <row r="1686" spans="2:13" ht="12.75"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</row>
    <row r="1687" spans="2:13" ht="12.75"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</row>
    <row r="1688" spans="2:13" ht="12.75"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</row>
    <row r="1689" spans="2:13" ht="12.75"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</row>
    <row r="1690" spans="2:13" ht="12.75"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</row>
    <row r="1691" spans="2:13" ht="12.75"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</row>
    <row r="1692" spans="2:13" ht="12.75"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</row>
    <row r="1693" spans="2:13" ht="12.75"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</row>
    <row r="1694" spans="2:13" ht="12.75"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</row>
    <row r="1695" spans="2:13" ht="12.75"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</row>
    <row r="1696" spans="2:13" ht="12.75"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</row>
    <row r="1697" spans="2:13" ht="12.75"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</row>
    <row r="1698" spans="2:13" ht="12.75"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</row>
    <row r="1699" spans="2:13" ht="12.75"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</row>
    <row r="1700" spans="2:13" ht="12.75"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</row>
    <row r="1701" spans="2:13" ht="12.75"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</row>
  </sheetData>
  <printOptions/>
  <pageMargins left="0.75" right="0.75" top="1" bottom="1" header="0.5" footer="0.5"/>
  <pageSetup horizontalDpi="300" verticalDpi="3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6"/>
  <sheetViews>
    <sheetView workbookViewId="0" topLeftCell="A149">
      <selection activeCell="I160" sqref="I160"/>
    </sheetView>
  </sheetViews>
  <sheetFormatPr defaultColWidth="9.140625" defaultRowHeight="12.75"/>
  <cols>
    <col min="1" max="1" width="17.8515625" style="3" customWidth="1"/>
    <col min="2" max="2" width="10.00390625" style="3" customWidth="1"/>
    <col min="3" max="3" width="10.57421875" style="3" customWidth="1"/>
    <col min="4" max="5" width="10.28125" style="3" customWidth="1"/>
    <col min="6" max="6" width="9.8515625" style="3" customWidth="1"/>
    <col min="7" max="7" width="11.00390625" style="3" customWidth="1"/>
    <col min="8" max="9" width="9.8515625" style="3" bestFit="1" customWidth="1"/>
    <col min="10" max="16384" width="9.140625" style="3" customWidth="1"/>
  </cols>
  <sheetData>
    <row r="1" spans="1:2" ht="12.75">
      <c r="A1" s="4" t="s">
        <v>117</v>
      </c>
      <c r="B1" s="3" t="s">
        <v>118</v>
      </c>
    </row>
    <row r="3" spans="1:11" ht="12.75">
      <c r="A3" s="4" t="s">
        <v>11</v>
      </c>
      <c r="B3" s="17" t="s">
        <v>0</v>
      </c>
      <c r="C3" s="17" t="s">
        <v>1</v>
      </c>
      <c r="D3" s="17" t="s">
        <v>2</v>
      </c>
      <c r="E3" s="17" t="s">
        <v>3</v>
      </c>
      <c r="F3" s="17" t="s">
        <v>4</v>
      </c>
      <c r="G3" s="17" t="s">
        <v>5</v>
      </c>
      <c r="H3" s="17" t="s">
        <v>6</v>
      </c>
      <c r="I3" s="17" t="s">
        <v>7</v>
      </c>
      <c r="J3" s="7"/>
      <c r="K3" s="7"/>
    </row>
    <row r="4" spans="1:8" ht="12.75">
      <c r="A4" s="3" t="s">
        <v>9</v>
      </c>
      <c r="B4" s="3">
        <v>1194</v>
      </c>
      <c r="C4" s="3">
        <v>1070</v>
      </c>
      <c r="D4" s="3">
        <v>1148</v>
      </c>
      <c r="E4" s="3">
        <v>1191</v>
      </c>
      <c r="F4" s="3">
        <v>1258</v>
      </c>
      <c r="G4" s="3">
        <v>1259</v>
      </c>
      <c r="H4" s="3">
        <v>1261</v>
      </c>
    </row>
    <row r="5" spans="1:8" ht="12.75">
      <c r="A5" s="3" t="s">
        <v>10</v>
      </c>
      <c r="B5" s="3">
        <v>53</v>
      </c>
      <c r="C5" s="3">
        <v>53</v>
      </c>
      <c r="D5" s="3">
        <v>67</v>
      </c>
      <c r="E5" s="3">
        <v>67</v>
      </c>
      <c r="F5" s="3">
        <v>0</v>
      </c>
      <c r="G5" s="3">
        <v>0</v>
      </c>
      <c r="H5" s="3">
        <v>0</v>
      </c>
    </row>
    <row r="6" spans="1:8" ht="12.75">
      <c r="A6" s="3" t="s">
        <v>8</v>
      </c>
      <c r="B6" s="4">
        <f aca="true" t="shared" si="0" ref="B6:G6">SUM(B4:B5)</f>
        <v>1247</v>
      </c>
      <c r="C6" s="4">
        <f t="shared" si="0"/>
        <v>1123</v>
      </c>
      <c r="D6" s="4">
        <f t="shared" si="0"/>
        <v>1215</v>
      </c>
      <c r="E6" s="4">
        <f t="shared" si="0"/>
        <v>1258</v>
      </c>
      <c r="F6" s="4">
        <f t="shared" si="0"/>
        <v>1258</v>
      </c>
      <c r="G6" s="4">
        <f t="shared" si="0"/>
        <v>1259</v>
      </c>
      <c r="H6" s="4">
        <f>SUM(H4:H5)</f>
        <v>1261</v>
      </c>
    </row>
    <row r="7" ht="12.75">
      <c r="A7" s="3" t="s">
        <v>8</v>
      </c>
    </row>
    <row r="8" ht="12.75">
      <c r="A8" s="4" t="s">
        <v>12</v>
      </c>
    </row>
    <row r="9" spans="1:8" ht="12.75">
      <c r="A9" s="3" t="s">
        <v>9</v>
      </c>
      <c r="B9" s="3">
        <v>76</v>
      </c>
      <c r="C9" s="3">
        <v>76</v>
      </c>
      <c r="D9" s="3">
        <v>76</v>
      </c>
      <c r="E9" s="3">
        <v>76</v>
      </c>
      <c r="F9" s="3">
        <v>77</v>
      </c>
      <c r="G9" s="3">
        <v>137</v>
      </c>
      <c r="H9" s="3">
        <v>137</v>
      </c>
    </row>
    <row r="10" spans="1:8" ht="12.75">
      <c r="A10" s="3" t="s">
        <v>10</v>
      </c>
      <c r="B10" s="3">
        <v>60</v>
      </c>
      <c r="C10" s="3">
        <v>60</v>
      </c>
      <c r="D10" s="3">
        <v>60</v>
      </c>
      <c r="E10" s="3">
        <v>60</v>
      </c>
      <c r="F10" s="3">
        <v>60</v>
      </c>
      <c r="G10" s="3">
        <v>0</v>
      </c>
      <c r="H10" s="3">
        <v>0</v>
      </c>
    </row>
    <row r="11" spans="1:8" ht="12.75">
      <c r="A11" s="3" t="s">
        <v>8</v>
      </c>
      <c r="B11" s="4">
        <f>SUM(B9:B10)</f>
        <v>136</v>
      </c>
      <c r="C11" s="4">
        <f aca="true" t="shared" si="1" ref="C11:H11">SUM(C9:C10)</f>
        <v>136</v>
      </c>
      <c r="D11" s="4">
        <f t="shared" si="1"/>
        <v>136</v>
      </c>
      <c r="E11" s="4">
        <f t="shared" si="1"/>
        <v>136</v>
      </c>
      <c r="F11" s="4">
        <f t="shared" si="1"/>
        <v>137</v>
      </c>
      <c r="G11" s="4">
        <f t="shared" si="1"/>
        <v>137</v>
      </c>
      <c r="H11" s="4">
        <f t="shared" si="1"/>
        <v>137</v>
      </c>
    </row>
    <row r="12" ht="12.75">
      <c r="A12" s="3" t="s">
        <v>8</v>
      </c>
    </row>
    <row r="13" spans="1:8" ht="12.75">
      <c r="A13" s="3" t="s">
        <v>9</v>
      </c>
      <c r="B13" s="3">
        <f>B4+B9</f>
        <v>1270</v>
      </c>
      <c r="C13" s="3">
        <f aca="true" t="shared" si="2" ref="C13:H13">C4+C9</f>
        <v>1146</v>
      </c>
      <c r="D13" s="3">
        <f t="shared" si="2"/>
        <v>1224</v>
      </c>
      <c r="E13" s="3">
        <f t="shared" si="2"/>
        <v>1267</v>
      </c>
      <c r="F13" s="3">
        <f t="shared" si="2"/>
        <v>1335</v>
      </c>
      <c r="G13" s="3">
        <f t="shared" si="2"/>
        <v>1396</v>
      </c>
      <c r="H13" s="3">
        <f t="shared" si="2"/>
        <v>1398</v>
      </c>
    </row>
    <row r="14" spans="1:8" ht="12.75">
      <c r="A14" s="3" t="s">
        <v>10</v>
      </c>
      <c r="B14" s="3">
        <f>B5+B10</f>
        <v>113</v>
      </c>
      <c r="C14" s="3">
        <f aca="true" t="shared" si="3" ref="C14:H14">C5+C10</f>
        <v>113</v>
      </c>
      <c r="D14" s="3">
        <f t="shared" si="3"/>
        <v>127</v>
      </c>
      <c r="E14" s="3">
        <f t="shared" si="3"/>
        <v>127</v>
      </c>
      <c r="F14" s="3">
        <f t="shared" si="3"/>
        <v>60</v>
      </c>
      <c r="G14" s="3">
        <f t="shared" si="3"/>
        <v>0</v>
      </c>
      <c r="H14" s="3">
        <f t="shared" si="3"/>
        <v>0</v>
      </c>
    </row>
    <row r="15" spans="1:8" ht="12.75">
      <c r="A15" s="3" t="s">
        <v>13</v>
      </c>
      <c r="B15" s="4">
        <f>SUM(B13:B14)</f>
        <v>1383</v>
      </c>
      <c r="C15" s="4">
        <f aca="true" t="shared" si="4" ref="C15:H15">SUM(C13:C14)</f>
        <v>1259</v>
      </c>
      <c r="D15" s="4">
        <f t="shared" si="4"/>
        <v>1351</v>
      </c>
      <c r="E15" s="4">
        <f t="shared" si="4"/>
        <v>1394</v>
      </c>
      <c r="F15" s="4">
        <f t="shared" si="4"/>
        <v>1395</v>
      </c>
      <c r="G15" s="4">
        <f t="shared" si="4"/>
        <v>1396</v>
      </c>
      <c r="H15" s="4">
        <f t="shared" si="4"/>
        <v>1398</v>
      </c>
    </row>
    <row r="17" spans="1:13" s="5" customFormat="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="8" customFormat="1" ht="12.75">
      <c r="A18" s="9">
        <v>2111</v>
      </c>
    </row>
    <row r="19" spans="1:11" ht="12.75">
      <c r="A19" s="4" t="s">
        <v>14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  <c r="G19" s="7" t="s">
        <v>5</v>
      </c>
      <c r="H19" s="7" t="s">
        <v>6</v>
      </c>
      <c r="I19" s="7" t="s">
        <v>7</v>
      </c>
      <c r="J19" s="7"/>
      <c r="K19" s="7"/>
    </row>
    <row r="20" spans="1:8" ht="12.75">
      <c r="A20" s="3" t="s">
        <v>15</v>
      </c>
      <c r="B20" s="3">
        <v>390</v>
      </c>
      <c r="C20" s="3">
        <v>392</v>
      </c>
      <c r="D20" s="3">
        <v>391</v>
      </c>
      <c r="E20" s="3">
        <v>396</v>
      </c>
      <c r="F20" s="3">
        <v>366</v>
      </c>
      <c r="G20" s="3">
        <v>366</v>
      </c>
      <c r="H20" s="3">
        <v>363</v>
      </c>
    </row>
    <row r="21" spans="1:8" ht="12.75">
      <c r="A21" s="3" t="s">
        <v>17</v>
      </c>
      <c r="B21" s="3">
        <v>26</v>
      </c>
      <c r="C21" s="3">
        <v>26</v>
      </c>
      <c r="D21" s="3">
        <v>27</v>
      </c>
      <c r="E21" s="3">
        <v>26</v>
      </c>
      <c r="F21" s="3">
        <v>33</v>
      </c>
      <c r="G21" s="3">
        <v>31</v>
      </c>
      <c r="H21" s="3">
        <v>29</v>
      </c>
    </row>
    <row r="22" spans="1:8" ht="12.75">
      <c r="A22" s="3" t="s">
        <v>20</v>
      </c>
      <c r="B22" s="3">
        <v>3</v>
      </c>
      <c r="C22" s="3">
        <v>4</v>
      </c>
      <c r="D22" s="3">
        <v>3</v>
      </c>
      <c r="E22" s="3">
        <v>3</v>
      </c>
      <c r="F22" s="3">
        <v>3</v>
      </c>
      <c r="G22" s="3">
        <v>2</v>
      </c>
      <c r="H22" s="3">
        <v>2</v>
      </c>
    </row>
    <row r="23" spans="1:8" ht="12.75">
      <c r="A23" s="3" t="s">
        <v>21</v>
      </c>
      <c r="B23" s="3">
        <v>4</v>
      </c>
      <c r="C23" s="3">
        <v>0</v>
      </c>
      <c r="D23" s="3">
        <v>2</v>
      </c>
      <c r="E23" s="3">
        <v>1</v>
      </c>
      <c r="F23" s="3">
        <v>0</v>
      </c>
      <c r="G23" s="3">
        <v>1</v>
      </c>
      <c r="H23" s="3">
        <v>1</v>
      </c>
    </row>
    <row r="24" spans="1:8" ht="12.75">
      <c r="A24" s="3" t="s">
        <v>23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1</v>
      </c>
      <c r="H24" s="3">
        <v>1</v>
      </c>
    </row>
    <row r="25" spans="1:8" ht="12.75">
      <c r="A25" s="4" t="s">
        <v>27</v>
      </c>
      <c r="B25" s="4">
        <f aca="true" t="shared" si="5" ref="B25:H25">SUM(B20:B24)</f>
        <v>423</v>
      </c>
      <c r="C25" s="4">
        <f t="shared" si="5"/>
        <v>422</v>
      </c>
      <c r="D25" s="4">
        <f t="shared" si="5"/>
        <v>423</v>
      </c>
      <c r="E25" s="4">
        <f t="shared" si="5"/>
        <v>426</v>
      </c>
      <c r="F25" s="4">
        <f t="shared" si="5"/>
        <v>402</v>
      </c>
      <c r="G25" s="4">
        <f t="shared" si="5"/>
        <v>401</v>
      </c>
      <c r="H25" s="4">
        <f t="shared" si="5"/>
        <v>396</v>
      </c>
    </row>
    <row r="26" spans="1:8" ht="12.75">
      <c r="A26" s="3" t="s">
        <v>16</v>
      </c>
      <c r="B26" s="3">
        <v>19</v>
      </c>
      <c r="C26" s="3">
        <v>18</v>
      </c>
      <c r="D26" s="3">
        <v>18</v>
      </c>
      <c r="E26" s="3">
        <v>17</v>
      </c>
      <c r="F26" s="3">
        <v>17</v>
      </c>
      <c r="G26" s="3">
        <v>11</v>
      </c>
      <c r="H26" s="3">
        <v>11</v>
      </c>
    </row>
    <row r="27" spans="1:8" ht="12.75">
      <c r="A27" s="3" t="s">
        <v>18</v>
      </c>
      <c r="B27" s="3">
        <v>2</v>
      </c>
      <c r="C27" s="3">
        <v>2</v>
      </c>
      <c r="D27" s="3">
        <v>2</v>
      </c>
      <c r="E27" s="3">
        <v>3</v>
      </c>
      <c r="F27" s="3">
        <v>3</v>
      </c>
      <c r="G27" s="3">
        <v>3</v>
      </c>
      <c r="H27" s="3">
        <v>3</v>
      </c>
    </row>
    <row r="28" spans="1:8" ht="12.75">
      <c r="A28" s="3" t="s">
        <v>19</v>
      </c>
      <c r="B28" s="3">
        <v>1</v>
      </c>
      <c r="C28" s="3">
        <v>1</v>
      </c>
      <c r="D28" s="3">
        <v>1</v>
      </c>
      <c r="E28" s="3">
        <v>1</v>
      </c>
      <c r="F28" s="3">
        <v>1</v>
      </c>
      <c r="G28" s="3">
        <v>1</v>
      </c>
      <c r="H28" s="3">
        <v>2</v>
      </c>
    </row>
    <row r="29" spans="1:8" ht="12.75">
      <c r="A29" s="3" t="s">
        <v>22</v>
      </c>
      <c r="B29" s="3">
        <v>1</v>
      </c>
      <c r="C29" s="3">
        <v>1</v>
      </c>
      <c r="D29" s="3">
        <v>1</v>
      </c>
      <c r="E29" s="3">
        <v>1</v>
      </c>
      <c r="F29" s="3">
        <v>1</v>
      </c>
      <c r="G29" s="3">
        <v>1</v>
      </c>
      <c r="H29" s="3">
        <v>1</v>
      </c>
    </row>
    <row r="30" spans="1:8" ht="12.75">
      <c r="A30" s="3" t="s">
        <v>24</v>
      </c>
      <c r="B30" s="3">
        <v>4</v>
      </c>
      <c r="C30" s="3">
        <v>4</v>
      </c>
      <c r="D30" s="3">
        <v>4</v>
      </c>
      <c r="E30" s="3">
        <v>4</v>
      </c>
      <c r="F30" s="3">
        <v>4</v>
      </c>
      <c r="G30" s="3">
        <v>5</v>
      </c>
      <c r="H30" s="3">
        <v>5</v>
      </c>
    </row>
    <row r="31" spans="1:8" ht="12.75">
      <c r="A31" s="4" t="s">
        <v>27</v>
      </c>
      <c r="B31" s="4">
        <f aca="true" t="shared" si="6" ref="B31:H31">SUM(B26:B30)</f>
        <v>27</v>
      </c>
      <c r="C31" s="4">
        <f t="shared" si="6"/>
        <v>26</v>
      </c>
      <c r="D31" s="4">
        <f t="shared" si="6"/>
        <v>26</v>
      </c>
      <c r="E31" s="4">
        <f t="shared" si="6"/>
        <v>26</v>
      </c>
      <c r="F31" s="4">
        <f t="shared" si="6"/>
        <v>26</v>
      </c>
      <c r="G31" s="4">
        <f t="shared" si="6"/>
        <v>21</v>
      </c>
      <c r="H31" s="4">
        <f t="shared" si="6"/>
        <v>22</v>
      </c>
    </row>
    <row r="32" spans="1:8" ht="12.75">
      <c r="A32" s="4" t="s">
        <v>13</v>
      </c>
      <c r="B32" s="4">
        <f>B25+B31</f>
        <v>450</v>
      </c>
      <c r="C32" s="4">
        <f aca="true" t="shared" si="7" ref="C32:H32">C25+C31</f>
        <v>448</v>
      </c>
      <c r="D32" s="4">
        <f t="shared" si="7"/>
        <v>449</v>
      </c>
      <c r="E32" s="4">
        <f t="shared" si="7"/>
        <v>452</v>
      </c>
      <c r="F32" s="4">
        <f t="shared" si="7"/>
        <v>428</v>
      </c>
      <c r="G32" s="4">
        <f t="shared" si="7"/>
        <v>422</v>
      </c>
      <c r="H32" s="4">
        <f t="shared" si="7"/>
        <v>418</v>
      </c>
    </row>
    <row r="33" spans="1:2" ht="12.75">
      <c r="A33" s="4"/>
      <c r="B33" s="4"/>
    </row>
    <row r="34" spans="1:11" ht="12.75">
      <c r="A34" s="9">
        <v>2131</v>
      </c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2.75">
      <c r="A35" s="4" t="s">
        <v>14</v>
      </c>
      <c r="B35" s="7" t="s">
        <v>0</v>
      </c>
      <c r="C35" s="7" t="s">
        <v>1</v>
      </c>
      <c r="D35" s="7" t="s">
        <v>2</v>
      </c>
      <c r="E35" s="7" t="s">
        <v>3</v>
      </c>
      <c r="F35" s="7" t="s">
        <v>4</v>
      </c>
      <c r="G35" s="7" t="s">
        <v>5</v>
      </c>
      <c r="H35" s="7" t="s">
        <v>6</v>
      </c>
      <c r="I35" s="7" t="s">
        <v>7</v>
      </c>
      <c r="J35" s="7"/>
      <c r="K35" s="7"/>
    </row>
    <row r="36" spans="1:8" ht="12.75">
      <c r="A36" s="3" t="s">
        <v>15</v>
      </c>
      <c r="B36" s="3">
        <v>123</v>
      </c>
      <c r="C36" s="3">
        <v>120</v>
      </c>
      <c r="D36" s="3">
        <v>117</v>
      </c>
      <c r="E36" s="3">
        <v>114</v>
      </c>
      <c r="F36" s="3">
        <v>118</v>
      </c>
      <c r="G36" s="3">
        <v>117</v>
      </c>
      <c r="H36" s="3">
        <v>117</v>
      </c>
    </row>
    <row r="37" spans="1:8" ht="12.75">
      <c r="A37" s="3" t="s">
        <v>17</v>
      </c>
      <c r="B37" s="3">
        <v>11</v>
      </c>
      <c r="C37" s="3">
        <v>11</v>
      </c>
      <c r="D37" s="3">
        <v>11</v>
      </c>
      <c r="E37" s="3">
        <v>9</v>
      </c>
      <c r="F37" s="3">
        <v>9</v>
      </c>
      <c r="G37" s="3">
        <v>11</v>
      </c>
      <c r="H37" s="3">
        <v>11</v>
      </c>
    </row>
    <row r="38" spans="1:8" ht="12.75">
      <c r="A38" s="3" t="s">
        <v>20</v>
      </c>
      <c r="B38" s="3">
        <v>1</v>
      </c>
      <c r="C38" s="3">
        <v>2</v>
      </c>
      <c r="D38" s="3">
        <v>2</v>
      </c>
      <c r="E38" s="3">
        <v>3</v>
      </c>
      <c r="F38" s="3">
        <v>3</v>
      </c>
      <c r="G38" s="3">
        <v>3</v>
      </c>
      <c r="H38" s="3">
        <v>3</v>
      </c>
    </row>
    <row r="39" spans="1:3" ht="12.75">
      <c r="A39" s="3" t="s">
        <v>21</v>
      </c>
      <c r="B39" s="3">
        <v>1</v>
      </c>
      <c r="C39" s="3">
        <v>1</v>
      </c>
    </row>
    <row r="40" ht="12.75">
      <c r="A40" s="3" t="s">
        <v>23</v>
      </c>
    </row>
    <row r="41" spans="1:8" ht="12.75">
      <c r="A41" s="4" t="s">
        <v>27</v>
      </c>
      <c r="B41" s="4">
        <f>SUM(B36:B40)</f>
        <v>136</v>
      </c>
      <c r="C41" s="4">
        <f aca="true" t="shared" si="8" ref="C41:H41">SUM(C36:C40)</f>
        <v>134</v>
      </c>
      <c r="D41" s="4">
        <f t="shared" si="8"/>
        <v>130</v>
      </c>
      <c r="E41" s="4">
        <f t="shared" si="8"/>
        <v>126</v>
      </c>
      <c r="F41" s="4">
        <f t="shared" si="8"/>
        <v>130</v>
      </c>
      <c r="G41" s="4">
        <f t="shared" si="8"/>
        <v>131</v>
      </c>
      <c r="H41" s="4">
        <f t="shared" si="8"/>
        <v>131</v>
      </c>
    </row>
    <row r="42" ht="12.75">
      <c r="A42" s="3" t="s">
        <v>16</v>
      </c>
    </row>
    <row r="43" spans="1:8" ht="12.75">
      <c r="A43" s="3" t="s">
        <v>18</v>
      </c>
      <c r="B43" s="3">
        <v>2</v>
      </c>
      <c r="C43" s="3">
        <v>2</v>
      </c>
      <c r="D43" s="3">
        <v>2</v>
      </c>
      <c r="E43" s="3">
        <v>2</v>
      </c>
      <c r="F43" s="3">
        <v>2</v>
      </c>
      <c r="G43" s="3">
        <v>2</v>
      </c>
      <c r="H43" s="3">
        <v>2</v>
      </c>
    </row>
    <row r="44" ht="12.75">
      <c r="A44" s="3" t="s">
        <v>19</v>
      </c>
    </row>
    <row r="45" ht="12.75">
      <c r="A45" s="3" t="s">
        <v>22</v>
      </c>
    </row>
    <row r="46" ht="12.75">
      <c r="A46" s="3" t="s">
        <v>24</v>
      </c>
    </row>
    <row r="47" spans="1:8" ht="12.75">
      <c r="A47" s="4" t="s">
        <v>27</v>
      </c>
      <c r="B47" s="4">
        <f>SUM(B42:B46)</f>
        <v>2</v>
      </c>
      <c r="C47" s="4">
        <f aca="true" t="shared" si="9" ref="C47:H47">SUM(C42:C46)</f>
        <v>2</v>
      </c>
      <c r="D47" s="4">
        <f t="shared" si="9"/>
        <v>2</v>
      </c>
      <c r="E47" s="4">
        <f t="shared" si="9"/>
        <v>2</v>
      </c>
      <c r="F47" s="4">
        <f t="shared" si="9"/>
        <v>2</v>
      </c>
      <c r="G47" s="4">
        <f t="shared" si="9"/>
        <v>2</v>
      </c>
      <c r="H47" s="4">
        <f t="shared" si="9"/>
        <v>2</v>
      </c>
    </row>
    <row r="48" spans="1:8" ht="12.75">
      <c r="A48" s="4" t="s">
        <v>13</v>
      </c>
      <c r="B48" s="4">
        <f>+B41+B47</f>
        <v>138</v>
      </c>
      <c r="C48" s="4">
        <f aca="true" t="shared" si="10" ref="C48:H48">+C41+C47</f>
        <v>136</v>
      </c>
      <c r="D48" s="4">
        <f t="shared" si="10"/>
        <v>132</v>
      </c>
      <c r="E48" s="4">
        <f t="shared" si="10"/>
        <v>128</v>
      </c>
      <c r="F48" s="4">
        <f t="shared" si="10"/>
        <v>132</v>
      </c>
      <c r="G48" s="4">
        <f t="shared" si="10"/>
        <v>133</v>
      </c>
      <c r="H48" s="4">
        <f t="shared" si="10"/>
        <v>133</v>
      </c>
    </row>
    <row r="50" spans="1:11" ht="12.75">
      <c r="A50" s="75" t="s">
        <v>202</v>
      </c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2.75">
      <c r="A51" s="4" t="s">
        <v>43</v>
      </c>
      <c r="B51" s="7" t="s">
        <v>0</v>
      </c>
      <c r="C51" s="7" t="s">
        <v>1</v>
      </c>
      <c r="D51" s="7" t="s">
        <v>2</v>
      </c>
      <c r="E51" s="7" t="s">
        <v>3</v>
      </c>
      <c r="F51" s="7" t="s">
        <v>4</v>
      </c>
      <c r="G51" s="7" t="s">
        <v>5</v>
      </c>
      <c r="H51" s="7" t="s">
        <v>6</v>
      </c>
      <c r="I51" s="7" t="s">
        <v>7</v>
      </c>
      <c r="J51" s="7"/>
      <c r="K51" s="7"/>
    </row>
    <row r="52" spans="1:8" ht="12.75">
      <c r="A52" s="1" t="s">
        <v>30</v>
      </c>
      <c r="B52" s="3">
        <f>245*1*4.33</f>
        <v>1060.85</v>
      </c>
      <c r="C52" s="3">
        <f>247*1*4.33</f>
        <v>1069.51</v>
      </c>
      <c r="D52" s="3">
        <f>245*1*4.33</f>
        <v>1060.85</v>
      </c>
      <c r="E52" s="3">
        <f>242*1*4.33</f>
        <v>1047.8600000000001</v>
      </c>
      <c r="F52" s="3">
        <f>241*1*4.33</f>
        <v>1043.53</v>
      </c>
      <c r="G52" s="3">
        <f>239*1*4.33</f>
        <v>1034.8700000000001</v>
      </c>
      <c r="H52" s="3">
        <f>241*1*4.33</f>
        <v>1043.53</v>
      </c>
    </row>
    <row r="53" spans="1:8" ht="12.75">
      <c r="A53" s="1" t="s">
        <v>31</v>
      </c>
      <c r="B53" s="3">
        <f>2*1*4.33</f>
        <v>8.66</v>
      </c>
      <c r="C53" s="3">
        <f>2*1*4.33</f>
        <v>8.66</v>
      </c>
      <c r="D53" s="3">
        <f>2*1*4.33</f>
        <v>8.66</v>
      </c>
      <c r="E53" s="3">
        <f>5*2*4.33</f>
        <v>43.3</v>
      </c>
      <c r="F53" s="3">
        <f>1*2*4.33</f>
        <v>8.66</v>
      </c>
      <c r="G53" s="3">
        <f>1*2*4.33</f>
        <v>8.66</v>
      </c>
      <c r="H53" s="3">
        <f>1*2*4.33</f>
        <v>8.66</v>
      </c>
    </row>
    <row r="54" spans="1:8" ht="12.75">
      <c r="A54" s="1" t="s">
        <v>28</v>
      </c>
      <c r="B54" s="3">
        <f>47*1.5*4.33</f>
        <v>305.265</v>
      </c>
      <c r="C54" s="3">
        <f>47*1.5*4.33</f>
        <v>305.265</v>
      </c>
      <c r="D54" s="3">
        <f>47*1.5*4.33</f>
        <v>305.265</v>
      </c>
      <c r="E54" s="3">
        <f>47*1.5*4.33</f>
        <v>305.265</v>
      </c>
      <c r="F54" s="3">
        <f>45*1.5*4.33</f>
        <v>292.275</v>
      </c>
      <c r="G54" s="3">
        <f>45*1.5*4.33</f>
        <v>292.275</v>
      </c>
      <c r="H54" s="3">
        <f>45*1.5*4.33</f>
        <v>292.275</v>
      </c>
    </row>
    <row r="55" spans="1:8" ht="12.75">
      <c r="A55" s="1" t="s">
        <v>29</v>
      </c>
      <c r="B55" s="3">
        <f aca="true" t="shared" si="11" ref="B55:H55">3*3*4.33</f>
        <v>38.97</v>
      </c>
      <c r="C55" s="3">
        <f t="shared" si="11"/>
        <v>38.97</v>
      </c>
      <c r="D55" s="3">
        <f t="shared" si="11"/>
        <v>38.97</v>
      </c>
      <c r="E55" s="3">
        <f t="shared" si="11"/>
        <v>38.97</v>
      </c>
      <c r="F55" s="3">
        <f t="shared" si="11"/>
        <v>38.97</v>
      </c>
      <c r="G55" s="3">
        <f t="shared" si="11"/>
        <v>38.97</v>
      </c>
      <c r="H55" s="3">
        <f t="shared" si="11"/>
        <v>38.97</v>
      </c>
    </row>
    <row r="56" spans="1:8" ht="12.75">
      <c r="A56" s="1" t="s">
        <v>33</v>
      </c>
      <c r="B56" s="3">
        <f>85*2*4.33</f>
        <v>736.1</v>
      </c>
      <c r="C56" s="3">
        <f>87*2*4.33</f>
        <v>753.42</v>
      </c>
      <c r="D56" s="3">
        <f>88*2*4.33</f>
        <v>762.08</v>
      </c>
      <c r="E56" s="3">
        <f>84*2*4.33</f>
        <v>727.44</v>
      </c>
      <c r="F56" s="3">
        <f>86*2*4.33</f>
        <v>744.76</v>
      </c>
      <c r="G56" s="3">
        <f>86*2*4.33</f>
        <v>744.76</v>
      </c>
      <c r="H56" s="3">
        <f>88*2*4.33</f>
        <v>762.08</v>
      </c>
    </row>
    <row r="57" spans="1:8" ht="12.75">
      <c r="A57" s="1" t="s">
        <v>34</v>
      </c>
      <c r="B57" s="3">
        <f>16*4*4.33</f>
        <v>277.12</v>
      </c>
      <c r="C57" s="3">
        <f>16*4*4.33</f>
        <v>277.12</v>
      </c>
      <c r="D57" s="3">
        <f>16*4*4.33</f>
        <v>277.12</v>
      </c>
      <c r="E57" s="3">
        <f>16*4*4.33</f>
        <v>277.12</v>
      </c>
      <c r="F57" s="3">
        <f>18*4*4.33</f>
        <v>311.76</v>
      </c>
      <c r="G57" s="3">
        <f>17*4*4.33</f>
        <v>294.44</v>
      </c>
      <c r="H57" s="3">
        <f>15*4*4.33</f>
        <v>259.8</v>
      </c>
    </row>
    <row r="58" spans="1:8" ht="12.75">
      <c r="A58" s="1" t="s">
        <v>35</v>
      </c>
      <c r="B58" s="3">
        <f aca="true" t="shared" si="12" ref="B58:H58">1*6*4.33</f>
        <v>25.98</v>
      </c>
      <c r="C58" s="3">
        <f t="shared" si="12"/>
        <v>25.98</v>
      </c>
      <c r="D58" s="3">
        <f t="shared" si="12"/>
        <v>25.98</v>
      </c>
      <c r="E58" s="3">
        <f t="shared" si="12"/>
        <v>25.98</v>
      </c>
      <c r="F58" s="3">
        <f t="shared" si="12"/>
        <v>25.98</v>
      </c>
      <c r="G58" s="3">
        <f t="shared" si="12"/>
        <v>25.98</v>
      </c>
      <c r="H58" s="3">
        <f t="shared" si="12"/>
        <v>25.98</v>
      </c>
    </row>
    <row r="59" spans="1:8" ht="12.75">
      <c r="A59" s="1" t="s">
        <v>37</v>
      </c>
      <c r="B59" s="3">
        <f>17*4*4.33</f>
        <v>294.44</v>
      </c>
      <c r="C59" s="3">
        <f>17*4*4.33</f>
        <v>294.44</v>
      </c>
      <c r="D59" s="3">
        <f>18*4*4.33</f>
        <v>311.76</v>
      </c>
      <c r="E59" s="3">
        <f>18*4*4.33</f>
        <v>311.76</v>
      </c>
      <c r="F59" s="3">
        <f>20*4*4.33</f>
        <v>346.4</v>
      </c>
      <c r="G59" s="3">
        <f>23*4*4.33</f>
        <v>398.36</v>
      </c>
      <c r="H59" s="3">
        <f>21*4*4.33</f>
        <v>363.72</v>
      </c>
    </row>
    <row r="60" spans="1:8" ht="12.75">
      <c r="A60" s="1" t="s">
        <v>38</v>
      </c>
      <c r="B60" s="3">
        <f aca="true" t="shared" si="13" ref="B60:H60">1*8*4.33</f>
        <v>34.64</v>
      </c>
      <c r="C60" s="3">
        <f t="shared" si="13"/>
        <v>34.64</v>
      </c>
      <c r="D60" s="3">
        <f t="shared" si="13"/>
        <v>34.64</v>
      </c>
      <c r="E60" s="3">
        <f t="shared" si="13"/>
        <v>34.64</v>
      </c>
      <c r="F60" s="3">
        <f t="shared" si="13"/>
        <v>34.64</v>
      </c>
      <c r="G60" s="3">
        <f t="shared" si="13"/>
        <v>34.64</v>
      </c>
      <c r="H60" s="3">
        <f t="shared" si="13"/>
        <v>34.64</v>
      </c>
    </row>
    <row r="61" spans="1:8" ht="12.75">
      <c r="A61" s="1" t="s">
        <v>39</v>
      </c>
      <c r="B61" s="3">
        <f>33*6*4.33</f>
        <v>857.34</v>
      </c>
      <c r="C61" s="3">
        <f>33*6*4.33</f>
        <v>857.34</v>
      </c>
      <c r="D61" s="3">
        <f>33*6*4.33</f>
        <v>857.34</v>
      </c>
      <c r="E61" s="3">
        <f>33*6*4.33</f>
        <v>857.34</v>
      </c>
      <c r="F61" s="3">
        <f>33*6*4.33</f>
        <v>857.34</v>
      </c>
      <c r="G61" s="3">
        <f>32*6*4.33</f>
        <v>831.36</v>
      </c>
      <c r="H61" s="3">
        <f>32*6*4.33</f>
        <v>831.36</v>
      </c>
    </row>
    <row r="62" spans="1:8" ht="12.75">
      <c r="A62" s="1" t="s">
        <v>40</v>
      </c>
      <c r="B62" s="3">
        <f>11*12*4.33</f>
        <v>571.5600000000001</v>
      </c>
      <c r="C62" s="3">
        <f>11*12*4.33</f>
        <v>571.5600000000001</v>
      </c>
      <c r="D62" s="3">
        <f>11*12*4.33</f>
        <v>571.5600000000001</v>
      </c>
      <c r="E62" s="3">
        <f>11*12*4.33</f>
        <v>571.5600000000001</v>
      </c>
      <c r="F62" s="3">
        <f>10*12*4.33</f>
        <v>519.6</v>
      </c>
      <c r="G62" s="3">
        <f>10*12*4.33</f>
        <v>519.6</v>
      </c>
      <c r="H62" s="3">
        <f>10*12*4.33</f>
        <v>519.6</v>
      </c>
    </row>
    <row r="63" spans="1:8" ht="12.75">
      <c r="A63" s="1" t="s">
        <v>41</v>
      </c>
      <c r="B63" s="3">
        <f aca="true" t="shared" si="14" ref="B63:H63">7*18*4.33</f>
        <v>545.58</v>
      </c>
      <c r="C63" s="3">
        <f t="shared" si="14"/>
        <v>545.58</v>
      </c>
      <c r="D63" s="3">
        <f t="shared" si="14"/>
        <v>545.58</v>
      </c>
      <c r="E63" s="3">
        <f t="shared" si="14"/>
        <v>545.58</v>
      </c>
      <c r="F63" s="3">
        <f t="shared" si="14"/>
        <v>545.58</v>
      </c>
      <c r="G63" s="3">
        <f t="shared" si="14"/>
        <v>545.58</v>
      </c>
      <c r="H63" s="3">
        <f t="shared" si="14"/>
        <v>545.58</v>
      </c>
    </row>
    <row r="64" spans="1:11" ht="12.75">
      <c r="A64" s="2" t="s">
        <v>27</v>
      </c>
      <c r="B64" s="4">
        <f aca="true" t="shared" si="15" ref="B64:H64">SUM(B52:B63)</f>
        <v>4756.505</v>
      </c>
      <c r="C64" s="4">
        <f t="shared" si="15"/>
        <v>4782.485</v>
      </c>
      <c r="D64" s="4">
        <f t="shared" si="15"/>
        <v>4799.805</v>
      </c>
      <c r="E64" s="4">
        <f t="shared" si="15"/>
        <v>4786.815</v>
      </c>
      <c r="F64" s="4">
        <f t="shared" si="15"/>
        <v>4769.495</v>
      </c>
      <c r="G64" s="4">
        <f t="shared" si="15"/>
        <v>4769.495000000001</v>
      </c>
      <c r="H64" s="4">
        <f t="shared" si="15"/>
        <v>4726.195000000001</v>
      </c>
      <c r="I64" s="4"/>
      <c r="J64" s="4"/>
      <c r="K64" s="4"/>
    </row>
    <row r="65" ht="12.75">
      <c r="A65" s="1"/>
    </row>
    <row r="66" spans="1:8" ht="12.75">
      <c r="A66" s="1" t="s">
        <v>32</v>
      </c>
      <c r="B66" s="3">
        <f>46*1</f>
        <v>46</v>
      </c>
      <c r="C66" s="3">
        <f>37*1</f>
        <v>37</v>
      </c>
      <c r="D66" s="3">
        <v>39</v>
      </c>
      <c r="E66" s="3">
        <v>46</v>
      </c>
      <c r="F66" s="3">
        <v>39</v>
      </c>
      <c r="G66" s="3">
        <v>57</v>
      </c>
      <c r="H66" s="3">
        <v>54</v>
      </c>
    </row>
    <row r="67" spans="1:8" ht="12.75">
      <c r="A67" s="1" t="s">
        <v>36</v>
      </c>
      <c r="B67" s="3">
        <f>27*2</f>
        <v>54</v>
      </c>
      <c r="C67" s="3">
        <f>38*2</f>
        <v>76</v>
      </c>
      <c r="D67" s="3">
        <f>59*2</f>
        <v>118</v>
      </c>
      <c r="E67" s="3">
        <f>59*2</f>
        <v>118</v>
      </c>
      <c r="F67" s="3">
        <f>51*2</f>
        <v>102</v>
      </c>
      <c r="G67" s="3">
        <f>58*2</f>
        <v>116</v>
      </c>
      <c r="H67" s="3">
        <f>68*2</f>
        <v>136</v>
      </c>
    </row>
    <row r="68" spans="1:8" ht="12.75">
      <c r="A68" s="2" t="s">
        <v>27</v>
      </c>
      <c r="B68" s="4">
        <f>SUM(B66:B67)</f>
        <v>100</v>
      </c>
      <c r="C68" s="4">
        <f aca="true" t="shared" si="16" ref="C68:H68">SUM(C66:C67)</f>
        <v>113</v>
      </c>
      <c r="D68" s="4">
        <f t="shared" si="16"/>
        <v>157</v>
      </c>
      <c r="E68" s="4">
        <f t="shared" si="16"/>
        <v>164</v>
      </c>
      <c r="F68" s="4">
        <f t="shared" si="16"/>
        <v>141</v>
      </c>
      <c r="G68" s="4">
        <f t="shared" si="16"/>
        <v>173</v>
      </c>
      <c r="H68" s="4">
        <f t="shared" si="16"/>
        <v>190</v>
      </c>
    </row>
    <row r="70" spans="1:11" ht="12.75">
      <c r="A70" s="75" t="s">
        <v>201</v>
      </c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2.75">
      <c r="A71" s="4" t="s">
        <v>43</v>
      </c>
      <c r="B71" s="7" t="s">
        <v>0</v>
      </c>
      <c r="C71" s="7" t="s">
        <v>1</v>
      </c>
      <c r="D71" s="7" t="s">
        <v>2</v>
      </c>
      <c r="E71" s="7" t="s">
        <v>3</v>
      </c>
      <c r="F71" s="7" t="s">
        <v>4</v>
      </c>
      <c r="G71" s="7" t="s">
        <v>5</v>
      </c>
      <c r="H71" s="7" t="s">
        <v>6</v>
      </c>
      <c r="I71" s="7" t="s">
        <v>7</v>
      </c>
      <c r="J71" s="7"/>
      <c r="K71" s="7"/>
    </row>
    <row r="72" spans="1:8" ht="12.75">
      <c r="A72" s="1" t="s">
        <v>30</v>
      </c>
      <c r="B72" s="3">
        <f>49*1*4.33</f>
        <v>212.17000000000002</v>
      </c>
      <c r="C72" s="3">
        <f>48*1*4.33</f>
        <v>207.84</v>
      </c>
      <c r="D72" s="3">
        <f>48*1*4.33</f>
        <v>207.84</v>
      </c>
      <c r="E72" s="3">
        <f>50*1*4.33</f>
        <v>216.5</v>
      </c>
      <c r="F72" s="3">
        <f>49*1*4.33</f>
        <v>212.17000000000002</v>
      </c>
      <c r="G72" s="3">
        <f>49*1*4.33</f>
        <v>212.17000000000002</v>
      </c>
      <c r="H72" s="3">
        <f>48*1*4.33</f>
        <v>207.84</v>
      </c>
    </row>
    <row r="73" spans="1:8" ht="12.75">
      <c r="A73" s="1" t="s">
        <v>31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</row>
    <row r="74" spans="1:8" ht="12.75">
      <c r="A74" s="1" t="s">
        <v>28</v>
      </c>
      <c r="B74" s="3">
        <f aca="true" t="shared" si="17" ref="B74:G74">20*1.5*4.33</f>
        <v>129.9</v>
      </c>
      <c r="C74" s="3">
        <f t="shared" si="17"/>
        <v>129.9</v>
      </c>
      <c r="D74" s="3">
        <f t="shared" si="17"/>
        <v>129.9</v>
      </c>
      <c r="E74" s="3">
        <f t="shared" si="17"/>
        <v>129.9</v>
      </c>
      <c r="F74" s="3">
        <f t="shared" si="17"/>
        <v>129.9</v>
      </c>
      <c r="G74" s="3">
        <f t="shared" si="17"/>
        <v>129.9</v>
      </c>
      <c r="H74" s="3">
        <f>19*1.5*4.33</f>
        <v>123.405</v>
      </c>
    </row>
    <row r="75" spans="1:8" ht="12.75">
      <c r="A75" s="1" t="s">
        <v>29</v>
      </c>
      <c r="B75" s="3">
        <f aca="true" t="shared" si="18" ref="B75:H75">2*3*4.33</f>
        <v>25.98</v>
      </c>
      <c r="C75" s="3">
        <f t="shared" si="18"/>
        <v>25.98</v>
      </c>
      <c r="D75" s="3">
        <f t="shared" si="18"/>
        <v>25.98</v>
      </c>
      <c r="E75" s="3">
        <f t="shared" si="18"/>
        <v>25.98</v>
      </c>
      <c r="F75" s="3">
        <f t="shared" si="18"/>
        <v>25.98</v>
      </c>
      <c r="G75" s="3">
        <f t="shared" si="18"/>
        <v>25.98</v>
      </c>
      <c r="H75" s="3">
        <f t="shared" si="18"/>
        <v>25.98</v>
      </c>
    </row>
    <row r="76" spans="1:8" ht="12.75">
      <c r="A76" s="1" t="s">
        <v>33</v>
      </c>
      <c r="B76" s="3">
        <f>62*2*4.33</f>
        <v>536.92</v>
      </c>
      <c r="C76" s="3">
        <f>63*2*4.33</f>
        <v>545.58</v>
      </c>
      <c r="D76" s="3">
        <f>64*2*4.33</f>
        <v>554.24</v>
      </c>
      <c r="E76" s="3">
        <f>64*2*4.33</f>
        <v>554.24</v>
      </c>
      <c r="F76" s="3">
        <f>63*2*4.33</f>
        <v>545.58</v>
      </c>
      <c r="G76" s="3">
        <f>61*2*4.33</f>
        <v>528.26</v>
      </c>
      <c r="H76" s="3">
        <f>61*2*4.33</f>
        <v>528.26</v>
      </c>
    </row>
    <row r="77" spans="1:8" ht="12.75">
      <c r="A77" s="1" t="s">
        <v>34</v>
      </c>
      <c r="B77" s="3">
        <f aca="true" t="shared" si="19" ref="B77:H77">5*4*4.33</f>
        <v>86.6</v>
      </c>
      <c r="C77" s="3">
        <f t="shared" si="19"/>
        <v>86.6</v>
      </c>
      <c r="D77" s="3">
        <f t="shared" si="19"/>
        <v>86.6</v>
      </c>
      <c r="E77" s="3">
        <f t="shared" si="19"/>
        <v>86.6</v>
      </c>
      <c r="F77" s="3">
        <f t="shared" si="19"/>
        <v>86.6</v>
      </c>
      <c r="G77" s="3">
        <f t="shared" si="19"/>
        <v>86.6</v>
      </c>
      <c r="H77" s="3">
        <f t="shared" si="19"/>
        <v>86.6</v>
      </c>
    </row>
    <row r="78" spans="1:8" ht="12.75">
      <c r="A78" s="1" t="s">
        <v>35</v>
      </c>
      <c r="B78" s="3">
        <f aca="true" t="shared" si="20" ref="B78:H78">0*6*4.33</f>
        <v>0</v>
      </c>
      <c r="C78" s="3">
        <f t="shared" si="20"/>
        <v>0</v>
      </c>
      <c r="D78" s="3">
        <f t="shared" si="20"/>
        <v>0</v>
      </c>
      <c r="E78" s="3">
        <f t="shared" si="20"/>
        <v>0</v>
      </c>
      <c r="F78" s="3">
        <f t="shared" si="20"/>
        <v>0</v>
      </c>
      <c r="G78" s="3">
        <f t="shared" si="20"/>
        <v>0</v>
      </c>
      <c r="H78" s="3">
        <f t="shared" si="20"/>
        <v>0</v>
      </c>
    </row>
    <row r="79" spans="1:8" ht="12.75">
      <c r="A79" s="1" t="s">
        <v>37</v>
      </c>
      <c r="B79" s="3">
        <f>4*4*4.33</f>
        <v>69.28</v>
      </c>
      <c r="C79" s="3">
        <f>4*4*4.33</f>
        <v>69.28</v>
      </c>
      <c r="D79" s="3">
        <f>4*4*4.33</f>
        <v>69.28</v>
      </c>
      <c r="E79" s="3">
        <f>4*4*4.33</f>
        <v>69.28</v>
      </c>
      <c r="F79" s="3">
        <f>5*4*4.33</f>
        <v>86.6</v>
      </c>
      <c r="G79" s="3">
        <f>5*4*4.33</f>
        <v>86.6</v>
      </c>
      <c r="H79" s="3">
        <f>6*4*4.33</f>
        <v>103.92</v>
      </c>
    </row>
    <row r="80" spans="1:8" ht="12.75">
      <c r="A80" s="1" t="s">
        <v>38</v>
      </c>
      <c r="B80" s="3">
        <f>5*8*4.33</f>
        <v>173.2</v>
      </c>
      <c r="C80" s="3">
        <f>5*8*4.33</f>
        <v>173.2</v>
      </c>
      <c r="D80" s="3">
        <f>5*8*4.33</f>
        <v>173.2</v>
      </c>
      <c r="E80" s="3">
        <f>5*8*4.33</f>
        <v>173.2</v>
      </c>
      <c r="F80" s="3">
        <f>4*8*4.33</f>
        <v>138.56</v>
      </c>
      <c r="G80" s="3">
        <f>4*8*4.33</f>
        <v>138.56</v>
      </c>
      <c r="H80" s="3">
        <f>4*8*4.33</f>
        <v>138.56</v>
      </c>
    </row>
    <row r="81" spans="1:8" ht="12.75">
      <c r="A81" s="1" t="s">
        <v>39</v>
      </c>
      <c r="B81" s="3">
        <f aca="true" t="shared" si="21" ref="B81:H81">6*6*4.33</f>
        <v>155.88</v>
      </c>
      <c r="C81" s="3">
        <f t="shared" si="21"/>
        <v>155.88</v>
      </c>
      <c r="D81" s="3">
        <f t="shared" si="21"/>
        <v>155.88</v>
      </c>
      <c r="E81" s="3">
        <f t="shared" si="21"/>
        <v>155.88</v>
      </c>
      <c r="F81" s="3">
        <f t="shared" si="21"/>
        <v>155.88</v>
      </c>
      <c r="G81" s="3">
        <f t="shared" si="21"/>
        <v>155.88</v>
      </c>
      <c r="H81" s="3">
        <f t="shared" si="21"/>
        <v>155.88</v>
      </c>
    </row>
    <row r="82" spans="1:8" ht="12.75">
      <c r="A82" s="1" t="s">
        <v>40</v>
      </c>
      <c r="B82" s="3">
        <f aca="true" t="shared" si="22" ref="B82:H82">2*12*4.33</f>
        <v>103.92</v>
      </c>
      <c r="C82" s="3">
        <f t="shared" si="22"/>
        <v>103.92</v>
      </c>
      <c r="D82" s="3">
        <f t="shared" si="22"/>
        <v>103.92</v>
      </c>
      <c r="E82" s="3">
        <f t="shared" si="22"/>
        <v>103.92</v>
      </c>
      <c r="F82" s="3">
        <f t="shared" si="22"/>
        <v>103.92</v>
      </c>
      <c r="G82" s="3">
        <f t="shared" si="22"/>
        <v>103.92</v>
      </c>
      <c r="H82" s="3">
        <f t="shared" si="22"/>
        <v>103.92</v>
      </c>
    </row>
    <row r="83" spans="1:8" ht="12.75">
      <c r="A83" s="1" t="s">
        <v>41</v>
      </c>
      <c r="B83" s="3">
        <f aca="true" t="shared" si="23" ref="B83:H83">0*18*4.33</f>
        <v>0</v>
      </c>
      <c r="C83" s="3">
        <f t="shared" si="23"/>
        <v>0</v>
      </c>
      <c r="D83" s="3">
        <f t="shared" si="23"/>
        <v>0</v>
      </c>
      <c r="E83" s="3">
        <f t="shared" si="23"/>
        <v>0</v>
      </c>
      <c r="F83" s="3">
        <f t="shared" si="23"/>
        <v>0</v>
      </c>
      <c r="G83" s="3">
        <f t="shared" si="23"/>
        <v>0</v>
      </c>
      <c r="H83" s="3">
        <f t="shared" si="23"/>
        <v>0</v>
      </c>
    </row>
    <row r="84" spans="1:11" ht="12.75">
      <c r="A84" s="2" t="s">
        <v>27</v>
      </c>
      <c r="B84" s="4">
        <f aca="true" t="shared" si="24" ref="B84:H84">SUM(B72:B83)</f>
        <v>1493.8500000000004</v>
      </c>
      <c r="C84" s="4">
        <f t="shared" si="24"/>
        <v>1498.1800000000003</v>
      </c>
      <c r="D84" s="4">
        <f t="shared" si="24"/>
        <v>1506.8400000000001</v>
      </c>
      <c r="E84" s="4">
        <f t="shared" si="24"/>
        <v>1515.5</v>
      </c>
      <c r="F84" s="4">
        <f t="shared" si="24"/>
        <v>1485.19</v>
      </c>
      <c r="G84" s="4">
        <f t="shared" si="24"/>
        <v>1467.87</v>
      </c>
      <c r="H84" s="4">
        <f t="shared" si="24"/>
        <v>1474.3650000000002</v>
      </c>
      <c r="I84" s="4"/>
      <c r="J84" s="4"/>
      <c r="K84" s="4"/>
    </row>
    <row r="85" ht="12.75">
      <c r="A85" s="1"/>
    </row>
    <row r="86" spans="1:8" ht="12.75">
      <c r="A86" s="1" t="s">
        <v>32</v>
      </c>
      <c r="B86" s="3">
        <v>19</v>
      </c>
      <c r="C86" s="3">
        <v>13</v>
      </c>
      <c r="D86" s="3">
        <v>14</v>
      </c>
      <c r="E86" s="3">
        <v>19</v>
      </c>
      <c r="F86" s="3">
        <v>19</v>
      </c>
      <c r="G86" s="3">
        <v>17</v>
      </c>
      <c r="H86" s="3">
        <v>15</v>
      </c>
    </row>
    <row r="87" spans="1:8" ht="12.75">
      <c r="A87" s="1" t="s">
        <v>36</v>
      </c>
      <c r="B87" s="3">
        <f>40*2</f>
        <v>80</v>
      </c>
      <c r="C87" s="3">
        <f>38*2</f>
        <v>76</v>
      </c>
      <c r="D87" s="3">
        <f>37*2</f>
        <v>74</v>
      </c>
      <c r="E87" s="3">
        <f>43*2</f>
        <v>86</v>
      </c>
      <c r="F87" s="3">
        <f>52*2</f>
        <v>104</v>
      </c>
      <c r="G87" s="3">
        <f>38*2</f>
        <v>76</v>
      </c>
      <c r="H87" s="3">
        <f>37*2</f>
        <v>74</v>
      </c>
    </row>
    <row r="88" spans="1:8" ht="12.75">
      <c r="A88" s="2" t="s">
        <v>27</v>
      </c>
      <c r="B88" s="4">
        <f aca="true" t="shared" si="25" ref="B88:H88">SUM(B86:B87)</f>
        <v>99</v>
      </c>
      <c r="C88" s="4">
        <f t="shared" si="25"/>
        <v>89</v>
      </c>
      <c r="D88" s="4">
        <f t="shared" si="25"/>
        <v>88</v>
      </c>
      <c r="E88" s="4">
        <f t="shared" si="25"/>
        <v>105</v>
      </c>
      <c r="F88" s="4">
        <f t="shared" si="25"/>
        <v>123</v>
      </c>
      <c r="G88" s="4">
        <f t="shared" si="25"/>
        <v>93</v>
      </c>
      <c r="H88" s="4">
        <f t="shared" si="25"/>
        <v>89</v>
      </c>
    </row>
    <row r="89" ht="12.75">
      <c r="A89" s="1"/>
    </row>
    <row r="90" spans="1:8" ht="12.75">
      <c r="A90" s="3" t="s">
        <v>25</v>
      </c>
      <c r="B90" s="3">
        <v>348</v>
      </c>
      <c r="C90" s="3">
        <v>349</v>
      </c>
      <c r="D90" s="3">
        <v>352</v>
      </c>
      <c r="E90" s="3">
        <v>351</v>
      </c>
      <c r="F90" s="3">
        <v>354</v>
      </c>
      <c r="G90" s="3">
        <v>353</v>
      </c>
      <c r="H90" s="3">
        <v>350</v>
      </c>
    </row>
    <row r="91" spans="1:8" ht="12.75">
      <c r="A91" s="3" t="s">
        <v>26</v>
      </c>
      <c r="B91" s="3">
        <v>151</v>
      </c>
      <c r="C91" s="3">
        <v>151</v>
      </c>
      <c r="D91" s="3">
        <v>151</v>
      </c>
      <c r="E91" s="3">
        <v>151</v>
      </c>
      <c r="F91" s="18">
        <v>151</v>
      </c>
      <c r="G91" s="3">
        <v>151</v>
      </c>
      <c r="H91" s="3">
        <v>151</v>
      </c>
    </row>
    <row r="92" ht="12.75">
      <c r="A92" s="1"/>
    </row>
    <row r="93" spans="1:11" ht="12.75">
      <c r="A93" s="4" t="s">
        <v>203</v>
      </c>
      <c r="B93" s="7" t="s">
        <v>0</v>
      </c>
      <c r="C93" s="7" t="s">
        <v>1</v>
      </c>
      <c r="D93" s="7" t="s">
        <v>2</v>
      </c>
      <c r="E93" s="7" t="s">
        <v>3</v>
      </c>
      <c r="F93" s="7" t="s">
        <v>4</v>
      </c>
      <c r="G93" s="7" t="s">
        <v>5</v>
      </c>
      <c r="H93" s="7" t="s">
        <v>6</v>
      </c>
      <c r="I93" s="7" t="s">
        <v>7</v>
      </c>
      <c r="J93" s="7"/>
      <c r="K93" s="7"/>
    </row>
    <row r="94" spans="1:8" ht="12.75">
      <c r="A94" s="3" t="s">
        <v>44</v>
      </c>
      <c r="B94" s="3">
        <f aca="true" t="shared" si="26" ref="B94:H94">+B25+B31+B41+B47</f>
        <v>588</v>
      </c>
      <c r="C94" s="3">
        <f t="shared" si="26"/>
        <v>584</v>
      </c>
      <c r="D94" s="3">
        <f t="shared" si="26"/>
        <v>581</v>
      </c>
      <c r="E94" s="3">
        <f t="shared" si="26"/>
        <v>580</v>
      </c>
      <c r="F94" s="3">
        <f t="shared" si="26"/>
        <v>560</v>
      </c>
      <c r="G94" s="3">
        <f t="shared" si="26"/>
        <v>555</v>
      </c>
      <c r="H94" s="3">
        <f t="shared" si="26"/>
        <v>551</v>
      </c>
    </row>
    <row r="95" spans="1:8" s="10" customFormat="1" ht="12.75">
      <c r="A95" s="10" t="s">
        <v>45</v>
      </c>
      <c r="B95" s="39">
        <f>B94*0.28</f>
        <v>164.64000000000001</v>
      </c>
      <c r="C95" s="39">
        <f>C94*0.28</f>
        <v>163.52</v>
      </c>
      <c r="D95" s="39">
        <f>D94*0.51</f>
        <v>296.31</v>
      </c>
      <c r="E95" s="39">
        <f>E94*0.51</f>
        <v>295.8</v>
      </c>
      <c r="F95" s="39">
        <f>F94*0.51</f>
        <v>285.6</v>
      </c>
      <c r="G95" s="39">
        <f>G94*0.51</f>
        <v>283.05</v>
      </c>
      <c r="H95" s="39">
        <f>H94*0.51</f>
        <v>281.01</v>
      </c>
    </row>
    <row r="97" spans="1:8" ht="12.75">
      <c r="A97" s="3" t="s">
        <v>42</v>
      </c>
      <c r="B97" s="3">
        <f aca="true" t="shared" si="27" ref="B97:H97">B64+B68+B84+B88</f>
        <v>6449.3550000000005</v>
      </c>
      <c r="C97" s="3">
        <f t="shared" si="27"/>
        <v>6482.665</v>
      </c>
      <c r="D97" s="3">
        <f t="shared" si="27"/>
        <v>6551.645</v>
      </c>
      <c r="E97" s="3">
        <f t="shared" si="27"/>
        <v>6571.315</v>
      </c>
      <c r="F97" s="3">
        <f t="shared" si="27"/>
        <v>6518.6849999999995</v>
      </c>
      <c r="G97" s="3">
        <f t="shared" si="27"/>
        <v>6503.365000000001</v>
      </c>
      <c r="H97" s="3">
        <f t="shared" si="27"/>
        <v>6479.560000000001</v>
      </c>
    </row>
    <row r="98" spans="1:8" ht="12.75">
      <c r="A98" s="10" t="s">
        <v>45</v>
      </c>
      <c r="B98" s="39">
        <f>B97*0.15</f>
        <v>967.4032500000001</v>
      </c>
      <c r="C98" s="39">
        <f aca="true" t="shared" si="28" ref="C98:H98">C97*0.15</f>
        <v>972.3997499999999</v>
      </c>
      <c r="D98" s="39">
        <f t="shared" si="28"/>
        <v>982.74675</v>
      </c>
      <c r="E98" s="39">
        <f t="shared" si="28"/>
        <v>985.6972499999999</v>
      </c>
      <c r="F98" s="39">
        <f t="shared" si="28"/>
        <v>977.8027499999998</v>
      </c>
      <c r="G98" s="39">
        <f t="shared" si="28"/>
        <v>975.5047500000001</v>
      </c>
      <c r="H98" s="39">
        <f t="shared" si="28"/>
        <v>971.9340000000002</v>
      </c>
    </row>
    <row r="100" spans="1:8" ht="12.75">
      <c r="A100" s="3" t="s">
        <v>46</v>
      </c>
      <c r="B100" s="39">
        <f>B95+B98</f>
        <v>1132.0432500000002</v>
      </c>
      <c r="C100" s="10">
        <f aca="true" t="shared" si="29" ref="C100:H100">C95+C98</f>
        <v>1135.91975</v>
      </c>
      <c r="D100" s="10">
        <f t="shared" si="29"/>
        <v>1279.05675</v>
      </c>
      <c r="E100" s="10">
        <f t="shared" si="29"/>
        <v>1281.49725</v>
      </c>
      <c r="F100" s="10">
        <f t="shared" si="29"/>
        <v>1263.4027499999997</v>
      </c>
      <c r="G100" s="10">
        <f t="shared" si="29"/>
        <v>1258.55475</v>
      </c>
      <c r="H100" s="10">
        <f t="shared" si="29"/>
        <v>1252.9440000000002</v>
      </c>
    </row>
    <row r="102" s="15" customFormat="1" ht="12.75"/>
    <row r="103" spans="1:11" ht="12.75">
      <c r="A103" s="76" t="s">
        <v>202</v>
      </c>
      <c r="B103" s="17" t="s">
        <v>0</v>
      </c>
      <c r="C103" s="17" t="s">
        <v>1</v>
      </c>
      <c r="D103" s="17" t="s">
        <v>2</v>
      </c>
      <c r="E103" s="17" t="s">
        <v>3</v>
      </c>
      <c r="F103" s="17" t="s">
        <v>4</v>
      </c>
      <c r="G103" s="17" t="s">
        <v>5</v>
      </c>
      <c r="H103" s="17" t="s">
        <v>6</v>
      </c>
      <c r="I103" s="17" t="s">
        <v>7</v>
      </c>
      <c r="J103" s="17"/>
      <c r="K103" s="17"/>
    </row>
    <row r="104" ht="12.75">
      <c r="A104" s="4" t="s">
        <v>206</v>
      </c>
    </row>
    <row r="105" spans="1:9" ht="12.75">
      <c r="A105" s="1" t="s">
        <v>99</v>
      </c>
      <c r="B105" s="3">
        <v>450</v>
      </c>
      <c r="C105" s="16">
        <v>505</v>
      </c>
      <c r="D105" s="3">
        <v>451</v>
      </c>
      <c r="E105" s="16">
        <v>556</v>
      </c>
      <c r="F105" s="3">
        <v>485</v>
      </c>
      <c r="G105" s="3">
        <v>566</v>
      </c>
      <c r="H105" s="3">
        <v>511</v>
      </c>
      <c r="I105" s="3">
        <v>563</v>
      </c>
    </row>
    <row r="106" spans="1:9" ht="12.75">
      <c r="A106" s="1" t="s">
        <v>101</v>
      </c>
      <c r="B106" s="3">
        <v>13</v>
      </c>
      <c r="C106" s="3">
        <v>9</v>
      </c>
      <c r="D106" s="3">
        <v>13</v>
      </c>
      <c r="E106" s="3">
        <v>12</v>
      </c>
      <c r="F106" s="3">
        <v>42</v>
      </c>
      <c r="G106" s="3">
        <v>28</v>
      </c>
      <c r="H106" s="3">
        <v>40</v>
      </c>
      <c r="I106" s="3">
        <v>29</v>
      </c>
    </row>
    <row r="107" spans="1:9" ht="12.75">
      <c r="A107" s="1" t="s">
        <v>102</v>
      </c>
      <c r="B107" s="3">
        <v>16657</v>
      </c>
      <c r="C107" s="1">
        <v>17421</v>
      </c>
      <c r="D107" s="3">
        <v>16831</v>
      </c>
      <c r="E107" s="1">
        <v>17762</v>
      </c>
      <c r="F107" s="3">
        <v>17640</v>
      </c>
      <c r="G107" s="3">
        <v>18298</v>
      </c>
      <c r="H107" s="3">
        <v>18207</v>
      </c>
      <c r="I107" s="3">
        <v>18830</v>
      </c>
    </row>
    <row r="108" spans="1:9" ht="12.75">
      <c r="A108" s="1" t="s">
        <v>104</v>
      </c>
      <c r="B108" s="3">
        <v>8558</v>
      </c>
      <c r="C108" s="16">
        <v>8173</v>
      </c>
      <c r="D108" s="3">
        <v>8552</v>
      </c>
      <c r="E108" s="16">
        <v>8170</v>
      </c>
      <c r="F108" s="3">
        <v>8599</v>
      </c>
      <c r="G108" s="3">
        <v>8096</v>
      </c>
      <c r="H108" s="3">
        <v>8533</v>
      </c>
      <c r="I108" s="3">
        <v>8154</v>
      </c>
    </row>
    <row r="109" spans="1:9" ht="12.75">
      <c r="A109" s="1" t="s">
        <v>106</v>
      </c>
      <c r="B109" s="3">
        <v>459</v>
      </c>
      <c r="C109" s="16">
        <v>467</v>
      </c>
      <c r="D109" s="3">
        <v>450</v>
      </c>
      <c r="E109" s="16">
        <v>469</v>
      </c>
      <c r="F109" s="3">
        <v>427</v>
      </c>
      <c r="G109" s="3">
        <v>471</v>
      </c>
      <c r="H109" s="3">
        <v>456</v>
      </c>
      <c r="I109" s="3">
        <v>420</v>
      </c>
    </row>
    <row r="110" spans="1:9" ht="12.75">
      <c r="A110" s="1" t="s">
        <v>108</v>
      </c>
      <c r="B110" s="3">
        <v>53</v>
      </c>
      <c r="C110" s="16">
        <v>46</v>
      </c>
      <c r="D110" s="3">
        <v>45</v>
      </c>
      <c r="E110" s="16">
        <v>45</v>
      </c>
      <c r="F110" s="3">
        <v>43</v>
      </c>
      <c r="G110" s="3">
        <v>38</v>
      </c>
      <c r="H110" s="3">
        <v>40</v>
      </c>
      <c r="I110" s="3">
        <v>40</v>
      </c>
    </row>
    <row r="111" spans="1:9" ht="12.75">
      <c r="A111" s="1" t="s">
        <v>110</v>
      </c>
      <c r="B111" s="3">
        <v>9</v>
      </c>
      <c r="C111" s="16">
        <v>2</v>
      </c>
      <c r="D111" s="3">
        <v>13</v>
      </c>
      <c r="E111" s="16">
        <v>4</v>
      </c>
      <c r="F111" s="3">
        <v>12</v>
      </c>
      <c r="G111" s="3">
        <v>4</v>
      </c>
      <c r="H111" s="3">
        <v>10</v>
      </c>
      <c r="I111" s="3">
        <v>4</v>
      </c>
    </row>
    <row r="112" spans="1:9" ht="12.75">
      <c r="A112" s="1" t="s">
        <v>112</v>
      </c>
      <c r="B112" s="3">
        <v>2</v>
      </c>
      <c r="C112" s="3">
        <v>3</v>
      </c>
      <c r="D112" s="3">
        <v>2</v>
      </c>
      <c r="E112" s="3">
        <v>3</v>
      </c>
      <c r="F112" s="3">
        <v>6</v>
      </c>
      <c r="G112" s="3">
        <v>3</v>
      </c>
      <c r="H112" s="3">
        <v>4</v>
      </c>
      <c r="I112" s="3">
        <v>3</v>
      </c>
    </row>
    <row r="113" spans="1:10" ht="12.75">
      <c r="A113" s="2" t="s">
        <v>27</v>
      </c>
      <c r="B113" s="4">
        <f>SUM(B105:B112)</f>
        <v>26201</v>
      </c>
      <c r="C113" s="4">
        <f aca="true" t="shared" si="30" ref="C113:I113">SUM(C105:C112)</f>
        <v>26626</v>
      </c>
      <c r="D113" s="4">
        <f t="shared" si="30"/>
        <v>26357</v>
      </c>
      <c r="E113" s="4">
        <f t="shared" si="30"/>
        <v>27021</v>
      </c>
      <c r="F113" s="4">
        <f t="shared" si="30"/>
        <v>27254</v>
      </c>
      <c r="G113" s="4">
        <f t="shared" si="30"/>
        <v>27504</v>
      </c>
      <c r="H113" s="4">
        <f t="shared" si="30"/>
        <v>27801</v>
      </c>
      <c r="I113" s="4">
        <f t="shared" si="30"/>
        <v>28043</v>
      </c>
      <c r="J113" s="4"/>
    </row>
    <row r="114" spans="1:9" ht="12.75">
      <c r="A114" s="1" t="s">
        <v>100</v>
      </c>
      <c r="B114" s="3">
        <v>6</v>
      </c>
      <c r="C114" s="3">
        <v>21</v>
      </c>
      <c r="D114" s="3">
        <v>6</v>
      </c>
      <c r="E114" s="3">
        <v>28</v>
      </c>
      <c r="F114" s="3">
        <v>6</v>
      </c>
      <c r="G114" s="3">
        <v>19</v>
      </c>
      <c r="H114" s="3">
        <v>1</v>
      </c>
      <c r="I114" s="3">
        <v>17</v>
      </c>
    </row>
    <row r="115" spans="1:9" ht="12.75">
      <c r="A115" s="1" t="s">
        <v>103</v>
      </c>
      <c r="B115" s="3">
        <v>1732</v>
      </c>
      <c r="C115" s="3">
        <v>1845</v>
      </c>
      <c r="D115" s="3">
        <v>1651</v>
      </c>
      <c r="E115" s="3">
        <v>1655</v>
      </c>
      <c r="F115" s="3">
        <v>1417</v>
      </c>
      <c r="G115" s="3">
        <v>1501</v>
      </c>
      <c r="H115" s="3">
        <v>1387</v>
      </c>
      <c r="I115" s="3">
        <v>1452</v>
      </c>
    </row>
    <row r="116" spans="1:9" ht="12.75">
      <c r="A116" s="1" t="s">
        <v>105</v>
      </c>
      <c r="B116" s="3">
        <v>887</v>
      </c>
      <c r="C116" s="3">
        <v>798</v>
      </c>
      <c r="D116" s="3">
        <v>782</v>
      </c>
      <c r="E116" s="3">
        <v>735</v>
      </c>
      <c r="F116" s="3">
        <v>649</v>
      </c>
      <c r="G116" s="3">
        <v>675</v>
      </c>
      <c r="H116" s="3">
        <v>644</v>
      </c>
      <c r="I116" s="3">
        <v>629</v>
      </c>
    </row>
    <row r="117" spans="1:9" ht="12.75">
      <c r="A117" s="1" t="s">
        <v>107</v>
      </c>
      <c r="B117" s="3">
        <v>48</v>
      </c>
      <c r="C117" s="3">
        <v>46</v>
      </c>
      <c r="D117" s="3">
        <v>44</v>
      </c>
      <c r="E117" s="3">
        <v>36</v>
      </c>
      <c r="F117" s="3">
        <v>37</v>
      </c>
      <c r="G117" s="3">
        <v>43</v>
      </c>
      <c r="H117" s="3">
        <v>41</v>
      </c>
      <c r="I117" s="3">
        <v>40</v>
      </c>
    </row>
    <row r="118" spans="1:9" ht="12.75">
      <c r="A118" s="1" t="s">
        <v>109</v>
      </c>
      <c r="B118" s="3">
        <v>8</v>
      </c>
      <c r="C118" s="3">
        <v>10</v>
      </c>
      <c r="D118" s="3">
        <v>9</v>
      </c>
      <c r="E118" s="3">
        <v>10</v>
      </c>
      <c r="F118" s="3">
        <v>5</v>
      </c>
      <c r="G118" s="3">
        <v>8</v>
      </c>
      <c r="H118" s="3">
        <v>9</v>
      </c>
      <c r="I118" s="3">
        <v>8</v>
      </c>
    </row>
    <row r="119" spans="1:9" ht="12.75">
      <c r="A119" s="1" t="s">
        <v>111</v>
      </c>
      <c r="B119" s="3">
        <v>0</v>
      </c>
      <c r="C119" s="3">
        <v>2</v>
      </c>
      <c r="D119" s="3">
        <v>0</v>
      </c>
      <c r="E119" s="3">
        <v>2</v>
      </c>
      <c r="F119" s="3">
        <v>0</v>
      </c>
      <c r="G119" s="3">
        <v>2</v>
      </c>
      <c r="H119" s="3">
        <v>0</v>
      </c>
      <c r="I119" s="3">
        <v>2</v>
      </c>
    </row>
    <row r="120" spans="1:9" ht="12.75">
      <c r="A120" s="1" t="s">
        <v>113</v>
      </c>
      <c r="B120" s="3">
        <v>24</v>
      </c>
      <c r="C120" s="3">
        <v>0</v>
      </c>
      <c r="D120" s="3">
        <v>155</v>
      </c>
      <c r="E120" s="3">
        <v>128</v>
      </c>
      <c r="F120" s="3">
        <v>137</v>
      </c>
      <c r="G120" s="3">
        <v>74</v>
      </c>
      <c r="H120" s="3">
        <v>78</v>
      </c>
      <c r="I120" s="3">
        <v>52</v>
      </c>
    </row>
    <row r="121" spans="1:9" ht="12.75">
      <c r="A121" s="1" t="s">
        <v>114</v>
      </c>
      <c r="B121" s="3">
        <v>2</v>
      </c>
      <c r="C121" s="3">
        <v>0</v>
      </c>
      <c r="D121" s="3">
        <v>7</v>
      </c>
      <c r="E121" s="3">
        <v>6</v>
      </c>
      <c r="F121" s="3">
        <v>0</v>
      </c>
      <c r="G121" s="3">
        <v>12</v>
      </c>
      <c r="H121" s="3">
        <v>2</v>
      </c>
      <c r="I121" s="3">
        <v>10</v>
      </c>
    </row>
    <row r="122" spans="1:10" ht="12.75">
      <c r="A122" s="2" t="s">
        <v>27</v>
      </c>
      <c r="B122" s="4">
        <f>SUM(B114:B121)</f>
        <v>2707</v>
      </c>
      <c r="C122" s="4">
        <f aca="true" t="shared" si="31" ref="C122:I122">SUM(C114:C121)</f>
        <v>2722</v>
      </c>
      <c r="D122" s="4">
        <f t="shared" si="31"/>
        <v>2654</v>
      </c>
      <c r="E122" s="4">
        <f t="shared" si="31"/>
        <v>2600</v>
      </c>
      <c r="F122" s="4">
        <f t="shared" si="31"/>
        <v>2251</v>
      </c>
      <c r="G122" s="4">
        <f t="shared" si="31"/>
        <v>2334</v>
      </c>
      <c r="H122" s="4">
        <f t="shared" si="31"/>
        <v>2162</v>
      </c>
      <c r="I122" s="4">
        <f t="shared" si="31"/>
        <v>2210</v>
      </c>
      <c r="J122" s="4"/>
    </row>
    <row r="123" spans="2:9" ht="12.75">
      <c r="B123" s="20"/>
      <c r="C123" s="20"/>
      <c r="D123" s="20"/>
      <c r="E123" s="20"/>
      <c r="F123" s="20"/>
      <c r="G123" s="20"/>
      <c r="H123" s="20"/>
      <c r="I123" s="20"/>
    </row>
    <row r="124" spans="1:10" ht="12.75">
      <c r="A124" s="4" t="s">
        <v>13</v>
      </c>
      <c r="B124" s="4">
        <f>B113+B122</f>
        <v>28908</v>
      </c>
      <c r="C124" s="4">
        <f aca="true" t="shared" si="32" ref="C124:I124">C113+C122</f>
        <v>29348</v>
      </c>
      <c r="D124" s="4">
        <f t="shared" si="32"/>
        <v>29011</v>
      </c>
      <c r="E124" s="4">
        <f t="shared" si="32"/>
        <v>29621</v>
      </c>
      <c r="F124" s="4">
        <f t="shared" si="32"/>
        <v>29505</v>
      </c>
      <c r="G124" s="4">
        <f t="shared" si="32"/>
        <v>29838</v>
      </c>
      <c r="H124" s="4">
        <f t="shared" si="32"/>
        <v>29963</v>
      </c>
      <c r="I124" s="4">
        <f t="shared" si="32"/>
        <v>30253</v>
      </c>
      <c r="J124" s="4"/>
    </row>
    <row r="125" spans="1:9" ht="12.75">
      <c r="A125" s="4"/>
      <c r="B125" s="4"/>
      <c r="C125" s="4"/>
      <c r="D125" s="4"/>
      <c r="E125" s="4"/>
      <c r="F125" s="4"/>
      <c r="G125" s="4"/>
      <c r="H125" s="4"/>
      <c r="I125" s="4"/>
    </row>
    <row r="126" spans="1:11" ht="12.75">
      <c r="A126" s="76" t="s">
        <v>201</v>
      </c>
      <c r="B126" s="17" t="s">
        <v>0</v>
      </c>
      <c r="C126" s="17" t="s">
        <v>1</v>
      </c>
      <c r="D126" s="17" t="s">
        <v>2</v>
      </c>
      <c r="E126" s="17" t="s">
        <v>3</v>
      </c>
      <c r="F126" s="17" t="s">
        <v>4</v>
      </c>
      <c r="G126" s="17" t="s">
        <v>5</v>
      </c>
      <c r="H126" s="17" t="s">
        <v>6</v>
      </c>
      <c r="I126" s="17" t="s">
        <v>7</v>
      </c>
      <c r="J126" s="17"/>
      <c r="K126" s="17"/>
    </row>
    <row r="127" ht="12.75">
      <c r="A127" s="4" t="s">
        <v>206</v>
      </c>
    </row>
    <row r="128" spans="1:9" ht="12.75">
      <c r="A128" s="1" t="s">
        <v>99</v>
      </c>
      <c r="B128" s="3">
        <v>248</v>
      </c>
      <c r="C128" s="16">
        <v>215</v>
      </c>
      <c r="D128" s="3">
        <v>264</v>
      </c>
      <c r="E128" s="16">
        <v>235</v>
      </c>
      <c r="F128" s="3">
        <v>273</v>
      </c>
      <c r="G128" s="3">
        <v>250</v>
      </c>
      <c r="H128" s="3">
        <v>280</v>
      </c>
      <c r="I128" s="3">
        <v>247</v>
      </c>
    </row>
    <row r="129" spans="1:9" ht="12.75">
      <c r="A129" s="1" t="s">
        <v>101</v>
      </c>
      <c r="B129" s="3">
        <v>4</v>
      </c>
      <c r="C129" s="3">
        <v>10</v>
      </c>
      <c r="D129" s="3">
        <v>4</v>
      </c>
      <c r="E129" s="3">
        <v>13</v>
      </c>
      <c r="F129" s="3">
        <v>4</v>
      </c>
      <c r="G129" s="3">
        <v>24</v>
      </c>
      <c r="H129" s="3">
        <v>8</v>
      </c>
      <c r="I129" s="3">
        <v>21</v>
      </c>
    </row>
    <row r="130" spans="1:9" ht="12.75">
      <c r="A130" s="1" t="s">
        <v>102</v>
      </c>
      <c r="B130" s="3">
        <v>8723</v>
      </c>
      <c r="C130" s="1">
        <v>8511</v>
      </c>
      <c r="D130" s="3">
        <v>8797</v>
      </c>
      <c r="E130" s="1">
        <v>8775</v>
      </c>
      <c r="F130" s="3">
        <v>9052</v>
      </c>
      <c r="G130" s="3">
        <v>9036</v>
      </c>
      <c r="H130" s="3">
        <v>9484</v>
      </c>
      <c r="I130" s="3">
        <v>9257</v>
      </c>
    </row>
    <row r="131" spans="1:9" ht="12.75">
      <c r="A131" s="1" t="s">
        <v>104</v>
      </c>
      <c r="B131" s="3">
        <v>4331</v>
      </c>
      <c r="C131" s="16">
        <v>4190</v>
      </c>
      <c r="D131" s="3">
        <v>4474</v>
      </c>
      <c r="E131" s="16">
        <v>4202</v>
      </c>
      <c r="F131" s="3">
        <v>4488</v>
      </c>
      <c r="G131" s="3">
        <v>4197</v>
      </c>
      <c r="H131" s="3">
        <v>4411</v>
      </c>
      <c r="I131" s="3">
        <v>4309</v>
      </c>
    </row>
    <row r="132" spans="1:9" ht="12.75">
      <c r="A132" s="1" t="s">
        <v>106</v>
      </c>
      <c r="B132" s="3">
        <v>262</v>
      </c>
      <c r="C132" s="16">
        <v>283</v>
      </c>
      <c r="D132" s="3">
        <v>297</v>
      </c>
      <c r="E132" s="16">
        <v>308</v>
      </c>
      <c r="F132" s="3">
        <v>271</v>
      </c>
      <c r="G132" s="3">
        <v>289</v>
      </c>
      <c r="H132" s="3">
        <v>263</v>
      </c>
      <c r="I132" s="3">
        <v>279</v>
      </c>
    </row>
    <row r="133" spans="1:9" ht="12.75">
      <c r="A133" s="1" t="s">
        <v>108</v>
      </c>
      <c r="B133" s="3">
        <v>40</v>
      </c>
      <c r="C133" s="16">
        <v>26</v>
      </c>
      <c r="D133" s="3">
        <v>51</v>
      </c>
      <c r="E133" s="16">
        <v>24</v>
      </c>
      <c r="F133" s="3">
        <v>48</v>
      </c>
      <c r="G133" s="3">
        <v>29</v>
      </c>
      <c r="H133" s="3">
        <v>50</v>
      </c>
      <c r="I133" s="3">
        <v>24</v>
      </c>
    </row>
    <row r="134" spans="1:9" ht="12.75">
      <c r="A134" s="1" t="s">
        <v>110</v>
      </c>
      <c r="B134" s="3">
        <v>5</v>
      </c>
      <c r="C134" s="16">
        <v>4</v>
      </c>
      <c r="D134" s="3">
        <v>4</v>
      </c>
      <c r="E134" s="16">
        <v>8</v>
      </c>
      <c r="F134" s="3">
        <v>2</v>
      </c>
      <c r="G134" s="3">
        <v>4</v>
      </c>
      <c r="H134" s="3">
        <v>2</v>
      </c>
      <c r="I134" s="3">
        <v>4</v>
      </c>
    </row>
    <row r="135" spans="1:9" ht="12.75">
      <c r="A135" s="1" t="s">
        <v>112</v>
      </c>
      <c r="B135" s="3">
        <v>0</v>
      </c>
      <c r="C135" s="3">
        <v>2</v>
      </c>
      <c r="D135" s="3">
        <v>0</v>
      </c>
      <c r="E135" s="3">
        <v>2</v>
      </c>
      <c r="F135" s="3">
        <v>0</v>
      </c>
      <c r="G135" s="3">
        <v>2</v>
      </c>
      <c r="H135" s="3">
        <v>2</v>
      </c>
      <c r="I135" s="3">
        <v>2</v>
      </c>
    </row>
    <row r="136" spans="1:9" ht="12.75">
      <c r="A136" s="2" t="s">
        <v>27</v>
      </c>
      <c r="B136" s="4">
        <f aca="true" t="shared" si="33" ref="B136:I136">SUM(B128:B135)</f>
        <v>13613</v>
      </c>
      <c r="C136" s="4">
        <f t="shared" si="33"/>
        <v>13241</v>
      </c>
      <c r="D136" s="4">
        <f t="shared" si="33"/>
        <v>13891</v>
      </c>
      <c r="E136" s="4">
        <f t="shared" si="33"/>
        <v>13567</v>
      </c>
      <c r="F136" s="4">
        <f t="shared" si="33"/>
        <v>14138</v>
      </c>
      <c r="G136" s="4">
        <f t="shared" si="33"/>
        <v>13831</v>
      </c>
      <c r="H136" s="4">
        <f t="shared" si="33"/>
        <v>14500</v>
      </c>
      <c r="I136" s="4">
        <f t="shared" si="33"/>
        <v>14143</v>
      </c>
    </row>
    <row r="137" spans="1:9" ht="12.75">
      <c r="A137" s="1" t="s">
        <v>100</v>
      </c>
      <c r="B137" s="3">
        <v>9</v>
      </c>
      <c r="C137" s="3">
        <v>3</v>
      </c>
      <c r="D137" s="3">
        <v>12</v>
      </c>
      <c r="E137" s="3">
        <v>4</v>
      </c>
      <c r="F137" s="3">
        <v>13</v>
      </c>
      <c r="G137" s="3">
        <v>7</v>
      </c>
      <c r="H137" s="3">
        <v>14</v>
      </c>
      <c r="I137" s="3">
        <v>5</v>
      </c>
    </row>
    <row r="138" spans="1:9" ht="12.75">
      <c r="A138" s="1" t="s">
        <v>103</v>
      </c>
      <c r="B138" s="3">
        <v>784</v>
      </c>
      <c r="C138" s="3">
        <v>688</v>
      </c>
      <c r="D138" s="3">
        <v>714</v>
      </c>
      <c r="E138" s="3">
        <v>636</v>
      </c>
      <c r="F138" s="3">
        <v>724</v>
      </c>
      <c r="G138" s="3">
        <v>645</v>
      </c>
      <c r="H138" s="3">
        <v>633</v>
      </c>
      <c r="I138" s="3">
        <v>589</v>
      </c>
    </row>
    <row r="139" spans="1:9" ht="12.75">
      <c r="A139" s="1" t="s">
        <v>105</v>
      </c>
      <c r="B139" s="3">
        <v>356</v>
      </c>
      <c r="C139" s="3">
        <v>381</v>
      </c>
      <c r="D139" s="3">
        <v>322</v>
      </c>
      <c r="E139" s="3">
        <v>368</v>
      </c>
      <c r="F139" s="3">
        <v>331</v>
      </c>
      <c r="G139" s="3">
        <v>319</v>
      </c>
      <c r="H139" s="3">
        <v>301</v>
      </c>
      <c r="I139" s="3">
        <v>338</v>
      </c>
    </row>
    <row r="140" spans="1:9" ht="12.75">
      <c r="A140" s="1" t="s">
        <v>107</v>
      </c>
      <c r="B140" s="3">
        <v>38</v>
      </c>
      <c r="C140" s="3">
        <v>21</v>
      </c>
      <c r="D140" s="3">
        <v>26</v>
      </c>
      <c r="E140" s="3">
        <v>22</v>
      </c>
      <c r="F140" s="3">
        <v>28</v>
      </c>
      <c r="G140" s="3">
        <v>20</v>
      </c>
      <c r="H140" s="3">
        <v>27</v>
      </c>
      <c r="I140" s="3">
        <v>11</v>
      </c>
    </row>
    <row r="141" spans="1:9" ht="12.75">
      <c r="A141" s="1" t="s">
        <v>109</v>
      </c>
      <c r="B141" s="3">
        <v>8</v>
      </c>
      <c r="C141" s="3">
        <v>4</v>
      </c>
      <c r="D141" s="3">
        <v>8</v>
      </c>
      <c r="E141" s="3">
        <v>4</v>
      </c>
      <c r="F141" s="3">
        <v>6</v>
      </c>
      <c r="G141" s="3">
        <v>4</v>
      </c>
      <c r="H141" s="3">
        <v>6</v>
      </c>
      <c r="I141" s="3">
        <v>4</v>
      </c>
    </row>
    <row r="142" spans="1:9" ht="12.75">
      <c r="A142" s="1" t="s">
        <v>111</v>
      </c>
      <c r="B142" s="3">
        <v>7</v>
      </c>
      <c r="C142" s="3">
        <v>0</v>
      </c>
      <c r="D142" s="3">
        <v>6</v>
      </c>
      <c r="E142" s="3">
        <v>0</v>
      </c>
      <c r="F142" s="3">
        <v>6</v>
      </c>
      <c r="G142" s="3">
        <v>0</v>
      </c>
      <c r="H142" s="3">
        <v>4</v>
      </c>
      <c r="I142" s="3">
        <v>0</v>
      </c>
    </row>
    <row r="143" spans="1:9" ht="12.75">
      <c r="A143" s="1" t="s">
        <v>115</v>
      </c>
      <c r="B143" s="3">
        <v>0</v>
      </c>
      <c r="C143" s="3">
        <v>0</v>
      </c>
      <c r="D143" s="3">
        <v>0</v>
      </c>
      <c r="E143" s="3">
        <v>3</v>
      </c>
      <c r="F143" s="3">
        <v>0</v>
      </c>
      <c r="G143" s="3">
        <v>2</v>
      </c>
      <c r="I143" s="3">
        <v>2</v>
      </c>
    </row>
    <row r="144" spans="1:9" ht="12.75">
      <c r="A144" s="1" t="s">
        <v>113</v>
      </c>
      <c r="B144" s="3">
        <v>4</v>
      </c>
      <c r="C144" s="3">
        <v>36</v>
      </c>
      <c r="D144" s="3">
        <v>39</v>
      </c>
      <c r="E144" s="3">
        <v>57</v>
      </c>
      <c r="F144" s="3">
        <v>51</v>
      </c>
      <c r="G144" s="3">
        <v>35</v>
      </c>
      <c r="H144" s="3">
        <v>28</v>
      </c>
      <c r="I144" s="3">
        <v>25</v>
      </c>
    </row>
    <row r="145" spans="1:9" ht="12.75">
      <c r="A145" s="1" t="s">
        <v>114</v>
      </c>
      <c r="B145" s="3">
        <v>5</v>
      </c>
      <c r="C145" s="3">
        <v>6</v>
      </c>
      <c r="D145" s="3">
        <v>4</v>
      </c>
      <c r="E145" s="3">
        <v>4</v>
      </c>
      <c r="F145" s="3">
        <v>7</v>
      </c>
      <c r="G145" s="3">
        <v>4</v>
      </c>
      <c r="H145" s="3">
        <v>5</v>
      </c>
      <c r="I145" s="3">
        <v>4</v>
      </c>
    </row>
    <row r="146" spans="1:9" ht="12.75">
      <c r="A146" s="2" t="s">
        <v>27</v>
      </c>
      <c r="B146" s="4">
        <f aca="true" t="shared" si="34" ref="B146:I146">SUM(B137:B145)</f>
        <v>1211</v>
      </c>
      <c r="C146" s="4">
        <f t="shared" si="34"/>
        <v>1139</v>
      </c>
      <c r="D146" s="4">
        <f t="shared" si="34"/>
        <v>1131</v>
      </c>
      <c r="E146" s="4">
        <f t="shared" si="34"/>
        <v>1098</v>
      </c>
      <c r="F146" s="4">
        <f t="shared" si="34"/>
        <v>1166</v>
      </c>
      <c r="G146" s="4">
        <f t="shared" si="34"/>
        <v>1036</v>
      </c>
      <c r="H146" s="4">
        <f t="shared" si="34"/>
        <v>1018</v>
      </c>
      <c r="I146" s="4">
        <f t="shared" si="34"/>
        <v>978</v>
      </c>
    </row>
    <row r="147" spans="2:9" ht="12.75">
      <c r="B147" s="20"/>
      <c r="C147" s="20"/>
      <c r="D147" s="20"/>
      <c r="E147" s="20"/>
      <c r="F147" s="20"/>
      <c r="G147" s="20"/>
      <c r="H147" s="20"/>
      <c r="I147" s="20"/>
    </row>
    <row r="148" spans="1:9" ht="12.75">
      <c r="A148" s="4" t="s">
        <v>13</v>
      </c>
      <c r="B148" s="4">
        <f>B136+B146</f>
        <v>14824</v>
      </c>
      <c r="C148" s="4">
        <f aca="true" t="shared" si="35" ref="C148:H148">C136+C146</f>
        <v>14380</v>
      </c>
      <c r="D148" s="4">
        <f t="shared" si="35"/>
        <v>15022</v>
      </c>
      <c r="E148" s="4">
        <f t="shared" si="35"/>
        <v>14665</v>
      </c>
      <c r="F148" s="4">
        <f t="shared" si="35"/>
        <v>15304</v>
      </c>
      <c r="G148" s="4">
        <f t="shared" si="35"/>
        <v>14867</v>
      </c>
      <c r="H148" s="4">
        <f t="shared" si="35"/>
        <v>15518</v>
      </c>
      <c r="I148" s="4">
        <f>I136+I146</f>
        <v>15121</v>
      </c>
    </row>
    <row r="151" spans="1:11" ht="12.75">
      <c r="A151" s="4" t="s">
        <v>203</v>
      </c>
      <c r="B151" s="17" t="s">
        <v>0</v>
      </c>
      <c r="C151" s="17" t="s">
        <v>1</v>
      </c>
      <c r="D151" s="17" t="s">
        <v>2</v>
      </c>
      <c r="E151" s="17" t="s">
        <v>3</v>
      </c>
      <c r="F151" s="17" t="s">
        <v>4</v>
      </c>
      <c r="G151" s="17" t="s">
        <v>5</v>
      </c>
      <c r="H151" s="17" t="s">
        <v>6</v>
      </c>
      <c r="I151" s="17" t="s">
        <v>7</v>
      </c>
      <c r="J151" s="17"/>
      <c r="K151" s="17"/>
    </row>
    <row r="152" ht="12.75">
      <c r="A152" s="4" t="s">
        <v>206</v>
      </c>
    </row>
    <row r="153" spans="1:9" ht="12.75">
      <c r="A153" s="3" t="s">
        <v>116</v>
      </c>
      <c r="B153" s="3">
        <f aca="true" t="shared" si="36" ref="B153:I153">B113+B136</f>
        <v>39814</v>
      </c>
      <c r="C153" s="3">
        <f t="shared" si="36"/>
        <v>39867</v>
      </c>
      <c r="D153" s="3">
        <f t="shared" si="36"/>
        <v>40248</v>
      </c>
      <c r="E153" s="3">
        <f t="shared" si="36"/>
        <v>40588</v>
      </c>
      <c r="F153" s="3">
        <f t="shared" si="36"/>
        <v>41392</v>
      </c>
      <c r="G153" s="3">
        <f t="shared" si="36"/>
        <v>41335</v>
      </c>
      <c r="H153" s="3">
        <f t="shared" si="36"/>
        <v>42301</v>
      </c>
      <c r="I153" s="3">
        <f t="shared" si="36"/>
        <v>42186</v>
      </c>
    </row>
    <row r="154" spans="1:9" ht="12.75">
      <c r="A154" s="3" t="s">
        <v>10</v>
      </c>
      <c r="B154" s="3">
        <f aca="true" t="shared" si="37" ref="B154:I154">B122+B146</f>
        <v>3918</v>
      </c>
      <c r="C154" s="3">
        <f t="shared" si="37"/>
        <v>3861</v>
      </c>
      <c r="D154" s="3">
        <f t="shared" si="37"/>
        <v>3785</v>
      </c>
      <c r="E154" s="3">
        <f t="shared" si="37"/>
        <v>3698</v>
      </c>
      <c r="F154" s="3">
        <f t="shared" si="37"/>
        <v>3417</v>
      </c>
      <c r="G154" s="3">
        <f t="shared" si="37"/>
        <v>3370</v>
      </c>
      <c r="H154" s="3">
        <f t="shared" si="37"/>
        <v>3180</v>
      </c>
      <c r="I154" s="3">
        <f t="shared" si="37"/>
        <v>3188</v>
      </c>
    </row>
    <row r="156" spans="1:9" ht="12.75">
      <c r="A156" s="4" t="s">
        <v>204</v>
      </c>
      <c r="B156" s="4">
        <f>SUM(B153:B155)</f>
        <v>43732</v>
      </c>
      <c r="C156" s="4">
        <f aca="true" t="shared" si="38" ref="C156:I156">SUM(C153:C155)</f>
        <v>43728</v>
      </c>
      <c r="D156" s="4">
        <f t="shared" si="38"/>
        <v>44033</v>
      </c>
      <c r="E156" s="4">
        <f t="shared" si="38"/>
        <v>44286</v>
      </c>
      <c r="F156" s="4">
        <f t="shared" si="38"/>
        <v>44809</v>
      </c>
      <c r="G156" s="4">
        <f t="shared" si="38"/>
        <v>44705</v>
      </c>
      <c r="H156" s="4">
        <f t="shared" si="38"/>
        <v>45481</v>
      </c>
      <c r="I156" s="4">
        <f t="shared" si="38"/>
        <v>45374</v>
      </c>
    </row>
    <row r="158" s="15" customFormat="1" ht="12.75"/>
  </sheetData>
  <printOptions/>
  <pageMargins left="0.75" right="0.75" top="1" bottom="1" header="0.5" footer="0.5"/>
  <pageSetup horizontalDpi="300" verticalDpi="300" orientation="portrait" scale="82" r:id="rId1"/>
  <rowBreaks count="2" manualBreakCount="2">
    <brk id="48" max="8" man="1"/>
    <brk id="102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D5" sqref="D5"/>
    </sheetView>
  </sheetViews>
  <sheetFormatPr defaultColWidth="9.140625" defaultRowHeight="12.75"/>
  <cols>
    <col min="1" max="1" width="18.28125" style="0" customWidth="1"/>
    <col min="9" max="9" width="14.421875" style="0" bestFit="1" customWidth="1"/>
  </cols>
  <sheetData>
    <row r="1" spans="1:10" ht="12.75">
      <c r="A1" s="2" t="s">
        <v>212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 t="s">
        <v>202</v>
      </c>
      <c r="B3" s="77" t="s">
        <v>0</v>
      </c>
      <c r="C3" s="77" t="s">
        <v>1</v>
      </c>
      <c r="D3" s="77" t="s">
        <v>2</v>
      </c>
      <c r="E3" s="77" t="s">
        <v>3</v>
      </c>
      <c r="F3" s="77" t="s">
        <v>4</v>
      </c>
      <c r="G3" s="77" t="s">
        <v>5</v>
      </c>
      <c r="H3" s="77" t="s">
        <v>6</v>
      </c>
      <c r="I3" s="77"/>
      <c r="J3" s="1"/>
    </row>
    <row r="4" spans="1:10" ht="12.7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12.75">
      <c r="A5" s="1" t="s">
        <v>209</v>
      </c>
      <c r="B5" s="3">
        <v>210657</v>
      </c>
      <c r="C5" s="3">
        <v>200781</v>
      </c>
      <c r="D5" s="3">
        <v>221447</v>
      </c>
      <c r="E5" s="3">
        <v>225664</v>
      </c>
      <c r="F5" s="3">
        <v>223978</v>
      </c>
      <c r="G5" s="3">
        <v>219096</v>
      </c>
      <c r="H5" s="3">
        <v>215960</v>
      </c>
      <c r="I5" s="3"/>
      <c r="J5" s="1"/>
    </row>
    <row r="6" spans="1:10" ht="12.75">
      <c r="A6" s="1" t="s">
        <v>211</v>
      </c>
      <c r="B6" s="3">
        <v>10954</v>
      </c>
      <c r="C6" s="3">
        <v>10382</v>
      </c>
      <c r="D6" s="3">
        <v>11581</v>
      </c>
      <c r="E6" s="3">
        <v>11517</v>
      </c>
      <c r="F6" s="3">
        <v>11389</v>
      </c>
      <c r="G6" s="3">
        <v>12077</v>
      </c>
      <c r="H6" s="3">
        <v>11693</v>
      </c>
      <c r="I6" s="3"/>
      <c r="J6" s="1"/>
    </row>
    <row r="7" spans="1:10" ht="12.75">
      <c r="A7" s="1" t="s">
        <v>210</v>
      </c>
      <c r="B7" s="3">
        <v>33363</v>
      </c>
      <c r="C7" s="3">
        <v>31620</v>
      </c>
      <c r="D7" s="3">
        <v>35272</v>
      </c>
      <c r="E7" s="3">
        <v>35078</v>
      </c>
      <c r="F7" s="3">
        <v>34688</v>
      </c>
      <c r="G7" s="3">
        <v>36782</v>
      </c>
      <c r="H7" s="3">
        <v>35613</v>
      </c>
      <c r="I7" s="3"/>
      <c r="J7" s="1"/>
    </row>
    <row r="8" spans="1:10" ht="12.75">
      <c r="A8" s="2" t="s">
        <v>13</v>
      </c>
      <c r="B8" s="4">
        <f>SUM(B5:B7)</f>
        <v>254974</v>
      </c>
      <c r="C8" s="4">
        <f aca="true" t="shared" si="0" ref="C8:H8">SUM(C5:C7)</f>
        <v>242783</v>
      </c>
      <c r="D8" s="4">
        <f t="shared" si="0"/>
        <v>268300</v>
      </c>
      <c r="E8" s="4">
        <f t="shared" si="0"/>
        <v>272259</v>
      </c>
      <c r="F8" s="4">
        <f t="shared" si="0"/>
        <v>270055</v>
      </c>
      <c r="G8" s="4">
        <f t="shared" si="0"/>
        <v>267955</v>
      </c>
      <c r="H8" s="4">
        <f t="shared" si="0"/>
        <v>263266</v>
      </c>
      <c r="I8" s="3"/>
      <c r="J8" s="1"/>
    </row>
    <row r="9" spans="1:10" ht="12.75">
      <c r="A9" s="1"/>
      <c r="B9" s="4"/>
      <c r="C9" s="4"/>
      <c r="D9" s="4"/>
      <c r="E9" s="4"/>
      <c r="F9" s="4"/>
      <c r="G9" s="4"/>
      <c r="H9" s="4"/>
      <c r="I9" s="4"/>
      <c r="J9" s="78"/>
    </row>
    <row r="10" spans="1:10" ht="12.75">
      <c r="A10" s="1"/>
      <c r="B10" s="78"/>
      <c r="C10" s="3"/>
      <c r="D10" s="3"/>
      <c r="E10" s="3"/>
      <c r="F10" s="3"/>
      <c r="G10" s="3"/>
      <c r="H10" s="3"/>
      <c r="I10" s="3"/>
      <c r="J10" s="1"/>
    </row>
    <row r="11" spans="1:10" ht="12.75">
      <c r="A11" s="1"/>
      <c r="B11" s="3"/>
      <c r="C11" s="3"/>
      <c r="D11" s="3"/>
      <c r="E11" s="3"/>
      <c r="F11" s="3"/>
      <c r="G11" s="3"/>
      <c r="H11" s="3"/>
      <c r="I11" s="3"/>
      <c r="J11" s="1"/>
    </row>
    <row r="12" spans="1:10" ht="12.75">
      <c r="A12" s="2" t="s">
        <v>213</v>
      </c>
      <c r="B12" s="77" t="s">
        <v>0</v>
      </c>
      <c r="C12" s="77" t="s">
        <v>1</v>
      </c>
      <c r="D12" s="77" t="s">
        <v>2</v>
      </c>
      <c r="E12" s="77" t="s">
        <v>3</v>
      </c>
      <c r="F12" s="77" t="s">
        <v>4</v>
      </c>
      <c r="G12" s="77" t="s">
        <v>5</v>
      </c>
      <c r="H12" s="77" t="s">
        <v>6</v>
      </c>
      <c r="I12" s="17"/>
      <c r="J12" s="1"/>
    </row>
    <row r="13" spans="1:10" ht="12.75">
      <c r="A13" s="1"/>
      <c r="B13" s="3"/>
      <c r="C13" s="3"/>
      <c r="D13" s="3"/>
      <c r="E13" s="3"/>
      <c r="F13" s="3"/>
      <c r="G13" s="3"/>
      <c r="H13" s="3"/>
      <c r="I13" s="3"/>
      <c r="J13" s="1"/>
    </row>
    <row r="14" spans="1:10" ht="12.75">
      <c r="A14" s="1" t="s">
        <v>209</v>
      </c>
      <c r="B14" s="3">
        <v>97110</v>
      </c>
      <c r="C14" s="3">
        <v>88203</v>
      </c>
      <c r="D14" s="3">
        <v>95073</v>
      </c>
      <c r="E14" s="3">
        <v>93134</v>
      </c>
      <c r="F14" s="3">
        <v>109363</v>
      </c>
      <c r="G14" s="3">
        <v>94866</v>
      </c>
      <c r="H14" s="3">
        <v>98955</v>
      </c>
      <c r="I14" s="3"/>
      <c r="J14" s="1"/>
    </row>
    <row r="15" spans="1:10" ht="12.75">
      <c r="A15" s="1" t="s">
        <v>211</v>
      </c>
      <c r="B15" s="3">
        <v>2811</v>
      </c>
      <c r="C15" s="3">
        <v>2554</v>
      </c>
      <c r="D15" s="3">
        <v>2734</v>
      </c>
      <c r="E15" s="3">
        <v>2701</v>
      </c>
      <c r="F15" s="3">
        <v>3166</v>
      </c>
      <c r="G15" s="3">
        <v>2732</v>
      </c>
      <c r="H15" s="3">
        <v>2735</v>
      </c>
      <c r="I15" s="3"/>
      <c r="J15" s="1"/>
    </row>
    <row r="16" spans="1:10" ht="12.75">
      <c r="A16" s="1" t="s">
        <v>210</v>
      </c>
      <c r="B16" s="3">
        <v>11273</v>
      </c>
      <c r="C16" s="3">
        <v>10239</v>
      </c>
      <c r="D16" s="3">
        <v>10963</v>
      </c>
      <c r="E16" s="3">
        <v>10829</v>
      </c>
      <c r="F16" s="3">
        <v>12695</v>
      </c>
      <c r="G16" s="3">
        <v>10589</v>
      </c>
      <c r="H16" s="3">
        <v>10958</v>
      </c>
      <c r="I16" s="3"/>
      <c r="J16" s="1"/>
    </row>
    <row r="17" spans="1:10" ht="12.75">
      <c r="A17" s="2" t="s">
        <v>13</v>
      </c>
      <c r="B17" s="4">
        <f aca="true" t="shared" si="1" ref="B17:H17">SUM(B14:B16)</f>
        <v>111194</v>
      </c>
      <c r="C17" s="4">
        <f t="shared" si="1"/>
        <v>100996</v>
      </c>
      <c r="D17" s="4">
        <f t="shared" si="1"/>
        <v>108770</v>
      </c>
      <c r="E17" s="4">
        <f t="shared" si="1"/>
        <v>106664</v>
      </c>
      <c r="F17" s="4">
        <f t="shared" si="1"/>
        <v>125224</v>
      </c>
      <c r="G17" s="4">
        <f t="shared" si="1"/>
        <v>108187</v>
      </c>
      <c r="H17" s="4">
        <f t="shared" si="1"/>
        <v>112648</v>
      </c>
      <c r="I17" s="4"/>
      <c r="J17" s="78"/>
    </row>
    <row r="18" spans="1:10" ht="12.75">
      <c r="A18" s="1"/>
      <c r="B18" s="3"/>
      <c r="C18" s="3"/>
      <c r="D18" s="3"/>
      <c r="E18" s="3"/>
      <c r="F18" s="3"/>
      <c r="G18" s="3"/>
      <c r="H18" s="3"/>
      <c r="I18" s="3"/>
      <c r="J18" s="1"/>
    </row>
    <row r="19" spans="1:10" ht="12.75">
      <c r="A19" s="1"/>
      <c r="B19" s="3"/>
      <c r="C19" s="3"/>
      <c r="D19" s="3"/>
      <c r="E19" s="3"/>
      <c r="F19" s="3"/>
      <c r="G19" s="3"/>
      <c r="H19" s="3"/>
      <c r="I19" s="3"/>
      <c r="J19" s="1"/>
    </row>
    <row r="20" spans="1:10" ht="12.75">
      <c r="A20" s="1"/>
      <c r="B20" s="3"/>
      <c r="C20" s="3"/>
      <c r="D20" s="3"/>
      <c r="E20" s="3"/>
      <c r="F20" s="3"/>
      <c r="G20" s="3"/>
      <c r="H20" s="3"/>
      <c r="I20" s="3"/>
      <c r="J20" s="1"/>
    </row>
    <row r="21" spans="1:10" ht="12.75">
      <c r="A21" s="1"/>
      <c r="B21" s="3"/>
      <c r="C21" s="3"/>
      <c r="D21" s="3"/>
      <c r="E21" s="3"/>
      <c r="F21" s="3"/>
      <c r="G21" s="3"/>
      <c r="H21" s="3"/>
      <c r="I21" s="3"/>
      <c r="J21" s="1"/>
    </row>
    <row r="22" spans="1:10" ht="12.75">
      <c r="A22" s="1"/>
      <c r="B22" s="3"/>
      <c r="C22" s="3"/>
      <c r="D22" s="3"/>
      <c r="E22" s="3"/>
      <c r="F22" s="3"/>
      <c r="G22" s="3"/>
      <c r="H22" s="3"/>
      <c r="I22" s="3"/>
      <c r="J22" s="1"/>
    </row>
    <row r="23" spans="1:10" ht="12.75">
      <c r="A23" s="1"/>
      <c r="B23" s="3"/>
      <c r="C23" s="3"/>
      <c r="D23" s="3"/>
      <c r="E23" s="3"/>
      <c r="F23" s="3"/>
      <c r="G23" s="3"/>
      <c r="H23" s="3"/>
      <c r="I23" s="3"/>
      <c r="J23" s="1"/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2"/>
      <c r="B25" s="77"/>
      <c r="C25" s="77"/>
      <c r="D25" s="77"/>
      <c r="E25" s="77"/>
      <c r="F25" s="77"/>
      <c r="G25" s="77"/>
      <c r="H25" s="77"/>
      <c r="I25" s="77"/>
      <c r="J25" s="1"/>
    </row>
    <row r="26" spans="1:10" ht="12.75">
      <c r="A26" s="1"/>
      <c r="B26" s="3"/>
      <c r="C26" s="3"/>
      <c r="D26" s="3"/>
      <c r="E26" s="3"/>
      <c r="F26" s="3"/>
      <c r="G26" s="3"/>
      <c r="H26" s="3"/>
      <c r="I26" s="3"/>
      <c r="J26" s="3"/>
    </row>
    <row r="27" spans="1:10" ht="12.75">
      <c r="A27" s="1"/>
      <c r="B27" s="3"/>
      <c r="C27" s="3"/>
      <c r="D27" s="3"/>
      <c r="E27" s="3"/>
      <c r="F27" s="3"/>
      <c r="G27" s="3"/>
      <c r="H27" s="3"/>
      <c r="I27" s="3"/>
      <c r="J27" s="3"/>
    </row>
    <row r="28" spans="1:10" ht="12.75">
      <c r="A28" s="1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2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1"/>
      <c r="B30" s="3"/>
      <c r="C30" s="3"/>
      <c r="D30" s="3"/>
      <c r="E30" s="3"/>
      <c r="F30" s="3"/>
      <c r="G30" s="3"/>
      <c r="H30" s="3"/>
      <c r="I30" s="3"/>
      <c r="J30" s="1"/>
    </row>
    <row r="31" spans="1:10" ht="12.75">
      <c r="A31" s="1"/>
      <c r="B31" s="3"/>
      <c r="C31" s="3"/>
      <c r="D31" s="3"/>
      <c r="E31" s="3"/>
      <c r="F31" s="3"/>
      <c r="G31" s="3"/>
      <c r="H31" s="3"/>
      <c r="I31" s="3"/>
      <c r="J31" s="1"/>
    </row>
    <row r="32" spans="1:10" ht="12.75">
      <c r="A32" s="1"/>
      <c r="B32" s="3"/>
      <c r="C32" s="3"/>
      <c r="D32" s="3"/>
      <c r="E32" s="3"/>
      <c r="F32" s="3"/>
      <c r="G32" s="3"/>
      <c r="H32" s="3"/>
      <c r="I32" s="3"/>
      <c r="J32" s="1"/>
    </row>
    <row r="33" spans="1:10" ht="12.75">
      <c r="A33" s="1"/>
      <c r="B33" s="3"/>
      <c r="C33" s="3"/>
      <c r="D33" s="3"/>
      <c r="E33" s="3"/>
      <c r="F33" s="3"/>
      <c r="G33" s="3"/>
      <c r="H33" s="3"/>
      <c r="I33" s="3"/>
      <c r="J33" s="1"/>
    </row>
    <row r="34" spans="1:10" ht="12.75">
      <c r="A34" s="1"/>
      <c r="B34" s="3"/>
      <c r="C34" s="3"/>
      <c r="D34" s="3"/>
      <c r="E34" s="3"/>
      <c r="F34" s="3"/>
      <c r="G34" s="3"/>
      <c r="H34" s="3"/>
      <c r="I34" s="3"/>
      <c r="J34" s="1"/>
    </row>
    <row r="35" spans="1:10" ht="12.75">
      <c r="A35" s="1"/>
      <c r="B35" s="4"/>
      <c r="C35" s="4"/>
      <c r="D35" s="4"/>
      <c r="E35" s="4"/>
      <c r="F35" s="4"/>
      <c r="G35" s="4"/>
      <c r="H35" s="4"/>
      <c r="I35" s="4"/>
      <c r="J35" s="78"/>
    </row>
    <row r="36" spans="1:10" ht="12.75">
      <c r="A36" s="1"/>
      <c r="B36" s="3"/>
      <c r="C36" s="3"/>
      <c r="D36" s="3"/>
      <c r="E36" s="3"/>
      <c r="F36" s="3"/>
      <c r="G36" s="3"/>
      <c r="H36" s="3"/>
      <c r="I36" s="3"/>
      <c r="J36" s="1"/>
    </row>
    <row r="37" spans="1:10" ht="12.75">
      <c r="A37" s="1"/>
      <c r="B37" s="3"/>
      <c r="C37" s="3"/>
      <c r="D37" s="3"/>
      <c r="E37" s="3"/>
      <c r="F37" s="3"/>
      <c r="G37" s="3"/>
      <c r="H37" s="3"/>
      <c r="I37" s="3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3"/>
      <c r="C39" s="3"/>
      <c r="D39" s="3"/>
      <c r="E39" s="3"/>
      <c r="F39" s="3"/>
      <c r="G39" s="3"/>
      <c r="H39" s="3"/>
      <c r="I39" s="3"/>
      <c r="J39" s="1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Waste Connections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IrmgardW</dc:creator>
  <cp:keywords/>
  <dc:description/>
  <cp:lastModifiedBy>Mike Sommerville, Customer Service Specialist 3</cp:lastModifiedBy>
  <cp:lastPrinted>2005-08-18T18:22:07Z</cp:lastPrinted>
  <dcterms:created xsi:type="dcterms:W3CDTF">2005-08-15T20:09:12Z</dcterms:created>
  <dcterms:modified xsi:type="dcterms:W3CDTF">2005-08-19T17:26:00Z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050075</vt:lpwstr>
  </property>
  <property fmtid="{D5CDD505-2E9C-101B-9397-08002B2CF9AE}" pid="6" name="IsConfidenti">
    <vt:lpwstr>0</vt:lpwstr>
  </property>
  <property fmtid="{D5CDD505-2E9C-101B-9397-08002B2CF9AE}" pid="7" name="Dat">
    <vt:lpwstr>2005-08-19T00:00:00Z</vt:lpwstr>
  </property>
  <property fmtid="{D5CDD505-2E9C-101B-9397-08002B2CF9AE}" pid="8" name="CaseTy">
    <vt:lpwstr>Tariff Revision</vt:lpwstr>
  </property>
  <property fmtid="{D5CDD505-2E9C-101B-9397-08002B2CF9AE}" pid="9" name="OpenedDa">
    <vt:lpwstr>2005-01-14T00:00:00Z</vt:lpwstr>
  </property>
  <property fmtid="{D5CDD505-2E9C-101B-9397-08002B2CF9AE}" pid="10" name="Pref">
    <vt:lpwstr>TG</vt:lpwstr>
  </property>
  <property fmtid="{D5CDD505-2E9C-101B-9397-08002B2CF9AE}" pid="11" name="CaseCompanyNam">
    <vt:lpwstr>MURREY'S DISPOSAL COMPANY,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